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ialogsheets/sheet6.xml" ContentType="application/vnd.openxmlformats-officedocument.spreadsheetml.dialog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dialogsheets/sheet7.xml" ContentType="application/vnd.openxmlformats-officedocument.spreadsheetml.dialog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8.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9.xml" ContentType="application/vnd.openxmlformats-officedocument.drawing+xml"/>
  <Override PartName="/xl/ctrlProps/ctrlProp6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64.xml" ContentType="application/vnd.ms-excel.controlproperties+xml"/>
  <Override PartName="/xl/ctrlProps/ctrlProp65.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5.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0.xml" ContentType="application/vnd.openxmlformats-officedocument.drawing+xml"/>
  <Override PartName="/xl/ctrlProps/ctrlProp78.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79.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trlProps/ctrlProp80.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84.xml" ContentType="application/vnd.ms-excel.controlproperties+xml"/>
  <Override PartName="/xl/ctrlProps/ctrlProp85.xml" ContentType="application/vnd.ms-excel.controlproperties+xml"/>
  <Override PartName="/xl/drawings/drawing33.xml" ContentType="application/vnd.openxmlformats-officedocument.drawing+xml"/>
  <Override PartName="/xl/drawings/drawing34.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omments1.xml" ContentType="application/vnd.openxmlformats-officedocument.spreadsheetml.comments+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saveExternalLinkValues="0" codeName="ThisWorkbook" hidePivotFieldList="1"/>
  <mc:AlternateContent xmlns:mc="http://schemas.openxmlformats.org/markup-compatibility/2006">
    <mc:Choice Requires="x15">
      <x15ac:absPath xmlns:x15ac="http://schemas.microsoft.com/office/spreadsheetml/2010/11/ac" url="C:\Users\mehme\Desktop\operasyonlar\petro inspect\gemiler\MV  PESSADA 19.08.2022\"/>
    </mc:Choice>
  </mc:AlternateContent>
  <xr:revisionPtr revIDLastSave="0" documentId="13_ncr:1_{7B52B837-8141-447B-9EE9-99C357AEC79B}" xr6:coauthVersionLast="47" xr6:coauthVersionMax="47" xr10:uidLastSave="{00000000-0000-0000-0000-000000000000}"/>
  <workbookProtection workbookAlgorithmName="SHA-512" workbookHashValue="znHF7Vvp70NmWoa2AIWyPdplgsUz2yQRBe3zVbOKG5ZFVWKigKggyiQaKlYKrWsGd8/NbCQVm8UW2sx/byEvhA==" workbookSaltValue="P2aVLn3/LSycPuSuaQh24A==" workbookSpinCount="100000" lockStructure="1"/>
  <bookViews>
    <workbookView showSheetTabs="0" xWindow="-120" yWindow="480" windowWidth="20730" windowHeight="11160" tabRatio="918" firstSheet="2" activeTab="30" xr2:uid="{00000000-000D-0000-FFFF-FFFF00000000}"/>
  </bookViews>
  <sheets>
    <sheet name="POWER SETT" sheetId="29" r:id="rId1"/>
    <sheet name="STANDARD SETT" sheetId="53" r:id="rId2"/>
    <sheet name="MAIN" sheetId="36" r:id="rId3"/>
    <sheet name="PrintDlg" sheetId="51" r:id="rId4"/>
    <sheet name="PrintDlgSS" sheetId="70" r:id="rId5"/>
    <sheet name="Cover Page" sheetId="76" r:id="rId6"/>
    <sheet name="Drafts" sheetId="73" r:id="rId7"/>
    <sheet name="Ships Declaration" sheetId="37" r:id="rId8"/>
    <sheet name="Vessel Gauging Data" sheetId="35" r:id="rId9"/>
    <sheet name="Barge Gauging Data" sheetId="46" r:id="rId10"/>
    <sheet name="DialogV" sheetId="42" r:id="rId11"/>
    <sheet name="DialogB" sheetId="48" r:id="rId12"/>
    <sheet name="DialogBD" sheetId="60" r:id="rId13"/>
    <sheet name="Gauging Ticket" sheetId="52" r:id="rId14"/>
    <sheet name="Preliminary Report" sheetId="21" r:id="rId15"/>
    <sheet name="Summary Report" sheetId="55" r:id="rId16"/>
    <sheet name="Final Report (SS)" sheetId="77" r:id="rId17"/>
    <sheet name="OUT-TURNS" sheetId="74" r:id="rId18"/>
    <sheet name="DialogVD" sheetId="59" r:id="rId19"/>
    <sheet name="Vessel BQS Report" sheetId="11" r:id="rId20"/>
    <sheet name="Barge BQS Report" sheetId="47" r:id="rId21"/>
    <sheet name="Bunker Sample Info" sheetId="15" r:id="rId22"/>
    <sheet name="Pre-Survey (SS)" sheetId="62" r:id="rId23"/>
    <sheet name="Vessel BQS Report (SS)" sheetId="63" r:id="rId24"/>
    <sheet name="Barge BQS Report (SS)" sheetId="72" r:id="rId25"/>
    <sheet name="Sampling Report (SS)" sheetId="65" r:id="rId26"/>
    <sheet name="Barge Non-Cargo (SS)" sheetId="66" r:id="rId27"/>
    <sheet name="FlowMeter CL (SS)" sheetId="67" r:id="rId28"/>
    <sheet name="FlowMeter (SS)" sheetId="68" r:id="rId29"/>
    <sheet name="Gravitation Declaration" sheetId="17" r:id="rId30"/>
    <sheet name="Valves Declaration" sheetId="18" r:id="rId31"/>
    <sheet name="Statement of Facts" sheetId="43" r:id="rId32"/>
    <sheet name="Vessel ROB Report" sheetId="54" r:id="rId33"/>
    <sheet name="Vessel ROB Certificate" sheetId="5" r:id="rId34"/>
    <sheet name="OnOff Hire Certificate" sheetId="6" r:id="rId35"/>
    <sheet name="Sludge Retention" sheetId="39" r:id="rId36"/>
    <sheet name="Bunker Consumption" sheetId="40" r:id="rId37"/>
    <sheet name="Time Log" sheetId="16" r:id="rId38"/>
    <sheet name="Barge Evaluation" sheetId="57" r:id="rId39"/>
    <sheet name="SuperASTM" sheetId="78" r:id="rId40"/>
    <sheet name="Conversions Tool" sheetId="7" r:id="rId41"/>
    <sheet name="Trim Correction" sheetId="20" r:id="rId42"/>
    <sheet name="Remarks Library" sheetId="38" r:id="rId43"/>
    <sheet name="Dialog2" sheetId="44" r:id="rId44"/>
    <sheet name="DISKS" sheetId="8" state="veryHidden" r:id="rId45"/>
    <sheet name="Refresher" sheetId="58" state="hidden" r:id="rId46"/>
  </sheets>
  <definedNames>
    <definedName name="_xlnm._FilterDatabase" localSheetId="20" hidden="1">'Barge BQS Report'!$A$17:$A$386</definedName>
    <definedName name="_xlnm._FilterDatabase" localSheetId="24" hidden="1">'Barge BQS Report (SS)'!$A$22:$A$405</definedName>
    <definedName name="_xlnm._FilterDatabase" localSheetId="9" hidden="1">'Barge Gauging Data'!$A$25:$A$76</definedName>
    <definedName name="_xlnm._FilterDatabase" localSheetId="5" hidden="1">'Cover Page'!$A$15:$A$133</definedName>
    <definedName name="_xlnm._FilterDatabase" localSheetId="16" hidden="1">'Final Report (SS)'!$A$10:$A$290</definedName>
    <definedName name="_xlnm._FilterDatabase" localSheetId="28" hidden="1">'FlowMeter (SS)'!$A$10:$A$395</definedName>
    <definedName name="_xlnm._FilterDatabase" localSheetId="13" hidden="1">'Gauging Ticket'!$A$26:$A$76</definedName>
    <definedName name="_xlnm._FilterDatabase" localSheetId="34" hidden="1">'OnOff Hire Certificate'!$B$37:$G$46</definedName>
    <definedName name="_xlnm._FilterDatabase" localSheetId="14" hidden="1">'Preliminary Report'!$A$11:$A$69</definedName>
    <definedName name="_xlnm._FilterDatabase" localSheetId="22" hidden="1">'Pre-Survey (SS)'!$A$25:$A$31</definedName>
    <definedName name="_xlnm._FilterDatabase" localSheetId="7" hidden="1">'Ships Declaration'!$A$4:$A$34</definedName>
    <definedName name="_xlnm._FilterDatabase" localSheetId="15" hidden="1">'Summary Report'!$A$11:$A$202</definedName>
    <definedName name="_xlnm._FilterDatabase" localSheetId="37" hidden="1">'Time Log'!$A$22:$A$161</definedName>
    <definedName name="_xlnm._FilterDatabase" localSheetId="19" hidden="1">'Vessel BQS Report'!$A$17:$A$386</definedName>
    <definedName name="_xlnm._FilterDatabase" localSheetId="23" hidden="1">'Vessel BQS Report (SS)'!$A$22:$A$400</definedName>
    <definedName name="_xlnm._FilterDatabase" localSheetId="8" hidden="1">'Vessel Gauging Data'!$A$25:$A$76</definedName>
    <definedName name="_xlnm._FilterDatabase" localSheetId="32" hidden="1">'Vessel ROB Report'!$A$17:$A$172</definedName>
    <definedName name="ACTLOG" hidden="1">'Time Log'!$D$25</definedName>
    <definedName name="ADMINNO" hidden="1">DISKS!$A$1</definedName>
    <definedName name="AFTER1" hidden="1">'FlowMeter (SS)'!$H$44</definedName>
    <definedName name="AFTER2" hidden="1">'FlowMeter (SS)'!$H$108</definedName>
    <definedName name="AFTER3" hidden="1">'FlowMeter (SS)'!$H$172</definedName>
    <definedName name="AFTER4" hidden="1">'FlowMeter (SS)'!$H$236</definedName>
    <definedName name="AFTER5" hidden="1">'FlowMeter (SS)'!$H$300</definedName>
    <definedName name="AFTER6" hidden="1">'FlowMeter (SS)'!$H$364</definedName>
    <definedName name="AFTERF1" hidden="1">'Final Report (SS)'!$L$129</definedName>
    <definedName name="AFTERF2" hidden="1">'Final Report (SS)'!$L$144</definedName>
    <definedName name="AFTERF3" hidden="1">'Final Report (SS)'!$L$159</definedName>
    <definedName name="AFTERF4" hidden="1">'Final Report (SS)'!$L$174</definedName>
    <definedName name="AFTERF5" hidden="1">'Final Report (SS)'!$L$189</definedName>
    <definedName name="AFTERF6" hidden="1">'Final Report (SS)'!$L$204</definedName>
    <definedName name="ALLBARGEGRADES" hidden="1">Drafts!$AK$9</definedName>
    <definedName name="ALLBARGES" hidden="1">MAIN!$BH$9</definedName>
    <definedName name="ALLGRADES" hidden="1">'STANDARD SETT'!$H$16:$L$21</definedName>
    <definedName name="ANALTOP" hidden="1">'Cover Page'!$I$110</definedName>
    <definedName name="API" localSheetId="39" hidden="1">SuperASTM!$K$63</definedName>
    <definedName name="API_IN" hidden="1">SuperASTM!$C$64</definedName>
    <definedName name="API_OUT" hidden="1">SuperASTM!$G$63</definedName>
    <definedName name="API1DENST" hidden="1">'Vessel Gauging Data'!$BR$27:$BS$56</definedName>
    <definedName name="API1DENST_2" hidden="1">'Barge Gauging Data'!$BR$27:$BS$56</definedName>
    <definedName name="API1DEST" hidden="1">'Vessel Gauging Data'!$L$27:$L$56</definedName>
    <definedName name="API1DEST_2" localSheetId="9" hidden="1">'Barge Gauging Data'!$L$27:$L$56</definedName>
    <definedName name="API1RANGE" hidden="1">'Vessel Gauging Data'!$BO$27:$BO$56</definedName>
    <definedName name="API1RANGE_2" localSheetId="9" hidden="1">'Barge Gauging Data'!$BO$27:$BO$56</definedName>
    <definedName name="API2DENST" hidden="1">'Vessel Gauging Data'!$BY$27:$BZ$56</definedName>
    <definedName name="API2DENST_2" hidden="1">'Barge Gauging Data'!$BY$27:$BZ$56</definedName>
    <definedName name="API2DEST" hidden="1">'Vessel Gauging Data'!$T$27:$T$56</definedName>
    <definedName name="API2DEST_2" localSheetId="9" hidden="1">'Barge Gauging Data'!$T$27:$T$56</definedName>
    <definedName name="API2RANGE" hidden="1">'Vessel Gauging Data'!$BV$27:$BV$56</definedName>
    <definedName name="API2RANGE_2" localSheetId="9" hidden="1">'Barge Gauging Data'!$BV$27:$BV$56</definedName>
    <definedName name="B1SEL" hidden="1">'Vessel Gauging Data'!$J$1</definedName>
    <definedName name="B1SEL_2" hidden="1">'Barge Gauging Data'!$J$1</definedName>
    <definedName name="BARGE" hidden="1">'Cover Page'!$I$52</definedName>
    <definedName name="BARGE1" hidden="1">MAIN!$BD$2</definedName>
    <definedName name="BARGE2" hidden="1">MAIN!$BD$3</definedName>
    <definedName name="BARGE3" hidden="1">MAIN!$BD$4</definedName>
    <definedName name="BARGE4" hidden="1">MAIN!$BD$5</definedName>
    <definedName name="BARGE5" hidden="1">MAIN!$BD$6</definedName>
    <definedName name="BARGE6" hidden="1">MAIN!$BD$7</definedName>
    <definedName name="BARGECALC" hidden="1">MAIN!$BM$1</definedName>
    <definedName name="BARGEID" hidden="1">MAIN!$BC$2:$BC$7</definedName>
    <definedName name="BARGELIC" hidden="1">'Cover Page'!$I$53</definedName>
    <definedName name="BARGENAMES" hidden="1">MAIN!$BD$2:$BD$7</definedName>
    <definedName name="BARGENO" hidden="1">MAIN!$BB$2:$BB$7</definedName>
    <definedName name="BARGEREP" hidden="1">'Cover Page'!$I$54</definedName>
    <definedName name="BARGESEL" hidden="1">MAIN!$BB$1</definedName>
    <definedName name="BARGESNOW" hidden="1">'Summary Report'!$E$15</definedName>
    <definedName name="BARGETABLE" hidden="1">MAIN!$BC$2:$BG$7</definedName>
    <definedName name="BCREQ" hidden="1">'Ships Declaration'!$O$3</definedName>
    <definedName name="BDENS1" hidden="1">'Barge Gauging Data'!$DC$2</definedName>
    <definedName name="BDENS2" hidden="1">'Barge Gauging Data'!$DF$2</definedName>
    <definedName name="BDENSF" hidden="1">'Barge Gauging Data'!$DI$2</definedName>
    <definedName name="BEFORE1" hidden="1">'FlowMeter (SS)'!$C$44</definedName>
    <definedName name="BEFORE2" hidden="1">'FlowMeter (SS)'!$C$108</definedName>
    <definedName name="BEFORE3" hidden="1">'FlowMeter (SS)'!$C$172</definedName>
    <definedName name="BEFORE4" hidden="1">'FlowMeter (SS)'!$C$236</definedName>
    <definedName name="BEFORE5" hidden="1">'FlowMeter (SS)'!$C$300</definedName>
    <definedName name="BEFORE6" hidden="1">'FlowMeter (SS)'!$C$364</definedName>
    <definedName name="BEFOREF1" hidden="1">'Final Report (SS)'!$E$129</definedName>
    <definedName name="BEFOREF2" hidden="1">'Final Report (SS)'!$E$144</definedName>
    <definedName name="BEFOREF3" hidden="1">'Final Report (SS)'!$E$159</definedName>
    <definedName name="BEFOREF4" hidden="1">'Final Report (SS)'!$E$174</definedName>
    <definedName name="BEFOREF5" hidden="1">'Final Report (SS)'!$E$189</definedName>
    <definedName name="BEFOREF6" hidden="1">'Final Report (SS)'!$E$204</definedName>
    <definedName name="BOTTOMLOGOSEL" hidden="1">MAIN!$AC$2</definedName>
    <definedName name="BRGDRAFT" hidden="1">Drafts!$G$26</definedName>
    <definedName name="BRGSUPP_ALL" hidden="1">'Barge Gauging Data'!$AB$9</definedName>
    <definedName name="BRGSUPP_GROUP" hidden="1">'Barge Gauging Data'!$AD$9</definedName>
    <definedName name="BTOV1" hidden="1">'Barge Gauging Data'!$DD$2</definedName>
    <definedName name="BTOV2" hidden="1">'Barge Gauging Data'!$DG$2</definedName>
    <definedName name="BTOVF" hidden="1">'Barge Gauging Data'!$DJ$2</definedName>
    <definedName name="BUILDNO" hidden="1">MAIN!$AA$2</definedName>
    <definedName name="BUNKERPRICES" hidden="1">'STANDARD SETT'!$I$15</definedName>
    <definedName name="BUYER" hidden="1">'Cover Page'!$I$115</definedName>
    <definedName name="CHARTERER" hidden="1">'Cover Page'!$I$125</definedName>
    <definedName name="CHBQS" hidden="1">MAIN!$AR$2</definedName>
    <definedName name="CHENG" hidden="1">'Cover Page'!$I$127</definedName>
    <definedName name="CHINPUT" hidden="1">MAIN!$AR$1</definedName>
    <definedName name="CHOTHER" hidden="1">MAIN!$AR$4</definedName>
    <definedName name="CHPREVIEW" hidden="1">'Preliminary Report'!$L$11</definedName>
    <definedName name="CHROB" hidden="1">MAIN!$AR$3</definedName>
    <definedName name="CHSPORE" hidden="1">MAIN!$AR$5</definedName>
    <definedName name="CLIENT" hidden="1">'Cover Page'!$I$20</definedName>
    <definedName name="CLOSINGGAUGE" hidden="1">'Vessel Gauging Data'!$O$23:$V$23</definedName>
    <definedName name="CLOSINGGAUGE_2" localSheetId="9" hidden="1">'Barge Gauging Data'!$O$23:$V$23</definedName>
    <definedName name="COLBDENS2" hidden="1">'Barge Gauging Data'!$DF$26</definedName>
    <definedName name="COLBDENSF" hidden="1">'Barge Gauging Data'!$DC$20</definedName>
    <definedName name="COLORCH" hidden="1">MAIN!$AV$6</definedName>
    <definedName name="COLULL1A" hidden="1">'Vessel Gauging Data'!$CC$26</definedName>
    <definedName name="COLULL1A_2" localSheetId="9" hidden="1">'Barge Gauging Data'!$CC$26</definedName>
    <definedName name="COLULL1B" hidden="1">'Vessel Gauging Data'!$CP$26</definedName>
    <definedName name="COLULL1B_2" localSheetId="9" hidden="1">'Barge Gauging Data'!$CP$26</definedName>
    <definedName name="COLULL2A" hidden="1">'Vessel Gauging Data'!$CE$26</definedName>
    <definedName name="COLULL2A_2" localSheetId="9" hidden="1">'Barge Gauging Data'!$CE$26</definedName>
    <definedName name="COLULL2B" hidden="1">'Vessel Gauging Data'!$CR$26</definedName>
    <definedName name="COLULL2B_2" localSheetId="9" hidden="1">'Barge Gauging Data'!$CR$26</definedName>
    <definedName name="COLULLACTA" hidden="1">'Vessel Gauging Data'!$CD$20</definedName>
    <definedName name="COLULLACTA_2" localSheetId="9" hidden="1">'Barge Gauging Data'!$CD$20</definedName>
    <definedName name="COLULLACTB" hidden="1">'Vessel Gauging Data'!$CP$20</definedName>
    <definedName name="COLULLACTB_2" localSheetId="9" hidden="1">'Barge Gauging Data'!$CP$20</definedName>
    <definedName name="COLVDENS2" hidden="1">'Vessel Gauging Data'!$DF$26</definedName>
    <definedName name="COLVDENSF" hidden="1">'Vessel Gauging Data'!$DC$20</definedName>
    <definedName name="COLVOL11A" hidden="1">'Vessel Gauging Data'!$CF$26</definedName>
    <definedName name="COLVOL11A_2" localSheetId="9" hidden="1">'Barge Gauging Data'!$CF$26</definedName>
    <definedName name="COLVOL11B" hidden="1">'Vessel Gauging Data'!$CS$26</definedName>
    <definedName name="COLVOL11B_2" localSheetId="9" hidden="1">'Barge Gauging Data'!$CS$26</definedName>
    <definedName name="COLVOL12A" hidden="1">'Vessel Gauging Data'!$CH$26</definedName>
    <definedName name="COLVOL12A_2" localSheetId="9" hidden="1">'Barge Gauging Data'!$CH$26</definedName>
    <definedName name="COLVOL12B" hidden="1">'Vessel Gauging Data'!$CU$26</definedName>
    <definedName name="COLVOL12B_2" localSheetId="9" hidden="1">'Barge Gauging Data'!$CU$26</definedName>
    <definedName name="COLVOL21A" hidden="1">'Vessel Gauging Data'!$CI$26</definedName>
    <definedName name="COLVOL21A_2" localSheetId="9" hidden="1">'Barge Gauging Data'!$CI$26</definedName>
    <definedName name="COLVOL21B" hidden="1">'Vessel Gauging Data'!$CV$26</definedName>
    <definedName name="COLVOL21B_2" localSheetId="9" hidden="1">'Barge Gauging Data'!$CV$26</definedName>
    <definedName name="COLVOL22A" hidden="1">'Vessel Gauging Data'!$CK$26</definedName>
    <definedName name="COLVOL22A_2" localSheetId="9" hidden="1">'Barge Gauging Data'!$CK$26</definedName>
    <definedName name="COLVOL22B" hidden="1">'Vessel Gauging Data'!$CX$26</definedName>
    <definedName name="COLVOL22B_2" localSheetId="9" hidden="1">'Barge Gauging Data'!$CX$26</definedName>
    <definedName name="COLVOLACTA" hidden="1">'Vessel Gauging Data'!$CD$21</definedName>
    <definedName name="COLVOLACTA_2" localSheetId="9" hidden="1">'Barge Gauging Data'!$CD$21</definedName>
    <definedName name="COLVOLACTB" hidden="1">'Vessel Gauging Data'!$CP$21</definedName>
    <definedName name="COLVOLACTB_2" localSheetId="9" hidden="1">'Barge Gauging Data'!$CP$21</definedName>
    <definedName name="COMPANIES" hidden="1">'Cover Page'!$Y$2:$Y$9</definedName>
    <definedName name="COMPANY1" hidden="1">MAIN!$AZ$2</definedName>
    <definedName name="COMPANY2" hidden="1">MAIN!$AZ$3</definedName>
    <definedName name="COMPANY3" hidden="1">MAIN!$AZ$4</definedName>
    <definedName name="COMPANY4" hidden="1">MAIN!$AZ$5</definedName>
    <definedName name="COMPANY5" hidden="1">MAIN!$AZ$6</definedName>
    <definedName name="CORRULL1" hidden="1">'Vessel Gauging Data'!$I$24</definedName>
    <definedName name="CORRULL2" hidden="1">'Vessel Gauging Data'!$Q$24</definedName>
    <definedName name="CORRULL3" hidden="1">'Barge Gauging Data'!$I$24</definedName>
    <definedName name="CORRULL4" hidden="1">'Barge Gauging Data'!$Q$24</definedName>
    <definedName name="COVER_FILT1" hidden="1">'Cover Page'!$A$17</definedName>
    <definedName name="COVER_FILT2" hidden="1">'Cover Page'!$A$133</definedName>
    <definedName name="COVER_FILTAREA" hidden="1">'Cover Page'!$A$17:$A$133</definedName>
    <definedName name="COVERDRAFTS" hidden="1">'POWER SETT'!$AJ$1</definedName>
    <definedName name="D1SEL" hidden="1">'Vessel Gauging Data'!$L$1</definedName>
    <definedName name="D1SEL_2" hidden="1">'Barge Gauging Data'!$L$1</definedName>
    <definedName name="D60F" localSheetId="39" hidden="1">SuperASTM!$G$57</definedName>
    <definedName name="DAIR" hidden="1">SuperASTM!$F$11</definedName>
    <definedName name="DATEBRGCC" hidden="1">'Cover Page'!$I$37</definedName>
    <definedName name="DATEBRGCS" hidden="1">'Cover Page'!$I$36</definedName>
    <definedName name="DATEBRGOC" hidden="1">'Cover Page'!$I$34</definedName>
    <definedName name="DATEBRGOS" hidden="1">'Cover Page'!$I$33</definedName>
    <definedName name="DATEEOSP" hidden="1">'Ships Declaration'!$D$13</definedName>
    <definedName name="DATEGC" hidden="1">'Cover Page'!$I$38</definedName>
    <definedName name="DATERED" hidden="1">'Cover Page'!$I$41</definedName>
    <definedName name="DATESURVC" hidden="1">'Cover Page'!$I$39</definedName>
    <definedName name="DATESURVS" hidden="1">'Cover Page'!$I$25</definedName>
    <definedName name="DATEVSLCC" hidden="1">'Cover Page'!$I$31</definedName>
    <definedName name="DATEVSLCS" hidden="1">'Cover Page'!$I$30</definedName>
    <definedName name="DATEVSLOC" hidden="1">'Cover Page'!$I$28</definedName>
    <definedName name="DATEVSLOS" hidden="1">'Cover Page'!$I$27</definedName>
    <definedName name="DECI" hidden="1">SuperASTM!$AC$5</definedName>
    <definedName name="DENS_IN" hidden="1">SuperASTM!$C$63</definedName>
    <definedName name="DENS1RANGE" hidden="1">'Vessel Gauging Data'!$BQ$27:$BQ$56</definedName>
    <definedName name="DENS1RANGE_2" localSheetId="9" hidden="1">'Barge Gauging Data'!$BQ$27:$BQ$56</definedName>
    <definedName name="DENS2RANGE" hidden="1">'Vessel Gauging Data'!$BX$27:$BX$56</definedName>
    <definedName name="DENS2RANGE_2" localSheetId="9" hidden="1">'Barge Gauging Data'!$BX$27:$BX$56</definedName>
    <definedName name="DISPOWNER" hidden="1">'Cover Page'!$I$119</definedName>
    <definedName name="DISTILLATES" hidden="1">'STANDARD SETT'!$L$16:$L$21</definedName>
    <definedName name="DOUT" hidden="1">SuperASTM!$G$64</definedName>
    <definedName name="DTEMP" hidden="1">SuperASTM!$M$15</definedName>
    <definedName name="DVAC" hidden="1">SuperASTM!$F$9</definedName>
    <definedName name="ERRCOVER" hidden="1">'Cover Page'!$S$9</definedName>
    <definedName name="ERRCOVER_ENTRIES" hidden="1">'Cover Page'!$S$15</definedName>
    <definedName name="ERRCOVERDIS_DENS" hidden="1">'Cover Page'!$T$9</definedName>
    <definedName name="ERRCOVERDIS_SUL" hidden="1">'Cover Page'!$W$9</definedName>
    <definedName name="ERRCOVERDIS_VIS" hidden="1">'Cover Page'!$U$9</definedName>
    <definedName name="ERRCOVERDIS_WTR" hidden="1">'Cover Page'!$V$9</definedName>
    <definedName name="ERRCOVERRES_DENS" hidden="1">'Cover Page'!$T$10</definedName>
    <definedName name="ERRCOVERRES_SUL" hidden="1">'Cover Page'!$W$10</definedName>
    <definedName name="ERRCOVERRES_VIS" hidden="1">'Cover Page'!$U$10</definedName>
    <definedName name="ERRCOVERRES_WTR" hidden="1">'Cover Page'!$V$10</definedName>
    <definedName name="ERRDENSDIST" hidden="1">'Vessel Gauging Data'!$D$3</definedName>
    <definedName name="ERRDENSDIST_2" localSheetId="9" hidden="1">'Barge Gauging Data'!$D$3</definedName>
    <definedName name="ERRDENSRES" hidden="1">'Vessel Gauging Data'!$D$4</definedName>
    <definedName name="ERRDENSRES_2" localSheetId="9" hidden="1">'Barge Gauging Data'!$D$4</definedName>
    <definedName name="ERRDRAFTS" hidden="1">Drafts!$A$1</definedName>
    <definedName name="ERRGRADE" hidden="1">'Vessel Gauging Data'!$B$5</definedName>
    <definedName name="ERRGRADE_2" localSheetId="9" hidden="1">'Barge Gauging Data'!$B$5</definedName>
    <definedName name="ERRHEIGHT" hidden="1">'Vessel Gauging Data'!$D$2</definedName>
    <definedName name="ERRHEIGHT_2" localSheetId="9" hidden="1">'Barge Gauging Data'!$D$2</definedName>
    <definedName name="ERRMISSNOM" hidden="1">'Vessel Gauging Data'!$F$5</definedName>
    <definedName name="ERRMISSNOM_2" hidden="1">'Barge Gauging Data'!$F$5</definedName>
    <definedName name="ERRMISSNOM_GRADE" hidden="1">'Vessel Gauging Data'!$G$5</definedName>
    <definedName name="ERRMISSNOM_GRADE_2" hidden="1">'Barge Gauging Data'!$G$5</definedName>
    <definedName name="ERRNOM" hidden="1">'Vessel Gauging Data'!$D$1</definedName>
    <definedName name="ERRNOM_2" localSheetId="9" hidden="1">'Barge Gauging Data'!$D$1</definedName>
    <definedName name="ERROUTTURN" hidden="1">'OUT-TURNS'!$A$1</definedName>
    <definedName name="ERRPRINT" hidden="1">MAIN!$AU$16</definedName>
    <definedName name="ERRSTRUCT" hidden="1">MAIN!$AU$17</definedName>
    <definedName name="ERRTANKEXIST" hidden="1">'Vessel Gauging Data'!$B$4</definedName>
    <definedName name="ERRTANKEXIST_2" localSheetId="9" hidden="1">'Barge Gauging Data'!$B$4</definedName>
    <definedName name="ERRTANKMISS" hidden="1">'Vessel Gauging Data'!$B$2</definedName>
    <definedName name="ERRTANKMISS_2" localSheetId="9" hidden="1">'Barge Gauging Data'!$B$2</definedName>
    <definedName name="ERRTANKREP" hidden="1">'Vessel Gauging Data'!$B$3</definedName>
    <definedName name="ERRTANKREP_2" localSheetId="9" hidden="1">'Barge Gauging Data'!$B$3</definedName>
    <definedName name="ERRVSLSUM" hidden="1">'Vessel Gauging Data'!$B$1</definedName>
    <definedName name="ERRVSLSUM_2" localSheetId="9" hidden="1">'Barge Gauging Data'!$B$1</definedName>
    <definedName name="ERRWRONGNOM" hidden="1">'Vessel Gauging Data'!$D$5</definedName>
    <definedName name="ERRWRONGNOM_2" hidden="1">'Barge Gauging Data'!$D$5</definedName>
    <definedName name="FBBLS" hidden="1">'POWER SETT'!$G$6</definedName>
    <definedName name="FFEET" hidden="1">'POWER SETT'!$G$7</definedName>
    <definedName name="FFORCDEST" hidden="1">'Vessel Gauging Data'!$Q$27:$Q$56</definedName>
    <definedName name="FFORCDEST_2" hidden="1">'Barge Gauging Data'!$Q$27:$Q$56</definedName>
    <definedName name="FFORCRANGE" hidden="1">'Vessel Gauging Data'!$AN$27:$AN$56</definedName>
    <definedName name="FFORCRANGE_2" hidden="1">'Barge Gauging Data'!$AN$27:$AN$56</definedName>
    <definedName name="FFORDEST" hidden="1">'Vessel Gauging Data'!$P$27:$P$56</definedName>
    <definedName name="FFORDEST_2" localSheetId="9" hidden="1">'Barge Gauging Data'!$P$27:$P$56</definedName>
    <definedName name="FFORRANGE" hidden="1">'Vessel Gauging Data'!$AK$27:$AK$56</definedName>
    <definedName name="FFORRANGE_2" localSheetId="9" hidden="1">'Barge Gauging Data'!$AK$27:$AK$56</definedName>
    <definedName name="FINALWHAT" hidden="1">'Final Report (SS)'!$X$254:$X$260</definedName>
    <definedName name="FINALWHO" hidden="1">'Final Report (SS)'!$W$254:$W$258</definedName>
    <definedName name="FINCH" hidden="1">'POWER SETT'!$G$8</definedName>
    <definedName name="FMNUMBER" hidden="1">'FlowMeter (SS)'!$A$1</definedName>
    <definedName name="FMTYPE1" hidden="1">'Cover Page'!$I$91</definedName>
    <definedName name="FMTYPE2" hidden="1">'Cover Page'!$J$91</definedName>
    <definedName name="FMTYPE3" hidden="1">'Cover Page'!$K$91</definedName>
    <definedName name="FMTYPE4" hidden="1">'Cover Page'!$L$91</definedName>
    <definedName name="FMTYPE5" hidden="1">'Cover Page'!$M$91</definedName>
    <definedName name="FMTYPE6" hidden="1">'Cover Page'!$N$91</definedName>
    <definedName name="FMTYPEAIR" hidden="1">'Cover Page'!$AB$5</definedName>
    <definedName name="FMTYPES" hidden="1">'Cover Page'!$AB$2:$AB$5</definedName>
    <definedName name="FMTYPEVAC" hidden="1">'Cover Page'!$AB$4</definedName>
    <definedName name="FONEDEST" hidden="1">'Vessel Gauging Data'!$E$27:$E$56</definedName>
    <definedName name="FONEDEST_2" localSheetId="9" hidden="1">'Barge Gauging Data'!$E$27:$E$56</definedName>
    <definedName name="FONERANGE" hidden="1">'Vessel Gauging Data'!$Y$27:$Y$56</definedName>
    <definedName name="FONERANGE_2" localSheetId="9" hidden="1">'Barge Gauging Data'!$Y$27:$Y$56</definedName>
    <definedName name="FONESEL" hidden="1">'Vessel Gauging Data'!$E$1</definedName>
    <definedName name="FONESEL_2" hidden="1">'Barge Gauging Data'!$E$1</definedName>
    <definedName name="FOVV" hidden="1">'Valves Declaration'!$G$41</definedName>
    <definedName name="FTHCDEST" hidden="1">'Vessel Gauging Data'!$I$27:$I$56</definedName>
    <definedName name="FTHCDEST_2" hidden="1">'Barge Gauging Data'!$I$27:$I$56</definedName>
    <definedName name="FTHCRANGE" hidden="1">'Vessel Gauging Data'!$AH$27:$AH$56</definedName>
    <definedName name="FTHCRANGE_2" hidden="1">'Barge Gauging Data'!$AH$27:$AH$56</definedName>
    <definedName name="FTHDEST" hidden="1">'Vessel Gauging Data'!$H$27:$H$56</definedName>
    <definedName name="FTHDEST_2" localSheetId="9" hidden="1">'Barge Gauging Data'!$H$27:$H$56</definedName>
    <definedName name="FTHRANGE" hidden="1">'Vessel Gauging Data'!$AE$27:$AE$56</definedName>
    <definedName name="FTHRANGE_2" localSheetId="9" hidden="1">'Barge Gauging Data'!$AE$27:$AE$56</definedName>
    <definedName name="FTRIM1" hidden="1">'Vessel Gauging Data'!$BZ$2</definedName>
    <definedName name="FTRIM1_2" localSheetId="9" hidden="1">'Barge Gauging Data'!$BZ$2</definedName>
    <definedName name="FTRIM1A" hidden="1">'Vessel Gauging Data'!$CC$24</definedName>
    <definedName name="FTRIM1A_2" localSheetId="9" hidden="1">'Barge Gauging Data'!$CC$24</definedName>
    <definedName name="FTRIM1B" hidden="1">'Vessel Gauging Data'!$CP$24</definedName>
    <definedName name="FTRIM1B_2" localSheetId="9" hidden="1">'Barge Gauging Data'!$CP$24</definedName>
    <definedName name="FTRIM2" hidden="1">'Vessel Gauging Data'!$CB$2</definedName>
    <definedName name="FTRIM2_2" localSheetId="9" hidden="1">'Barge Gauging Data'!$CB$2</definedName>
    <definedName name="FTRIM2A" hidden="1">'Vessel Gauging Data'!$CE$24</definedName>
    <definedName name="FTRIM2A_2" localSheetId="9" hidden="1">'Barge Gauging Data'!$CE$24</definedName>
    <definedName name="FTRIM2B" hidden="1">'Vessel Gauging Data'!$CR$24</definedName>
    <definedName name="FTRIM2B_2" localSheetId="9" hidden="1">'Barge Gauging Data'!$CR$24</definedName>
    <definedName name="FTRIMACT" hidden="1">'Vessel Gauging Data'!$CA$2</definedName>
    <definedName name="FTRIMACT_2" localSheetId="9" hidden="1">'Barge Gauging Data'!$CA$2</definedName>
    <definedName name="FTRIMACTA" hidden="1">'Vessel Gauging Data'!$CD$24</definedName>
    <definedName name="FTRIMACTA_2" localSheetId="9" hidden="1">'Barge Gauging Data'!$CD$24</definedName>
    <definedName name="FTRIMACTB" hidden="1">'Vessel Gauging Data'!$CQ$24</definedName>
    <definedName name="FTRIMACTB_2" localSheetId="9" hidden="1">'Barge Gauging Data'!$CQ$24</definedName>
    <definedName name="FTWODEST" hidden="1">'Vessel Gauging Data'!$F$27:$F$56</definedName>
    <definedName name="FTWODEST_2" localSheetId="9" hidden="1">'Barge Gauging Data'!$F$27:$F$56</definedName>
    <definedName name="FTWORANGE" hidden="1">'Vessel Gauging Data'!$AB$27:$AB$56</definedName>
    <definedName name="FTWORANGE_2" localSheetId="9" hidden="1">'Barge Gauging Data'!$AB$27:$AB$56</definedName>
    <definedName name="FULL1" hidden="1">'Vessel Gauging Data'!$CC$2</definedName>
    <definedName name="FULL1_2" localSheetId="9" hidden="1">'Barge Gauging Data'!$CC$2</definedName>
    <definedName name="FULL2" hidden="1">'Vessel Gauging Data'!$CE$2</definedName>
    <definedName name="FULL2_2" localSheetId="9" hidden="1">'Barge Gauging Data'!$CE$2</definedName>
    <definedName name="FULLACT" hidden="1">'Vessel Gauging Data'!$CD$2</definedName>
    <definedName name="FULLACT_2" localSheetId="9" hidden="1">'Barge Gauging Data'!$CD$2</definedName>
    <definedName name="FVOL1" hidden="1">'Vessel Gauging Data'!$CG$2</definedName>
    <definedName name="FVOL1_2" localSheetId="9" hidden="1">'Barge Gauging Data'!$CG$2</definedName>
    <definedName name="FVOL11" hidden="1">'Vessel Gauging Data'!$CF$2</definedName>
    <definedName name="FVOL11_2" localSheetId="9" hidden="1">'Barge Gauging Data'!$CF$2</definedName>
    <definedName name="FVOL12" hidden="1">'Vessel Gauging Data'!$CH$2</definedName>
    <definedName name="FVOL12_2" localSheetId="9" hidden="1">'Barge Gauging Data'!$CH$2</definedName>
    <definedName name="FVOL2" hidden="1">'Vessel Gauging Data'!$CJ$2</definedName>
    <definedName name="FVOL2_2" localSheetId="9" hidden="1">'Barge Gauging Data'!$CJ$2</definedName>
    <definedName name="FVOL21" hidden="1">'Vessel Gauging Data'!$CI$2</definedName>
    <definedName name="FVOL21_2" localSheetId="9" hidden="1">'Barge Gauging Data'!$CI$2</definedName>
    <definedName name="FVOL22" hidden="1">'Vessel Gauging Data'!$CK$2</definedName>
    <definedName name="FVOL22_2" localSheetId="9" hidden="1">'Barge Gauging Data'!$CK$2</definedName>
    <definedName name="FVOL3" hidden="1">'Vessel Gauging Data'!$CM$2</definedName>
    <definedName name="FVOL3_2" localSheetId="9" hidden="1">'Barge Gauging Data'!$CM$2</definedName>
    <definedName name="FVOL31" hidden="1">'Vessel Gauging Data'!$CL$2</definedName>
    <definedName name="FVOL31_2" localSheetId="9" hidden="1">'Barge Gauging Data'!$CL$2</definedName>
    <definedName name="FVOL32" hidden="1">'Vessel Gauging Data'!$CN$2</definedName>
    <definedName name="FVOL32_2" localSheetId="9" hidden="1">'Barge Gauging Data'!$CN$2</definedName>
    <definedName name="GRADECHNO" hidden="1">'Vessel BQS Report'!$Z$1</definedName>
    <definedName name="GRADECHNO_2" hidden="1">'Barge BQS Report'!$Z$1</definedName>
    <definedName name="GRADECHNO2" hidden="1">'Vessel ROB Report'!$Z$1</definedName>
    <definedName name="GRADESLIST" hidden="1">'STANDARD SETT'!$O$16:$O$21</definedName>
    <definedName name="GRADESLISTINI" hidden="1">'STANDARD SETT'!$H$16:$H$21</definedName>
    <definedName name="GRADESQTY" hidden="1">Drafts!$H$5</definedName>
    <definedName name="GRADESQTYMAX" hidden="1">Drafts!$H$6</definedName>
    <definedName name="HIDIS_DEN" hidden="1">'POWER SETT'!$G$14</definedName>
    <definedName name="HIDIS_SUL" hidden="1">'POWER SETT'!$G$17</definedName>
    <definedName name="HIDIS_VIS" hidden="1">'POWER SETT'!$G$15</definedName>
    <definedName name="HIDIS_WTR" hidden="1">'POWER SETT'!$G$16</definedName>
    <definedName name="HIRES_DEN" hidden="1">'POWER SETT'!$F$14</definedName>
    <definedName name="HIRES_SUL" hidden="1">'POWER SETT'!$F$17</definedName>
    <definedName name="HIRES_VIS" hidden="1">'POWER SETT'!$F$15</definedName>
    <definedName name="HIRES_WTR" hidden="1">'POWER SETT'!$F$16</definedName>
    <definedName name="IMONO" hidden="1">'Cover Page'!$I$50</definedName>
    <definedName name="INSTRABY" hidden="1">'Cover Page'!$I$45</definedName>
    <definedName name="JJ" localSheetId="44" hidden="1">{#N/A,#N/A,TRUE,"TIMESHEET";#N/A,#N/A,TRUE,"ULLAGE";#N/A,#N/A,TRUE,"OBQ"}</definedName>
    <definedName name="kk" localSheetId="44" hidden="1">{#N/A,#N/A,TRUE,"TIMESHEET";#N/A,#N/A,TRUE,"ULLAGE";#N/A,#N/A,TRUE,"OBQ"}</definedName>
    <definedName name="KKK" localSheetId="44" hidden="1">{#N/A,#N/A,TRUE,"TIMESHEET";#N/A,#N/A,TRUE,"ULLAGE";#N/A,#N/A,TRUE,"OBQ"}</definedName>
    <definedName name="lll" localSheetId="44" hidden="1">{#N/A,#N/A,TRUE,"TIMESHEET";#N/A,#N/A,TRUE,"ULLAGE";#N/A,#N/A,TRUE,"OBQ"}</definedName>
    <definedName name="LOGACTIV" hidden="1">'Time Log'!$D$26:$D$46</definedName>
    <definedName name="LOGAREA" hidden="1">'Time Log'!$H$26:$S$57</definedName>
    <definedName name="LOGBASICS" hidden="1">'Time Log'!$R$14:$S$21</definedName>
    <definedName name="LOGMAIN" hidden="1">'Time Log'!$H$26:$S$46</definedName>
    <definedName name="LOGOAREA1" hidden="1">'POWER SETT'!$K$14</definedName>
    <definedName name="LOGOAREA10" hidden="1">'POWER SETT'!$T$14</definedName>
    <definedName name="LOGOAREA11" hidden="1">'POWER SETT'!$U$14</definedName>
    <definedName name="LOGOAREA12" hidden="1">'POWER SETT'!$V$14</definedName>
    <definedName name="LOGOAREA13" hidden="1">'POWER SETT'!$W$14</definedName>
    <definedName name="LOGOAREA14" hidden="1">'POWER SETT'!$X$14</definedName>
    <definedName name="LOGOAREA15" hidden="1">'POWER SETT'!$Y$14</definedName>
    <definedName name="LOGOAREA16" hidden="1">'POWER SETT'!$Z$14</definedName>
    <definedName name="LOGOAREA17" hidden="1">'POWER SETT'!$AA$14</definedName>
    <definedName name="LOGOAREA18" hidden="1">'POWER SETT'!$AB$14</definedName>
    <definedName name="LOGOAREA19" hidden="1">'POWER SETT'!$AC$14</definedName>
    <definedName name="LOGOAREA2" hidden="1">'POWER SETT'!$L$14</definedName>
    <definedName name="LOGOAREA20" hidden="1">'POWER SETT'!$AD$14</definedName>
    <definedName name="LOGOAREA3" hidden="1">'POWER SETT'!$M$14</definedName>
    <definedName name="LOGOAREA4" hidden="1">'POWER SETT'!$N$14</definedName>
    <definedName name="LOGOAREA5" hidden="1">'POWER SETT'!$O$14</definedName>
    <definedName name="LOGOAREA6" hidden="1">'POWER SETT'!$P$14</definedName>
    <definedName name="LOGOAREA7" hidden="1">'POWER SETT'!$Q$14</definedName>
    <definedName name="LOGOAREA8" hidden="1">'POWER SETT'!$R$14</definedName>
    <definedName name="LOGOAREA9" hidden="1">'POWER SETT'!$S$14</definedName>
    <definedName name="M1RANGE" hidden="1">'Vessel Gauging Data'!$X$27:$X$56</definedName>
    <definedName name="M1RANGE_2" localSheetId="9" hidden="1">'Barge Gauging Data'!$X$27:$X$56</definedName>
    <definedName name="M2RANGE" hidden="1">'Vessel Gauging Data'!$AA$27:$AA$56</definedName>
    <definedName name="M2RANGE_2" localSheetId="9" hidden="1">'Barge Gauging Data'!$AA$27:$AA$56</definedName>
    <definedName name="M3CRANGE" hidden="1">'Vessel Gauging Data'!$AG$27:$AG$56</definedName>
    <definedName name="M3CRANGE_2" hidden="1">'Barge Gauging Data'!$AG$27:$AG$56</definedName>
    <definedName name="M3RANGE" hidden="1">'Vessel Gauging Data'!$AD$27:$AD$56</definedName>
    <definedName name="M3RANGE_2" localSheetId="9" hidden="1">'Barge Gauging Data'!$AD$27:$AD$56</definedName>
    <definedName name="M4CRANGE" hidden="1">'Vessel Gauging Data'!$AM$27:$AM$56</definedName>
    <definedName name="M4CRANGE_2" hidden="1">'Barge Gauging Data'!$AM$27:$AM$56</definedName>
    <definedName name="M4RANGE" hidden="1">'Vessel Gauging Data'!$AJ$27:$AJ$56</definedName>
    <definedName name="M4RANGE_2" localSheetId="9" hidden="1">'Barge Gauging Data'!$AJ$27:$AJ$56</definedName>
    <definedName name="MAINTITLE" hidden="1">MAIN!$A$13</definedName>
    <definedName name="MANAGER" hidden="1">'Cover Page'!$I$123</definedName>
    <definedName name="MASTER" hidden="1">'Cover Page'!$I$129</definedName>
    <definedName name="METHODLIST" hidden="1">'POWER SETT'!$F$21:$F$25</definedName>
    <definedName name="METHOFCALCSHORT" hidden="1">'Cover Page'!$AA$2:$AA$5</definedName>
    <definedName name="MGOVV" hidden="1">'Valves Declaration'!$B$41</definedName>
    <definedName name="MODE1DEF" hidden="1">MAIN!$AB$5:$AB$52</definedName>
    <definedName name="MODE2DEF" hidden="1">MAIN!$AC$5:$AC$52</definedName>
    <definedName name="MODE3DEF" hidden="1">MAIN!$AD$5:$AD$52</definedName>
    <definedName name="MODENDEF" hidden="1">MAIN!$AA$5:$AA$52</definedName>
    <definedName name="MODESLAVEDEF" hidden="1">MAIN!$AE$5:$AE$52</definedName>
    <definedName name="MODEYDEF" hidden="1">MAIN!$Z$5:$Z$52</definedName>
    <definedName name="MONTHLIST" hidden="1">'OnOff Hire Certificate'!$S$1:$S$12</definedName>
    <definedName name="MYARR01" hidden="1">MAIN!$AL$5</definedName>
    <definedName name="MYARR02" hidden="1">MAIN!$AL$6</definedName>
    <definedName name="MYARR03" hidden="1">MAIN!$AL$7</definedName>
    <definedName name="MYARR04" hidden="1">MAIN!$AL$8</definedName>
    <definedName name="MYARR05" hidden="1">MAIN!$AL$9</definedName>
    <definedName name="MYARR06" hidden="1">MAIN!$AL$10</definedName>
    <definedName name="MYARR07" hidden="1">MAIN!$AL$11</definedName>
    <definedName name="MYARR08" hidden="1">MAIN!$AL$12</definedName>
    <definedName name="MYARR09" hidden="1">MAIN!$AL$13</definedName>
    <definedName name="MYARR10" hidden="1">MAIN!$AL$14</definedName>
    <definedName name="MYARR11" hidden="1">MAIN!$AL$15</definedName>
    <definedName name="MYARR12" hidden="1">MAIN!$AL$16</definedName>
    <definedName name="MYARR13" hidden="1">MAIN!$AL$17</definedName>
    <definedName name="MYARR14" hidden="1">MAIN!$AL$18</definedName>
    <definedName name="MYARR15" hidden="1">MAIN!$AL$19</definedName>
    <definedName name="MYARR16" hidden="1">MAIN!$AL$20</definedName>
    <definedName name="MYARR17" hidden="1">MAIN!$AL$21</definedName>
    <definedName name="MYARR18" hidden="1">MAIN!$AL$22</definedName>
    <definedName name="MYARR19" hidden="1">MAIN!$AL$23</definedName>
    <definedName name="MYARR20" hidden="1">MAIN!$AL$24</definedName>
    <definedName name="MYARR21" hidden="1">MAIN!$AL$25</definedName>
    <definedName name="MYARR22" hidden="1">MAIN!$AL$26</definedName>
    <definedName name="MYARR23" hidden="1">MAIN!$AL$27</definedName>
    <definedName name="MYARR24" hidden="1">MAIN!$AL$28</definedName>
    <definedName name="MYARR25" hidden="1">MAIN!$AL$29</definedName>
    <definedName name="MYARR26" hidden="1">MAIN!$AL$30</definedName>
    <definedName name="MYARR27" hidden="1">MAIN!$AL$31</definedName>
    <definedName name="MYARR28" hidden="1">MAIN!$AL$32</definedName>
    <definedName name="MYARR29" hidden="1">MAIN!$AL$33</definedName>
    <definedName name="MYARR30" hidden="1">MAIN!$AL$34</definedName>
    <definedName name="MYARR31" hidden="1">MAIN!$AL$35</definedName>
    <definedName name="MYARR32" hidden="1">MAIN!$AL$36</definedName>
    <definedName name="MYARR33" hidden="1">MAIN!$AL$37</definedName>
    <definedName name="MYARR34" hidden="1">MAIN!$AL$38</definedName>
    <definedName name="MYARR35" hidden="1">MAIN!$AL$39</definedName>
    <definedName name="MYARR36" hidden="1">MAIN!$AL$40</definedName>
    <definedName name="MYARR37" hidden="1">MAIN!$AL$41</definedName>
    <definedName name="MYARR38" hidden="1">MAIN!$AL$42</definedName>
    <definedName name="MYARR39" hidden="1">MAIN!$AL$43</definedName>
    <definedName name="MYARR40" hidden="1">MAIN!$AL$44</definedName>
    <definedName name="MYARR41" hidden="1">MAIN!$AL$45</definedName>
    <definedName name="MYARR42" hidden="1">MAIN!$AL$46</definedName>
    <definedName name="MYARR43" hidden="1">MAIN!$AL$47</definedName>
    <definedName name="MYARR44" hidden="1">MAIN!$AL$48</definedName>
    <definedName name="MYARR45" hidden="1">MAIN!$AL$49</definedName>
    <definedName name="MYARR46" hidden="1">MAIN!$AL$50</definedName>
    <definedName name="MYARR47" hidden="1">MAIN!$AL$51</definedName>
    <definedName name="MYARR48" hidden="1">MAIN!$AL$52</definedName>
    <definedName name="MYARRSHEETS" hidden="1">MAIN!$AL$2</definedName>
    <definedName name="MYBARGECHIEF" hidden="1">MAIN!$BF$9</definedName>
    <definedName name="MYBARGEID" hidden="1">MAIN!$BC$9</definedName>
    <definedName name="MYBARGELIC" hidden="1">MAIN!$BE$9</definedName>
    <definedName name="MYBARGENAME" hidden="1">MAIN!$BD$9</definedName>
    <definedName name="MYBARGESUP" hidden="1">MAIN!$BG$9</definedName>
    <definedName name="MYCOLOR" hidden="1">MAIN!$AP$1</definedName>
    <definedName name="MYFILE" hidden="1">MAIN!$AU$2</definedName>
    <definedName name="MYTICKET" hidden="1">'Gauging Ticket'!$N$3</definedName>
    <definedName name="MYTIME" hidden="1">SuperASTM!$W$1</definedName>
    <definedName name="MYVCF54" hidden="1">SuperASTM!$K$15</definedName>
    <definedName name="MYVCF6" hidden="1">SuperASTM!$O$15</definedName>
    <definedName name="NOMITICKET" hidden="1">'Gauging Ticket'!$D$25</definedName>
    <definedName name="NOMIVSL" hidden="1">'Vessel Gauging Data'!$D$24</definedName>
    <definedName name="NOMLIST" hidden="1">'POWER SETT'!$E$21:$E$23</definedName>
    <definedName name="NOMN" hidden="1">'POWER SETT'!$E$23</definedName>
    <definedName name="NOMY" hidden="1">'POWER SETT'!$E$22</definedName>
    <definedName name="OFFICESEL" hidden="1">MAIN!$AY$1</definedName>
    <definedName name="OPERATOR" hidden="1">'Cover Page'!$I$121</definedName>
    <definedName name="OUTTURNB" hidden="1">'OUT-TURNS'!$G$18:$G$22</definedName>
    <definedName name="OUTTURNG" hidden="1">'OUT-TURNS'!$H$1:$S$1</definedName>
    <definedName name="OUTTURNT" hidden="1">'OUT-TURNS'!$H$18:$S$22</definedName>
    <definedName name="OWNER" hidden="1">'Cover Page'!$I$117</definedName>
    <definedName name="PGUIDE1" hidden="1">'FlowMeter (SS)'!$A$12</definedName>
    <definedName name="PGUIDE2" hidden="1">'FlowMeter (SS)'!$A$76</definedName>
    <definedName name="PGUIDE3" hidden="1">'FlowMeter (SS)'!$A$140</definedName>
    <definedName name="PGUIDE4" hidden="1">'FlowMeter (SS)'!$A$204</definedName>
    <definedName name="PGUIDE5" hidden="1">'FlowMeter (SS)'!$A$268</definedName>
    <definedName name="PGUIDE6" hidden="1">'FlowMeter (SS)'!$A$332</definedName>
    <definedName name="PICAREA" hidden="1">'Valves Declaration'!$B$40:$K$53</definedName>
    <definedName name="PICAREASAMPLE" hidden="1">'Sampling Report (SS)'!$N$1</definedName>
    <definedName name="PICAREASEL" hidden="1">'Valves Declaration'!$N$1</definedName>
    <definedName name="PICAREASMPL" hidden="1">'Sampling Report (SS)'!$A$46:$M$60</definedName>
    <definedName name="PICFLOWSEL" hidden="1">'FlowMeter (SS)'!$Q$2</definedName>
    <definedName name="PORFLAG" hidden="1">'Cover Page'!$I$49</definedName>
    <definedName name="PORT" hidden="1">'Cover Page'!$I$23</definedName>
    <definedName name="PORTRED" hidden="1">'Cover Page'!$I$44</definedName>
    <definedName name="PR_LIABILITY" hidden="1">'Preliminary Report'!$B$65</definedName>
    <definedName name="PRETAPE" hidden="1">'Pre-Survey (SS)'!$C$43</definedName>
    <definedName name="PRETHERMO" hidden="1">'Pre-Survey (SS)'!$E$43</definedName>
    <definedName name="PRICELIST" hidden="1">'STANDARD SETT'!$I$16:$I$21</definedName>
    <definedName name="PRICESHOW" hidden="1">'STANDARD SETT'!$O$1</definedName>
    <definedName name="PRINTDEF" hidden="1">MAIN!$AF$5:$AF$52</definedName>
    <definedName name="PRINTSEL" hidden="1">MAIN!$AU$1</definedName>
    <definedName name="PROD" hidden="1">SuperASTM!$X$2</definedName>
    <definedName name="PSET1" hidden="1">'FlowMeter (SS)'!$B$12:$M$75</definedName>
    <definedName name="PSET2" hidden="1">'FlowMeter (SS)'!$B$76:$M$139</definedName>
    <definedName name="PSET3" hidden="1">'FlowMeter (SS)'!$B$140:$M$203</definedName>
    <definedName name="PSET4" hidden="1">'FlowMeter (SS)'!$B$204:$M$267</definedName>
    <definedName name="PSET5" hidden="1">'FlowMeter (SS)'!$B$268:$M$331</definedName>
    <definedName name="PSET6" hidden="1">'FlowMeter (SS)'!$B$332:$M$395</definedName>
    <definedName name="QTY" hidden="1">SuperASTM!$F$21</definedName>
    <definedName name="REDEL" hidden="1">'OnOff Hire Certificate'!$L$1</definedName>
    <definedName name="REDELNAME" hidden="1">'OnOff Hire Certificate'!$L$2</definedName>
    <definedName name="REFNO" hidden="1">'Cover Page'!$I$18</definedName>
    <definedName name="REFNOCLIENT" hidden="1">'Cover Page'!$I$21</definedName>
    <definedName name="REMCODE" localSheetId="11" hidden="1">'Remarks Library'!$A$3</definedName>
    <definedName name="REMCODE" hidden="1">'Remarks Library'!$A$3</definedName>
    <definedName name="REMCOL" hidden="1">'Remarks Library'!$B$4:$B$64</definedName>
    <definedName name="RESIDUALS" hidden="1">'STANDARD SETT'!$K$16:$K$21</definedName>
    <definedName name="SACAREA" localSheetId="24" hidden="1">'Barge BQS Report (SS)'!$O$402:$P$405</definedName>
    <definedName name="SACAREA" localSheetId="26" hidden="1">'Barge Non-Cargo (SS)'!$I$61:$I$67</definedName>
    <definedName name="SACAREA" localSheetId="16" hidden="1">'Final Report (SS)'!$Q$286:$R$289</definedName>
    <definedName name="SACAREA" localSheetId="28" hidden="1">'FlowMeter (SS)'!$L$70:$M$75</definedName>
    <definedName name="SACAREA" localSheetId="27" hidden="1">'FlowMeter CL (SS)'!$K$71:$L$76</definedName>
    <definedName name="SACAREA" localSheetId="14" hidden="1">'Preliminary Report'!$I$65:$J$68</definedName>
    <definedName name="SACAREA" localSheetId="22" hidden="1">'Pre-Survey (SS)'!$I$56:$J$62</definedName>
    <definedName name="SACAREA" localSheetId="25" hidden="1">'Sampling Report (SS)'!$M$71:$M$77</definedName>
    <definedName name="SACAREA" localSheetId="15" hidden="1">'Summary Report'!$O$198:$P$201</definedName>
    <definedName name="SACAREA" localSheetId="37" hidden="1">'Time Log'!$R$156:$S$161</definedName>
    <definedName name="SACAREA" localSheetId="23" hidden="1">'Vessel BQS Report (SS)'!$O$397:$P$400</definedName>
    <definedName name="SACAREA1" localSheetId="28" hidden="1">'FlowMeter (SS)'!$L$70:$M$75</definedName>
    <definedName name="SACAREA2" localSheetId="28" hidden="1">'FlowMeter (SS)'!$L$134:$M$139</definedName>
    <definedName name="SACAREA3" localSheetId="28" hidden="1">'FlowMeter (SS)'!$L$198:$M$203</definedName>
    <definedName name="SACAREA4" localSheetId="28" hidden="1">'FlowMeter (SS)'!$L$262:$M$267</definedName>
    <definedName name="SACAREA5" localSheetId="28" hidden="1">'FlowMeter (SS)'!$L$326:$M$331</definedName>
    <definedName name="SACAREA6" localSheetId="28" hidden="1">'FlowMeter (SS)'!$L$390:$M$395</definedName>
    <definedName name="SAMPLE1" hidden="1">'Sampling Report (SS)'!$A$47</definedName>
    <definedName name="SAMPLE2" hidden="1">'Sampling Report (SS)'!$I$47</definedName>
    <definedName name="SELBARGEGRADES" hidden="1">Drafts!$AN$9</definedName>
    <definedName name="SGRF" hidden="1">SuperASTM!$F$13</definedName>
    <definedName name="SMALLLOGOSEL" hidden="1">'POWER SETT'!$AJ$2</definedName>
    <definedName name="SPORE" hidden="1">MAIN!$AB$1</definedName>
    <definedName name="SPOREPOS" hidden="1">MAIN!$AB$2</definedName>
    <definedName name="SPORESEL" hidden="1">MAIN!$AC$1</definedName>
    <definedName name="STRBODY" hidden="1">'STANDARD SETT'!$K$34</definedName>
    <definedName name="STRCC" hidden="1">'STANDARD SETT'!$K$31</definedName>
    <definedName name="STRREC" hidden="1">'STANDARD SETT'!$K$33</definedName>
    <definedName name="STRSIGN1" hidden="1">'STANDARD SETT'!$K$39</definedName>
    <definedName name="STRSIGN2" hidden="1">'STANDARD SETT'!$K$40</definedName>
    <definedName name="STRSIGN3" hidden="1">'STANDARD SETT'!$K$41</definedName>
    <definedName name="STRSIGN4" hidden="1">'STANDARD SETT'!$K$42</definedName>
    <definedName name="STRSIGN5" hidden="1">'STANDARD SETT'!$K$43</definedName>
    <definedName name="STRSIGN6" hidden="1">'STANDARD SETT'!$K$44</definedName>
    <definedName name="STRSIGN7" hidden="1">'STANDARD SETT'!$K$45</definedName>
    <definedName name="STRSUB" hidden="1">'STANDARD SETT'!$K$32</definedName>
    <definedName name="STRTO" hidden="1">'STANDARD SETT'!$K$30</definedName>
    <definedName name="SUMCALC" hidden="1">'POWER SETT'!$I$6</definedName>
    <definedName name="SUMGRADES" hidden="1">'Summary Report'!$AA$3</definedName>
    <definedName name="SUPPLIER" hidden="1">'Cover Page'!$I$55</definedName>
    <definedName name="SURVEYMODE" hidden="1">MAIN!$AV$1</definedName>
    <definedName name="SURVEYNAME" hidden="1">MAIN!$AW$1</definedName>
    <definedName name="SURVEYOR" hidden="1">'Cover Page'!$I$131</definedName>
    <definedName name="SURVLEFTBASE" hidden="1">'Time Log'!$R$14</definedName>
    <definedName name="SURVLIC" hidden="1">'Cover Page'!$I$132</definedName>
    <definedName name="SYMFALSE" hidden="1">MAIN!$AJ$1</definedName>
    <definedName name="SYMTRUE" hidden="1">MAIN!$AI$1</definedName>
    <definedName name="T1DEST" hidden="1">'Vessel Gauging Data'!$K$27:$K$56</definedName>
    <definedName name="T1DEST_2" localSheetId="9" hidden="1">'Barge Gauging Data'!$K$27:$K$56</definedName>
    <definedName name="T1SEL" hidden="1">'Vessel Gauging Data'!$K$1</definedName>
    <definedName name="T1SEL_2" hidden="1">'Barge Gauging Data'!$K$1</definedName>
    <definedName name="T2DEST" hidden="1">'Vessel Gauging Data'!$S$27:$S$56</definedName>
    <definedName name="T2DEST_2" localSheetId="9" hidden="1">'Barge Gauging Data'!$S$27:$S$56</definedName>
    <definedName name="TABL13" hidden="1">SuperASTM!$F$17</definedName>
    <definedName name="TABL52" hidden="1">SuperASTM!$F$19</definedName>
    <definedName name="TANKCH" hidden="1">'Vessel Gauging Data'!$BX$2</definedName>
    <definedName name="TANKCH_2" localSheetId="9" hidden="1">'Barge Gauging Data'!$BX$2</definedName>
    <definedName name="TANKMEAS" hidden="1">'Cover Page'!$AA$3</definedName>
    <definedName name="TANKOFFSET" hidden="1">'Vessel Gauging Data'!$CD$18</definedName>
    <definedName name="TANKOFFSET_2" localSheetId="9" hidden="1">'Barge Gauging Data'!$CD$18</definedName>
    <definedName name="TANKROW" hidden="1">'Vessel Gauging Data'!$CD$19</definedName>
    <definedName name="TANKROW_2" localSheetId="9" hidden="1">'Barge Gauging Data'!$CD$19</definedName>
    <definedName name="TANKSLIST" hidden="1">'STANDARD SETT'!$B$6:$B$65</definedName>
    <definedName name="TANKSLIST_BRG" hidden="1">'STANDARD SETT'!$C$6:$C$65</definedName>
    <definedName name="TC1RANGE" hidden="1">'Vessel Gauging Data'!$BC$27:$BC$56</definedName>
    <definedName name="TC1RANGE_2" localSheetId="9" hidden="1">'Barge Gauging Data'!$BC$27:$BC$56</definedName>
    <definedName name="TC2RANGE" hidden="1">'Vessel Gauging Data'!$BF$27:$BF$56</definedName>
    <definedName name="TC2RANGE_2" localSheetId="9" hidden="1">'Barge Gauging Data'!$BF$27:$BF$56</definedName>
    <definedName name="TEMP" hidden="1">SuperASTM!$K$7</definedName>
    <definedName name="TEMPF" hidden="1">SuperASTM!$Q$15</definedName>
    <definedName name="TEMPSEL" hidden="1">SuperASTM!$Z$2</definedName>
    <definedName name="TFONERANGE" hidden="1">'Vessel Gauging Data'!$BB$27:$BB$56</definedName>
    <definedName name="TFONERANGE_2" localSheetId="9" hidden="1">'Barge Gauging Data'!$BB$27:$BB$56</definedName>
    <definedName name="TFTWORANGE" hidden="1">'Vessel Gauging Data'!$BE$27:$BE$56</definedName>
    <definedName name="TFTWORANGE_2" localSheetId="9" hidden="1">'Barge Gauging Data'!$BE$27:$BE$56</definedName>
    <definedName name="TICKETCH" hidden="1">'Gauging Ticket'!$N$1</definedName>
    <definedName name="TICKETNO" hidden="1">'Gauging Ticket'!$N$2</definedName>
    <definedName name="TIMEBRGCC" hidden="1">'Cover Page'!$L$37</definedName>
    <definedName name="TIMEBRGCS" hidden="1">'Cover Page'!$L$36</definedName>
    <definedName name="TIMEBRGOC" hidden="1">'Cover Page'!$L$34</definedName>
    <definedName name="TIMEBRGOS" hidden="1">'Cover Page'!$L$33</definedName>
    <definedName name="TIMECH" hidden="1">'Vessel Gauging Data'!$BY$3</definedName>
    <definedName name="TIMECH_2" localSheetId="9" hidden="1">'Barge Gauging Data'!$BY$3</definedName>
    <definedName name="TIMECHOICE" hidden="1">'Vessel Gauging Data'!$BY$2</definedName>
    <definedName name="TIMECHOICE_2" localSheetId="9" hidden="1">'Barge Gauging Data'!$BY$2</definedName>
    <definedName name="TIMEGC" hidden="1">'Cover Page'!$L$38</definedName>
    <definedName name="TIMELOGBACK" hidden="1">'Time Log'!$X$24:$AM$57</definedName>
    <definedName name="TIMELOGCH" hidden="1">'Time Log'!$V$19</definedName>
    <definedName name="TIMELOGEXP" hidden="1">'Time Log'!$D$24:$S$57</definedName>
    <definedName name="TIMELOGPAGES" hidden="1">'Time Log'!$V$14</definedName>
    <definedName name="TIMERED" hidden="1">'Cover Page'!$L$41</definedName>
    <definedName name="TIMESURVC" hidden="1">'Cover Page'!$L$39</definedName>
    <definedName name="TIMESURVS" hidden="1">'Cover Page'!$L$25</definedName>
    <definedName name="TIMEVSLCC" hidden="1">'Cover Page'!$L$31</definedName>
    <definedName name="TIMEVSLCS" hidden="1">'Cover Page'!$L$30</definedName>
    <definedName name="TIMEVSLOC" hidden="1">'Cover Page'!$L$28</definedName>
    <definedName name="TIMEVSLOS" hidden="1">'Cover Page'!$L$27</definedName>
    <definedName name="TL1A" hidden="1">'Time Log'!$H$26</definedName>
    <definedName name="TL1B" hidden="1">'Time Log'!$H$48</definedName>
    <definedName name="TL2A" hidden="1">'Time Log'!$J$26</definedName>
    <definedName name="TL2B" hidden="1">'Time Log'!$J$48</definedName>
    <definedName name="TL3A" hidden="1">'Time Log'!$L$26</definedName>
    <definedName name="TL3B" hidden="1">'Time Log'!$L$48</definedName>
    <definedName name="TL4A" hidden="1">'Time Log'!$N$26</definedName>
    <definedName name="TL4B" hidden="1">'Time Log'!$N$48</definedName>
    <definedName name="TL5A" hidden="1">'Time Log'!$P$26</definedName>
    <definedName name="TL5B" hidden="1">'Time Log'!$P$48</definedName>
    <definedName name="TL6A" hidden="1">'Time Log'!$R$26</definedName>
    <definedName name="TL6B" hidden="1">'Time Log'!$R$48</definedName>
    <definedName name="TLGRADE1A" hidden="1">'Time Log'!$AB$26:$AC$46</definedName>
    <definedName name="TLGRADE1B" hidden="1">'Time Log'!$AB$48:$AC$57</definedName>
    <definedName name="TLGRADE2A" hidden="1">'Time Log'!$AD$26:$AE$46</definedName>
    <definedName name="TLGRADE2B" hidden="1">'Time Log'!$AD$48:$AE$57</definedName>
    <definedName name="TLGRADE3A" hidden="1">'Time Log'!$AF$26:$AG$46</definedName>
    <definedName name="TLGRADE3B" hidden="1">'Time Log'!$AF$48:$AG$57</definedName>
    <definedName name="TLGRADE4A" hidden="1">'Time Log'!$AH$26:$AI$46</definedName>
    <definedName name="TLGRADE4B" hidden="1">'Time Log'!$AH$48:$AI$57</definedName>
    <definedName name="TLGRADE5A" hidden="1">'Time Log'!$AJ$26:$AK$46</definedName>
    <definedName name="TLGRADE5B" hidden="1">'Time Log'!$AJ$48:$AK$57</definedName>
    <definedName name="TLGRADE6A" hidden="1">'Time Log'!$AL$26:$AM$46</definedName>
    <definedName name="TLGRADE6B" hidden="1">'Time Log'!$AL$48:$AM$57</definedName>
    <definedName name="TOGMODE" hidden="1">MAIN!$AT$1</definedName>
    <definedName name="TYPE" hidden="1">'Cover Page'!$I$48</definedName>
    <definedName name="UMETHOD" hidden="1">'POWER SETT'!$F$22</definedName>
    <definedName name="UNIQUE_SN" hidden="1">'Final Report (SS)'!$AB$249:$AB$273</definedName>
    <definedName name="UNIT" hidden="1">SuperASTM!$Y$2</definedName>
    <definedName name="UNITAPI" hidden="1">'Vessel Gauging Data'!$T$25</definedName>
    <definedName name="UNITAPI_2" hidden="1">'Barge Gauging Data'!$T$25</definedName>
    <definedName name="UNITOR" hidden="1">'Vessel ROB Report'!$V$11</definedName>
    <definedName name="UNITOR_1" hidden="1">'Vessel BQS Report'!$V$11</definedName>
    <definedName name="UNITOR_2" hidden="1">'Barge BQS Report'!$V$11</definedName>
    <definedName name="UNITTOV" hidden="1">'Vessel Gauging Data'!$R$25</definedName>
    <definedName name="UNITTOV_2" hidden="1">'Barge Gauging Data'!$R$25</definedName>
    <definedName name="VAR" hidden="1">SuperASTM!$W$2</definedName>
    <definedName name="VART" hidden="1">SuperASTM!$W$7</definedName>
    <definedName name="VB1RANGE" hidden="1">'Vessel Gauging Data'!$AP$27:$AP$56</definedName>
    <definedName name="VB1RANGE_2" localSheetId="9" hidden="1">'Barge Gauging Data'!$AP$27:$AP$56</definedName>
    <definedName name="VB2RANGE" hidden="1">'Vessel Gauging Data'!$AS$27:$AS$56</definedName>
    <definedName name="VB2RANGE_2" localSheetId="9" hidden="1">'Barge Gauging Data'!$AS$27:$AS$56</definedName>
    <definedName name="VB3RANGE" hidden="1">'Vessel Gauging Data'!$AV$27:$AV$56</definedName>
    <definedName name="VB3RANGE_2" localSheetId="9" hidden="1">'Barge Gauging Data'!$AV$27:$AV$56</definedName>
    <definedName name="VB4RANGE" hidden="1">'Vessel Gauging Data'!$AY$27:$AY$56</definedName>
    <definedName name="VB4RANGE_2" localSheetId="9" hidden="1">'Barge Gauging Data'!$AY$27:$AY$56</definedName>
    <definedName name="VDENS1" hidden="1">'Vessel Gauging Data'!$DC$2</definedName>
    <definedName name="VDENS2" hidden="1">'Vessel Gauging Data'!$DF$2</definedName>
    <definedName name="VDENSF" hidden="1">'Vessel Gauging Data'!$DI$2</definedName>
    <definedName name="VERNO" hidden="1">MAIN!$AA$1</definedName>
    <definedName name="VERNO_SASTM" hidden="1">SuperASTM!$V$1</definedName>
    <definedName name="VESSEL" hidden="1">'Cover Page'!$I$47</definedName>
    <definedName name="VM1RANGE" hidden="1">'Vessel Gauging Data'!$AQ$27:$AQ$56</definedName>
    <definedName name="VM1RANGE_2" localSheetId="9" hidden="1">'Barge Gauging Data'!$AQ$27:$AQ$56</definedName>
    <definedName name="VM2RANGE" hidden="1">'Vessel Gauging Data'!$AT$27:$AT$56</definedName>
    <definedName name="VM2RANGE_2" localSheetId="9" hidden="1">'Barge Gauging Data'!$AT$27:$AT$56</definedName>
    <definedName name="VM3RANGE" hidden="1">'Vessel Gauging Data'!$AW$27:$AW$56</definedName>
    <definedName name="VM3RANGE_2" localSheetId="9" hidden="1">'Barge Gauging Data'!$AW$27:$AW$56</definedName>
    <definedName name="VM4RANGE" hidden="1">'Vessel Gauging Data'!$AZ$27:$AZ$56</definedName>
    <definedName name="VM4RANGE_2" localSheetId="9" hidden="1">'Barge Gauging Data'!$AZ$27:$AZ$56</definedName>
    <definedName name="VOL1DEST" hidden="1">'Vessel Gauging Data'!$J$27:$J$56</definedName>
    <definedName name="VOL1DEST_2" localSheetId="9" hidden="1">'Barge Gauging Data'!$J$27:$J$56</definedName>
    <definedName name="VOL2DEST" hidden="1">'Vessel Gauging Data'!$N$27:$N$56</definedName>
    <definedName name="VOL2DEST_2" localSheetId="9" hidden="1">'Barge Gauging Data'!$N$27:$N$56</definedName>
    <definedName name="VOL3DEST" hidden="1">'Vessel Gauging Data'!$R$27:$R$56</definedName>
    <definedName name="VOL3DEST_2" localSheetId="9" hidden="1">'Barge Gauging Data'!$R$27:$R$56</definedName>
    <definedName name="VOL4DEST" hidden="1">'Vessel Gauging Data'!$V$27:$V$56</definedName>
    <definedName name="VOL4DEST_2" localSheetId="9" hidden="1">'Barge Gauging Data'!$V$27:$V$56</definedName>
    <definedName name="VSLDRAFT" hidden="1">Drafts!$G$20</definedName>
    <definedName name="VSLRCVD_ALL" hidden="1">'Vessel Gauging Data'!$AB$9</definedName>
    <definedName name="VSLRCVD_GROUP" hidden="1">'Vessel Gauging Data'!$AD$9</definedName>
    <definedName name="VTOV1" hidden="1">'Vessel Gauging Data'!$DD$2</definedName>
    <definedName name="VTOV2" hidden="1">'Vessel Gauging Data'!$DG$2</definedName>
    <definedName name="VTOVF" hidden="1">'Vessel Gauging Data'!$DJ$2</definedName>
    <definedName name="W1DEST" hidden="1">'Vessel Gauging Data'!$M$27:$M$56</definedName>
    <definedName name="W1DEST_2" localSheetId="9" hidden="1">'Barge Gauging Data'!$M$27:$M$56</definedName>
    <definedName name="W1SEL" hidden="1">'Vessel Gauging Data'!$M$1</definedName>
    <definedName name="W1SEL_2" hidden="1">'Barge Gauging Data'!$M$1</definedName>
    <definedName name="W2DEST" hidden="1">'Vessel Gauging Data'!$U$27:$U$56</definedName>
    <definedName name="W2DEST_2" localSheetId="9" hidden="1">'Barge Gauging Data'!$U$27:$U$56</definedName>
    <definedName name="WC1RANGE" hidden="1">'Vessel Gauging Data'!$BI$27:$BI$56</definedName>
    <definedName name="WC1RANGE_2" localSheetId="9" hidden="1">'Barge Gauging Data'!$BI$27:$BI$56</definedName>
    <definedName name="WC2RANGE" hidden="1">'Vessel Gauging Data'!$BL$27:$BL$56</definedName>
    <definedName name="WC2RANGE_2" localSheetId="9" hidden="1">'Barge Gauging Data'!$BL$27:$BL$56</definedName>
    <definedName name="WI1RANGE" hidden="1">'Vessel Gauging Data'!$BH$27:$BH$56</definedName>
    <definedName name="WI1RANGE_2" localSheetId="9" hidden="1">'Barge Gauging Data'!$BH$27:$BH$56</definedName>
    <definedName name="WI2RANGE" hidden="1">'Vessel Gauging Data'!$BK$27:$BK$56</definedName>
    <definedName name="WI2RANGE_2" localSheetId="9" hidden="1">'Barge Gauging Data'!$BK$27:$BK$56</definedName>
    <definedName name="wrn.Forms." localSheetId="44" hidden="1">{#N/A,#N/A,TRUE,"TIMESHEET";#N/A,#N/A,TRUE,"ULLAGE";#N/A,#N/A,TRUE,"OBQ"}</definedName>
    <definedName name="_xlnm.Print_Area" localSheetId="20" hidden="1">'Barge BQS Report'!$C$2:$T$386</definedName>
    <definedName name="_xlnm.Print_Area" localSheetId="24" hidden="1">'Barge BQS Report (SS)'!$C$1:$P$405</definedName>
    <definedName name="_xlnm.Print_Area" localSheetId="38" hidden="1">'Barge Evaluation'!$A$2:$J$55</definedName>
    <definedName name="_xlnm.Print_Area" localSheetId="9" hidden="1">'Barge Gauging Data'!$B$6:$W$75</definedName>
    <definedName name="_xlnm.Print_Area" localSheetId="26" hidden="1">'Barge Non-Cargo (SS)'!$A$1:$I$67</definedName>
    <definedName name="_xlnm.Print_Area" localSheetId="36" hidden="1">'Bunker Consumption'!$A$1:$M$68</definedName>
    <definedName name="_xlnm.Print_Area" localSheetId="21" hidden="1">'Bunker Sample Info'!$A$1:$L$66</definedName>
    <definedName name="_xlnm.Print_Area" localSheetId="5" hidden="1">'Cover Page'!$C$1:$Q$133</definedName>
    <definedName name="_xlnm.Print_Area" localSheetId="6" hidden="1">Drafts!$B$1:$T$31</definedName>
    <definedName name="_xlnm.Print_Area" localSheetId="16" hidden="1">'Final Report (SS)'!$C$1:$R$289</definedName>
    <definedName name="_xlnm.Print_Area" localSheetId="28" hidden="1">'FlowMeter (SS)'!$B$332:$M$395</definedName>
    <definedName name="_xlnm.Print_Area" localSheetId="27" hidden="1">'FlowMeter CL (SS)'!$A$1:$L$76</definedName>
    <definedName name="_xlnm.Print_Area" localSheetId="13" hidden="1">'Gauging Ticket'!$A$1:$L$75</definedName>
    <definedName name="_xlnm.Print_Area" localSheetId="2" hidden="1">MAIN!$A$1:$X$37</definedName>
    <definedName name="_xlnm.Print_Area" localSheetId="34" hidden="1">'OnOff Hire Certificate'!$A$1:$H$67</definedName>
    <definedName name="_xlnm.Print_Area" localSheetId="17" hidden="1">'OUT-TURNS'!$F$7:$S$23</definedName>
    <definedName name="_xlnm.Print_Area" localSheetId="0" hidden="1">'POWER SETT'!$A$1:$AD$25</definedName>
    <definedName name="_xlnm.Print_Area" localSheetId="14" hidden="1">'Preliminary Report'!$B$2:$J$69</definedName>
    <definedName name="_xlnm.Print_Area" localSheetId="22" hidden="1">'Pre-Survey (SS)'!$B$1:$J$62</definedName>
    <definedName name="_xlnm.Print_Area" localSheetId="25" hidden="1">'Sampling Report (SS)'!$A$1:$M$77</definedName>
    <definedName name="_xlnm.Print_Area" localSheetId="7" hidden="1">'Ships Declaration'!$C$3:$K$34</definedName>
    <definedName name="_xlnm.Print_Area" localSheetId="35" hidden="1">'Sludge Retention'!$A$1:$L$62</definedName>
    <definedName name="_xlnm.Print_Area" localSheetId="1" hidden="1">'STANDARD SETT'!$A$1:$M$65</definedName>
    <definedName name="_xlnm.Print_Area" localSheetId="15" hidden="1">'Summary Report'!$B$2:$P$202</definedName>
    <definedName name="_xlnm.Print_Area" localSheetId="39" hidden="1">SuperASTM!$B$1:$R$37</definedName>
    <definedName name="_xlnm.Print_Area" localSheetId="37" hidden="1">'Time Log'!$D$2:$S$161</definedName>
    <definedName name="_xlnm.Print_Area" localSheetId="41" hidden="1">'Trim Correction'!$A$1:$T$20</definedName>
    <definedName name="_xlnm.Print_Area" localSheetId="19" hidden="1">'Vessel BQS Report'!$C$2:$T$386</definedName>
    <definedName name="_xlnm.Print_Area" localSheetId="23" hidden="1">'Vessel BQS Report (SS)'!$C$1:$P$400</definedName>
    <definedName name="_xlnm.Print_Area" localSheetId="8" hidden="1">'Vessel Gauging Data'!$B$6:$W$75</definedName>
    <definedName name="_xlnm.Print_Area" localSheetId="33" hidden="1">'Vessel ROB Certificate'!$A$1:$L$59</definedName>
    <definedName name="_xlnm.Print_Area" localSheetId="32" hidden="1">'Vessel ROB Report'!$C$2:$T$172</definedName>
    <definedName name="_xlnm.Print_Titles" localSheetId="16" hidden="1">'Final Report (SS)'!$1:$11</definedName>
    <definedName name="_xlnm.Print_Titles" localSheetId="28" hidden="1">'FlowMeter (SS)'!$1:$11</definedName>
    <definedName name="_xlnm.Print_Titles" localSheetId="15" hidden="1">'Summary Report'!$1:$12</definedName>
    <definedName name="_xlnm.Print_Titles" localSheetId="37" hidden="1">'Time Log'!$1:$12</definedName>
    <definedName name="ZONETIME" hidden="1">'Cover Page'!$I$43</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113" i="76" l="1"/>
  <c r="Y113" i="76" s="1"/>
  <c r="A109" i="76"/>
  <c r="X109" i="76" s="1"/>
  <c r="T113" i="76" l="1"/>
  <c r="U113" i="76"/>
  <c r="X113" i="76"/>
  <c r="V113" i="76"/>
  <c r="W113" i="76"/>
  <c r="Y109" i="76"/>
  <c r="U109" i="76"/>
  <c r="V109" i="76"/>
  <c r="W109" i="76"/>
  <c r="T109" i="76"/>
  <c r="AB1" i="36"/>
  <c r="AZ6" i="36"/>
  <c r="AZ4" i="36"/>
  <c r="AZ3" i="36"/>
  <c r="AZ2" i="36"/>
  <c r="AZ1" i="36"/>
  <c r="AZ5" i="36"/>
  <c r="AY2" i="36"/>
  <c r="AY3" i="36"/>
  <c r="AY4" i="36"/>
  <c r="AY5" i="36"/>
  <c r="AY6" i="36"/>
  <c r="AY7" i="36"/>
  <c r="AY8" i="36"/>
  <c r="AY9" i="36"/>
  <c r="AY10" i="36"/>
  <c r="AY11" i="36"/>
  <c r="AY12" i="36"/>
  <c r="AY13" i="36"/>
  <c r="AY14" i="36"/>
  <c r="AY15" i="36"/>
  <c r="AY16" i="36"/>
  <c r="AY17" i="36"/>
  <c r="AY18" i="36"/>
  <c r="AY19" i="36"/>
  <c r="AY20" i="36"/>
  <c r="AY21" i="36"/>
  <c r="BC2" i="36"/>
  <c r="BF2" i="36" s="1"/>
  <c r="S113" i="76" l="1"/>
  <c r="S109" i="76"/>
  <c r="BG2" i="36"/>
  <c r="BE2" i="36"/>
  <c r="BD2" i="36"/>
  <c r="BH2" i="36" s="1"/>
  <c r="P153" i="16"/>
  <c r="J58" i="5"/>
  <c r="Q171" i="54"/>
  <c r="BM2" i="36" l="1"/>
  <c r="J60" i="65"/>
  <c r="K2" i="78" l="1"/>
  <c r="W3" i="78" l="1"/>
  <c r="AA3" i="78"/>
  <c r="W4" i="78"/>
  <c r="I23" i="78" s="1"/>
  <c r="AA4" i="78"/>
  <c r="K5" i="78"/>
  <c r="M5" i="78"/>
  <c r="O5" i="78"/>
  <c r="W5" i="78"/>
  <c r="AC5" i="78"/>
  <c r="I29" i="78" s="1"/>
  <c r="W6" i="78"/>
  <c r="AA6" i="78"/>
  <c r="F7" i="78"/>
  <c r="W7" i="78"/>
  <c r="Q13" i="78" s="1"/>
  <c r="I49" i="78" s="1"/>
  <c r="AA7" i="78"/>
  <c r="K9" i="78"/>
  <c r="O9" i="78"/>
  <c r="I15" i="78"/>
  <c r="K42" i="78" s="1"/>
  <c r="Q15" i="78"/>
  <c r="K49" i="78" s="1"/>
  <c r="D21" i="78"/>
  <c r="C63" i="78"/>
  <c r="D63" i="78" s="1"/>
  <c r="C64" i="78"/>
  <c r="D64" i="78" s="1"/>
  <c r="I11" i="78" l="1"/>
  <c r="F42" i="78" s="1"/>
  <c r="I19" i="78"/>
  <c r="O42" i="78" s="1"/>
  <c r="I13" i="78"/>
  <c r="I42" i="78" s="1"/>
  <c r="I17" i="78"/>
  <c r="M42" i="78" s="1"/>
  <c r="Q11" i="78"/>
  <c r="F49" i="78" s="1"/>
  <c r="Q19" i="78"/>
  <c r="O49" i="78" s="1"/>
  <c r="Q17" i="78"/>
  <c r="M49" i="78" s="1"/>
  <c r="F64" i="78"/>
  <c r="G64" i="78" s="1"/>
  <c r="G63" i="78"/>
  <c r="K63" i="78" s="1"/>
  <c r="F13" i="78" s="1"/>
  <c r="E18" i="21"/>
  <c r="F15" i="78" l="1"/>
  <c r="F17" i="78"/>
  <c r="F31" i="78" s="1"/>
  <c r="G7" i="78"/>
  <c r="I61" i="78"/>
  <c r="G57" i="78"/>
  <c r="F19" i="78" s="1"/>
  <c r="I60" i="78"/>
  <c r="E17" i="21"/>
  <c r="I53" i="78" l="1"/>
  <c r="K52" i="78"/>
  <c r="M52" i="78"/>
  <c r="O53" i="78"/>
  <c r="O51" i="78"/>
  <c r="M50" i="78"/>
  <c r="F60" i="78"/>
  <c r="I50" i="78"/>
  <c r="F50" i="78"/>
  <c r="K54" i="78"/>
  <c r="F57" i="78"/>
  <c r="I57" i="78" s="1"/>
  <c r="O54" i="78"/>
  <c r="F59" i="78"/>
  <c r="I59" i="78" s="1"/>
  <c r="K58" i="78" s="1"/>
  <c r="K64" i="78" s="1"/>
  <c r="F9" i="78" s="1"/>
  <c r="M53" i="78"/>
  <c r="K53" i="78"/>
  <c r="F58" i="78"/>
  <c r="I58" i="78" s="1"/>
  <c r="M51" i="78"/>
  <c r="F53" i="78"/>
  <c r="K50" i="78"/>
  <c r="F61" i="78"/>
  <c r="I52" i="78"/>
  <c r="O13" i="78" s="1"/>
  <c r="F52" i="78"/>
  <c r="O17" i="78"/>
  <c r="I51" i="78"/>
  <c r="I54" i="78"/>
  <c r="F51" i="78"/>
  <c r="F54" i="78"/>
  <c r="O50" i="78"/>
  <c r="M54" i="78"/>
  <c r="K51" i="78"/>
  <c r="O52" i="78"/>
  <c r="A203" i="77"/>
  <c r="A204" i="77" s="1"/>
  <c r="A205" i="77" s="1"/>
  <c r="A206" i="77" s="1"/>
  <c r="A207" i="77" s="1"/>
  <c r="A208" i="77" s="1"/>
  <c r="A209" i="77" s="1"/>
  <c r="A210" i="77" s="1"/>
  <c r="A211" i="77" s="1"/>
  <c r="A212" i="77" s="1"/>
  <c r="A213" i="77" s="1"/>
  <c r="A214" i="77" s="1"/>
  <c r="A215" i="77" s="1"/>
  <c r="A216" i="77" s="1"/>
  <c r="A188" i="77"/>
  <c r="A189" i="77" s="1"/>
  <c r="A190" i="77" s="1"/>
  <c r="A191" i="77" s="1"/>
  <c r="A192" i="77" s="1"/>
  <c r="A193" i="77" s="1"/>
  <c r="A194" i="77" s="1"/>
  <c r="A195" i="77" s="1"/>
  <c r="A196" i="77" s="1"/>
  <c r="A197" i="77" s="1"/>
  <c r="A198" i="77" s="1"/>
  <c r="A199" i="77" s="1"/>
  <c r="A200" i="77" s="1"/>
  <c r="A201" i="77" s="1"/>
  <c r="A173" i="77"/>
  <c r="A174" i="77" s="1"/>
  <c r="A175" i="77" s="1"/>
  <c r="A176" i="77" s="1"/>
  <c r="A177" i="77" s="1"/>
  <c r="A178" i="77" s="1"/>
  <c r="A179" i="77" s="1"/>
  <c r="A180" i="77" s="1"/>
  <c r="A181" i="77" s="1"/>
  <c r="A182" i="77" s="1"/>
  <c r="A183" i="77" s="1"/>
  <c r="A184" i="77" s="1"/>
  <c r="A185" i="77" s="1"/>
  <c r="A186" i="77" s="1"/>
  <c r="A158" i="77"/>
  <c r="A159" i="77" s="1"/>
  <c r="A160" i="77" s="1"/>
  <c r="A161" i="77" s="1"/>
  <c r="A162" i="77" s="1"/>
  <c r="A163" i="77" s="1"/>
  <c r="A164" i="77" s="1"/>
  <c r="A165" i="77" s="1"/>
  <c r="A166" i="77" s="1"/>
  <c r="A167" i="77" s="1"/>
  <c r="A168" i="77" s="1"/>
  <c r="A169" i="77" s="1"/>
  <c r="A170" i="77" s="1"/>
  <c r="A171" i="77" s="1"/>
  <c r="A143" i="77"/>
  <c r="A144" i="77" s="1"/>
  <c r="A145" i="77" s="1"/>
  <c r="A146" i="77" s="1"/>
  <c r="A147" i="77" s="1"/>
  <c r="A148" i="77" s="1"/>
  <c r="A149" i="77" s="1"/>
  <c r="A150" i="77" s="1"/>
  <c r="A151" i="77" s="1"/>
  <c r="A152" i="77" s="1"/>
  <c r="A153" i="77" s="1"/>
  <c r="A154" i="77" s="1"/>
  <c r="A155" i="77" s="1"/>
  <c r="A156" i="77" s="1"/>
  <c r="A128" i="77"/>
  <c r="A129" i="77" s="1"/>
  <c r="A130" i="77" s="1"/>
  <c r="A114" i="77"/>
  <c r="A115" i="77" s="1"/>
  <c r="A116" i="77" s="1"/>
  <c r="A117" i="77" s="1"/>
  <c r="A118" i="77" s="1"/>
  <c r="A119" i="77" s="1"/>
  <c r="A120" i="77" s="1"/>
  <c r="A121" i="77" s="1"/>
  <c r="A122" i="77" s="1"/>
  <c r="A123" i="77" s="1"/>
  <c r="A124" i="77" s="1"/>
  <c r="A125" i="77" s="1"/>
  <c r="A101" i="77"/>
  <c r="A100" i="77" s="1"/>
  <c r="A88" i="77"/>
  <c r="A87" i="77" s="1"/>
  <c r="A75" i="77"/>
  <c r="A74" i="77" s="1"/>
  <c r="A62" i="77"/>
  <c r="A61" i="77" s="1"/>
  <c r="A49" i="77"/>
  <c r="Z273" i="77"/>
  <c r="Z267" i="77"/>
  <c r="Z272" i="77"/>
  <c r="Z266" i="77"/>
  <c r="Z271" i="77"/>
  <c r="Z265" i="77"/>
  <c r="Z270" i="77"/>
  <c r="Z264" i="77"/>
  <c r="Z269" i="77"/>
  <c r="Z263" i="77"/>
  <c r="Z268" i="77"/>
  <c r="Z262" i="77"/>
  <c r="Z261" i="77"/>
  <c r="Z260" i="77"/>
  <c r="Z259" i="77"/>
  <c r="Z258" i="77"/>
  <c r="Z257" i="77"/>
  <c r="Z256" i="77"/>
  <c r="Z255" i="77"/>
  <c r="Z254" i="77"/>
  <c r="Z253" i="77"/>
  <c r="Z252" i="77"/>
  <c r="Z251" i="77"/>
  <c r="Z250" i="77"/>
  <c r="AA250" i="77" s="1" a="1"/>
  <c r="AA250" i="77" s="1"/>
  <c r="O43" i="78" l="1"/>
  <c r="F11" i="78"/>
  <c r="F27" i="78" s="1"/>
  <c r="O15" i="78"/>
  <c r="AA251" i="77" a="1"/>
  <c r="AA251" i="77" s="1"/>
  <c r="AB251" i="77" s="1"/>
  <c r="I45" i="78"/>
  <c r="K13" i="78" s="1"/>
  <c r="I47" i="78"/>
  <c r="M46" i="78"/>
  <c r="I43" i="78"/>
  <c r="K44" i="78"/>
  <c r="O45" i="78"/>
  <c r="K46" i="78"/>
  <c r="O47" i="78"/>
  <c r="M47" i="78"/>
  <c r="M43" i="78"/>
  <c r="I44" i="78"/>
  <c r="M45" i="78"/>
  <c r="I46" i="78"/>
  <c r="O11" i="78"/>
  <c r="O46" i="78"/>
  <c r="K47" i="78"/>
  <c r="K43" i="78"/>
  <c r="F44" i="78"/>
  <c r="K45" i="78"/>
  <c r="K15" i="78" s="1"/>
  <c r="M44" i="78"/>
  <c r="F43" i="78"/>
  <c r="O19" i="78"/>
  <c r="F46" i="78"/>
  <c r="F23" i="78"/>
  <c r="F45" i="78"/>
  <c r="K11" i="78" s="1"/>
  <c r="O7" i="78"/>
  <c r="O44" i="78"/>
  <c r="F47" i="78"/>
  <c r="A142" i="77"/>
  <c r="AB250" i="77"/>
  <c r="A131" i="77"/>
  <c r="A132" i="77" s="1"/>
  <c r="A133" i="77" s="1"/>
  <c r="A134" i="77" s="1"/>
  <c r="A135" i="77" s="1"/>
  <c r="A136" i="77" s="1"/>
  <c r="A137" i="77" s="1"/>
  <c r="A138" i="77" s="1"/>
  <c r="A139" i="77" s="1"/>
  <c r="A140" i="77" s="1"/>
  <c r="A141" i="77" s="1"/>
  <c r="A202" i="77"/>
  <c r="A187" i="77"/>
  <c r="A172" i="77"/>
  <c r="A157" i="77"/>
  <c r="A48" i="77"/>
  <c r="A50" i="77"/>
  <c r="A51" i="77" s="1"/>
  <c r="A52" i="77" s="1"/>
  <c r="A53" i="77" s="1"/>
  <c r="A54" i="77" s="1"/>
  <c r="A55" i="77" s="1"/>
  <c r="A56" i="77" s="1"/>
  <c r="A57" i="77" s="1"/>
  <c r="A58" i="77" s="1"/>
  <c r="A63" i="77"/>
  <c r="A64" i="77" s="1"/>
  <c r="A65" i="77" s="1"/>
  <c r="A66" i="77" s="1"/>
  <c r="A67" i="77" s="1"/>
  <c r="A68" i="77" s="1"/>
  <c r="A69" i="77" s="1"/>
  <c r="A70" i="77" s="1"/>
  <c r="A71" i="77" s="1"/>
  <c r="A76" i="77"/>
  <c r="A77" i="77" s="1"/>
  <c r="A78" i="77" s="1"/>
  <c r="A79" i="77" s="1"/>
  <c r="A80" i="77" s="1"/>
  <c r="A81" i="77" s="1"/>
  <c r="A82" i="77" s="1"/>
  <c r="A83" i="77" s="1"/>
  <c r="A84" i="77" s="1"/>
  <c r="A89" i="77"/>
  <c r="A90" i="77" s="1"/>
  <c r="A91" i="77" s="1"/>
  <c r="A92" i="77" s="1"/>
  <c r="A93" i="77" s="1"/>
  <c r="A94" i="77" s="1"/>
  <c r="A95" i="77" s="1"/>
  <c r="A96" i="77" s="1"/>
  <c r="A97" i="77" s="1"/>
  <c r="A102" i="77"/>
  <c r="A103" i="77" s="1"/>
  <c r="A104" i="77" s="1"/>
  <c r="A105" i="77" s="1"/>
  <c r="A106" i="77" s="1"/>
  <c r="A107" i="77" s="1"/>
  <c r="A108" i="77" s="1"/>
  <c r="A109" i="77" s="1"/>
  <c r="A110" i="77" s="1"/>
  <c r="A113" i="77"/>
  <c r="A238" i="77"/>
  <c r="A239" i="77"/>
  <c r="I223" i="77"/>
  <c r="G223" i="77"/>
  <c r="I222" i="77"/>
  <c r="G222" i="77"/>
  <c r="I221" i="77"/>
  <c r="G221" i="77"/>
  <c r="I220" i="77"/>
  <c r="G220" i="77"/>
  <c r="I219" i="77"/>
  <c r="G219" i="77"/>
  <c r="I224" i="77"/>
  <c r="G224" i="77"/>
  <c r="AH239" i="77"/>
  <c r="AG239" i="77"/>
  <c r="AF239" i="77"/>
  <c r="AE239" i="77"/>
  <c r="AD239" i="77"/>
  <c r="AC239" i="77"/>
  <c r="AB239" i="77"/>
  <c r="AA239" i="77"/>
  <c r="Z239" i="77"/>
  <c r="Y239" i="77"/>
  <c r="X239" i="77"/>
  <c r="W239" i="77"/>
  <c r="AH238" i="77"/>
  <c r="AG238" i="77"/>
  <c r="AF238" i="77"/>
  <c r="AE238" i="77"/>
  <c r="AD238" i="77"/>
  <c r="AC238" i="77"/>
  <c r="AB238" i="77"/>
  <c r="AA238" i="77"/>
  <c r="Z238" i="77"/>
  <c r="Y238" i="77"/>
  <c r="X238" i="77"/>
  <c r="W238" i="77"/>
  <c r="AH237" i="77"/>
  <c r="AG237" i="77"/>
  <c r="AF237" i="77"/>
  <c r="AE237" i="77"/>
  <c r="AD237" i="77"/>
  <c r="AC237" i="77"/>
  <c r="AB237" i="77"/>
  <c r="AA237" i="77"/>
  <c r="Z237" i="77"/>
  <c r="Y237" i="77"/>
  <c r="X237" i="77"/>
  <c r="W237" i="77"/>
  <c r="AH236" i="77"/>
  <c r="AG236" i="77"/>
  <c r="AF236" i="77"/>
  <c r="AE236" i="77"/>
  <c r="AD236" i="77"/>
  <c r="AC236" i="77"/>
  <c r="AB236" i="77"/>
  <c r="AA236" i="77"/>
  <c r="Z236" i="77"/>
  <c r="Y236" i="77"/>
  <c r="X236" i="77"/>
  <c r="W236" i="77"/>
  <c r="AH235" i="77"/>
  <c r="AG235" i="77"/>
  <c r="AF235" i="77"/>
  <c r="AE235" i="77"/>
  <c r="AD235" i="77"/>
  <c r="AC235" i="77"/>
  <c r="AB235" i="77"/>
  <c r="AA235" i="77"/>
  <c r="Z235" i="77"/>
  <c r="Y235" i="77"/>
  <c r="X235" i="77"/>
  <c r="W235" i="77"/>
  <c r="AH234" i="77"/>
  <c r="AG234" i="77"/>
  <c r="AF234" i="77"/>
  <c r="AE234" i="77"/>
  <c r="AD234" i="77"/>
  <c r="AC234" i="77"/>
  <c r="AB234" i="77"/>
  <c r="AA234" i="77"/>
  <c r="Z234" i="77"/>
  <c r="Y234" i="77"/>
  <c r="X234" i="77"/>
  <c r="W234" i="77"/>
  <c r="AH233" i="77"/>
  <c r="AG233" i="77"/>
  <c r="AF233" i="77"/>
  <c r="AE233" i="77"/>
  <c r="AD233" i="77"/>
  <c r="AC233" i="77"/>
  <c r="AB233" i="77"/>
  <c r="AA233" i="77"/>
  <c r="Z233" i="77"/>
  <c r="Y233" i="77"/>
  <c r="X233" i="77"/>
  <c r="W233" i="77"/>
  <c r="AH232" i="77"/>
  <c r="AG232" i="77"/>
  <c r="AF232" i="77"/>
  <c r="AE232" i="77"/>
  <c r="AD232" i="77"/>
  <c r="AC232" i="77"/>
  <c r="AB232" i="77"/>
  <c r="AA232" i="77"/>
  <c r="Z232" i="77"/>
  <c r="Y232" i="77"/>
  <c r="X232" i="77"/>
  <c r="W232" i="77"/>
  <c r="AH231" i="77"/>
  <c r="AG231" i="77"/>
  <c r="AF231" i="77"/>
  <c r="AE231" i="77"/>
  <c r="AD231" i="77"/>
  <c r="AC231" i="77"/>
  <c r="AB231" i="77"/>
  <c r="AA231" i="77"/>
  <c r="Z231" i="77"/>
  <c r="Y231" i="77"/>
  <c r="X231" i="77"/>
  <c r="W231" i="77"/>
  <c r="AH230" i="77"/>
  <c r="AG230" i="77"/>
  <c r="AF230" i="77"/>
  <c r="AE230" i="77"/>
  <c r="AD230" i="77"/>
  <c r="AC230" i="77"/>
  <c r="AB230" i="77"/>
  <c r="AA230" i="77"/>
  <c r="Z230" i="77"/>
  <c r="Y230" i="77"/>
  <c r="X230" i="77"/>
  <c r="W230" i="77"/>
  <c r="M11" i="78" l="1"/>
  <c r="M13" i="78"/>
  <c r="F35" i="78"/>
  <c r="K19" i="78"/>
  <c r="M19" i="78" s="1"/>
  <c r="AA252" i="77" a="1"/>
  <c r="AA252" i="77" s="1"/>
  <c r="AB252" i="77" s="1"/>
  <c r="K17" i="78"/>
  <c r="M17" i="78" s="1"/>
  <c r="M15" i="78"/>
  <c r="F29" i="78" s="1"/>
  <c r="A127" i="77"/>
  <c r="A72" i="77"/>
  <c r="A73" i="77" s="1"/>
  <c r="A111" i="77"/>
  <c r="A112" i="77" s="1"/>
  <c r="A59" i="77"/>
  <c r="A60" i="77" s="1"/>
  <c r="A98" i="77"/>
  <c r="A99" i="77" s="1"/>
  <c r="A85" i="77"/>
  <c r="A86" i="77" s="1"/>
  <c r="F12" i="77"/>
  <c r="AA253" i="77" l="1" a="1"/>
  <c r="AA253" i="77" s="1"/>
  <c r="AB253" i="77" s="1"/>
  <c r="F25" i="78"/>
  <c r="A47" i="77"/>
  <c r="C16" i="77"/>
  <c r="AA254" i="77" l="1" a="1"/>
  <c r="AA254" i="77" s="1"/>
  <c r="AB254" i="77" s="1"/>
  <c r="A46" i="77"/>
  <c r="A126" i="77"/>
  <c r="Q12" i="77"/>
  <c r="AA255" i="77" l="1" a="1"/>
  <c r="AA255" i="77" s="1"/>
  <c r="AA256" i="77" s="1" a="1"/>
  <c r="AA256" i="77" s="1"/>
  <c r="AB256" i="77" s="1"/>
  <c r="E14" i="21"/>
  <c r="AB255" i="77" l="1"/>
  <c r="AA257" i="77" a="1"/>
  <c r="AA257" i="77" s="1"/>
  <c r="AB257" i="77" s="1"/>
  <c r="X2" i="36"/>
  <c r="AA258" i="77" l="1" a="1"/>
  <c r="AA258" i="77" s="1"/>
  <c r="AB258" i="77" s="1"/>
  <c r="E16" i="55"/>
  <c r="G58" i="6"/>
  <c r="AA259" i="77" l="1" a="1"/>
  <c r="AA259" i="77" s="1"/>
  <c r="I10" i="29"/>
  <c r="AA260" i="77" l="1" a="1"/>
  <c r="AA260" i="77" s="1"/>
  <c r="AB259" i="77"/>
  <c r="D2" i="46"/>
  <c r="D2" i="35"/>
  <c r="AA261" i="77" l="1" a="1"/>
  <c r="AA261" i="77" s="1"/>
  <c r="AB260" i="77"/>
  <c r="AF2" i="36"/>
  <c r="AA262" i="77" l="1" a="1"/>
  <c r="AA262" i="77" s="1"/>
  <c r="AB261" i="77"/>
  <c r="A32" i="16"/>
  <c r="A31" i="16"/>
  <c r="A30" i="16"/>
  <c r="A29" i="16"/>
  <c r="A28" i="16"/>
  <c r="A40" i="16"/>
  <c r="A39" i="16"/>
  <c r="A38" i="16"/>
  <c r="A37" i="16"/>
  <c r="A36" i="16"/>
  <c r="A35" i="16"/>
  <c r="A34" i="16"/>
  <c r="A33" i="16"/>
  <c r="A46" i="16"/>
  <c r="A45" i="16"/>
  <c r="A44" i="16"/>
  <c r="A43" i="16"/>
  <c r="A42" i="16"/>
  <c r="A41" i="16"/>
  <c r="A56" i="16"/>
  <c r="A57" i="16" s="1"/>
  <c r="A54" i="16"/>
  <c r="A55" i="16" s="1"/>
  <c r="A52" i="16"/>
  <c r="A53" i="16" s="1"/>
  <c r="A50" i="16"/>
  <c r="A51" i="16" s="1"/>
  <c r="AA263" i="77" l="1" a="1"/>
  <c r="AA263" i="77" s="1"/>
  <c r="AB262" i="77"/>
  <c r="D29" i="5"/>
  <c r="E29" i="5"/>
  <c r="C16" i="5"/>
  <c r="C15" i="5"/>
  <c r="U26" i="76"/>
  <c r="T26" i="76"/>
  <c r="U38" i="76"/>
  <c r="T38" i="76"/>
  <c r="AA264" i="77" l="1" a="1"/>
  <c r="AA264" i="77" s="1"/>
  <c r="AB263" i="77"/>
  <c r="S38" i="76"/>
  <c r="S26" i="76"/>
  <c r="A13" i="36"/>
  <c r="C14" i="77" s="1"/>
  <c r="Y56" i="46"/>
  <c r="X56" i="46"/>
  <c r="Y55" i="46"/>
  <c r="X55" i="46"/>
  <c r="Y54" i="46"/>
  <c r="X54" i="46"/>
  <c r="Y53" i="46"/>
  <c r="X53" i="46"/>
  <c r="Y52" i="46"/>
  <c r="X52" i="46"/>
  <c r="Y51" i="46"/>
  <c r="X51" i="46"/>
  <c r="Y50" i="46"/>
  <c r="X50" i="46"/>
  <c r="Y49" i="46"/>
  <c r="X49" i="46"/>
  <c r="Y48" i="46"/>
  <c r="X48" i="46"/>
  <c r="Y47" i="46"/>
  <c r="X47" i="46"/>
  <c r="Y46" i="46"/>
  <c r="X46" i="46"/>
  <c r="Y45" i="46"/>
  <c r="X45" i="46"/>
  <c r="Y44" i="46"/>
  <c r="X44" i="46"/>
  <c r="Y42" i="46"/>
  <c r="X42" i="46"/>
  <c r="Y41" i="46"/>
  <c r="X41" i="46"/>
  <c r="Y40" i="46"/>
  <c r="X40" i="46"/>
  <c r="Y39" i="46"/>
  <c r="X39" i="46"/>
  <c r="BL56" i="46"/>
  <c r="BK56" i="46"/>
  <c r="BI56" i="46"/>
  <c r="BH56" i="46"/>
  <c r="BF56" i="46"/>
  <c r="BE56" i="46"/>
  <c r="BC56" i="46"/>
  <c r="BB56" i="46"/>
  <c r="AZ56" i="46"/>
  <c r="AY56" i="46"/>
  <c r="AW56" i="46"/>
  <c r="AV56" i="46"/>
  <c r="AT56" i="46"/>
  <c r="AS56" i="46"/>
  <c r="AQ56" i="46"/>
  <c r="AP56" i="46"/>
  <c r="AN56" i="46"/>
  <c r="AM56" i="46"/>
  <c r="AK56" i="46"/>
  <c r="AJ56" i="46"/>
  <c r="AH56" i="46"/>
  <c r="AG56" i="46"/>
  <c r="AE56" i="46"/>
  <c r="AD56" i="46"/>
  <c r="AB56" i="46"/>
  <c r="AA56" i="46"/>
  <c r="BL55" i="46"/>
  <c r="BK55" i="46"/>
  <c r="BI55" i="46"/>
  <c r="BH55" i="46"/>
  <c r="BF55" i="46"/>
  <c r="BE55" i="46"/>
  <c r="BC55" i="46"/>
  <c r="BB55" i="46"/>
  <c r="AZ55" i="46"/>
  <c r="AY55" i="46"/>
  <c r="AW55" i="46"/>
  <c r="AV55" i="46"/>
  <c r="AT55" i="46"/>
  <c r="AS55" i="46"/>
  <c r="AQ55" i="46"/>
  <c r="AP55" i="46"/>
  <c r="AN55" i="46"/>
  <c r="AM55" i="46"/>
  <c r="AK55" i="46"/>
  <c r="AJ55" i="46"/>
  <c r="AH55" i="46"/>
  <c r="AG55" i="46"/>
  <c r="AE55" i="46"/>
  <c r="AD55" i="46"/>
  <c r="AB55" i="46"/>
  <c r="AA55" i="46"/>
  <c r="BL54" i="46"/>
  <c r="BK54" i="46"/>
  <c r="BI54" i="46"/>
  <c r="BH54" i="46"/>
  <c r="BF54" i="46"/>
  <c r="BE54" i="46"/>
  <c r="BC54" i="46"/>
  <c r="BB54" i="46"/>
  <c r="AZ54" i="46"/>
  <c r="AY54" i="46"/>
  <c r="AW54" i="46"/>
  <c r="AV54" i="46"/>
  <c r="AT54" i="46"/>
  <c r="AS54" i="46"/>
  <c r="AQ54" i="46"/>
  <c r="AP54" i="46"/>
  <c r="AN54" i="46"/>
  <c r="AM54" i="46"/>
  <c r="AK54" i="46"/>
  <c r="AJ54" i="46"/>
  <c r="AH54" i="46"/>
  <c r="AG54" i="46"/>
  <c r="AE54" i="46"/>
  <c r="AD54" i="46"/>
  <c r="AB54" i="46"/>
  <c r="AA54" i="46"/>
  <c r="BL53" i="46"/>
  <c r="BK53" i="46"/>
  <c r="BI53" i="46"/>
  <c r="BH53" i="46"/>
  <c r="BF53" i="46"/>
  <c r="BE53" i="46"/>
  <c r="BC53" i="46"/>
  <c r="BB53" i="46"/>
  <c r="AZ53" i="46"/>
  <c r="AY53" i="46"/>
  <c r="AW53" i="46"/>
  <c r="AV53" i="46"/>
  <c r="AT53" i="46"/>
  <c r="AS53" i="46"/>
  <c r="AQ53" i="46"/>
  <c r="AP53" i="46"/>
  <c r="AN53" i="46"/>
  <c r="AM53" i="46"/>
  <c r="AK53" i="46"/>
  <c r="AJ53" i="46"/>
  <c r="AH53" i="46"/>
  <c r="AG53" i="46"/>
  <c r="AE53" i="46"/>
  <c r="AD53" i="46"/>
  <c r="AB53" i="46"/>
  <c r="AA53" i="46"/>
  <c r="BL52" i="46"/>
  <c r="BK52" i="46"/>
  <c r="BI52" i="46"/>
  <c r="BH52" i="46"/>
  <c r="BF52" i="46"/>
  <c r="BE52" i="46"/>
  <c r="BC52" i="46"/>
  <c r="BB52" i="46"/>
  <c r="AZ52" i="46"/>
  <c r="AY52" i="46"/>
  <c r="AW52" i="46"/>
  <c r="AV52" i="46"/>
  <c r="AT52" i="46"/>
  <c r="AS52" i="46"/>
  <c r="AQ52" i="46"/>
  <c r="AP52" i="46"/>
  <c r="AN52" i="46"/>
  <c r="AM52" i="46"/>
  <c r="AK52" i="46"/>
  <c r="AJ52" i="46"/>
  <c r="AH52" i="46"/>
  <c r="AG52" i="46"/>
  <c r="AE52" i="46"/>
  <c r="AD52" i="46"/>
  <c r="AB52" i="46"/>
  <c r="AA52" i="46"/>
  <c r="BL51" i="46"/>
  <c r="BK51" i="46"/>
  <c r="BI51" i="46"/>
  <c r="BH51" i="46"/>
  <c r="BF51" i="46"/>
  <c r="BE51" i="46"/>
  <c r="BC51" i="46"/>
  <c r="BB51" i="46"/>
  <c r="AZ51" i="46"/>
  <c r="AY51" i="46"/>
  <c r="AW51" i="46"/>
  <c r="AV51" i="46"/>
  <c r="AT51" i="46"/>
  <c r="AS51" i="46"/>
  <c r="AQ51" i="46"/>
  <c r="AP51" i="46"/>
  <c r="AN51" i="46"/>
  <c r="AM51" i="46"/>
  <c r="AK51" i="46"/>
  <c r="AJ51" i="46"/>
  <c r="AH51" i="46"/>
  <c r="AG51" i="46"/>
  <c r="AE51" i="46"/>
  <c r="AD51" i="46"/>
  <c r="AB51" i="46"/>
  <c r="AA51" i="46"/>
  <c r="BL50" i="46"/>
  <c r="BK50" i="46"/>
  <c r="BI50" i="46"/>
  <c r="BH50" i="46"/>
  <c r="BF50" i="46"/>
  <c r="BE50" i="46"/>
  <c r="BC50" i="46"/>
  <c r="BB50" i="46"/>
  <c r="AZ50" i="46"/>
  <c r="AY50" i="46"/>
  <c r="AW50" i="46"/>
  <c r="AV50" i="46"/>
  <c r="AT50" i="46"/>
  <c r="AS50" i="46"/>
  <c r="AQ50" i="46"/>
  <c r="AP50" i="46"/>
  <c r="AN50" i="46"/>
  <c r="AM50" i="46"/>
  <c r="AK50" i="46"/>
  <c r="AJ50" i="46"/>
  <c r="AH50" i="46"/>
  <c r="AG50" i="46"/>
  <c r="AE50" i="46"/>
  <c r="AD50" i="46"/>
  <c r="AB50" i="46"/>
  <c r="AA50" i="46"/>
  <c r="BL49" i="46"/>
  <c r="BK49" i="46"/>
  <c r="BI49" i="46"/>
  <c r="BH49" i="46"/>
  <c r="BF49" i="46"/>
  <c r="BE49" i="46"/>
  <c r="BC49" i="46"/>
  <c r="BB49" i="46"/>
  <c r="AZ49" i="46"/>
  <c r="AY49" i="46"/>
  <c r="AW49" i="46"/>
  <c r="AV49" i="46"/>
  <c r="AT49" i="46"/>
  <c r="AS49" i="46"/>
  <c r="AQ49" i="46"/>
  <c r="AP49" i="46"/>
  <c r="AN49" i="46"/>
  <c r="AM49" i="46"/>
  <c r="AK49" i="46"/>
  <c r="AJ49" i="46"/>
  <c r="AH49" i="46"/>
  <c r="AG49" i="46"/>
  <c r="AE49" i="46"/>
  <c r="AD49" i="46"/>
  <c r="AB49" i="46"/>
  <c r="AA49" i="46"/>
  <c r="BL48" i="46"/>
  <c r="BK48" i="46"/>
  <c r="BI48" i="46"/>
  <c r="BH48" i="46"/>
  <c r="BF48" i="46"/>
  <c r="BE48" i="46"/>
  <c r="BC48" i="46"/>
  <c r="BB48" i="46"/>
  <c r="AZ48" i="46"/>
  <c r="AY48" i="46"/>
  <c r="AW48" i="46"/>
  <c r="AV48" i="46"/>
  <c r="AT48" i="46"/>
  <c r="AS48" i="46"/>
  <c r="AQ48" i="46"/>
  <c r="AP48" i="46"/>
  <c r="AN48" i="46"/>
  <c r="AM48" i="46"/>
  <c r="AK48" i="46"/>
  <c r="AJ48" i="46"/>
  <c r="AH48" i="46"/>
  <c r="AG48" i="46"/>
  <c r="AE48" i="46"/>
  <c r="AD48" i="46"/>
  <c r="AB48" i="46"/>
  <c r="AA48" i="46"/>
  <c r="BL47" i="46"/>
  <c r="BK47" i="46"/>
  <c r="BI47" i="46"/>
  <c r="BH47" i="46"/>
  <c r="BF47" i="46"/>
  <c r="BE47" i="46"/>
  <c r="BC47" i="46"/>
  <c r="BB47" i="46"/>
  <c r="AZ47" i="46"/>
  <c r="AY47" i="46"/>
  <c r="AW47" i="46"/>
  <c r="AV47" i="46"/>
  <c r="AT47" i="46"/>
  <c r="AS47" i="46"/>
  <c r="AQ47" i="46"/>
  <c r="AP47" i="46"/>
  <c r="AN47" i="46"/>
  <c r="AM47" i="46"/>
  <c r="AK47" i="46"/>
  <c r="AJ47" i="46"/>
  <c r="AH47" i="46"/>
  <c r="AG47" i="46"/>
  <c r="AE47" i="46"/>
  <c r="AD47" i="46"/>
  <c r="AB47" i="46"/>
  <c r="AA47" i="46"/>
  <c r="BL46" i="46"/>
  <c r="BK46" i="46"/>
  <c r="BI46" i="46"/>
  <c r="BH46" i="46"/>
  <c r="BF46" i="46"/>
  <c r="BE46" i="46"/>
  <c r="BC46" i="46"/>
  <c r="BB46" i="46"/>
  <c r="AZ46" i="46"/>
  <c r="AY46" i="46"/>
  <c r="AW46" i="46"/>
  <c r="AV46" i="46"/>
  <c r="AT46" i="46"/>
  <c r="AS46" i="46"/>
  <c r="AQ46" i="46"/>
  <c r="AP46" i="46"/>
  <c r="AN46" i="46"/>
  <c r="AM46" i="46"/>
  <c r="AK46" i="46"/>
  <c r="AJ46" i="46"/>
  <c r="AH46" i="46"/>
  <c r="AG46" i="46"/>
  <c r="AE46" i="46"/>
  <c r="AD46" i="46"/>
  <c r="AB46" i="46"/>
  <c r="AA46" i="46"/>
  <c r="BL45" i="46"/>
  <c r="BK45" i="46"/>
  <c r="BI45" i="46"/>
  <c r="BH45" i="46"/>
  <c r="BF45" i="46"/>
  <c r="BE45" i="46"/>
  <c r="BC45" i="46"/>
  <c r="BB45" i="46"/>
  <c r="AZ45" i="46"/>
  <c r="AY45" i="46"/>
  <c r="AW45" i="46"/>
  <c r="AV45" i="46"/>
  <c r="AT45" i="46"/>
  <c r="AS45" i="46"/>
  <c r="AQ45" i="46"/>
  <c r="AP45" i="46"/>
  <c r="AN45" i="46"/>
  <c r="AM45" i="46"/>
  <c r="AK45" i="46"/>
  <c r="AJ45" i="46"/>
  <c r="AH45" i="46"/>
  <c r="AG45" i="46"/>
  <c r="AE45" i="46"/>
  <c r="AD45" i="46"/>
  <c r="AB45" i="46"/>
  <c r="AA45" i="46"/>
  <c r="BL44" i="46"/>
  <c r="BK44" i="46"/>
  <c r="BI44" i="46"/>
  <c r="BH44" i="46"/>
  <c r="BF44" i="46"/>
  <c r="BE44" i="46"/>
  <c r="BC44" i="46"/>
  <c r="BB44" i="46"/>
  <c r="AZ44" i="46"/>
  <c r="AY44" i="46"/>
  <c r="AW44" i="46"/>
  <c r="AV44" i="46"/>
  <c r="AT44" i="46"/>
  <c r="AS44" i="46"/>
  <c r="AQ44" i="46"/>
  <c r="AP44" i="46"/>
  <c r="AN44" i="46"/>
  <c r="AM44" i="46"/>
  <c r="AK44" i="46"/>
  <c r="AJ44" i="46"/>
  <c r="AH44" i="46"/>
  <c r="AG44" i="46"/>
  <c r="AE44" i="46"/>
  <c r="AD44" i="46"/>
  <c r="AB44" i="46"/>
  <c r="AA44" i="46"/>
  <c r="BL42" i="46"/>
  <c r="BK42" i="46"/>
  <c r="BI42" i="46"/>
  <c r="BH42" i="46"/>
  <c r="BF42" i="46"/>
  <c r="BE42" i="46"/>
  <c r="BC42" i="46"/>
  <c r="BB42" i="46"/>
  <c r="AZ42" i="46"/>
  <c r="AY42" i="46"/>
  <c r="AW42" i="46"/>
  <c r="AV42" i="46"/>
  <c r="AT42" i="46"/>
  <c r="AS42" i="46"/>
  <c r="AQ42" i="46"/>
  <c r="AP42" i="46"/>
  <c r="AN42" i="46"/>
  <c r="AM42" i="46"/>
  <c r="AK42" i="46"/>
  <c r="AJ42" i="46"/>
  <c r="AH42" i="46"/>
  <c r="AG42" i="46"/>
  <c r="AE42" i="46"/>
  <c r="AD42" i="46"/>
  <c r="AB42" i="46"/>
  <c r="AA42" i="46"/>
  <c r="BL41" i="46"/>
  <c r="BK41" i="46"/>
  <c r="BI41" i="46"/>
  <c r="BH41" i="46"/>
  <c r="BF41" i="46"/>
  <c r="BE41" i="46"/>
  <c r="BC41" i="46"/>
  <c r="BB41" i="46"/>
  <c r="AZ41" i="46"/>
  <c r="AY41" i="46"/>
  <c r="AW41" i="46"/>
  <c r="AV41" i="46"/>
  <c r="AT41" i="46"/>
  <c r="AS41" i="46"/>
  <c r="AQ41" i="46"/>
  <c r="AP41" i="46"/>
  <c r="AN41" i="46"/>
  <c r="AM41" i="46"/>
  <c r="AK41" i="46"/>
  <c r="AJ41" i="46"/>
  <c r="AH41" i="46"/>
  <c r="AG41" i="46"/>
  <c r="AE41" i="46"/>
  <c r="AD41" i="46"/>
  <c r="AB41" i="46"/>
  <c r="AA41" i="46"/>
  <c r="BL40" i="46"/>
  <c r="BK40" i="46"/>
  <c r="BI40" i="46"/>
  <c r="BH40" i="46"/>
  <c r="BF40" i="46"/>
  <c r="BE40" i="46"/>
  <c r="BC40" i="46"/>
  <c r="BB40" i="46"/>
  <c r="AZ40" i="46"/>
  <c r="AY40" i="46"/>
  <c r="AW40" i="46"/>
  <c r="AV40" i="46"/>
  <c r="AT40" i="46"/>
  <c r="AS40" i="46"/>
  <c r="AQ40" i="46"/>
  <c r="AP40" i="46"/>
  <c r="AN40" i="46"/>
  <c r="AM40" i="46"/>
  <c r="AK40" i="46"/>
  <c r="AJ40" i="46"/>
  <c r="AH40" i="46"/>
  <c r="AG40" i="46"/>
  <c r="AE40" i="46"/>
  <c r="AD40" i="46"/>
  <c r="AB40" i="46"/>
  <c r="AA40" i="46"/>
  <c r="BL39" i="46"/>
  <c r="BK39" i="46"/>
  <c r="BI39" i="46"/>
  <c r="BH39" i="46"/>
  <c r="BF39" i="46"/>
  <c r="BE39" i="46"/>
  <c r="BC39" i="46"/>
  <c r="BB39" i="46"/>
  <c r="AZ39" i="46"/>
  <c r="AY39" i="46"/>
  <c r="AW39" i="46"/>
  <c r="AV39" i="46"/>
  <c r="AT39" i="46"/>
  <c r="AS39" i="46"/>
  <c r="AQ39" i="46"/>
  <c r="AP39" i="46"/>
  <c r="AN39" i="46"/>
  <c r="AM39" i="46"/>
  <c r="AK39" i="46"/>
  <c r="AJ39" i="46"/>
  <c r="AH39" i="46"/>
  <c r="AG39" i="46"/>
  <c r="AE39" i="46"/>
  <c r="AD39" i="46"/>
  <c r="AB39" i="46"/>
  <c r="AA39" i="46"/>
  <c r="AA265" i="77" l="1" a="1"/>
  <c r="AA265" i="77" s="1"/>
  <c r="AB264" i="77"/>
  <c r="BL56" i="35"/>
  <c r="BK56" i="35"/>
  <c r="BL55" i="35"/>
  <c r="BK55" i="35"/>
  <c r="BL54" i="35"/>
  <c r="BK54" i="35"/>
  <c r="BL53" i="35"/>
  <c r="BK53" i="35"/>
  <c r="BL52" i="35"/>
  <c r="BK52" i="35"/>
  <c r="BL51" i="35"/>
  <c r="BK51" i="35"/>
  <c r="BL50" i="35"/>
  <c r="BK50" i="35"/>
  <c r="BL49" i="35"/>
  <c r="BK49" i="35"/>
  <c r="BL48" i="35"/>
  <c r="BK48" i="35"/>
  <c r="BL47" i="35"/>
  <c r="BK47" i="35"/>
  <c r="BL46" i="35"/>
  <c r="BK46" i="35"/>
  <c r="BL45" i="35"/>
  <c r="BK45" i="35"/>
  <c r="BL44" i="35"/>
  <c r="BK44" i="35"/>
  <c r="BI56" i="35"/>
  <c r="BH56" i="35"/>
  <c r="BI55" i="35"/>
  <c r="BH55" i="35"/>
  <c r="BI54" i="35"/>
  <c r="BH54" i="35"/>
  <c r="BI53" i="35"/>
  <c r="BH53" i="35"/>
  <c r="BI52" i="35"/>
  <c r="BH52" i="35"/>
  <c r="BI51" i="35"/>
  <c r="BH51" i="35"/>
  <c r="BI50" i="35"/>
  <c r="BH50" i="35"/>
  <c r="BI49" i="35"/>
  <c r="BH49" i="35"/>
  <c r="BI48" i="35"/>
  <c r="BH48" i="35"/>
  <c r="BI47" i="35"/>
  <c r="BH47" i="35"/>
  <c r="BI46" i="35"/>
  <c r="BH46" i="35"/>
  <c r="BI45" i="35"/>
  <c r="BH45" i="35"/>
  <c r="BI44" i="35"/>
  <c r="BH44" i="35"/>
  <c r="BF56" i="35"/>
  <c r="BE56" i="35"/>
  <c r="BF55" i="35"/>
  <c r="BE55" i="35"/>
  <c r="BF54" i="35"/>
  <c r="BE54" i="35"/>
  <c r="BF53" i="35"/>
  <c r="BE53" i="35"/>
  <c r="BF52" i="35"/>
  <c r="BE52" i="35"/>
  <c r="BF51" i="35"/>
  <c r="BE51" i="35"/>
  <c r="BF50" i="35"/>
  <c r="BE50" i="35"/>
  <c r="BF49" i="35"/>
  <c r="BE49" i="35"/>
  <c r="BF48" i="35"/>
  <c r="BE48" i="35"/>
  <c r="BF47" i="35"/>
  <c r="BE47" i="35"/>
  <c r="BF46" i="35"/>
  <c r="BE46" i="35"/>
  <c r="BF45" i="35"/>
  <c r="BE45" i="35"/>
  <c r="BF44" i="35"/>
  <c r="BE44" i="35"/>
  <c r="BC56" i="35"/>
  <c r="BB56" i="35"/>
  <c r="BC55" i="35"/>
  <c r="BB55" i="35"/>
  <c r="BC54" i="35"/>
  <c r="BB54" i="35"/>
  <c r="BC53" i="35"/>
  <c r="BB53" i="35"/>
  <c r="BC52" i="35"/>
  <c r="BB52" i="35"/>
  <c r="BC51" i="35"/>
  <c r="BB51" i="35"/>
  <c r="BC50" i="35"/>
  <c r="BB50" i="35"/>
  <c r="BC49" i="35"/>
  <c r="BB49" i="35"/>
  <c r="BC48" i="35"/>
  <c r="BB48" i="35"/>
  <c r="BC47" i="35"/>
  <c r="BB47" i="35"/>
  <c r="BC46" i="35"/>
  <c r="BB46" i="35"/>
  <c r="BC45" i="35"/>
  <c r="BB45" i="35"/>
  <c r="BC44" i="35"/>
  <c r="BB44" i="35"/>
  <c r="AZ56" i="35"/>
  <c r="AY56" i="35"/>
  <c r="AZ55" i="35"/>
  <c r="AY55" i="35"/>
  <c r="AZ54" i="35"/>
  <c r="AY54" i="35"/>
  <c r="AZ53" i="35"/>
  <c r="AY53" i="35"/>
  <c r="AZ52" i="35"/>
  <c r="AY52" i="35"/>
  <c r="AZ51" i="35"/>
  <c r="AY51" i="35"/>
  <c r="AZ50" i="35"/>
  <c r="AY50" i="35"/>
  <c r="AZ49" i="35"/>
  <c r="AY49" i="35"/>
  <c r="AZ48" i="35"/>
  <c r="AY48" i="35"/>
  <c r="AZ47" i="35"/>
  <c r="AY47" i="35"/>
  <c r="AZ46" i="35"/>
  <c r="AY46" i="35"/>
  <c r="AZ45" i="35"/>
  <c r="AY45" i="35"/>
  <c r="AZ44" i="35"/>
  <c r="AY44" i="35"/>
  <c r="AW56" i="35"/>
  <c r="AV56" i="35"/>
  <c r="AW55" i="35"/>
  <c r="AV55" i="35"/>
  <c r="AW54" i="35"/>
  <c r="AV54" i="35"/>
  <c r="AW53" i="35"/>
  <c r="AV53" i="35"/>
  <c r="AW52" i="35"/>
  <c r="AV52" i="35"/>
  <c r="AW51" i="35"/>
  <c r="AV51" i="35"/>
  <c r="AW50" i="35"/>
  <c r="AV50" i="35"/>
  <c r="AW49" i="35"/>
  <c r="AV49" i="35"/>
  <c r="AW48" i="35"/>
  <c r="AV48" i="35"/>
  <c r="AW47" i="35"/>
  <c r="AV47" i="35"/>
  <c r="AW46" i="35"/>
  <c r="AV46" i="35"/>
  <c r="AW45" i="35"/>
  <c r="AV45" i="35"/>
  <c r="AW44" i="35"/>
  <c r="AV44" i="35"/>
  <c r="AT56" i="35"/>
  <c r="AS56" i="35"/>
  <c r="AT55" i="35"/>
  <c r="AS55" i="35"/>
  <c r="AT54" i="35"/>
  <c r="AS54" i="35"/>
  <c r="AT53" i="35"/>
  <c r="AS53" i="35"/>
  <c r="AT52" i="35"/>
  <c r="AS52" i="35"/>
  <c r="AT51" i="35"/>
  <c r="AS51" i="35"/>
  <c r="AT50" i="35"/>
  <c r="AS50" i="35"/>
  <c r="AT49" i="35"/>
  <c r="AS49" i="35"/>
  <c r="AT48" i="35"/>
  <c r="AS48" i="35"/>
  <c r="AT47" i="35"/>
  <c r="AS47" i="35"/>
  <c r="AT46" i="35"/>
  <c r="AS46" i="35"/>
  <c r="AT45" i="35"/>
  <c r="AS45" i="35"/>
  <c r="AT44" i="35"/>
  <c r="AS44" i="35"/>
  <c r="AQ56" i="35"/>
  <c r="AP56" i="35"/>
  <c r="AQ55" i="35"/>
  <c r="AP55" i="35"/>
  <c r="AQ54" i="35"/>
  <c r="AP54" i="35"/>
  <c r="AQ53" i="35"/>
  <c r="AP53" i="35"/>
  <c r="AQ52" i="35"/>
  <c r="AP52" i="35"/>
  <c r="AQ51" i="35"/>
  <c r="AP51" i="35"/>
  <c r="AQ50" i="35"/>
  <c r="AP50" i="35"/>
  <c r="AQ49" i="35"/>
  <c r="AP49" i="35"/>
  <c r="AQ48" i="35"/>
  <c r="AP48" i="35"/>
  <c r="AQ47" i="35"/>
  <c r="AP47" i="35"/>
  <c r="AQ46" i="35"/>
  <c r="AP46" i="35"/>
  <c r="AQ45" i="35"/>
  <c r="AP45" i="35"/>
  <c r="AQ44" i="35"/>
  <c r="AP44" i="35"/>
  <c r="AN56" i="35"/>
  <c r="AM56" i="35"/>
  <c r="AN55" i="35"/>
  <c r="AM55" i="35"/>
  <c r="AN54" i="35"/>
  <c r="AM54" i="35"/>
  <c r="AN53" i="35"/>
  <c r="AM53" i="35"/>
  <c r="AN52" i="35"/>
  <c r="AM52" i="35"/>
  <c r="AN51" i="35"/>
  <c r="AM51" i="35"/>
  <c r="AN50" i="35"/>
  <c r="AM50" i="35"/>
  <c r="AN49" i="35"/>
  <c r="AM49" i="35"/>
  <c r="AN48" i="35"/>
  <c r="AM48" i="35"/>
  <c r="AN47" i="35"/>
  <c r="AM47" i="35"/>
  <c r="AN46" i="35"/>
  <c r="AM46" i="35"/>
  <c r="AN45" i="35"/>
  <c r="AM45" i="35"/>
  <c r="AN44" i="35"/>
  <c r="AM44" i="35"/>
  <c r="AK56" i="35"/>
  <c r="AJ56" i="35"/>
  <c r="AK55" i="35"/>
  <c r="AJ55" i="35"/>
  <c r="AK54" i="35"/>
  <c r="AJ54" i="35"/>
  <c r="AK53" i="35"/>
  <c r="AJ53" i="35"/>
  <c r="AK52" i="35"/>
  <c r="AJ52" i="35"/>
  <c r="AK51" i="35"/>
  <c r="AJ51" i="35"/>
  <c r="AK50" i="35"/>
  <c r="AJ50" i="35"/>
  <c r="AK49" i="35"/>
  <c r="AJ49" i="35"/>
  <c r="AK48" i="35"/>
  <c r="AJ48" i="35"/>
  <c r="AK47" i="35"/>
  <c r="AJ47" i="35"/>
  <c r="AK46" i="35"/>
  <c r="AJ46" i="35"/>
  <c r="AK45" i="35"/>
  <c r="AJ45" i="35"/>
  <c r="AK44" i="35"/>
  <c r="AJ44" i="35"/>
  <c r="AH56" i="35"/>
  <c r="AG56" i="35"/>
  <c r="AH55" i="35"/>
  <c r="AG55" i="35"/>
  <c r="AH54" i="35"/>
  <c r="AG54" i="35"/>
  <c r="AH53" i="35"/>
  <c r="AG53" i="35"/>
  <c r="AH52" i="35"/>
  <c r="AG52" i="35"/>
  <c r="AH51" i="35"/>
  <c r="AG51" i="35"/>
  <c r="AH50" i="35"/>
  <c r="AG50" i="35"/>
  <c r="AH49" i="35"/>
  <c r="AG49" i="35"/>
  <c r="AH48" i="35"/>
  <c r="AG48" i="35"/>
  <c r="AH47" i="35"/>
  <c r="AG47" i="35"/>
  <c r="AH46" i="35"/>
  <c r="AG46" i="35"/>
  <c r="AH45" i="35"/>
  <c r="AG45" i="35"/>
  <c r="AH44" i="35"/>
  <c r="AG44" i="35"/>
  <c r="AE56" i="35"/>
  <c r="AD56" i="35"/>
  <c r="AE55" i="35"/>
  <c r="AD55" i="35"/>
  <c r="AE54" i="35"/>
  <c r="AD54" i="35"/>
  <c r="AE53" i="35"/>
  <c r="AD53" i="35"/>
  <c r="AE52" i="35"/>
  <c r="AD52" i="35"/>
  <c r="AE51" i="35"/>
  <c r="AD51" i="35"/>
  <c r="AE50" i="35"/>
  <c r="AD50" i="35"/>
  <c r="AE49" i="35"/>
  <c r="AD49" i="35"/>
  <c r="AE48" i="35"/>
  <c r="AD48" i="35"/>
  <c r="AE47" i="35"/>
  <c r="AD47" i="35"/>
  <c r="AE46" i="35"/>
  <c r="AD46" i="35"/>
  <c r="AE45" i="35"/>
  <c r="AD45" i="35"/>
  <c r="AE44" i="35"/>
  <c r="AD44" i="35"/>
  <c r="AB56" i="35"/>
  <c r="AA56" i="35"/>
  <c r="AB55" i="35"/>
  <c r="AA55" i="35"/>
  <c r="AB54" i="35"/>
  <c r="AA54" i="35"/>
  <c r="AB53" i="35"/>
  <c r="AA53" i="35"/>
  <c r="AB52" i="35"/>
  <c r="AA52" i="35"/>
  <c r="AB51" i="35"/>
  <c r="AA51" i="35"/>
  <c r="AB50" i="35"/>
  <c r="AA50" i="35"/>
  <c r="AB49" i="35"/>
  <c r="AA49" i="35"/>
  <c r="AB48" i="35"/>
  <c r="AA48" i="35"/>
  <c r="AB47" i="35"/>
  <c r="AA47" i="35"/>
  <c r="AB46" i="35"/>
  <c r="AA46" i="35"/>
  <c r="AB45" i="35"/>
  <c r="AA45" i="35"/>
  <c r="AB44" i="35"/>
  <c r="AA44" i="35"/>
  <c r="Y56" i="35"/>
  <c r="X56" i="35"/>
  <c r="Y55" i="35"/>
  <c r="X55" i="35"/>
  <c r="Y54" i="35"/>
  <c r="X54" i="35"/>
  <c r="Y53" i="35"/>
  <c r="X53" i="35"/>
  <c r="Y52" i="35"/>
  <c r="X52" i="35"/>
  <c r="Y51" i="35"/>
  <c r="X51" i="35"/>
  <c r="Y50" i="35"/>
  <c r="X50" i="35"/>
  <c r="Y49" i="35"/>
  <c r="X49" i="35"/>
  <c r="Y48" i="35"/>
  <c r="X48" i="35"/>
  <c r="Y47" i="35"/>
  <c r="X47" i="35"/>
  <c r="Y46" i="35"/>
  <c r="X46" i="35"/>
  <c r="Y45" i="35"/>
  <c r="X45" i="35"/>
  <c r="Y44" i="35"/>
  <c r="X44" i="35"/>
  <c r="AA266" i="77" l="1" a="1"/>
  <c r="AA266" i="77" s="1"/>
  <c r="AB265" i="77"/>
  <c r="H18" i="47"/>
  <c r="Y198" i="47"/>
  <c r="Y18" i="47"/>
  <c r="G17" i="47"/>
  <c r="X17" i="47" s="1"/>
  <c r="H17" i="47"/>
  <c r="Y17" i="47" s="1"/>
  <c r="Q24" i="46"/>
  <c r="P24" i="46"/>
  <c r="Q24" i="35"/>
  <c r="P24" i="35"/>
  <c r="I20" i="72"/>
  <c r="I199" i="72" s="1"/>
  <c r="H20" i="72"/>
  <c r="H199" i="72" s="1"/>
  <c r="I20" i="63"/>
  <c r="I199" i="63" s="1"/>
  <c r="H20" i="63"/>
  <c r="H199" i="63" s="1"/>
  <c r="H17" i="11"/>
  <c r="G17" i="11"/>
  <c r="H17" i="54"/>
  <c r="Y17" i="54" s="1"/>
  <c r="G17" i="54"/>
  <c r="X17" i="54" s="1"/>
  <c r="AA267" i="77" l="1" a="1"/>
  <c r="AA267" i="77" s="1"/>
  <c r="AB266" i="77"/>
  <c r="Y198" i="11"/>
  <c r="X17" i="11"/>
  <c r="Y17" i="11"/>
  <c r="Y18" i="11"/>
  <c r="H18" i="11"/>
  <c r="Y18" i="54"/>
  <c r="H18" i="54"/>
  <c r="AA268" i="77" l="1" a="1"/>
  <c r="AA268" i="77" s="1"/>
  <c r="AB267" i="77"/>
  <c r="D30" i="62"/>
  <c r="B30" i="62" s="1"/>
  <c r="D29" i="62"/>
  <c r="B29" i="62" s="1"/>
  <c r="D28" i="62"/>
  <c r="D27" i="62"/>
  <c r="I4" i="73"/>
  <c r="S4" i="73"/>
  <c r="Q4" i="73"/>
  <c r="O4" i="73"/>
  <c r="M4" i="73"/>
  <c r="K4" i="73"/>
  <c r="AA269" i="77" l="1" a="1"/>
  <c r="AA269" i="77" s="1"/>
  <c r="AB268" i="77"/>
  <c r="A58" i="5"/>
  <c r="D31" i="62"/>
  <c r="D26" i="62"/>
  <c r="S4" i="74"/>
  <c r="R4" i="74"/>
  <c r="Q4" i="74"/>
  <c r="P4" i="74"/>
  <c r="O4" i="74"/>
  <c r="N4" i="74"/>
  <c r="M4" i="74"/>
  <c r="L4" i="74"/>
  <c r="K4" i="74"/>
  <c r="J4" i="74"/>
  <c r="I4" i="74"/>
  <c r="H4" i="74"/>
  <c r="G4" i="74"/>
  <c r="S2" i="74"/>
  <c r="R2" i="74"/>
  <c r="Q2" i="74"/>
  <c r="P2" i="74"/>
  <c r="O2" i="74"/>
  <c r="N2" i="74"/>
  <c r="M2" i="74"/>
  <c r="L2" i="74"/>
  <c r="K2" i="74"/>
  <c r="J2" i="74"/>
  <c r="I2" i="74"/>
  <c r="H2" i="74"/>
  <c r="L52" i="21"/>
  <c r="C51" i="21"/>
  <c r="AA21" i="77" s="1"/>
  <c r="L47" i="21"/>
  <c r="C46" i="21"/>
  <c r="Z21" i="77" s="1"/>
  <c r="L42" i="21"/>
  <c r="L37" i="21"/>
  <c r="R18" i="21"/>
  <c r="R17" i="21"/>
  <c r="R16" i="21"/>
  <c r="R15" i="21"/>
  <c r="R14" i="21"/>
  <c r="R13" i="21"/>
  <c r="Z56" i="46"/>
  <c r="Z55" i="46"/>
  <c r="Z54" i="46"/>
  <c r="Z53" i="46"/>
  <c r="Z52" i="46"/>
  <c r="Z51" i="46"/>
  <c r="Z50" i="46"/>
  <c r="Z49" i="46"/>
  <c r="Z48" i="46"/>
  <c r="Z47" i="46"/>
  <c r="Z46" i="46"/>
  <c r="Z45" i="46"/>
  <c r="Z44" i="46"/>
  <c r="Z42" i="46"/>
  <c r="Z41" i="46"/>
  <c r="Z40" i="46"/>
  <c r="Z39" i="46"/>
  <c r="Z56" i="35"/>
  <c r="Z55" i="35"/>
  <c r="Z54" i="35"/>
  <c r="Z53" i="35"/>
  <c r="Z52" i="35"/>
  <c r="Z51" i="35"/>
  <c r="Z50" i="35"/>
  <c r="Z49" i="35"/>
  <c r="Z48" i="35"/>
  <c r="Z47" i="35"/>
  <c r="Z46" i="35"/>
  <c r="Z45" i="35"/>
  <c r="Z44" i="35"/>
  <c r="AA270" i="77" l="1" a="1"/>
  <c r="AA270" i="77" s="1"/>
  <c r="AB269" i="77"/>
  <c r="Z24" i="77"/>
  <c r="Z19" i="77"/>
  <c r="AA24" i="77"/>
  <c r="AA19" i="77"/>
  <c r="F47" i="21"/>
  <c r="I231" i="68" s="1"/>
  <c r="E47" i="21"/>
  <c r="E112" i="55" s="1"/>
  <c r="F52" i="21"/>
  <c r="I295" i="68" s="1"/>
  <c r="E52" i="21"/>
  <c r="E138" i="55" s="1"/>
  <c r="N103" i="76"/>
  <c r="Y103" i="76" s="1"/>
  <c r="M103" i="76"/>
  <c r="X103" i="76" s="1"/>
  <c r="L103" i="76"/>
  <c r="W103" i="76" s="1"/>
  <c r="K103" i="76"/>
  <c r="V103" i="76" s="1"/>
  <c r="J103" i="76"/>
  <c r="U103" i="76" s="1"/>
  <c r="I103" i="76"/>
  <c r="T103" i="76" s="1"/>
  <c r="N102" i="76"/>
  <c r="Y102" i="76" s="1"/>
  <c r="M102" i="76"/>
  <c r="X102" i="76" s="1"/>
  <c r="L102" i="76"/>
  <c r="W102" i="76" s="1"/>
  <c r="K102" i="76"/>
  <c r="V102" i="76" s="1"/>
  <c r="J102" i="76"/>
  <c r="U102" i="76" s="1"/>
  <c r="I102" i="76"/>
  <c r="T102" i="76" s="1"/>
  <c r="N101" i="76"/>
  <c r="Y101" i="76" s="1"/>
  <c r="M101" i="76"/>
  <c r="X101" i="76" s="1"/>
  <c r="L101" i="76"/>
  <c r="W101" i="76" s="1"/>
  <c r="K101" i="76"/>
  <c r="V101" i="76" s="1"/>
  <c r="J101" i="76"/>
  <c r="U101" i="76" s="1"/>
  <c r="I101" i="76"/>
  <c r="T101" i="76" s="1"/>
  <c r="N100" i="76"/>
  <c r="Y100" i="76" s="1"/>
  <c r="M100" i="76"/>
  <c r="X100" i="76" s="1"/>
  <c r="L100" i="76"/>
  <c r="W100" i="76" s="1"/>
  <c r="K100" i="76"/>
  <c r="V100" i="76" s="1"/>
  <c r="J100" i="76"/>
  <c r="U100" i="76" s="1"/>
  <c r="I100" i="76"/>
  <c r="T100" i="76" s="1"/>
  <c r="N99" i="76"/>
  <c r="Y99" i="76" s="1"/>
  <c r="M99" i="76"/>
  <c r="X99" i="76" s="1"/>
  <c r="L99" i="76"/>
  <c r="W99" i="76" s="1"/>
  <c r="K99" i="76"/>
  <c r="V99" i="76" s="1"/>
  <c r="J99" i="76"/>
  <c r="U99" i="76" s="1"/>
  <c r="I99" i="76"/>
  <c r="T99" i="76" s="1"/>
  <c r="N98" i="76"/>
  <c r="Y98" i="76" s="1"/>
  <c r="M98" i="76"/>
  <c r="X98" i="76" s="1"/>
  <c r="L98" i="76"/>
  <c r="W98" i="76" s="1"/>
  <c r="K98" i="76"/>
  <c r="V98" i="76" s="1"/>
  <c r="J98" i="76"/>
  <c r="U98" i="76" s="1"/>
  <c r="I98" i="76"/>
  <c r="T98" i="76" s="1"/>
  <c r="N97" i="76"/>
  <c r="Y97" i="76" s="1"/>
  <c r="M97" i="76"/>
  <c r="X97" i="76" s="1"/>
  <c r="L97" i="76"/>
  <c r="W97" i="76" s="1"/>
  <c r="K97" i="76"/>
  <c r="V97" i="76" s="1"/>
  <c r="J97" i="76"/>
  <c r="U97" i="76" s="1"/>
  <c r="I97" i="76"/>
  <c r="T97" i="76" s="1"/>
  <c r="N96" i="76"/>
  <c r="Y96" i="76" s="1"/>
  <c r="M96" i="76"/>
  <c r="X96" i="76" s="1"/>
  <c r="L96" i="76"/>
  <c r="W96" i="76" s="1"/>
  <c r="K96" i="76"/>
  <c r="V96" i="76" s="1"/>
  <c r="J96" i="76"/>
  <c r="U96" i="76" s="1"/>
  <c r="I96" i="76"/>
  <c r="T96" i="76" s="1"/>
  <c r="N95" i="76"/>
  <c r="Y95" i="76" s="1"/>
  <c r="M95" i="76"/>
  <c r="X95" i="76" s="1"/>
  <c r="L95" i="76"/>
  <c r="W95" i="76" s="1"/>
  <c r="K95" i="76"/>
  <c r="V95" i="76" s="1"/>
  <c r="J95" i="76"/>
  <c r="U95" i="76" s="1"/>
  <c r="I95" i="76"/>
  <c r="T95" i="76" s="1"/>
  <c r="N94" i="76"/>
  <c r="Y94" i="76" s="1"/>
  <c r="M94" i="76"/>
  <c r="X94" i="76" s="1"/>
  <c r="L94" i="76"/>
  <c r="W94" i="76" s="1"/>
  <c r="K94" i="76"/>
  <c r="V94" i="76" s="1"/>
  <c r="J94" i="76"/>
  <c r="U94" i="76" s="1"/>
  <c r="I94" i="76"/>
  <c r="T94" i="76" s="1"/>
  <c r="N93" i="76"/>
  <c r="Y93" i="76" s="1"/>
  <c r="M93" i="76"/>
  <c r="X93" i="76" s="1"/>
  <c r="L93" i="76"/>
  <c r="W93" i="76" s="1"/>
  <c r="K93" i="76"/>
  <c r="V93" i="76" s="1"/>
  <c r="J93" i="76"/>
  <c r="U93" i="76" s="1"/>
  <c r="I93" i="76"/>
  <c r="T93" i="76" s="1"/>
  <c r="N92" i="76"/>
  <c r="Y92" i="76" s="1"/>
  <c r="M92" i="76"/>
  <c r="X92" i="76" s="1"/>
  <c r="L92" i="76"/>
  <c r="W92" i="76" s="1"/>
  <c r="K92" i="76"/>
  <c r="V92" i="76" s="1"/>
  <c r="J92" i="76"/>
  <c r="U92" i="76" s="1"/>
  <c r="I92" i="76"/>
  <c r="T92" i="76" s="1"/>
  <c r="AM111" i="76"/>
  <c r="AD111" i="76"/>
  <c r="AM110" i="76"/>
  <c r="AS110" i="76" s="1"/>
  <c r="AD110" i="76"/>
  <c r="AJ110" i="76" s="1"/>
  <c r="AM109" i="76"/>
  <c r="AQ109" i="76" s="1"/>
  <c r="AD109" i="76"/>
  <c r="AH109" i="76" s="1"/>
  <c r="AM108" i="76"/>
  <c r="AS108" i="76" s="1"/>
  <c r="AD108" i="76"/>
  <c r="AM107" i="76"/>
  <c r="AQ107" i="76" s="1"/>
  <c r="AD107" i="76"/>
  <c r="AM106" i="76"/>
  <c r="AD106" i="76"/>
  <c r="AG106" i="76" s="1"/>
  <c r="AM105" i="76"/>
  <c r="AD105" i="76"/>
  <c r="T131" i="76"/>
  <c r="S131" i="76" s="1"/>
  <c r="T129" i="76"/>
  <c r="S129" i="76" s="1"/>
  <c r="T127" i="76"/>
  <c r="S127" i="76" s="1"/>
  <c r="T125" i="76"/>
  <c r="S125" i="76" s="1"/>
  <c r="T123" i="76"/>
  <c r="S123" i="76" s="1"/>
  <c r="T121" i="76"/>
  <c r="S121" i="76" s="1"/>
  <c r="T119" i="76"/>
  <c r="S119" i="76" s="1"/>
  <c r="T117" i="76"/>
  <c r="S117" i="76" s="1"/>
  <c r="S104" i="76"/>
  <c r="T86" i="76"/>
  <c r="S86" i="76" s="1"/>
  <c r="T80" i="76"/>
  <c r="S80" i="76" s="1"/>
  <c r="T74" i="76"/>
  <c r="S74" i="76" s="1"/>
  <c r="T68" i="76"/>
  <c r="S68" i="76" s="1"/>
  <c r="T62" i="76"/>
  <c r="S62" i="76" s="1"/>
  <c r="T56" i="76"/>
  <c r="S56" i="76" s="1"/>
  <c r="T50" i="76"/>
  <c r="S50" i="76" s="1"/>
  <c r="T49" i="76"/>
  <c r="S49" i="76" s="1"/>
  <c r="T48" i="76"/>
  <c r="S48" i="76" s="1"/>
  <c r="T47" i="76"/>
  <c r="S47" i="76" s="1"/>
  <c r="T42" i="76"/>
  <c r="S42" i="76" s="1"/>
  <c r="U39" i="76"/>
  <c r="T39" i="76"/>
  <c r="U37" i="76"/>
  <c r="T37" i="76"/>
  <c r="U36" i="76"/>
  <c r="T36" i="76"/>
  <c r="U34" i="76"/>
  <c r="T34" i="76"/>
  <c r="U33" i="76"/>
  <c r="T33" i="76"/>
  <c r="U31" i="76"/>
  <c r="T31" i="76"/>
  <c r="U30" i="76"/>
  <c r="T30" i="76"/>
  <c r="U28" i="76"/>
  <c r="T28" i="76"/>
  <c r="U27" i="76"/>
  <c r="T27" i="76"/>
  <c r="U25" i="76"/>
  <c r="T25" i="76"/>
  <c r="T23" i="76"/>
  <c r="S23" i="76" s="1"/>
  <c r="T21" i="76"/>
  <c r="S21" i="76" s="1"/>
  <c r="T20" i="76"/>
  <c r="S20" i="76" s="1"/>
  <c r="T18" i="76"/>
  <c r="S18" i="76" s="1"/>
  <c r="AB3" i="76"/>
  <c r="AB2" i="76"/>
  <c r="Y8" i="76"/>
  <c r="Y7" i="76"/>
  <c r="Y6" i="76"/>
  <c r="Y5" i="76"/>
  <c r="Y4" i="76"/>
  <c r="Y2" i="76"/>
  <c r="G110" i="76"/>
  <c r="G106" i="76"/>
  <c r="E56" i="76"/>
  <c r="E55" i="76"/>
  <c r="E54" i="76"/>
  <c r="E53" i="76"/>
  <c r="E52" i="76"/>
  <c r="E45" i="76"/>
  <c r="E44" i="76"/>
  <c r="E43" i="76" s="1"/>
  <c r="E41" i="76"/>
  <c r="E28" i="76"/>
  <c r="E27" i="76"/>
  <c r="A115" i="76"/>
  <c r="Y3" i="76" s="1"/>
  <c r="A114" i="76"/>
  <c r="A112" i="76"/>
  <c r="W112" i="76" s="1"/>
  <c r="A111" i="76"/>
  <c r="W111" i="76" s="1"/>
  <c r="A110" i="76"/>
  <c r="W110" i="76" s="1"/>
  <c r="A108" i="76"/>
  <c r="W108" i="76" s="1"/>
  <c r="A107" i="76"/>
  <c r="W107" i="76" s="1"/>
  <c r="A106" i="76"/>
  <c r="W106" i="76" s="1"/>
  <c r="A105" i="76"/>
  <c r="W105" i="76" s="1"/>
  <c r="A104" i="76"/>
  <c r="A90" i="76"/>
  <c r="A88" i="76"/>
  <c r="A85" i="76"/>
  <c r="T85" i="76" s="1"/>
  <c r="S85" i="76" s="1"/>
  <c r="A84" i="76"/>
  <c r="T84" i="76" s="1"/>
  <c r="S84" i="76" s="1"/>
  <c r="A82" i="76"/>
  <c r="T82" i="76" s="1"/>
  <c r="S82" i="76" s="1"/>
  <c r="A81" i="76"/>
  <c r="A79" i="76"/>
  <c r="T79" i="76" s="1"/>
  <c r="S79" i="76" s="1"/>
  <c r="A78" i="76"/>
  <c r="T78" i="76" s="1"/>
  <c r="S78" i="76" s="1"/>
  <c r="A76" i="76"/>
  <c r="T76" i="76" s="1"/>
  <c r="S76" i="76" s="1"/>
  <c r="A75" i="76"/>
  <c r="A73" i="76"/>
  <c r="T73" i="76" s="1"/>
  <c r="S73" i="76" s="1"/>
  <c r="A72" i="76"/>
  <c r="T72" i="76" s="1"/>
  <c r="S72" i="76" s="1"/>
  <c r="A70" i="76"/>
  <c r="T70" i="76" s="1"/>
  <c r="S70" i="76" s="1"/>
  <c r="A69" i="76"/>
  <c r="A67" i="76"/>
  <c r="T67" i="76" s="1"/>
  <c r="S67" i="76" s="1"/>
  <c r="A66" i="76"/>
  <c r="T66" i="76" s="1"/>
  <c r="S66" i="76" s="1"/>
  <c r="A64" i="76"/>
  <c r="T64" i="76" s="1"/>
  <c r="S64" i="76" s="1"/>
  <c r="A63" i="76"/>
  <c r="A61" i="76"/>
  <c r="T61" i="76" s="1"/>
  <c r="S61" i="76" s="1"/>
  <c r="A60" i="76"/>
  <c r="T60" i="76" s="1"/>
  <c r="S60" i="76" s="1"/>
  <c r="A58" i="76"/>
  <c r="T58" i="76" s="1"/>
  <c r="S58" i="76" s="1"/>
  <c r="A57" i="76"/>
  <c r="A55" i="76"/>
  <c r="T55" i="76" s="1"/>
  <c r="S55" i="76" s="1"/>
  <c r="A54" i="76"/>
  <c r="T54" i="76" s="1"/>
  <c r="S54" i="76" s="1"/>
  <c r="A52" i="76"/>
  <c r="T52" i="76" s="1"/>
  <c r="S52" i="76" s="1"/>
  <c r="A51" i="76"/>
  <c r="A45" i="76"/>
  <c r="T45" i="76" s="1"/>
  <c r="S45" i="76" s="1"/>
  <c r="A44" i="76"/>
  <c r="T44" i="76" s="1"/>
  <c r="S44" i="76" s="1"/>
  <c r="A43" i="76"/>
  <c r="T43" i="76" s="1"/>
  <c r="S43" i="76" s="1"/>
  <c r="A41" i="76"/>
  <c r="T41" i="76" s="1"/>
  <c r="A40" i="76"/>
  <c r="H15" i="76"/>
  <c r="H12" i="76"/>
  <c r="AH107" i="76" l="1"/>
  <c r="AA271" i="77" a="1"/>
  <c r="AA271" i="77" s="1"/>
  <c r="AB270" i="77"/>
  <c r="S33" i="76"/>
  <c r="S36" i="76"/>
  <c r="AR107" i="76"/>
  <c r="AX109" i="76" s="1"/>
  <c r="AI109" i="76"/>
  <c r="AZ106" i="76" s="1"/>
  <c r="S25" i="76"/>
  <c r="S31" i="76"/>
  <c r="S37" i="76"/>
  <c r="S98" i="76"/>
  <c r="S39" i="76"/>
  <c r="S27" i="76"/>
  <c r="AO107" i="76"/>
  <c r="U41" i="76"/>
  <c r="S41" i="76" s="1"/>
  <c r="T106" i="76"/>
  <c r="U110" i="76"/>
  <c r="U112" i="76"/>
  <c r="X105" i="76"/>
  <c r="X106" i="76"/>
  <c r="X107" i="76"/>
  <c r="X108" i="76"/>
  <c r="X110" i="76"/>
  <c r="X111" i="76"/>
  <c r="X112" i="76"/>
  <c r="S95" i="76"/>
  <c r="S99" i="76"/>
  <c r="S103" i="76"/>
  <c r="Y9" i="76"/>
  <c r="S96" i="76"/>
  <c r="U106" i="76"/>
  <c r="T108" i="76"/>
  <c r="T111" i="76"/>
  <c r="Y105" i="76"/>
  <c r="Y106" i="76"/>
  <c r="Y107" i="76"/>
  <c r="Y108" i="76"/>
  <c r="Y110" i="76"/>
  <c r="Y111" i="76"/>
  <c r="Y112" i="76"/>
  <c r="AN109" i="76"/>
  <c r="S34" i="76"/>
  <c r="T105" i="76"/>
  <c r="T107" i="76"/>
  <c r="U108" i="76"/>
  <c r="U111" i="76"/>
  <c r="T115" i="76"/>
  <c r="S115" i="76" s="1"/>
  <c r="V105" i="76"/>
  <c r="V106" i="76"/>
  <c r="V107" i="76"/>
  <c r="V108" i="76"/>
  <c r="V110" i="76"/>
  <c r="V111" i="76"/>
  <c r="V112" i="76"/>
  <c r="AI107" i="76"/>
  <c r="AO109" i="76"/>
  <c r="AP110" i="76"/>
  <c r="AP111" i="76"/>
  <c r="AS111" i="76" s="1"/>
  <c r="U105" i="76"/>
  <c r="U107" i="76"/>
  <c r="T110" i="76"/>
  <c r="T112" i="76"/>
  <c r="AR109" i="76"/>
  <c r="AZ109" i="76" s="1"/>
  <c r="S30" i="76"/>
  <c r="AP108" i="76"/>
  <c r="AJ109" i="76"/>
  <c r="AG110" i="76"/>
  <c r="S28" i="76"/>
  <c r="S93" i="76"/>
  <c r="AE107" i="76"/>
  <c r="AF107" i="76" s="1"/>
  <c r="AE109" i="76"/>
  <c r="AS109" i="76"/>
  <c r="AG111" i="76"/>
  <c r="AJ111" i="76" s="1"/>
  <c r="S101" i="76"/>
  <c r="S94" i="76"/>
  <c r="S102" i="76"/>
  <c r="AP106" i="76"/>
  <c r="AS106" i="76" s="1"/>
  <c r="AN107" i="76"/>
  <c r="AG108" i="76"/>
  <c r="AJ108" i="76" s="1"/>
  <c r="AF109" i="76"/>
  <c r="AJ106" i="76"/>
  <c r="AH110" i="76"/>
  <c r="AQ110" i="76"/>
  <c r="AQ111" i="76"/>
  <c r="AE106" i="76"/>
  <c r="AF106" i="76" s="1"/>
  <c r="AI106" i="76"/>
  <c r="AN106" i="76"/>
  <c r="AO106" i="76" s="1"/>
  <c r="AR106" i="76"/>
  <c r="AW109" i="76" s="1"/>
  <c r="AG107" i="76"/>
  <c r="AJ107" i="76" s="1"/>
  <c r="AP107" i="76"/>
  <c r="AS107" i="76" s="1"/>
  <c r="AE108" i="76"/>
  <c r="AF108" i="76" s="1"/>
  <c r="AI108" i="76"/>
  <c r="AN108" i="76"/>
  <c r="AR108" i="76"/>
  <c r="AY109" i="76" s="1"/>
  <c r="AG109" i="76"/>
  <c r="AP109" i="76"/>
  <c r="AE110" i="76"/>
  <c r="AI110" i="76"/>
  <c r="AN110" i="76"/>
  <c r="AR110" i="76"/>
  <c r="BA109" i="76" s="1"/>
  <c r="AE111" i="76"/>
  <c r="AF111" i="76" s="1"/>
  <c r="AI111" i="76"/>
  <c r="AN111" i="76"/>
  <c r="AO111" i="76" s="1"/>
  <c r="AR111" i="76"/>
  <c r="BB109" i="76" s="1"/>
  <c r="AH106" i="76"/>
  <c r="AQ106" i="76"/>
  <c r="AH108" i="76"/>
  <c r="AQ108" i="76"/>
  <c r="AH111" i="76"/>
  <c r="AO108" i="76"/>
  <c r="AF110" i="76"/>
  <c r="AO110" i="76"/>
  <c r="S92" i="76"/>
  <c r="S97" i="76"/>
  <c r="S100" i="76"/>
  <c r="J14" i="63"/>
  <c r="F14" i="63"/>
  <c r="AA272" i="77" l="1" a="1"/>
  <c r="AA272" i="77" s="1"/>
  <c r="AB271" i="77"/>
  <c r="S107" i="76"/>
  <c r="S105" i="76"/>
  <c r="AY106" i="76"/>
  <c r="AX106" i="76"/>
  <c r="BB106" i="76"/>
  <c r="BA106" i="76"/>
  <c r="AW106" i="76"/>
  <c r="S110" i="76"/>
  <c r="S111" i="76"/>
  <c r="S112" i="76"/>
  <c r="S108" i="76"/>
  <c r="S106" i="76"/>
  <c r="AA273" i="77" l="1" a="1"/>
  <c r="AA273" i="77" s="1"/>
  <c r="AB273" i="77" s="1"/>
  <c r="AB272" i="77"/>
  <c r="I74" i="52"/>
  <c r="D58" i="6"/>
  <c r="E58" i="5"/>
  <c r="L195" i="55"/>
  <c r="J171" i="54"/>
  <c r="I61" i="39"/>
  <c r="H52" i="17"/>
  <c r="H54" i="62"/>
  <c r="V11" i="11" l="1"/>
  <c r="V11" i="54"/>
  <c r="V11" i="47"/>
  <c r="O21" i="53" l="1"/>
  <c r="O19" i="53"/>
  <c r="O18" i="53"/>
  <c r="O17" i="53"/>
  <c r="O16" i="53"/>
  <c r="O20" i="53"/>
  <c r="J88" i="76" l="1"/>
  <c r="K88" i="76"/>
  <c r="M88" i="76"/>
  <c r="Q3" i="73" s="1"/>
  <c r="L88" i="76"/>
  <c r="O3" i="73" s="1"/>
  <c r="I88" i="76"/>
  <c r="N88" i="76"/>
  <c r="S3" i="73" s="1"/>
  <c r="C11" i="37"/>
  <c r="G13" i="62"/>
  <c r="E12" i="62"/>
  <c r="F15" i="62"/>
  <c r="C13" i="62"/>
  <c r="I12" i="62"/>
  <c r="K3" i="73" l="1"/>
  <c r="B27" i="62"/>
  <c r="I3" i="73"/>
  <c r="W9" i="76"/>
  <c r="W10" i="76"/>
  <c r="M3" i="73"/>
  <c r="B28" i="62"/>
  <c r="K334" i="68"/>
  <c r="C382" i="63"/>
  <c r="E382" i="63" s="1"/>
  <c r="S1" i="74"/>
  <c r="C382" i="72"/>
  <c r="E382" i="72" s="1"/>
  <c r="R1" i="74"/>
  <c r="B31" i="62"/>
  <c r="C380" i="72"/>
  <c r="E380" i="72" s="1"/>
  <c r="C380" i="63"/>
  <c r="E380" i="63" s="1"/>
  <c r="O1" i="74"/>
  <c r="K206" i="68"/>
  <c r="N1" i="74"/>
  <c r="K142" i="68"/>
  <c r="M1" i="74"/>
  <c r="L1" i="74"/>
  <c r="C379" i="72"/>
  <c r="E379" i="72" s="1"/>
  <c r="C379" i="63"/>
  <c r="E379" i="63" s="1"/>
  <c r="C377" i="72"/>
  <c r="E377" i="72" s="1"/>
  <c r="I1" i="74"/>
  <c r="C377" i="63"/>
  <c r="E377" i="63" s="1"/>
  <c r="H1" i="74"/>
  <c r="K14" i="68"/>
  <c r="B26" i="62"/>
  <c r="C381" i="72"/>
  <c r="E381" i="72" s="1"/>
  <c r="Q1" i="74"/>
  <c r="C381" i="63"/>
  <c r="E381" i="63" s="1"/>
  <c r="P1" i="74"/>
  <c r="K270" i="68"/>
  <c r="C378" i="63"/>
  <c r="E378" i="63" s="1"/>
  <c r="K78" i="68"/>
  <c r="K1" i="74"/>
  <c r="C378" i="72"/>
  <c r="E378" i="72" s="1"/>
  <c r="J1" i="74"/>
  <c r="AC111" i="76"/>
  <c r="AL111" i="76" s="1"/>
  <c r="BB105" i="76"/>
  <c r="Y88" i="76"/>
  <c r="V9" i="76"/>
  <c r="AZ105" i="76"/>
  <c r="AC109" i="76"/>
  <c r="AL109" i="76" s="1"/>
  <c r="W88" i="76"/>
  <c r="L89" i="76"/>
  <c r="O1" i="73" s="1"/>
  <c r="O2" i="73" s="1"/>
  <c r="AY105" i="76"/>
  <c r="AC108" i="76"/>
  <c r="AL108" i="76" s="1"/>
  <c r="V88" i="76"/>
  <c r="V10" i="76"/>
  <c r="U10" i="76"/>
  <c r="AW105" i="76"/>
  <c r="T88" i="76"/>
  <c r="U9" i="76"/>
  <c r="AC106" i="76"/>
  <c r="T9" i="76"/>
  <c r="T10" i="76"/>
  <c r="M89" i="76"/>
  <c r="BA105" i="76"/>
  <c r="AC110" i="76"/>
  <c r="AL110" i="76" s="1"/>
  <c r="X88" i="76"/>
  <c r="J89" i="76"/>
  <c r="K1" i="73" s="1"/>
  <c r="AX105" i="76"/>
  <c r="AC107" i="76"/>
  <c r="AL107" i="76" s="1"/>
  <c r="U88" i="76"/>
  <c r="AU2" i="36"/>
  <c r="Q1" i="73" l="1"/>
  <c r="Q2" i="73" s="1"/>
  <c r="O3" i="74"/>
  <c r="E45" i="21"/>
  <c r="Z23" i="77" s="1"/>
  <c r="E204" i="68"/>
  <c r="N3" i="74"/>
  <c r="AL106" i="76"/>
  <c r="K3" i="74"/>
  <c r="E76" i="68"/>
  <c r="J3" i="74"/>
  <c r="E35" i="21"/>
  <c r="X23" i="77" s="1"/>
  <c r="E50" i="21"/>
  <c r="AA23" i="77" s="1"/>
  <c r="Q3" i="74"/>
  <c r="P3" i="74"/>
  <c r="E268" i="68"/>
  <c r="S88" i="76"/>
  <c r="A58" i="6"/>
  <c r="D101" i="77" l="1"/>
  <c r="K188" i="77" s="1"/>
  <c r="D88" i="77"/>
  <c r="K173" i="77" s="1"/>
  <c r="J18" i="52"/>
  <c r="C14" i="5" l="1"/>
  <c r="C13" i="5"/>
  <c r="B16" i="6" l="1"/>
  <c r="B17" i="6"/>
  <c r="B18" i="6"/>
  <c r="B19" i="6"/>
  <c r="B20" i="6"/>
  <c r="B21" i="6"/>
  <c r="O58" i="46"/>
  <c r="G58" i="46"/>
  <c r="P73" i="16" l="1"/>
  <c r="D73" i="16"/>
  <c r="S65" i="46" l="1"/>
  <c r="S64" i="46"/>
  <c r="S63" i="46"/>
  <c r="S62" i="46"/>
  <c r="S61" i="46"/>
  <c r="S60" i="46"/>
  <c r="K65" i="46"/>
  <c r="K64" i="46"/>
  <c r="K63" i="46"/>
  <c r="K62" i="46"/>
  <c r="K61" i="46"/>
  <c r="K60" i="46"/>
  <c r="P65" i="46"/>
  <c r="P64" i="46"/>
  <c r="P63" i="46"/>
  <c r="P62" i="46"/>
  <c r="P61" i="46"/>
  <c r="P60" i="46"/>
  <c r="Q65" i="46"/>
  <c r="Q64" i="46"/>
  <c r="Q63" i="46"/>
  <c r="Q62" i="46"/>
  <c r="Q61" i="46"/>
  <c r="Q60" i="46"/>
  <c r="I65" i="46"/>
  <c r="I64" i="46"/>
  <c r="I63" i="46"/>
  <c r="I62" i="46"/>
  <c r="I61" i="46"/>
  <c r="I60" i="46"/>
  <c r="H65" i="46"/>
  <c r="H64" i="46"/>
  <c r="H63" i="46"/>
  <c r="H62" i="46"/>
  <c r="H61" i="46"/>
  <c r="H60" i="46"/>
  <c r="S65" i="35"/>
  <c r="S64" i="35"/>
  <c r="S63" i="35"/>
  <c r="S62" i="35"/>
  <c r="S61" i="35"/>
  <c r="S60" i="35"/>
  <c r="Q65" i="35"/>
  <c r="Q64" i="35"/>
  <c r="Q63" i="35"/>
  <c r="Q62" i="35"/>
  <c r="Q61" i="35"/>
  <c r="Q60" i="35"/>
  <c r="P65" i="35"/>
  <c r="P64" i="35"/>
  <c r="P63" i="35"/>
  <c r="P62" i="35"/>
  <c r="P61" i="35"/>
  <c r="P60" i="35"/>
  <c r="I64" i="35"/>
  <c r="K65" i="35"/>
  <c r="K64" i="35"/>
  <c r="K63" i="35"/>
  <c r="K62" i="35"/>
  <c r="K61" i="35"/>
  <c r="K60" i="35"/>
  <c r="I65" i="35"/>
  <c r="I63" i="35"/>
  <c r="I62" i="35"/>
  <c r="E62" i="52" s="1"/>
  <c r="I61" i="35"/>
  <c r="I60" i="35"/>
  <c r="H65" i="35"/>
  <c r="H64" i="35"/>
  <c r="H63" i="35"/>
  <c r="H62" i="35"/>
  <c r="H61" i="35"/>
  <c r="H60" i="35"/>
  <c r="D60" i="52" s="1"/>
  <c r="D64" i="52" l="1"/>
  <c r="D61" i="52"/>
  <c r="D65" i="52"/>
  <c r="E63" i="52"/>
  <c r="D62" i="52"/>
  <c r="E60" i="52"/>
  <c r="D63" i="52"/>
  <c r="E61" i="52"/>
  <c r="G62" i="52"/>
  <c r="E64" i="52"/>
  <c r="E65" i="52"/>
  <c r="G63" i="52"/>
  <c r="G60" i="52"/>
  <c r="G64" i="52"/>
  <c r="G61" i="52"/>
  <c r="G65" i="52"/>
  <c r="T4" i="73"/>
  <c r="R4" i="73"/>
  <c r="P4" i="73"/>
  <c r="N4" i="73"/>
  <c r="L4" i="73"/>
  <c r="J4" i="73"/>
  <c r="N17" i="46"/>
  <c r="N17" i="35"/>
  <c r="AI30" i="73"/>
  <c r="AH30" i="73"/>
  <c r="AG30" i="73"/>
  <c r="AF30" i="73"/>
  <c r="AE30" i="73"/>
  <c r="AD30" i="73"/>
  <c r="AC30" i="73"/>
  <c r="AB30" i="73"/>
  <c r="AA30" i="73"/>
  <c r="Z30" i="73"/>
  <c r="Y30" i="73"/>
  <c r="X30" i="73"/>
  <c r="AI28" i="73"/>
  <c r="AH28" i="73"/>
  <c r="AG28" i="73"/>
  <c r="AF28" i="73"/>
  <c r="AE28" i="73"/>
  <c r="AD28" i="73"/>
  <c r="AC28" i="73"/>
  <c r="AB28" i="73"/>
  <c r="AA28" i="73"/>
  <c r="Z28" i="73"/>
  <c r="Y28" i="73"/>
  <c r="X28" i="73"/>
  <c r="AI27" i="73"/>
  <c r="AH27" i="73"/>
  <c r="AG27" i="73"/>
  <c r="AF27" i="73"/>
  <c r="AE27" i="73"/>
  <c r="AD27" i="73"/>
  <c r="AC27" i="73"/>
  <c r="AB27" i="73"/>
  <c r="AA27" i="73"/>
  <c r="Z27" i="73"/>
  <c r="Y27" i="73"/>
  <c r="X27" i="73"/>
  <c r="AI24" i="73"/>
  <c r="AH24" i="73"/>
  <c r="AG24" i="73"/>
  <c r="AF24" i="73"/>
  <c r="AE24" i="73"/>
  <c r="AD24" i="73"/>
  <c r="AC24" i="73"/>
  <c r="AB24" i="73"/>
  <c r="AA24" i="73"/>
  <c r="Z24" i="73"/>
  <c r="Y24" i="73"/>
  <c r="X24" i="73"/>
  <c r="X21" i="73"/>
  <c r="Y21" i="73"/>
  <c r="Z21" i="73"/>
  <c r="AA21" i="73"/>
  <c r="AI22" i="73"/>
  <c r="AH22" i="73"/>
  <c r="AG22" i="73"/>
  <c r="AF22" i="73"/>
  <c r="AE22" i="73"/>
  <c r="AD22" i="73"/>
  <c r="AC22" i="73"/>
  <c r="AB22" i="73"/>
  <c r="AA22" i="73"/>
  <c r="Z22" i="73"/>
  <c r="Y22" i="73"/>
  <c r="AI21" i="73"/>
  <c r="AH21" i="73"/>
  <c r="AG21" i="73"/>
  <c r="AF21" i="73"/>
  <c r="AE21" i="73"/>
  <c r="AD21" i="73"/>
  <c r="AC21" i="73"/>
  <c r="AB21" i="73"/>
  <c r="X22" i="73"/>
  <c r="T29" i="73"/>
  <c r="S29" i="73"/>
  <c r="J65" i="46" s="1"/>
  <c r="R29" i="73"/>
  <c r="Q29" i="73"/>
  <c r="J64" i="46" s="1"/>
  <c r="P29" i="73"/>
  <c r="O29" i="73"/>
  <c r="J63" i="46" s="1"/>
  <c r="N29" i="73"/>
  <c r="M29" i="73"/>
  <c r="J62" i="46" s="1"/>
  <c r="L29" i="73"/>
  <c r="K29" i="73"/>
  <c r="J61" i="46" s="1"/>
  <c r="J29" i="73"/>
  <c r="I29" i="73"/>
  <c r="J60" i="46" s="1"/>
  <c r="T23" i="73"/>
  <c r="S23" i="73"/>
  <c r="R23" i="73"/>
  <c r="P23" i="73"/>
  <c r="O23" i="73"/>
  <c r="N23" i="73"/>
  <c r="M23" i="73"/>
  <c r="L23" i="73"/>
  <c r="K23" i="73"/>
  <c r="J23" i="73"/>
  <c r="I23" i="73"/>
  <c r="Q23" i="73"/>
  <c r="X29" i="73" l="1"/>
  <c r="X26" i="73" s="1"/>
  <c r="AF29" i="73"/>
  <c r="AF26" i="73" s="1"/>
  <c r="X23" i="73"/>
  <c r="X20" i="73" s="1"/>
  <c r="J60" i="35"/>
  <c r="Z23" i="73"/>
  <c r="Z20" i="73" s="1"/>
  <c r="J61" i="35"/>
  <c r="AF23" i="73"/>
  <c r="AF20" i="73" s="1"/>
  <c r="J64" i="35"/>
  <c r="AA23" i="73"/>
  <c r="AA20" i="73" s="1"/>
  <c r="R61" i="35"/>
  <c r="AE23" i="73"/>
  <c r="AE20" i="73" s="1"/>
  <c r="R63" i="35"/>
  <c r="AD29" i="73"/>
  <c r="AD26" i="73" s="1"/>
  <c r="AG23" i="73"/>
  <c r="AG20" i="73" s="1"/>
  <c r="R64" i="35"/>
  <c r="AC29" i="73"/>
  <c r="AC26" i="73" s="1"/>
  <c r="R62" i="46"/>
  <c r="Y23" i="73"/>
  <c r="Y20" i="73" s="1"/>
  <c r="R60" i="35"/>
  <c r="AC23" i="73"/>
  <c r="AC20" i="73" s="1"/>
  <c r="R62" i="35"/>
  <c r="AH23" i="73"/>
  <c r="AH20" i="73" s="1"/>
  <c r="J65" i="35"/>
  <c r="Z29" i="73"/>
  <c r="Z26" i="73" s="1"/>
  <c r="AH29" i="73"/>
  <c r="AH26" i="73" s="1"/>
  <c r="AB23" i="73"/>
  <c r="AB20" i="73" s="1"/>
  <c r="J62" i="35"/>
  <c r="Y29" i="73"/>
  <c r="Y26" i="73" s="1"/>
  <c r="R60" i="46"/>
  <c r="AG29" i="73"/>
  <c r="AG26" i="73" s="1"/>
  <c r="R64" i="46"/>
  <c r="AD23" i="73"/>
  <c r="AD20" i="73" s="1"/>
  <c r="J63" i="35"/>
  <c r="AI23" i="73"/>
  <c r="AI20" i="73" s="1"/>
  <c r="R65" i="35"/>
  <c r="AA29" i="73"/>
  <c r="AA26" i="73" s="1"/>
  <c r="R61" i="46"/>
  <c r="AE29" i="73"/>
  <c r="AE26" i="73" s="1"/>
  <c r="R63" i="46"/>
  <c r="AI29" i="73"/>
  <c r="AI26" i="73" s="1"/>
  <c r="R65" i="46"/>
  <c r="AB29" i="73"/>
  <c r="AB26" i="73" s="1"/>
  <c r="A34" i="37"/>
  <c r="A33" i="37"/>
  <c r="A32" i="37"/>
  <c r="A31" i="37"/>
  <c r="A30" i="37"/>
  <c r="A29" i="37"/>
  <c r="A28" i="37"/>
  <c r="A27" i="37"/>
  <c r="A26" i="37"/>
  <c r="A25" i="37"/>
  <c r="A24" i="37"/>
  <c r="A23" i="37"/>
  <c r="A22" i="37"/>
  <c r="A21" i="37"/>
  <c r="A20" i="37"/>
  <c r="A19" i="37"/>
  <c r="A18" i="37"/>
  <c r="A16" i="37"/>
  <c r="A17" i="37"/>
  <c r="F62" i="52" l="1"/>
  <c r="F63" i="52"/>
  <c r="F65" i="52"/>
  <c r="F64" i="52"/>
  <c r="F61" i="52"/>
  <c r="F60" i="52"/>
  <c r="AH6" i="36"/>
  <c r="F145" i="68" l="1"/>
  <c r="K387" i="68"/>
  <c r="B387" i="68"/>
  <c r="I353" i="68"/>
  <c r="I349" i="68"/>
  <c r="K333" i="68"/>
  <c r="E333" i="68"/>
  <c r="K332" i="68"/>
  <c r="K323" i="68"/>
  <c r="B323" i="68"/>
  <c r="I289" i="68"/>
  <c r="I285" i="68"/>
  <c r="K269" i="68"/>
  <c r="E269" i="68"/>
  <c r="K268" i="68"/>
  <c r="K259" i="68"/>
  <c r="B259" i="68"/>
  <c r="I225" i="68"/>
  <c r="I221" i="68"/>
  <c r="K205" i="68"/>
  <c r="E205" i="68"/>
  <c r="K204" i="68"/>
  <c r="K195" i="68"/>
  <c r="B195" i="68"/>
  <c r="I161" i="68"/>
  <c r="I157" i="68"/>
  <c r="K141" i="68"/>
  <c r="E141" i="68"/>
  <c r="K140" i="68"/>
  <c r="K131" i="68"/>
  <c r="B131" i="68"/>
  <c r="I97" i="68"/>
  <c r="I93" i="68"/>
  <c r="K77" i="68"/>
  <c r="E77" i="68"/>
  <c r="K76" i="68"/>
  <c r="D161" i="68" l="1"/>
  <c r="D82" i="77" s="1"/>
  <c r="C163" i="68"/>
  <c r="D84" i="77" s="1"/>
  <c r="D157" i="68"/>
  <c r="D78" i="77" s="1"/>
  <c r="I227" i="68"/>
  <c r="I291" i="68"/>
  <c r="I355" i="68"/>
  <c r="I99" i="68"/>
  <c r="I163" i="68"/>
  <c r="I165" i="68" s="1"/>
  <c r="AH52" i="36"/>
  <c r="AH51" i="36"/>
  <c r="AH50" i="36"/>
  <c r="AH49" i="36"/>
  <c r="F209" i="68" l="1"/>
  <c r="F273" i="68"/>
  <c r="F81" i="68"/>
  <c r="F337" i="68"/>
  <c r="F17" i="68"/>
  <c r="R16" i="74"/>
  <c r="P16" i="74"/>
  <c r="N16" i="74"/>
  <c r="L16" i="74"/>
  <c r="J16" i="74"/>
  <c r="H16" i="74"/>
  <c r="D353" i="68" l="1"/>
  <c r="D121" i="77" s="1"/>
  <c r="C355" i="68"/>
  <c r="D123" i="77" s="1"/>
  <c r="D97" i="68"/>
  <c r="D69" i="77" s="1"/>
  <c r="C99" i="68"/>
  <c r="D71" i="77" s="1"/>
  <c r="D289" i="68"/>
  <c r="D108" i="77" s="1"/>
  <c r="C291" i="68"/>
  <c r="D110" i="77" s="1"/>
  <c r="D33" i="68"/>
  <c r="D56" i="77" s="1"/>
  <c r="C35" i="68"/>
  <c r="D58" i="77" s="1"/>
  <c r="D225" i="68"/>
  <c r="D95" i="77" s="1"/>
  <c r="C227" i="68"/>
  <c r="D97" i="77" s="1"/>
  <c r="D349" i="68"/>
  <c r="D117" i="77" s="1"/>
  <c r="D93" i="68"/>
  <c r="D65" i="77" s="1"/>
  <c r="D285" i="68"/>
  <c r="D104" i="77" s="1"/>
  <c r="D29" i="68"/>
  <c r="D52" i="77" s="1"/>
  <c r="D221" i="68"/>
  <c r="D91" i="77" s="1"/>
  <c r="I229" i="68"/>
  <c r="I293" i="68"/>
  <c r="I101" i="68"/>
  <c r="I357" i="68"/>
  <c r="R15" i="36"/>
  <c r="S16" i="74" l="1"/>
  <c r="Q16" i="74"/>
  <c r="O16" i="74"/>
  <c r="M16" i="74"/>
  <c r="K16" i="74"/>
  <c r="I16" i="74"/>
  <c r="B31" i="36"/>
  <c r="AH48" i="36" l="1"/>
  <c r="AH47" i="36"/>
  <c r="AH46" i="36"/>
  <c r="AH45" i="36"/>
  <c r="AH44" i="36"/>
  <c r="AH43" i="36"/>
  <c r="AH42" i="36"/>
  <c r="AH41" i="36"/>
  <c r="AH40" i="36"/>
  <c r="AH39" i="36"/>
  <c r="AH38" i="36"/>
  <c r="AH37" i="36"/>
  <c r="AH36" i="36"/>
  <c r="AH35" i="36"/>
  <c r="AH34" i="36"/>
  <c r="AH33" i="36"/>
  <c r="AH32" i="36"/>
  <c r="AH31" i="36"/>
  <c r="AH30" i="36"/>
  <c r="AH29" i="36"/>
  <c r="AH28" i="36"/>
  <c r="AH27" i="36"/>
  <c r="AH26" i="36"/>
  <c r="AH25" i="36"/>
  <c r="AH24" i="36"/>
  <c r="AH23" i="36"/>
  <c r="AH22" i="36"/>
  <c r="AH21" i="36"/>
  <c r="AH20" i="36"/>
  <c r="AH19" i="36"/>
  <c r="AH18" i="36"/>
  <c r="AH17" i="36"/>
  <c r="AH16" i="36"/>
  <c r="AH15" i="36"/>
  <c r="AH14" i="36"/>
  <c r="AH13" i="36"/>
  <c r="AH12" i="36"/>
  <c r="AH7" i="36"/>
  <c r="AH9" i="36"/>
  <c r="AH8" i="36"/>
  <c r="AH11" i="36"/>
  <c r="AH10" i="36"/>
  <c r="AH5" i="36"/>
  <c r="D17" i="46" l="1"/>
  <c r="A23" i="16" l="1"/>
  <c r="I31" i="55" l="1"/>
  <c r="I57" i="55"/>
  <c r="I83" i="55"/>
  <c r="I109" i="55"/>
  <c r="I135" i="55"/>
  <c r="I161" i="55"/>
  <c r="B161" i="55"/>
  <c r="B135" i="55"/>
  <c r="B109" i="55"/>
  <c r="B83" i="55"/>
  <c r="B57" i="55"/>
  <c r="B31" i="55"/>
  <c r="A15" i="55"/>
  <c r="B15" i="36"/>
  <c r="BC7" i="36"/>
  <c r="BC6" i="36"/>
  <c r="BC5" i="36"/>
  <c r="BC4" i="36"/>
  <c r="BC3" i="36"/>
  <c r="BE5" i="36" l="1"/>
  <c r="BD5" i="36"/>
  <c r="BH5" i="36" s="1"/>
  <c r="BG5" i="36"/>
  <c r="BF5" i="36"/>
  <c r="BE6" i="36"/>
  <c r="BD6" i="36"/>
  <c r="BH6" i="36" s="1"/>
  <c r="BG6" i="36"/>
  <c r="BF6" i="36"/>
  <c r="BE3" i="36"/>
  <c r="BD3" i="36"/>
  <c r="K89" i="76" s="1"/>
  <c r="BG3" i="36"/>
  <c r="BF3" i="36"/>
  <c r="BE7" i="36"/>
  <c r="BD7" i="36"/>
  <c r="BH7" i="36" s="1"/>
  <c r="BG7" i="36"/>
  <c r="BF7" i="36"/>
  <c r="BE4" i="36"/>
  <c r="BD4" i="36"/>
  <c r="N89" i="76" s="1"/>
  <c r="BG4" i="36"/>
  <c r="BF4" i="36"/>
  <c r="X90" i="76"/>
  <c r="W90" i="76"/>
  <c r="Y90" i="76"/>
  <c r="U90" i="76"/>
  <c r="V90" i="76"/>
  <c r="T90" i="76"/>
  <c r="F22" i="74"/>
  <c r="F19" i="74"/>
  <c r="F17" i="74"/>
  <c r="F21" i="74"/>
  <c r="F18" i="74"/>
  <c r="F20" i="74"/>
  <c r="BC9" i="36"/>
  <c r="K2" i="73" s="1"/>
  <c r="I89" i="76"/>
  <c r="X8" i="7"/>
  <c r="U8" i="7"/>
  <c r="I1" i="73" l="1"/>
  <c r="I2" i="73" s="1"/>
  <c r="S1" i="73"/>
  <c r="S2" i="73" s="1"/>
  <c r="M1" i="73"/>
  <c r="M2" i="73" s="1"/>
  <c r="L3" i="74"/>
  <c r="E140" i="68"/>
  <c r="M3" i="74"/>
  <c r="E40" i="21"/>
  <c r="Y23" i="77" s="1"/>
  <c r="S3" i="74"/>
  <c r="E55" i="21"/>
  <c r="AB23" i="77" s="1"/>
  <c r="E332" i="68"/>
  <c r="R3" i="74"/>
  <c r="H3" i="74"/>
  <c r="I3" i="74"/>
  <c r="E29" i="21"/>
  <c r="W23" i="77" s="1"/>
  <c r="E12" i="68"/>
  <c r="S90" i="76"/>
  <c r="BH3" i="36"/>
  <c r="D20" i="74"/>
  <c r="C20" i="74"/>
  <c r="B20" i="74"/>
  <c r="D19" i="74"/>
  <c r="C19" i="74"/>
  <c r="B19" i="74"/>
  <c r="C18" i="74"/>
  <c r="B18" i="74"/>
  <c r="D22" i="74"/>
  <c r="C22" i="74"/>
  <c r="B22" i="74"/>
  <c r="D21" i="74"/>
  <c r="B21" i="74"/>
  <c r="C21" i="74"/>
  <c r="BH4" i="36"/>
  <c r="BM7" i="36"/>
  <c r="BM6" i="36"/>
  <c r="BM5" i="36"/>
  <c r="BM4" i="36"/>
  <c r="BM3" i="36"/>
  <c r="D18" i="74"/>
  <c r="P17" i="74"/>
  <c r="Q17" i="74"/>
  <c r="G21" i="74"/>
  <c r="G20" i="74"/>
  <c r="G17" i="74"/>
  <c r="G18" i="74"/>
  <c r="G19" i="74"/>
  <c r="G22" i="74"/>
  <c r="BE9" i="36"/>
  <c r="J13" i="63" s="1"/>
  <c r="BG9" i="36"/>
  <c r="D15" i="65" s="1"/>
  <c r="BF9" i="36"/>
  <c r="BD9" i="36"/>
  <c r="A332" i="68" l="1"/>
  <c r="A76" i="68"/>
  <c r="A268" i="68"/>
  <c r="A12" i="68"/>
  <c r="A140" i="68"/>
  <c r="A204" i="68"/>
  <c r="L57" i="21"/>
  <c r="P24" i="16"/>
  <c r="P145" i="16" s="1"/>
  <c r="N24" i="16"/>
  <c r="N145" i="16" s="1"/>
  <c r="BH8" i="36"/>
  <c r="BH9" i="36" s="1"/>
  <c r="D15" i="18" s="1"/>
  <c r="AM1" i="73"/>
  <c r="C13" i="43"/>
  <c r="C13" i="66"/>
  <c r="F13" i="63"/>
  <c r="F12" i="72"/>
  <c r="D12" i="67"/>
  <c r="D15" i="15"/>
  <c r="D12" i="47"/>
  <c r="D12" i="11"/>
  <c r="D17" i="35"/>
  <c r="D18" i="46"/>
  <c r="D14" i="65"/>
  <c r="C14" i="57"/>
  <c r="A18" i="74"/>
  <c r="A19" i="74"/>
  <c r="A22" i="74"/>
  <c r="A21" i="74"/>
  <c r="A20" i="74"/>
  <c r="I26" i="66"/>
  <c r="J12" i="72"/>
  <c r="K74" i="46"/>
  <c r="D59" i="66"/>
  <c r="D69" i="65"/>
  <c r="F68" i="67"/>
  <c r="E61" i="43"/>
  <c r="F397" i="72"/>
  <c r="O15" i="7"/>
  <c r="J16" i="7"/>
  <c r="J15" i="7"/>
  <c r="J14" i="7"/>
  <c r="P14" i="7"/>
  <c r="Z37" i="35" l="1"/>
  <c r="Z42" i="35"/>
  <c r="Z38" i="46"/>
  <c r="Z37" i="46"/>
  <c r="Z35" i="46"/>
  <c r="Z36" i="46"/>
  <c r="Z43" i="46"/>
  <c r="Z33" i="46"/>
  <c r="Z34" i="46"/>
  <c r="Z28" i="46"/>
  <c r="Z32" i="46"/>
  <c r="Z31" i="46"/>
  <c r="Z30" i="46"/>
  <c r="Z27" i="46"/>
  <c r="Z29" i="46"/>
  <c r="N65" i="16"/>
  <c r="N23" i="16"/>
  <c r="Z41" i="35"/>
  <c r="Z43" i="35"/>
  <c r="Z40" i="35"/>
  <c r="Z39" i="35"/>
  <c r="Z36" i="35"/>
  <c r="Z28" i="35"/>
  <c r="Z31" i="35"/>
  <c r="Z38" i="35"/>
  <c r="Z34" i="35"/>
  <c r="Z33" i="35"/>
  <c r="Z27" i="35"/>
  <c r="Z32" i="35"/>
  <c r="Z29" i="35"/>
  <c r="Z30" i="35"/>
  <c r="Z35" i="35"/>
  <c r="P23" i="16"/>
  <c r="P65" i="16"/>
  <c r="D16" i="17"/>
  <c r="A1" i="74"/>
  <c r="B17" i="35"/>
  <c r="S19" i="36" l="1"/>
  <c r="AI4" i="36"/>
  <c r="D18" i="17"/>
  <c r="H53" i="62"/>
  <c r="F16" i="16"/>
  <c r="A61" i="43" l="1"/>
  <c r="DJ56" i="46" l="1"/>
  <c r="DJ55" i="46"/>
  <c r="DJ54" i="46"/>
  <c r="DJ53" i="46"/>
  <c r="DJ52" i="46"/>
  <c r="DJ51" i="46"/>
  <c r="DJ50" i="46"/>
  <c r="DJ49" i="46"/>
  <c r="DJ48" i="46"/>
  <c r="DJ47" i="46"/>
  <c r="DJ46" i="46"/>
  <c r="DJ45" i="46"/>
  <c r="DJ44" i="46"/>
  <c r="DJ43" i="46"/>
  <c r="DJ42" i="46"/>
  <c r="DJ41" i="46"/>
  <c r="DJ40" i="46"/>
  <c r="DJ39" i="46"/>
  <c r="DJ38" i="46"/>
  <c r="DJ37" i="46"/>
  <c r="DJ36" i="46"/>
  <c r="DJ35" i="46"/>
  <c r="DJ34" i="46"/>
  <c r="DJ33" i="46"/>
  <c r="DJ32" i="46"/>
  <c r="DJ31" i="46"/>
  <c r="DJ30" i="46"/>
  <c r="DJ29" i="46"/>
  <c r="DJ28" i="46"/>
  <c r="DJ27" i="46"/>
  <c r="DD56" i="46"/>
  <c r="DD55" i="46"/>
  <c r="DD54" i="46"/>
  <c r="DD53" i="46"/>
  <c r="DD52" i="46"/>
  <c r="DD51" i="46"/>
  <c r="DD50" i="46"/>
  <c r="DD49" i="46"/>
  <c r="DD48" i="46"/>
  <c r="DD47" i="46"/>
  <c r="DD46" i="46"/>
  <c r="DD45" i="46"/>
  <c r="DD44" i="46"/>
  <c r="DD43" i="46"/>
  <c r="DD42" i="46"/>
  <c r="DD41" i="46"/>
  <c r="DD40" i="46"/>
  <c r="DD39" i="46"/>
  <c r="DD38" i="46"/>
  <c r="DD37" i="46"/>
  <c r="DD36" i="46"/>
  <c r="DD35" i="46"/>
  <c r="DD34" i="46"/>
  <c r="DD33" i="46"/>
  <c r="DD32" i="46"/>
  <c r="DD31" i="46"/>
  <c r="DD30" i="46"/>
  <c r="DD29" i="46"/>
  <c r="DD28" i="46"/>
  <c r="DD27" i="46"/>
  <c r="DD56" i="35"/>
  <c r="DD55" i="35"/>
  <c r="DD54" i="35"/>
  <c r="DD53" i="35"/>
  <c r="DD52" i="35"/>
  <c r="DD51" i="35"/>
  <c r="DD50" i="35"/>
  <c r="DD49" i="35"/>
  <c r="DD48" i="35"/>
  <c r="DD47" i="35"/>
  <c r="DD46" i="35"/>
  <c r="DD45" i="35"/>
  <c r="DD44" i="35"/>
  <c r="DD43" i="35"/>
  <c r="DD42" i="35"/>
  <c r="DD41" i="35"/>
  <c r="DD40" i="35"/>
  <c r="DD39" i="35"/>
  <c r="DD38" i="35"/>
  <c r="DD37" i="35"/>
  <c r="DD36" i="35"/>
  <c r="DD35" i="35"/>
  <c r="DD34" i="35"/>
  <c r="DD33" i="35"/>
  <c r="DD32" i="35"/>
  <c r="DD31" i="35"/>
  <c r="DD30" i="35"/>
  <c r="DD29" i="35"/>
  <c r="DD27" i="35"/>
  <c r="DJ56" i="35"/>
  <c r="DJ55" i="35"/>
  <c r="DJ54" i="35"/>
  <c r="DJ53" i="35"/>
  <c r="DJ52" i="35"/>
  <c r="DJ51" i="35"/>
  <c r="DJ50" i="35"/>
  <c r="DJ49" i="35"/>
  <c r="DJ48" i="35"/>
  <c r="DJ47" i="35"/>
  <c r="DJ46" i="35"/>
  <c r="DJ45" i="35"/>
  <c r="DJ44" i="35"/>
  <c r="DJ43" i="35"/>
  <c r="DJ42" i="35"/>
  <c r="DJ41" i="35"/>
  <c r="DJ40" i="35"/>
  <c r="DJ39" i="35"/>
  <c r="DJ38" i="35"/>
  <c r="DJ37" i="35"/>
  <c r="DJ36" i="35"/>
  <c r="DJ35" i="35"/>
  <c r="DJ34" i="35"/>
  <c r="DJ33" i="35"/>
  <c r="DJ32" i="35"/>
  <c r="DJ31" i="35"/>
  <c r="DJ30" i="35"/>
  <c r="DJ29" i="35"/>
  <c r="DJ27" i="35"/>
  <c r="DJ28" i="35"/>
  <c r="DD28" i="35"/>
  <c r="U375" i="72" l="1"/>
  <c r="BS56" i="35"/>
  <c r="BS55" i="35"/>
  <c r="BS54" i="35"/>
  <c r="BS53" i="35"/>
  <c r="BS52" i="35"/>
  <c r="BS51" i="35"/>
  <c r="BS56" i="46"/>
  <c r="BS55" i="46"/>
  <c r="BS54" i="46"/>
  <c r="BS53" i="46"/>
  <c r="BS52" i="46"/>
  <c r="BS51" i="46"/>
  <c r="BS50" i="46"/>
  <c r="BS49" i="46"/>
  <c r="BS48" i="46"/>
  <c r="BS47" i="46"/>
  <c r="BS46" i="46"/>
  <c r="BS45" i="46"/>
  <c r="BS44" i="46"/>
  <c r="BS42" i="46"/>
  <c r="BS41" i="46"/>
  <c r="BS40" i="46"/>
  <c r="BE18" i="54" l="1"/>
  <c r="BD18" i="54"/>
  <c r="BC18" i="54"/>
  <c r="BB18" i="54"/>
  <c r="Z18" i="54"/>
  <c r="X18" i="54"/>
  <c r="W18" i="54"/>
  <c r="V18" i="54"/>
  <c r="BE198" i="47"/>
  <c r="BD198" i="47"/>
  <c r="BC198" i="47"/>
  <c r="BB198" i="47"/>
  <c r="BE18" i="47"/>
  <c r="BD18" i="47"/>
  <c r="BC18" i="47"/>
  <c r="BB18" i="47"/>
  <c r="Z198" i="47"/>
  <c r="X198" i="47"/>
  <c r="W198" i="47"/>
  <c r="Z18" i="47"/>
  <c r="X18" i="47"/>
  <c r="W18" i="47"/>
  <c r="V18" i="47"/>
  <c r="BE198" i="11"/>
  <c r="BD198" i="11"/>
  <c r="BC198" i="11"/>
  <c r="BB198" i="11"/>
  <c r="Z198" i="11"/>
  <c r="X198" i="11"/>
  <c r="W198" i="11"/>
  <c r="BE18" i="11"/>
  <c r="BD18" i="11"/>
  <c r="BC18" i="11"/>
  <c r="BB18" i="11"/>
  <c r="Z18" i="11"/>
  <c r="X18" i="11"/>
  <c r="W18" i="11"/>
  <c r="V18" i="11"/>
  <c r="I3" i="46"/>
  <c r="AG25" i="46" s="1"/>
  <c r="I2" i="46"/>
  <c r="AH25" i="46" s="1"/>
  <c r="I1" i="46"/>
  <c r="Q3" i="46"/>
  <c r="AM25" i="46" s="1"/>
  <c r="Q2" i="46"/>
  <c r="AN25" i="46" s="1"/>
  <c r="Q1" i="46"/>
  <c r="Q3" i="35"/>
  <c r="AM25" i="35" s="1"/>
  <c r="Q2" i="35"/>
  <c r="AN25" i="35" s="1"/>
  <c r="Q1" i="35"/>
  <c r="I3" i="35"/>
  <c r="AG25" i="35" s="1"/>
  <c r="I2" i="35"/>
  <c r="AH25" i="35" s="1"/>
  <c r="I1" i="35"/>
  <c r="I25" i="35" l="1"/>
  <c r="I25" i="46"/>
  <c r="Q25" i="46"/>
  <c r="Q25" i="35"/>
  <c r="DC56" i="46"/>
  <c r="DC55" i="46"/>
  <c r="DC54" i="46"/>
  <c r="DC53" i="46"/>
  <c r="DC52" i="46"/>
  <c r="DC51" i="46"/>
  <c r="DC50" i="46"/>
  <c r="DC49" i="46"/>
  <c r="DC48" i="46"/>
  <c r="DC47" i="46"/>
  <c r="DC46" i="46"/>
  <c r="DC45" i="46"/>
  <c r="DC44" i="46"/>
  <c r="DC43" i="46"/>
  <c r="DC42" i="46"/>
  <c r="DC41" i="46"/>
  <c r="DC40" i="46"/>
  <c r="DC39" i="46"/>
  <c r="DC38" i="46"/>
  <c r="DC37" i="46"/>
  <c r="DC36" i="46"/>
  <c r="DC35" i="46"/>
  <c r="DC34" i="46"/>
  <c r="DC33" i="46"/>
  <c r="DC32" i="46"/>
  <c r="DC31" i="46"/>
  <c r="DC30" i="46"/>
  <c r="DC29" i="46"/>
  <c r="DC28" i="46"/>
  <c r="DC27" i="46"/>
  <c r="DC56" i="35"/>
  <c r="DC55" i="35"/>
  <c r="DC54" i="35"/>
  <c r="DC53" i="35"/>
  <c r="DC52" i="35"/>
  <c r="DC51" i="35"/>
  <c r="DC50" i="35"/>
  <c r="DC49" i="35"/>
  <c r="DC48" i="35"/>
  <c r="DC47" i="35"/>
  <c r="DC46" i="35"/>
  <c r="DC45" i="35"/>
  <c r="DC44" i="35"/>
  <c r="DC43" i="35"/>
  <c r="DC42" i="35"/>
  <c r="DC41" i="35"/>
  <c r="DC40" i="35"/>
  <c r="DC39" i="35"/>
  <c r="DC38" i="35"/>
  <c r="DC37" i="35"/>
  <c r="DC36" i="35"/>
  <c r="DC35" i="35"/>
  <c r="DC34" i="35"/>
  <c r="DC33" i="35"/>
  <c r="DC32" i="35"/>
  <c r="DC31" i="35"/>
  <c r="DC30" i="35"/>
  <c r="DC29" i="35"/>
  <c r="DC28" i="35"/>
  <c r="AN42" i="35" l="1"/>
  <c r="AM42" i="35"/>
  <c r="AH42" i="35"/>
  <c r="AG42" i="35"/>
  <c r="AG37" i="46"/>
  <c r="AG35" i="46"/>
  <c r="AH38" i="46"/>
  <c r="AH36" i="46"/>
  <c r="AG38" i="46"/>
  <c r="AG36" i="46"/>
  <c r="AH37" i="46"/>
  <c r="AH35" i="46"/>
  <c r="AM37" i="46"/>
  <c r="AM35" i="46"/>
  <c r="AN38" i="46"/>
  <c r="AN36" i="46"/>
  <c r="AM38" i="46"/>
  <c r="AM36" i="46"/>
  <c r="AN37" i="46"/>
  <c r="AN35" i="46"/>
  <c r="AM33" i="46"/>
  <c r="AN33" i="46"/>
  <c r="AN37" i="35"/>
  <c r="AM37" i="35"/>
  <c r="AG33" i="46"/>
  <c r="AH33" i="46"/>
  <c r="AH37" i="35"/>
  <c r="AG37" i="35"/>
  <c r="AM31" i="46"/>
  <c r="AM29" i="46"/>
  <c r="AM27" i="46"/>
  <c r="AN34" i="46"/>
  <c r="AN32" i="46"/>
  <c r="AN30" i="46"/>
  <c r="AN28" i="46"/>
  <c r="AN43" i="46"/>
  <c r="AM34" i="46"/>
  <c r="AM28" i="46"/>
  <c r="AM32" i="46"/>
  <c r="AM30" i="46"/>
  <c r="AM43" i="46"/>
  <c r="AN31" i="46"/>
  <c r="AN29" i="46"/>
  <c r="AN27" i="46"/>
  <c r="AG31" i="46"/>
  <c r="AG29" i="46"/>
  <c r="AG27" i="46"/>
  <c r="AH34" i="46"/>
  <c r="AH32" i="46"/>
  <c r="AH30" i="46"/>
  <c r="AH28" i="46"/>
  <c r="AH43" i="46"/>
  <c r="AG32" i="46"/>
  <c r="AG30" i="46"/>
  <c r="AG43" i="46"/>
  <c r="AG34" i="46"/>
  <c r="AG28" i="46"/>
  <c r="AH27" i="46"/>
  <c r="AH31" i="46"/>
  <c r="AH29" i="46"/>
  <c r="AN41" i="35"/>
  <c r="AN39" i="35"/>
  <c r="AN35" i="35"/>
  <c r="AN33" i="35"/>
  <c r="AN31" i="35"/>
  <c r="AN29" i="35"/>
  <c r="AN27" i="35"/>
  <c r="AM43" i="35"/>
  <c r="AM41" i="35"/>
  <c r="AM39" i="35"/>
  <c r="AM35" i="35"/>
  <c r="AM33" i="35"/>
  <c r="AM31" i="35"/>
  <c r="AM29" i="35"/>
  <c r="AM27" i="35"/>
  <c r="AN43" i="35"/>
  <c r="AN40" i="35"/>
  <c r="AN38" i="35"/>
  <c r="AN36" i="35"/>
  <c r="AN34" i="35"/>
  <c r="AN32" i="35"/>
  <c r="AN30" i="35"/>
  <c r="AN28" i="35"/>
  <c r="AM40" i="35"/>
  <c r="AM36" i="35"/>
  <c r="AM28" i="35"/>
  <c r="AM30" i="35"/>
  <c r="AM38" i="35"/>
  <c r="AM34" i="35"/>
  <c r="AM32" i="35"/>
  <c r="AG41" i="35"/>
  <c r="AG39" i="35"/>
  <c r="AG35" i="35"/>
  <c r="AG33" i="35"/>
  <c r="AG31" i="35"/>
  <c r="AH40" i="35"/>
  <c r="AH38" i="35"/>
  <c r="AH36" i="35"/>
  <c r="AH34" i="35"/>
  <c r="AH32" i="35"/>
  <c r="AH30" i="35"/>
  <c r="AG40" i="35"/>
  <c r="AH33" i="35"/>
  <c r="AH29" i="35"/>
  <c r="AH27" i="35"/>
  <c r="AG30" i="35"/>
  <c r="AG43" i="35"/>
  <c r="AH39" i="35"/>
  <c r="AG36" i="35"/>
  <c r="AG32" i="35"/>
  <c r="AG29" i="35"/>
  <c r="AG27" i="35"/>
  <c r="AG38" i="35"/>
  <c r="AH35" i="35"/>
  <c r="AH31" i="35"/>
  <c r="AH28" i="35"/>
  <c r="AH43" i="35"/>
  <c r="AH41" i="35"/>
  <c r="AG34" i="35"/>
  <c r="AG28" i="35"/>
  <c r="DG31" i="35"/>
  <c r="DG35" i="35"/>
  <c r="DG39" i="35"/>
  <c r="DJ2" i="46"/>
  <c r="DG43" i="35"/>
  <c r="DG47" i="35"/>
  <c r="DG51" i="35"/>
  <c r="DG55" i="35"/>
  <c r="DG46" i="35"/>
  <c r="DG50" i="35"/>
  <c r="DG54" i="35"/>
  <c r="DG30" i="35"/>
  <c r="DG33" i="35"/>
  <c r="DG41" i="35"/>
  <c r="DG45" i="35"/>
  <c r="DG49" i="35"/>
  <c r="DG53" i="35"/>
  <c r="DG37" i="35"/>
  <c r="DG34" i="35"/>
  <c r="DG38" i="35"/>
  <c r="DG42" i="35"/>
  <c r="DE30" i="35"/>
  <c r="DF30" i="35" s="1"/>
  <c r="DG32" i="35"/>
  <c r="DG36" i="35"/>
  <c r="DG40" i="35"/>
  <c r="DG44" i="35"/>
  <c r="DG48" i="35"/>
  <c r="DG52" i="35"/>
  <c r="DG56" i="35"/>
  <c r="DG29" i="35"/>
  <c r="DE29" i="46"/>
  <c r="DL29" i="46" s="1"/>
  <c r="DG31" i="46"/>
  <c r="DE33" i="46"/>
  <c r="DL33" i="46" s="1"/>
  <c r="DG35" i="46"/>
  <c r="DE37" i="46"/>
  <c r="DL37" i="46" s="1"/>
  <c r="DG39" i="46"/>
  <c r="DE41" i="46"/>
  <c r="DL41" i="46" s="1"/>
  <c r="DG43" i="46"/>
  <c r="DE45" i="46"/>
  <c r="DL45" i="46" s="1"/>
  <c r="DG47" i="46"/>
  <c r="DE49" i="46"/>
  <c r="DL49" i="46" s="1"/>
  <c r="DG51" i="46"/>
  <c r="DE53" i="46"/>
  <c r="DL53" i="46" s="1"/>
  <c r="DG55" i="46"/>
  <c r="DE31" i="35"/>
  <c r="DF31" i="35" s="1"/>
  <c r="DE32" i="35"/>
  <c r="DF32" i="35" s="1"/>
  <c r="DE33" i="35"/>
  <c r="DF33" i="35" s="1"/>
  <c r="DE34" i="35"/>
  <c r="DF34" i="35" s="1"/>
  <c r="DE35" i="35"/>
  <c r="DF35" i="35" s="1"/>
  <c r="DE36" i="35"/>
  <c r="DF36" i="35" s="1"/>
  <c r="DE37" i="35"/>
  <c r="DF37" i="35" s="1"/>
  <c r="DE38" i="35"/>
  <c r="DF38" i="35" s="1"/>
  <c r="DE39" i="35"/>
  <c r="DF39" i="35" s="1"/>
  <c r="DE40" i="35"/>
  <c r="DF40" i="35" s="1"/>
  <c r="DE41" i="35"/>
  <c r="DF41" i="35" s="1"/>
  <c r="DE42" i="35"/>
  <c r="DF42" i="35" s="1"/>
  <c r="DE43" i="35"/>
  <c r="DF43" i="35" s="1"/>
  <c r="DE44" i="35"/>
  <c r="DF44" i="35" s="1"/>
  <c r="DE45" i="35"/>
  <c r="DF45" i="35" s="1"/>
  <c r="DE46" i="35"/>
  <c r="DF46" i="35" s="1"/>
  <c r="DE47" i="35"/>
  <c r="DF47" i="35" s="1"/>
  <c r="DE48" i="35"/>
  <c r="DF48" i="35" s="1"/>
  <c r="DE49" i="35"/>
  <c r="DF49" i="35" s="1"/>
  <c r="DE50" i="35"/>
  <c r="DF50" i="35" s="1"/>
  <c r="DE51" i="35"/>
  <c r="DF51" i="35" s="1"/>
  <c r="DE52" i="35"/>
  <c r="DF52" i="35" s="1"/>
  <c r="DE53" i="35"/>
  <c r="DF53" i="35" s="1"/>
  <c r="DE54" i="35"/>
  <c r="DF54" i="35" s="1"/>
  <c r="DE55" i="35"/>
  <c r="DF55" i="35" s="1"/>
  <c r="DE56" i="35"/>
  <c r="DF56" i="35" s="1"/>
  <c r="DE31" i="46"/>
  <c r="DL31" i="46" s="1"/>
  <c r="DE35" i="46"/>
  <c r="DL35" i="46" s="1"/>
  <c r="DE39" i="46"/>
  <c r="DL39" i="46" s="1"/>
  <c r="DE43" i="46"/>
  <c r="DL43" i="46" s="1"/>
  <c r="DE47" i="46"/>
  <c r="DL47" i="46" s="1"/>
  <c r="DE51" i="46"/>
  <c r="DL51" i="46" s="1"/>
  <c r="DE55" i="46"/>
  <c r="DL55" i="46" s="1"/>
  <c r="DE28" i="35"/>
  <c r="DF28" i="35" s="1"/>
  <c r="DG33" i="46"/>
  <c r="DG37" i="46"/>
  <c r="DG41" i="46"/>
  <c r="DG45" i="46"/>
  <c r="DG53" i="46"/>
  <c r="DG29" i="46"/>
  <c r="DG49" i="46"/>
  <c r="DE28" i="46"/>
  <c r="DL28" i="46" s="1"/>
  <c r="DG30" i="46"/>
  <c r="DE32" i="46"/>
  <c r="DL32" i="46" s="1"/>
  <c r="DG34" i="46"/>
  <c r="DE36" i="46"/>
  <c r="DL36" i="46" s="1"/>
  <c r="DG38" i="46"/>
  <c r="DE40" i="46"/>
  <c r="DL40" i="46" s="1"/>
  <c r="DG42" i="46"/>
  <c r="DE44" i="46"/>
  <c r="DL44" i="46" s="1"/>
  <c r="DG46" i="46"/>
  <c r="DE48" i="46"/>
  <c r="DL48" i="46" s="1"/>
  <c r="DG50" i="46"/>
  <c r="DE52" i="46"/>
  <c r="DL52" i="46" s="1"/>
  <c r="DG54" i="46"/>
  <c r="DE56" i="46"/>
  <c r="DL56" i="46" s="1"/>
  <c r="DG28" i="46"/>
  <c r="DE30" i="46"/>
  <c r="DL30" i="46" s="1"/>
  <c r="DG32" i="46"/>
  <c r="DE34" i="46"/>
  <c r="DL34" i="46" s="1"/>
  <c r="DG36" i="46"/>
  <c r="DE38" i="46"/>
  <c r="DL38" i="46" s="1"/>
  <c r="DG40" i="46"/>
  <c r="DE42" i="46"/>
  <c r="DL42" i="46" s="1"/>
  <c r="DG44" i="46"/>
  <c r="DE46" i="46"/>
  <c r="DL46" i="46" s="1"/>
  <c r="DG48" i="46"/>
  <c r="DE50" i="46"/>
  <c r="DL50" i="46" s="1"/>
  <c r="DG52" i="46"/>
  <c r="DE54" i="46"/>
  <c r="DL54" i="46" s="1"/>
  <c r="DG56" i="46"/>
  <c r="DE27" i="46"/>
  <c r="DL27" i="46" s="1"/>
  <c r="DG27" i="46"/>
  <c r="DE29" i="35"/>
  <c r="DF29" i="35" s="1"/>
  <c r="DH55" i="35" l="1"/>
  <c r="DI55" i="35" s="1"/>
  <c r="T55" i="35" s="1"/>
  <c r="BZ55" i="35" s="1"/>
  <c r="DH51" i="35"/>
  <c r="DI51" i="35" s="1"/>
  <c r="T51" i="35" s="1"/>
  <c r="BZ51" i="35" s="1"/>
  <c r="DH54" i="35"/>
  <c r="DI54" i="35" s="1"/>
  <c r="T54" i="35" s="1"/>
  <c r="BZ54" i="35" s="1"/>
  <c r="DH53" i="35"/>
  <c r="DI53" i="35" s="1"/>
  <c r="T53" i="35" s="1"/>
  <c r="BZ53" i="35" s="1"/>
  <c r="DH56" i="35"/>
  <c r="DI56" i="35" s="1"/>
  <c r="T56" i="35" s="1"/>
  <c r="BZ56" i="35" s="1"/>
  <c r="DH51" i="46"/>
  <c r="DI51" i="46" s="1"/>
  <c r="BZ51" i="46" s="1"/>
  <c r="DH43" i="46"/>
  <c r="DI43" i="46" s="1"/>
  <c r="BZ43" i="46" s="1"/>
  <c r="DH52" i="46"/>
  <c r="DI52" i="46" s="1"/>
  <c r="BZ52" i="46" s="1"/>
  <c r="DH47" i="46"/>
  <c r="DI47" i="46" s="1"/>
  <c r="BZ47" i="46" s="1"/>
  <c r="DH52" i="35"/>
  <c r="DI52" i="35" s="1"/>
  <c r="T52" i="35" s="1"/>
  <c r="BZ52" i="35" s="1"/>
  <c r="DH41" i="46"/>
  <c r="DI41" i="46" s="1"/>
  <c r="BZ41" i="46" s="1"/>
  <c r="DH48" i="46"/>
  <c r="DI48" i="46" s="1"/>
  <c r="BZ48" i="46" s="1"/>
  <c r="DH37" i="46"/>
  <c r="DI37" i="46" s="1"/>
  <c r="DH55" i="46"/>
  <c r="DI55" i="46" s="1"/>
  <c r="BZ55" i="46" s="1"/>
  <c r="DH49" i="46"/>
  <c r="DI49" i="46" s="1"/>
  <c r="BZ49" i="46" s="1"/>
  <c r="DH53" i="46"/>
  <c r="DI53" i="46" s="1"/>
  <c r="BZ53" i="46" s="1"/>
  <c r="DH45" i="46"/>
  <c r="DI45" i="46" s="1"/>
  <c r="BZ45" i="46" s="1"/>
  <c r="DH54" i="46"/>
  <c r="DI54" i="46" s="1"/>
  <c r="BZ54" i="46" s="1"/>
  <c r="DH56" i="46"/>
  <c r="DI56" i="46" s="1"/>
  <c r="BZ56" i="46" s="1"/>
  <c r="DH50" i="46"/>
  <c r="DI50" i="46" s="1"/>
  <c r="BZ50" i="46" s="1"/>
  <c r="DH42" i="46"/>
  <c r="DI42" i="46" s="1"/>
  <c r="BZ42" i="46" s="1"/>
  <c r="DH46" i="46"/>
  <c r="DI46" i="46" s="1"/>
  <c r="BZ46" i="46" s="1"/>
  <c r="DH40" i="46"/>
  <c r="DI40" i="46" s="1"/>
  <c r="BZ40" i="46" s="1"/>
  <c r="DH44" i="46"/>
  <c r="DI44" i="46" s="1"/>
  <c r="BZ44" i="46" s="1"/>
  <c r="DD2" i="46" l="1"/>
  <c r="DG27" i="35"/>
  <c r="DC2" i="46"/>
  <c r="DC27" i="35"/>
  <c r="DC2" i="35" s="1"/>
  <c r="DD2" i="35" l="1"/>
  <c r="M397" i="72"/>
  <c r="F393" i="72"/>
  <c r="M393" i="72" s="1"/>
  <c r="F400" i="72"/>
  <c r="M400" i="72" s="1"/>
  <c r="C342" i="72"/>
  <c r="C318" i="72"/>
  <c r="C295" i="72"/>
  <c r="C272" i="72"/>
  <c r="C249" i="72"/>
  <c r="C226" i="72"/>
  <c r="C163" i="72"/>
  <c r="C139" i="72"/>
  <c r="C116" i="72"/>
  <c r="C93" i="72"/>
  <c r="C70" i="72"/>
  <c r="C47" i="72"/>
  <c r="C24" i="72"/>
  <c r="C203" i="72"/>
  <c r="I198" i="72"/>
  <c r="E198" i="72"/>
  <c r="E197" i="72"/>
  <c r="E376" i="72"/>
  <c r="J20" i="72"/>
  <c r="J199" i="72" s="1"/>
  <c r="G20" i="72"/>
  <c r="G199" i="72" s="1"/>
  <c r="F20" i="72"/>
  <c r="F199" i="72" s="1"/>
  <c r="I19" i="72"/>
  <c r="E19" i="72"/>
  <c r="E18" i="72"/>
  <c r="H342" i="72"/>
  <c r="F342" i="72"/>
  <c r="E342" i="72"/>
  <c r="D342" i="72"/>
  <c r="H318" i="72"/>
  <c r="F318" i="72"/>
  <c r="E318" i="72"/>
  <c r="D318" i="72"/>
  <c r="H295" i="72"/>
  <c r="F295" i="72"/>
  <c r="E295" i="72"/>
  <c r="D295" i="72"/>
  <c r="H272" i="72"/>
  <c r="F272" i="72"/>
  <c r="E272" i="72"/>
  <c r="D272" i="72"/>
  <c r="H249" i="72"/>
  <c r="F249" i="72"/>
  <c r="E249" i="72"/>
  <c r="D249" i="72"/>
  <c r="H226" i="72"/>
  <c r="F226" i="72"/>
  <c r="E226" i="72"/>
  <c r="D226" i="72"/>
  <c r="H203" i="72"/>
  <c r="F203" i="72"/>
  <c r="E203" i="72"/>
  <c r="D203" i="72"/>
  <c r="N13" i="72"/>
  <c r="N12" i="72"/>
  <c r="F13" i="72"/>
  <c r="K41" i="53" l="1"/>
  <c r="C384" i="63" l="1"/>
  <c r="E376" i="63"/>
  <c r="C10" i="63"/>
  <c r="J20" i="63" l="1"/>
  <c r="J199" i="63" s="1"/>
  <c r="G20" i="63"/>
  <c r="G199" i="63" s="1"/>
  <c r="F20" i="63"/>
  <c r="F199" i="63" s="1"/>
  <c r="H318" i="63"/>
  <c r="F318" i="63"/>
  <c r="E318" i="63"/>
  <c r="D318" i="63"/>
  <c r="C318" i="63"/>
  <c r="H295" i="63"/>
  <c r="F295" i="63"/>
  <c r="E295" i="63"/>
  <c r="D295" i="63"/>
  <c r="C295" i="63"/>
  <c r="H272" i="63"/>
  <c r="F272" i="63"/>
  <c r="E272" i="63"/>
  <c r="D272" i="63"/>
  <c r="C272" i="63"/>
  <c r="H249" i="63"/>
  <c r="F249" i="63"/>
  <c r="E249" i="63"/>
  <c r="D249" i="63"/>
  <c r="C249" i="63"/>
  <c r="H342" i="63"/>
  <c r="F342" i="63"/>
  <c r="E342" i="63"/>
  <c r="D342" i="63"/>
  <c r="C342" i="63"/>
  <c r="H226" i="63"/>
  <c r="F226" i="63"/>
  <c r="E226" i="63"/>
  <c r="D226" i="63"/>
  <c r="C226" i="63"/>
  <c r="C203" i="63"/>
  <c r="H203" i="63"/>
  <c r="F203" i="63"/>
  <c r="E203" i="63"/>
  <c r="D203" i="63"/>
  <c r="C163" i="63"/>
  <c r="C139" i="63"/>
  <c r="C116" i="63"/>
  <c r="C93" i="63"/>
  <c r="C70" i="63"/>
  <c r="C47" i="63"/>
  <c r="C24" i="63"/>
  <c r="B67" i="68" l="1"/>
  <c r="K67" i="68"/>
  <c r="E13" i="68"/>
  <c r="K12" i="68"/>
  <c r="K13" i="68"/>
  <c r="J13" i="67"/>
  <c r="J12" i="67"/>
  <c r="D13" i="67"/>
  <c r="J68" i="67"/>
  <c r="A68" i="67"/>
  <c r="A59" i="66" l="1"/>
  <c r="G59" i="66"/>
  <c r="H13" i="66"/>
  <c r="H12" i="66"/>
  <c r="C12" i="66"/>
  <c r="I198" i="63" l="1"/>
  <c r="E198" i="63"/>
  <c r="E197" i="63"/>
  <c r="E19" i="63"/>
  <c r="E18" i="63"/>
  <c r="I19" i="63"/>
  <c r="F12" i="63" l="1"/>
  <c r="N13" i="63"/>
  <c r="N12" i="63"/>
  <c r="C395" i="63"/>
  <c r="M395" i="63"/>
  <c r="L13" i="65" l="1"/>
  <c r="L12" i="65"/>
  <c r="D13" i="65"/>
  <c r="D12" i="65"/>
  <c r="K69" i="65"/>
  <c r="A69" i="65"/>
  <c r="D53" i="62" l="1"/>
  <c r="I33" i="68" l="1"/>
  <c r="I29" i="68"/>
  <c r="I35" i="68" l="1"/>
  <c r="I37" i="68" l="1"/>
  <c r="I63" i="43"/>
  <c r="AL2" i="36"/>
  <c r="D60" i="6"/>
  <c r="AL52" i="36"/>
  <c r="AL48" i="36"/>
  <c r="AL44" i="36"/>
  <c r="AL40" i="36"/>
  <c r="AL36" i="36"/>
  <c r="AL32" i="36"/>
  <c r="AL28" i="36"/>
  <c r="AL24" i="36"/>
  <c r="AL20" i="36"/>
  <c r="AL16" i="36"/>
  <c r="AL12" i="36"/>
  <c r="AL8" i="36"/>
  <c r="AL51" i="36"/>
  <c r="AL47" i="36"/>
  <c r="AL43" i="36"/>
  <c r="AL39" i="36"/>
  <c r="AL35" i="36"/>
  <c r="AL31" i="36"/>
  <c r="AL27" i="36"/>
  <c r="AL23" i="36"/>
  <c r="AL19" i="36"/>
  <c r="AL15" i="36"/>
  <c r="AL11" i="36"/>
  <c r="AL7" i="36"/>
  <c r="AL50" i="36"/>
  <c r="AL46" i="36"/>
  <c r="AL42" i="36"/>
  <c r="AL38" i="36"/>
  <c r="AL34" i="36"/>
  <c r="AL30" i="36"/>
  <c r="AL26" i="36"/>
  <c r="AL22" i="36"/>
  <c r="AL18" i="36"/>
  <c r="AL14" i="36"/>
  <c r="AL10" i="36"/>
  <c r="AL6" i="36"/>
  <c r="AL49" i="36"/>
  <c r="AL45" i="36"/>
  <c r="AL41" i="36"/>
  <c r="AL37" i="36"/>
  <c r="AL33" i="36"/>
  <c r="AL29" i="36"/>
  <c r="AL25" i="36"/>
  <c r="AL21" i="36"/>
  <c r="AL17" i="36"/>
  <c r="AL13" i="36"/>
  <c r="AL9" i="36"/>
  <c r="AL5" i="36"/>
  <c r="A77" i="76"/>
  <c r="T77" i="76" s="1"/>
  <c r="S77" i="76" s="1"/>
  <c r="A53" i="76"/>
  <c r="T53" i="76" s="1"/>
  <c r="S53" i="76" s="1"/>
  <c r="A71" i="76"/>
  <c r="T71" i="76" s="1"/>
  <c r="S71" i="76" s="1"/>
  <c r="A91" i="76"/>
  <c r="A65" i="76"/>
  <c r="T65" i="76" s="1"/>
  <c r="S65" i="76" s="1"/>
  <c r="A132" i="76"/>
  <c r="T132" i="76" s="1"/>
  <c r="S132" i="76" s="1"/>
  <c r="A83" i="76"/>
  <c r="T83" i="76" s="1"/>
  <c r="S83" i="76" s="1"/>
  <c r="A59" i="76"/>
  <c r="T59" i="76" s="1"/>
  <c r="S59" i="76" s="1"/>
  <c r="K69" i="68"/>
  <c r="K325" i="68"/>
  <c r="R386" i="11"/>
  <c r="K70" i="65"/>
  <c r="L196" i="55"/>
  <c r="K133" i="68"/>
  <c r="K389" i="68"/>
  <c r="R386" i="47"/>
  <c r="G60" i="66"/>
  <c r="H55" i="57"/>
  <c r="K197" i="68"/>
  <c r="I75" i="52"/>
  <c r="I66" i="15"/>
  <c r="J69" i="67"/>
  <c r="E59" i="5"/>
  <c r="S75" i="46"/>
  <c r="J154" i="16"/>
  <c r="G57" i="18"/>
  <c r="P74" i="16"/>
  <c r="K261" i="68"/>
  <c r="M396" i="63"/>
  <c r="J172" i="54"/>
  <c r="K75" i="35"/>
  <c r="I62" i="39"/>
  <c r="H53" i="17"/>
  <c r="O15" i="55"/>
  <c r="M15" i="55" s="1"/>
  <c r="A202" i="55"/>
  <c r="A198" i="55"/>
  <c r="A201" i="55"/>
  <c r="A200" i="55"/>
  <c r="A199" i="55"/>
  <c r="A67" i="21"/>
  <c r="A66" i="21"/>
  <c r="A69" i="21"/>
  <c r="A65" i="21"/>
  <c r="A68" i="21"/>
  <c r="L32" i="21" l="1"/>
  <c r="D51" i="21"/>
  <c r="D137" i="55" s="1"/>
  <c r="D46" i="21"/>
  <c r="D111" i="55" s="1"/>
  <c r="W91" i="76"/>
  <c r="V91" i="76"/>
  <c r="U91" i="76"/>
  <c r="Y91" i="76"/>
  <c r="T91" i="76"/>
  <c r="X91" i="76"/>
  <c r="B21" i="36"/>
  <c r="D124" i="55" l="1"/>
  <c r="D117" i="55"/>
  <c r="D143" i="55"/>
  <c r="D150" i="55"/>
  <c r="S91" i="76"/>
  <c r="S15" i="76" s="1"/>
  <c r="S9" i="76" s="1"/>
  <c r="DF26" i="46"/>
  <c r="DC20" i="46"/>
  <c r="DC20" i="35" l="1"/>
  <c r="DF26" i="35"/>
  <c r="DE27" i="35" l="1"/>
  <c r="DF27" i="35" s="1"/>
  <c r="DJ2" i="35"/>
  <c r="BR56" i="35"/>
  <c r="BQ56" i="35"/>
  <c r="BP56" i="35"/>
  <c r="BO56" i="35"/>
  <c r="BN56" i="35"/>
  <c r="BR55" i="35"/>
  <c r="BQ55" i="35"/>
  <c r="BP55" i="35"/>
  <c r="BO55" i="35"/>
  <c r="BN55" i="35"/>
  <c r="BR54" i="35"/>
  <c r="BQ54" i="35"/>
  <c r="BP54" i="35"/>
  <c r="BO54" i="35"/>
  <c r="BN54" i="35"/>
  <c r="BR53" i="35"/>
  <c r="BQ53" i="35"/>
  <c r="BP53" i="35"/>
  <c r="BO53" i="35"/>
  <c r="BN53" i="35"/>
  <c r="BR52" i="35"/>
  <c r="BQ52" i="35"/>
  <c r="BP52" i="35"/>
  <c r="BO52" i="35"/>
  <c r="BN52" i="35"/>
  <c r="BR51" i="35"/>
  <c r="BQ51" i="35"/>
  <c r="BP51" i="35"/>
  <c r="BO51" i="35"/>
  <c r="BN51" i="35"/>
  <c r="BP50" i="35"/>
  <c r="BN50" i="35"/>
  <c r="BP49" i="35"/>
  <c r="BN49" i="35"/>
  <c r="BP48" i="35"/>
  <c r="BN48" i="35"/>
  <c r="BP47" i="35"/>
  <c r="BN47" i="35"/>
  <c r="BP46" i="35"/>
  <c r="BN46" i="35"/>
  <c r="BP45" i="35"/>
  <c r="BN45" i="35"/>
  <c r="BP44" i="35"/>
  <c r="BN44" i="35"/>
  <c r="BP43" i="35"/>
  <c r="BN43" i="35"/>
  <c r="BP42" i="35"/>
  <c r="BN42" i="35"/>
  <c r="BP41" i="35"/>
  <c r="BN41" i="35"/>
  <c r="BP40" i="35"/>
  <c r="BN40" i="35"/>
  <c r="BP39" i="35"/>
  <c r="BN39" i="35"/>
  <c r="BP38" i="35"/>
  <c r="BN38" i="35"/>
  <c r="BP37" i="35"/>
  <c r="BN37" i="35"/>
  <c r="BP36" i="35"/>
  <c r="BN36" i="35"/>
  <c r="BP35" i="35"/>
  <c r="BN35" i="35"/>
  <c r="BP34" i="35"/>
  <c r="BN34" i="35"/>
  <c r="BP33" i="35"/>
  <c r="BN33" i="35"/>
  <c r="BP32" i="35"/>
  <c r="BN32" i="35"/>
  <c r="BP31" i="35"/>
  <c r="BN31" i="35"/>
  <c r="BP30" i="35"/>
  <c r="BN30" i="35"/>
  <c r="BP29" i="35"/>
  <c r="BN29" i="35"/>
  <c r="BP28" i="35"/>
  <c r="BN28" i="35"/>
  <c r="BY56" i="35"/>
  <c r="BX56" i="35"/>
  <c r="BW56" i="35"/>
  <c r="BV56" i="35"/>
  <c r="BU56" i="35"/>
  <c r="BY55" i="35"/>
  <c r="BX55" i="35"/>
  <c r="BW55" i="35"/>
  <c r="BV55" i="35"/>
  <c r="BU55" i="35"/>
  <c r="BY54" i="35"/>
  <c r="BX54" i="35"/>
  <c r="BW54" i="35"/>
  <c r="BV54" i="35"/>
  <c r="BU54" i="35"/>
  <c r="BY53" i="35"/>
  <c r="BX53" i="35"/>
  <c r="BW53" i="35"/>
  <c r="BV53" i="35"/>
  <c r="BU53" i="35"/>
  <c r="BY52" i="35"/>
  <c r="BX52" i="35"/>
  <c r="BW52" i="35"/>
  <c r="BV52" i="35"/>
  <c r="BU52" i="35"/>
  <c r="BY51" i="35"/>
  <c r="BX51" i="35"/>
  <c r="BW51" i="35"/>
  <c r="BV51" i="35"/>
  <c r="BU51" i="35"/>
  <c r="BZ25" i="35"/>
  <c r="BY25" i="35"/>
  <c r="BX25" i="35"/>
  <c r="BV25" i="35"/>
  <c r="BR56" i="46"/>
  <c r="BQ56" i="46"/>
  <c r="BP56" i="46"/>
  <c r="BO56" i="46"/>
  <c r="BN56" i="46"/>
  <c r="BR55" i="46"/>
  <c r="BQ55" i="46"/>
  <c r="BP55" i="46"/>
  <c r="BO55" i="46"/>
  <c r="BN55" i="46"/>
  <c r="BR54" i="46"/>
  <c r="BQ54" i="46"/>
  <c r="BP54" i="46"/>
  <c r="BO54" i="46"/>
  <c r="BN54" i="46"/>
  <c r="BR53" i="46"/>
  <c r="BQ53" i="46"/>
  <c r="BP53" i="46"/>
  <c r="BO53" i="46"/>
  <c r="BN53" i="46"/>
  <c r="BR52" i="46"/>
  <c r="BQ52" i="46"/>
  <c r="BP52" i="46"/>
  <c r="BO52" i="46"/>
  <c r="BN52" i="46"/>
  <c r="BR51" i="46"/>
  <c r="BQ51" i="46"/>
  <c r="BP51" i="46"/>
  <c r="BO51" i="46"/>
  <c r="BN51" i="46"/>
  <c r="BR50" i="46"/>
  <c r="BQ50" i="46"/>
  <c r="BP50" i="46"/>
  <c r="BO50" i="46"/>
  <c r="BN50" i="46"/>
  <c r="BR49" i="46"/>
  <c r="BQ49" i="46"/>
  <c r="BP49" i="46"/>
  <c r="BO49" i="46"/>
  <c r="BN49" i="46"/>
  <c r="BR48" i="46"/>
  <c r="BQ48" i="46"/>
  <c r="BP48" i="46"/>
  <c r="BO48" i="46"/>
  <c r="BN48" i="46"/>
  <c r="BR47" i="46"/>
  <c r="BQ47" i="46"/>
  <c r="BP47" i="46"/>
  <c r="BO47" i="46"/>
  <c r="BN47" i="46"/>
  <c r="BR46" i="46"/>
  <c r="BQ46" i="46"/>
  <c r="BP46" i="46"/>
  <c r="BO46" i="46"/>
  <c r="BN46" i="46"/>
  <c r="BR45" i="46"/>
  <c r="BQ45" i="46"/>
  <c r="BP45" i="46"/>
  <c r="BO45" i="46"/>
  <c r="BN45" i="46"/>
  <c r="BR44" i="46"/>
  <c r="BQ44" i="46"/>
  <c r="BP44" i="46"/>
  <c r="BO44" i="46"/>
  <c r="BN44" i="46"/>
  <c r="BP43" i="46"/>
  <c r="BN43" i="46"/>
  <c r="BR42" i="46"/>
  <c r="BQ42" i="46"/>
  <c r="BP42" i="46"/>
  <c r="BO42" i="46"/>
  <c r="BN42" i="46"/>
  <c r="BR41" i="46"/>
  <c r="BQ41" i="46"/>
  <c r="BP41" i="46"/>
  <c r="BO41" i="46"/>
  <c r="BN41" i="46"/>
  <c r="BR40" i="46"/>
  <c r="BQ40" i="46"/>
  <c r="BP40" i="46"/>
  <c r="BO40" i="46"/>
  <c r="BN40" i="46"/>
  <c r="BP39" i="46"/>
  <c r="BN39" i="46"/>
  <c r="BP38" i="46"/>
  <c r="BN38" i="46"/>
  <c r="BP37" i="46"/>
  <c r="BN37" i="46"/>
  <c r="BP36" i="46"/>
  <c r="BN36" i="46"/>
  <c r="BP35" i="46"/>
  <c r="BN35" i="46"/>
  <c r="BP34" i="46"/>
  <c r="BN34" i="46"/>
  <c r="BP33" i="46"/>
  <c r="BN33" i="46"/>
  <c r="BP32" i="46"/>
  <c r="BN32" i="46"/>
  <c r="BP31" i="46"/>
  <c r="BN31" i="46"/>
  <c r="BP30" i="46"/>
  <c r="BN30" i="46"/>
  <c r="BP29" i="46"/>
  <c r="BN29" i="46"/>
  <c r="BP28" i="46"/>
  <c r="BN28" i="46"/>
  <c r="BP27" i="46"/>
  <c r="BN27" i="46"/>
  <c r="BY56" i="46"/>
  <c r="BX56" i="46"/>
  <c r="BW56" i="46"/>
  <c r="BV56" i="46"/>
  <c r="BU56" i="46"/>
  <c r="BY55" i="46"/>
  <c r="BX55" i="46"/>
  <c r="BW55" i="46"/>
  <c r="BV55" i="46"/>
  <c r="BU55" i="46"/>
  <c r="BY54" i="46"/>
  <c r="BX54" i="46"/>
  <c r="BW54" i="46"/>
  <c r="BV54" i="46"/>
  <c r="BU54" i="46"/>
  <c r="BY53" i="46"/>
  <c r="BX53" i="46"/>
  <c r="BW53" i="46"/>
  <c r="BV53" i="46"/>
  <c r="BU53" i="46"/>
  <c r="BY52" i="46"/>
  <c r="BX52" i="46"/>
  <c r="BW52" i="46"/>
  <c r="BV52" i="46"/>
  <c r="BU52" i="46"/>
  <c r="BY51" i="46"/>
  <c r="BX51" i="46"/>
  <c r="BW51" i="46"/>
  <c r="BV51" i="46"/>
  <c r="BU51" i="46"/>
  <c r="BY50" i="46"/>
  <c r="BX50" i="46"/>
  <c r="BW50" i="46"/>
  <c r="BV50" i="46"/>
  <c r="BU50" i="46"/>
  <c r="BY49" i="46"/>
  <c r="BX49" i="46"/>
  <c r="BW49" i="46"/>
  <c r="BV49" i="46"/>
  <c r="BU49" i="46"/>
  <c r="BY48" i="46"/>
  <c r="BX48" i="46"/>
  <c r="BW48" i="46"/>
  <c r="BV48" i="46"/>
  <c r="BU48" i="46"/>
  <c r="BY47" i="46"/>
  <c r="BX47" i="46"/>
  <c r="BW47" i="46"/>
  <c r="BV47" i="46"/>
  <c r="BU47" i="46"/>
  <c r="BY46" i="46"/>
  <c r="BX46" i="46"/>
  <c r="BW46" i="46"/>
  <c r="BV46" i="46"/>
  <c r="BU46" i="46"/>
  <c r="BY45" i="46"/>
  <c r="BX45" i="46"/>
  <c r="BW45" i="46"/>
  <c r="BV45" i="46"/>
  <c r="BU45" i="46"/>
  <c r="BY44" i="46"/>
  <c r="BX44" i="46"/>
  <c r="BW44" i="46"/>
  <c r="BV44" i="46"/>
  <c r="BU44" i="46"/>
  <c r="BY43" i="46"/>
  <c r="BX43" i="46"/>
  <c r="BW43" i="46"/>
  <c r="BV43" i="46"/>
  <c r="BU43" i="46"/>
  <c r="BY42" i="46"/>
  <c r="BX42" i="46"/>
  <c r="BW42" i="46"/>
  <c r="BV42" i="46"/>
  <c r="BU42" i="46"/>
  <c r="BY41" i="46"/>
  <c r="BX41" i="46"/>
  <c r="BW41" i="46"/>
  <c r="BV41" i="46"/>
  <c r="BU41" i="46"/>
  <c r="BY40" i="46"/>
  <c r="BX40" i="46"/>
  <c r="BW40" i="46"/>
  <c r="BV40" i="46"/>
  <c r="BU40" i="46"/>
  <c r="BW37" i="46"/>
  <c r="BU37" i="46"/>
  <c r="BZ25" i="46"/>
  <c r="BY25" i="46"/>
  <c r="BX25" i="46"/>
  <c r="BV25" i="46"/>
  <c r="T1" i="46"/>
  <c r="T24" i="46"/>
  <c r="T25" i="46"/>
  <c r="T25" i="35"/>
  <c r="T1" i="35"/>
  <c r="T24" i="35"/>
  <c r="BY37" i="46" l="1"/>
  <c r="BX37" i="46"/>
  <c r="BV37" i="46"/>
  <c r="BZ37" i="46"/>
  <c r="DG2" i="46"/>
  <c r="DI25" i="35"/>
  <c r="DF25" i="35"/>
  <c r="DE2" i="46"/>
  <c r="DE2" i="35"/>
  <c r="DI25" i="46"/>
  <c r="A29" i="55" l="1"/>
  <c r="A28" i="55" s="1"/>
  <c r="M183" i="55"/>
  <c r="M182" i="55"/>
  <c r="M181" i="55"/>
  <c r="M180" i="55"/>
  <c r="M179" i="55"/>
  <c r="M178" i="55"/>
  <c r="M177" i="55"/>
  <c r="M157" i="55"/>
  <c r="M156" i="55"/>
  <c r="M155" i="55"/>
  <c r="M154" i="55"/>
  <c r="M153" i="55"/>
  <c r="M152" i="55"/>
  <c r="M151" i="55"/>
  <c r="M131" i="55"/>
  <c r="M130" i="55"/>
  <c r="M129" i="55"/>
  <c r="M128" i="55"/>
  <c r="M127" i="55"/>
  <c r="M126" i="55"/>
  <c r="M125" i="55"/>
  <c r="M105" i="55"/>
  <c r="M104" i="55"/>
  <c r="M103" i="55"/>
  <c r="M102" i="55"/>
  <c r="M101" i="55"/>
  <c r="M100" i="55"/>
  <c r="M99" i="55"/>
  <c r="M79" i="55"/>
  <c r="M78" i="55"/>
  <c r="M77" i="55"/>
  <c r="M76" i="55"/>
  <c r="M75" i="55"/>
  <c r="M74" i="55"/>
  <c r="M73" i="55"/>
  <c r="A23" i="55" l="1"/>
  <c r="A19" i="55"/>
  <c r="A18" i="55"/>
  <c r="M53" i="55"/>
  <c r="M52" i="55"/>
  <c r="M51" i="55"/>
  <c r="M50" i="55"/>
  <c r="M49" i="55"/>
  <c r="M48" i="55"/>
  <c r="M47" i="55"/>
  <c r="A27" i="55" l="1"/>
  <c r="A25" i="55"/>
  <c r="A22" i="55"/>
  <c r="A26" i="55"/>
  <c r="A24" i="55"/>
  <c r="B26" i="55"/>
  <c r="B25" i="55"/>
  <c r="B27" i="55"/>
  <c r="E21" i="55"/>
  <c r="E20" i="55"/>
  <c r="E1" i="21"/>
  <c r="C31" i="21" s="1"/>
  <c r="K140" i="16"/>
  <c r="J183" i="55" s="1"/>
  <c r="J140" i="16"/>
  <c r="H183" i="55" s="1"/>
  <c r="I140" i="16"/>
  <c r="G183" i="55" s="1"/>
  <c r="H140" i="16"/>
  <c r="E183" i="55" s="1"/>
  <c r="K139" i="16"/>
  <c r="J182" i="55" s="1"/>
  <c r="J139" i="16"/>
  <c r="H182" i="55" s="1"/>
  <c r="I139" i="16"/>
  <c r="G182" i="55" s="1"/>
  <c r="H139" i="16"/>
  <c r="E182" i="55" s="1"/>
  <c r="K138" i="16"/>
  <c r="J181" i="55" s="1"/>
  <c r="J138" i="16"/>
  <c r="H181" i="55" s="1"/>
  <c r="I138" i="16"/>
  <c r="G181" i="55" s="1"/>
  <c r="H138" i="16"/>
  <c r="E181" i="55" s="1"/>
  <c r="K137" i="16"/>
  <c r="J180" i="55" s="1"/>
  <c r="J137" i="16"/>
  <c r="H180" i="55" s="1"/>
  <c r="I137" i="16"/>
  <c r="G180" i="55" s="1"/>
  <c r="H137" i="16"/>
  <c r="E180" i="55" s="1"/>
  <c r="K136" i="16"/>
  <c r="J179" i="55" s="1"/>
  <c r="J136" i="16"/>
  <c r="H179" i="55" s="1"/>
  <c r="I136" i="16"/>
  <c r="G179" i="55" s="1"/>
  <c r="H136" i="16"/>
  <c r="E179" i="55" s="1"/>
  <c r="K135" i="16"/>
  <c r="J178" i="55" s="1"/>
  <c r="J135" i="16"/>
  <c r="H178" i="55" s="1"/>
  <c r="I135" i="16"/>
  <c r="G178" i="55" s="1"/>
  <c r="H135" i="16"/>
  <c r="E178" i="55" s="1"/>
  <c r="K134" i="16"/>
  <c r="J134" i="16"/>
  <c r="H177" i="55" s="1"/>
  <c r="I134" i="16"/>
  <c r="G177" i="55" s="1"/>
  <c r="H134" i="16"/>
  <c r="E177" i="55" s="1"/>
  <c r="K129" i="16"/>
  <c r="J157" i="55" s="1"/>
  <c r="J129" i="16"/>
  <c r="H157" i="55" s="1"/>
  <c r="I129" i="16"/>
  <c r="G157" i="55" s="1"/>
  <c r="H129" i="16"/>
  <c r="E157" i="55" s="1"/>
  <c r="K128" i="16"/>
  <c r="J156" i="55" s="1"/>
  <c r="J128" i="16"/>
  <c r="H156" i="55" s="1"/>
  <c r="I128" i="16"/>
  <c r="G156" i="55" s="1"/>
  <c r="H128" i="16"/>
  <c r="E156" i="55" s="1"/>
  <c r="K127" i="16"/>
  <c r="J155" i="55" s="1"/>
  <c r="J127" i="16"/>
  <c r="H155" i="55" s="1"/>
  <c r="I127" i="16"/>
  <c r="G155" i="55" s="1"/>
  <c r="H127" i="16"/>
  <c r="E155" i="55" s="1"/>
  <c r="K126" i="16"/>
  <c r="J154" i="55" s="1"/>
  <c r="J126" i="16"/>
  <c r="H154" i="55" s="1"/>
  <c r="I126" i="16"/>
  <c r="G154" i="55" s="1"/>
  <c r="H126" i="16"/>
  <c r="E154" i="55" s="1"/>
  <c r="K125" i="16"/>
  <c r="J153" i="55" s="1"/>
  <c r="J125" i="16"/>
  <c r="H153" i="55" s="1"/>
  <c r="I125" i="16"/>
  <c r="G153" i="55" s="1"/>
  <c r="H125" i="16"/>
  <c r="E153" i="55" s="1"/>
  <c r="K124" i="16"/>
  <c r="J152" i="55" s="1"/>
  <c r="J124" i="16"/>
  <c r="H152" i="55" s="1"/>
  <c r="I124" i="16"/>
  <c r="G152" i="55" s="1"/>
  <c r="H124" i="16"/>
  <c r="E152" i="55" s="1"/>
  <c r="K123" i="16"/>
  <c r="J123" i="16"/>
  <c r="H151" i="55" s="1"/>
  <c r="I123" i="16"/>
  <c r="G151" i="55" s="1"/>
  <c r="H123" i="16"/>
  <c r="E151" i="55" s="1"/>
  <c r="K118" i="16"/>
  <c r="J131" i="55" s="1"/>
  <c r="J118" i="16"/>
  <c r="H131" i="55" s="1"/>
  <c r="I118" i="16"/>
  <c r="G131" i="55" s="1"/>
  <c r="H118" i="16"/>
  <c r="E131" i="55" s="1"/>
  <c r="K117" i="16"/>
  <c r="J130" i="55" s="1"/>
  <c r="J117" i="16"/>
  <c r="H130" i="55" s="1"/>
  <c r="I117" i="16"/>
  <c r="G130" i="55" s="1"/>
  <c r="H117" i="16"/>
  <c r="E130" i="55" s="1"/>
  <c r="K116" i="16"/>
  <c r="J129" i="55" s="1"/>
  <c r="J116" i="16"/>
  <c r="H129" i="55" s="1"/>
  <c r="I116" i="16"/>
  <c r="G129" i="55" s="1"/>
  <c r="H116" i="16"/>
  <c r="E129" i="55" s="1"/>
  <c r="K115" i="16"/>
  <c r="J128" i="55" s="1"/>
  <c r="J115" i="16"/>
  <c r="H128" i="55" s="1"/>
  <c r="I115" i="16"/>
  <c r="G128" i="55" s="1"/>
  <c r="H115" i="16"/>
  <c r="E128" i="55" s="1"/>
  <c r="K114" i="16"/>
  <c r="J127" i="55" s="1"/>
  <c r="J114" i="16"/>
  <c r="H127" i="55" s="1"/>
  <c r="I114" i="16"/>
  <c r="G127" i="55" s="1"/>
  <c r="H114" i="16"/>
  <c r="E127" i="55" s="1"/>
  <c r="K113" i="16"/>
  <c r="J126" i="55" s="1"/>
  <c r="J113" i="16"/>
  <c r="H126" i="55" s="1"/>
  <c r="I113" i="16"/>
  <c r="G126" i="55" s="1"/>
  <c r="H113" i="16"/>
  <c r="E126" i="55" s="1"/>
  <c r="K112" i="16"/>
  <c r="J112" i="16"/>
  <c r="H125" i="55" s="1"/>
  <c r="I112" i="16"/>
  <c r="G125" i="55" s="1"/>
  <c r="H112" i="16"/>
  <c r="E125" i="55" s="1"/>
  <c r="K107" i="16"/>
  <c r="J105" i="55" s="1"/>
  <c r="J107" i="16"/>
  <c r="H105" i="55" s="1"/>
  <c r="I107" i="16"/>
  <c r="G105" i="55" s="1"/>
  <c r="H107" i="16"/>
  <c r="E105" i="55" s="1"/>
  <c r="K106" i="16"/>
  <c r="J104" i="55" s="1"/>
  <c r="J106" i="16"/>
  <c r="H104" i="55" s="1"/>
  <c r="I106" i="16"/>
  <c r="G104" i="55" s="1"/>
  <c r="H106" i="16"/>
  <c r="E104" i="55" s="1"/>
  <c r="K105" i="16"/>
  <c r="J103" i="55" s="1"/>
  <c r="J105" i="16"/>
  <c r="H103" i="55" s="1"/>
  <c r="I105" i="16"/>
  <c r="G103" i="55" s="1"/>
  <c r="H105" i="16"/>
  <c r="E103" i="55" s="1"/>
  <c r="K104" i="16"/>
  <c r="J102" i="55" s="1"/>
  <c r="J104" i="16"/>
  <c r="H102" i="55" s="1"/>
  <c r="I104" i="16"/>
  <c r="G102" i="55" s="1"/>
  <c r="H104" i="16"/>
  <c r="E102" i="55" s="1"/>
  <c r="K103" i="16"/>
  <c r="J101" i="55" s="1"/>
  <c r="J103" i="16"/>
  <c r="H101" i="55" s="1"/>
  <c r="I103" i="16"/>
  <c r="G101" i="55" s="1"/>
  <c r="H103" i="16"/>
  <c r="E101" i="55" s="1"/>
  <c r="K102" i="16"/>
  <c r="J100" i="55" s="1"/>
  <c r="J102" i="16"/>
  <c r="H100" i="55" s="1"/>
  <c r="I102" i="16"/>
  <c r="G100" i="55" s="1"/>
  <c r="H102" i="16"/>
  <c r="E100" i="55" s="1"/>
  <c r="K101" i="16"/>
  <c r="J101" i="16"/>
  <c r="H99" i="55" s="1"/>
  <c r="I101" i="16"/>
  <c r="G99" i="55" s="1"/>
  <c r="H101" i="16"/>
  <c r="E99" i="55" s="1"/>
  <c r="K96" i="16"/>
  <c r="J79" i="55" s="1"/>
  <c r="J96" i="16"/>
  <c r="H79" i="55" s="1"/>
  <c r="I96" i="16"/>
  <c r="G79" i="55" s="1"/>
  <c r="H96" i="16"/>
  <c r="E79" i="55" s="1"/>
  <c r="K95" i="16"/>
  <c r="J78" i="55" s="1"/>
  <c r="J95" i="16"/>
  <c r="H78" i="55" s="1"/>
  <c r="I95" i="16"/>
  <c r="G78" i="55" s="1"/>
  <c r="H95" i="16"/>
  <c r="E78" i="55" s="1"/>
  <c r="K94" i="16"/>
  <c r="J77" i="55" s="1"/>
  <c r="J94" i="16"/>
  <c r="H77" i="55" s="1"/>
  <c r="I94" i="16"/>
  <c r="G77" i="55" s="1"/>
  <c r="H94" i="16"/>
  <c r="E77" i="55" s="1"/>
  <c r="K93" i="16"/>
  <c r="J76" i="55" s="1"/>
  <c r="J93" i="16"/>
  <c r="H76" i="55" s="1"/>
  <c r="I93" i="16"/>
  <c r="G76" i="55" s="1"/>
  <c r="H93" i="16"/>
  <c r="E76" i="55" s="1"/>
  <c r="K92" i="16"/>
  <c r="J75" i="55" s="1"/>
  <c r="J92" i="16"/>
  <c r="H75" i="55" s="1"/>
  <c r="I92" i="16"/>
  <c r="G75" i="55" s="1"/>
  <c r="H92" i="16"/>
  <c r="E75" i="55" s="1"/>
  <c r="K91" i="16"/>
  <c r="J74" i="55" s="1"/>
  <c r="J91" i="16"/>
  <c r="H74" i="55" s="1"/>
  <c r="I91" i="16"/>
  <c r="G74" i="55" s="1"/>
  <c r="H91" i="16"/>
  <c r="E74" i="55" s="1"/>
  <c r="K90" i="16"/>
  <c r="J90" i="16"/>
  <c r="H73" i="55" s="1"/>
  <c r="I90" i="16"/>
  <c r="G73" i="55" s="1"/>
  <c r="H90" i="16"/>
  <c r="E73" i="55" s="1"/>
  <c r="K85" i="16"/>
  <c r="J53" i="55" s="1"/>
  <c r="J85" i="16"/>
  <c r="H53" i="55" s="1"/>
  <c r="I85" i="16"/>
  <c r="G53" i="55" s="1"/>
  <c r="H85" i="16"/>
  <c r="E53" i="55" s="1"/>
  <c r="K84" i="16"/>
  <c r="J52" i="55" s="1"/>
  <c r="J84" i="16"/>
  <c r="H52" i="55" s="1"/>
  <c r="I84" i="16"/>
  <c r="G52" i="55" s="1"/>
  <c r="H84" i="16"/>
  <c r="E52" i="55" s="1"/>
  <c r="K83" i="16"/>
  <c r="J51" i="55" s="1"/>
  <c r="J83" i="16"/>
  <c r="H51" i="55" s="1"/>
  <c r="I83" i="16"/>
  <c r="G51" i="55" s="1"/>
  <c r="H83" i="16"/>
  <c r="E51" i="55" s="1"/>
  <c r="K82" i="16"/>
  <c r="J50" i="55" s="1"/>
  <c r="J82" i="16"/>
  <c r="H50" i="55" s="1"/>
  <c r="I82" i="16"/>
  <c r="G50" i="55" s="1"/>
  <c r="H82" i="16"/>
  <c r="E50" i="55" s="1"/>
  <c r="K81" i="16"/>
  <c r="J49" i="55" s="1"/>
  <c r="J81" i="16"/>
  <c r="H49" i="55" s="1"/>
  <c r="I81" i="16"/>
  <c r="G49" i="55" s="1"/>
  <c r="H81" i="16"/>
  <c r="E49" i="55" s="1"/>
  <c r="K80" i="16"/>
  <c r="J48" i="55" s="1"/>
  <c r="J80" i="16"/>
  <c r="H48" i="55" s="1"/>
  <c r="I80" i="16"/>
  <c r="G48" i="55" s="1"/>
  <c r="H80" i="16"/>
  <c r="E48" i="55" s="1"/>
  <c r="K79" i="16"/>
  <c r="J79" i="16"/>
  <c r="H47" i="55" s="1"/>
  <c r="I79" i="16"/>
  <c r="G47" i="55" s="1"/>
  <c r="H79" i="16"/>
  <c r="E47" i="55" s="1"/>
  <c r="D31" i="21" l="1"/>
  <c r="D33" i="55" s="1"/>
  <c r="W21" i="77"/>
  <c r="E32" i="21"/>
  <c r="E34" i="55" s="1"/>
  <c r="F32" i="21"/>
  <c r="I39" i="68" s="1"/>
  <c r="H24" i="16"/>
  <c r="H145" i="16" s="1"/>
  <c r="E21" i="47"/>
  <c r="N12" i="74"/>
  <c r="P12" i="74"/>
  <c r="J12" i="74"/>
  <c r="R12" i="74"/>
  <c r="L12" i="74"/>
  <c r="E21" i="21"/>
  <c r="J47" i="55"/>
  <c r="M79" i="16"/>
  <c r="L79" i="16"/>
  <c r="K47" i="55" s="1"/>
  <c r="J73" i="55"/>
  <c r="M90" i="16"/>
  <c r="L73" i="55" s="1"/>
  <c r="L90" i="16"/>
  <c r="K73" i="55" s="1"/>
  <c r="J99" i="55"/>
  <c r="M101" i="16"/>
  <c r="L99" i="55" s="1"/>
  <c r="L101" i="16"/>
  <c r="K99" i="55" s="1"/>
  <c r="J125" i="55"/>
  <c r="M112" i="16"/>
  <c r="L125" i="55" s="1"/>
  <c r="L112" i="16"/>
  <c r="K125" i="55" s="1"/>
  <c r="J151" i="55"/>
  <c r="M123" i="16"/>
  <c r="L151" i="55" s="1"/>
  <c r="L123" i="16"/>
  <c r="K151" i="55" s="1"/>
  <c r="J177" i="55"/>
  <c r="M134" i="16"/>
  <c r="L177" i="55" s="1"/>
  <c r="L134" i="16"/>
  <c r="K177" i="55" s="1"/>
  <c r="A29" i="62"/>
  <c r="M380" i="63"/>
  <c r="A26" i="62"/>
  <c r="M377" i="63"/>
  <c r="A30" i="62"/>
  <c r="M381" i="63"/>
  <c r="A27" i="62"/>
  <c r="M378" i="63"/>
  <c r="A31" i="62"/>
  <c r="M382" i="63"/>
  <c r="A28" i="62"/>
  <c r="M379" i="63"/>
  <c r="M135" i="16"/>
  <c r="AG241" i="77" s="1"/>
  <c r="L137" i="16"/>
  <c r="K180" i="55" s="1"/>
  <c r="M138" i="16"/>
  <c r="L181" i="55" s="1"/>
  <c r="L140" i="16"/>
  <c r="K183" i="55" s="1"/>
  <c r="L135" i="16"/>
  <c r="AH241" i="77" s="1"/>
  <c r="M139" i="16"/>
  <c r="L182" i="55" s="1"/>
  <c r="L139" i="16"/>
  <c r="K182" i="55" s="1"/>
  <c r="M137" i="16"/>
  <c r="L180" i="55" s="1"/>
  <c r="L102" i="16"/>
  <c r="AB241" i="77" s="1"/>
  <c r="M113" i="16"/>
  <c r="AC241" i="77" s="1"/>
  <c r="M136" i="16"/>
  <c r="M140" i="16"/>
  <c r="L183" i="55" s="1"/>
  <c r="L129" i="16"/>
  <c r="K157" i="55" s="1"/>
  <c r="L138" i="16"/>
  <c r="K181" i="55" s="1"/>
  <c r="L136" i="16"/>
  <c r="K179" i="55" s="1"/>
  <c r="M124" i="16"/>
  <c r="AE241" i="77" s="1"/>
  <c r="M125" i="16"/>
  <c r="M127" i="16"/>
  <c r="L155" i="55" s="1"/>
  <c r="M128" i="16"/>
  <c r="L156" i="55" s="1"/>
  <c r="L126" i="16"/>
  <c r="K154" i="55" s="1"/>
  <c r="M129" i="16"/>
  <c r="L157" i="55" s="1"/>
  <c r="M126" i="16"/>
  <c r="L154" i="55" s="1"/>
  <c r="L125" i="16"/>
  <c r="K153" i="55" s="1"/>
  <c r="L124" i="16"/>
  <c r="AF241" i="77" s="1"/>
  <c r="L128" i="16"/>
  <c r="K156" i="55" s="1"/>
  <c r="L127" i="16"/>
  <c r="K155" i="55" s="1"/>
  <c r="L118" i="16"/>
  <c r="K131" i="55" s="1"/>
  <c r="L115" i="16"/>
  <c r="K128" i="55" s="1"/>
  <c r="M116" i="16"/>
  <c r="L129" i="55" s="1"/>
  <c r="L113" i="16"/>
  <c r="AD241" i="77" s="1"/>
  <c r="M117" i="16"/>
  <c r="L130" i="55" s="1"/>
  <c r="L117" i="16"/>
  <c r="K130" i="55" s="1"/>
  <c r="M115" i="16"/>
  <c r="L128" i="55" s="1"/>
  <c r="L114" i="16"/>
  <c r="K127" i="55" s="1"/>
  <c r="M114" i="16"/>
  <c r="M118" i="16"/>
  <c r="L131" i="55" s="1"/>
  <c r="L116" i="16"/>
  <c r="K129" i="55" s="1"/>
  <c r="M106" i="16"/>
  <c r="L104" i="55" s="1"/>
  <c r="M102" i="16"/>
  <c r="AA241" i="77" s="1"/>
  <c r="L104" i="16"/>
  <c r="K102" i="55" s="1"/>
  <c r="M105" i="16"/>
  <c r="L103" i="55" s="1"/>
  <c r="L107" i="16"/>
  <c r="K105" i="55" s="1"/>
  <c r="L106" i="16"/>
  <c r="K104" i="55" s="1"/>
  <c r="M104" i="16"/>
  <c r="L102" i="55" s="1"/>
  <c r="L103" i="16"/>
  <c r="K101" i="55" s="1"/>
  <c r="M92" i="16"/>
  <c r="M96" i="16"/>
  <c r="L79" i="55" s="1"/>
  <c r="M103" i="16"/>
  <c r="M107" i="16"/>
  <c r="L105" i="55" s="1"/>
  <c r="L105" i="16"/>
  <c r="K103" i="55" s="1"/>
  <c r="M94" i="16"/>
  <c r="L77" i="55" s="1"/>
  <c r="M91" i="16"/>
  <c r="Y241" i="77" s="1"/>
  <c r="L93" i="16"/>
  <c r="K76" i="55" s="1"/>
  <c r="L95" i="16"/>
  <c r="K78" i="55" s="1"/>
  <c r="M93" i="16"/>
  <c r="L76" i="55" s="1"/>
  <c r="M95" i="16"/>
  <c r="L78" i="55" s="1"/>
  <c r="L92" i="16"/>
  <c r="K75" i="55" s="1"/>
  <c r="L94" i="16"/>
  <c r="K77" i="55" s="1"/>
  <c r="L96" i="16"/>
  <c r="K79" i="55" s="1"/>
  <c r="L91" i="16"/>
  <c r="Z241" i="77" s="1"/>
  <c r="M82" i="16"/>
  <c r="L50" i="55" s="1"/>
  <c r="L81" i="16"/>
  <c r="K49" i="55" s="1"/>
  <c r="L85" i="16"/>
  <c r="K53" i="55" s="1"/>
  <c r="L83" i="16"/>
  <c r="K51" i="55" s="1"/>
  <c r="M81" i="16"/>
  <c r="M85" i="16"/>
  <c r="L53" i="55" s="1"/>
  <c r="M80" i="16"/>
  <c r="W241" i="77" s="1"/>
  <c r="M84" i="16"/>
  <c r="L52" i="55" s="1"/>
  <c r="L82" i="16"/>
  <c r="K50" i="55" s="1"/>
  <c r="M83" i="16"/>
  <c r="L51" i="55" s="1"/>
  <c r="L80" i="16"/>
  <c r="X241" i="77" s="1"/>
  <c r="L84" i="16"/>
  <c r="K52" i="55" s="1"/>
  <c r="C15" i="57"/>
  <c r="C16" i="57"/>
  <c r="D49" i="77" l="1"/>
  <c r="K128" i="77" s="1"/>
  <c r="K100" i="55"/>
  <c r="K178" i="55"/>
  <c r="K74" i="55"/>
  <c r="K48" i="55"/>
  <c r="L75" i="55"/>
  <c r="L49" i="55"/>
  <c r="L153" i="55"/>
  <c r="L101" i="55"/>
  <c r="L127" i="55"/>
  <c r="L179" i="55"/>
  <c r="L178" i="55"/>
  <c r="L74" i="55"/>
  <c r="L48" i="55"/>
  <c r="L100" i="55"/>
  <c r="L47" i="55"/>
  <c r="G225" i="77"/>
  <c r="W24" i="77"/>
  <c r="W19" i="77"/>
  <c r="D46" i="55"/>
  <c r="D39" i="55"/>
  <c r="H65" i="16"/>
  <c r="H23" i="16"/>
  <c r="DH43" i="35"/>
  <c r="DI43" i="35" s="1"/>
  <c r="T43" i="35" s="1"/>
  <c r="E28" i="21"/>
  <c r="H29" i="21"/>
  <c r="C39" i="47" a="1"/>
  <c r="C39" i="47" s="1"/>
  <c r="C35" i="47" a="1"/>
  <c r="C35" i="47" s="1"/>
  <c r="C31" i="47" a="1"/>
  <c r="C31" i="47" s="1"/>
  <c r="C27" i="47" a="1"/>
  <c r="C27" i="47" s="1"/>
  <c r="C23" i="47" a="1"/>
  <c r="C23" i="47" s="1"/>
  <c r="C41" i="47" a="1"/>
  <c r="C41" i="47" s="1"/>
  <c r="C36" i="47" a="1"/>
  <c r="C36" i="47" s="1"/>
  <c r="C30" i="47" a="1"/>
  <c r="C30" i="47" s="1"/>
  <c r="C25" i="47" a="1"/>
  <c r="C25" i="47" s="1"/>
  <c r="C40" i="47" a="1"/>
  <c r="C40" i="47" s="1"/>
  <c r="C34" i="47" a="1"/>
  <c r="C34" i="47" s="1"/>
  <c r="C29" i="47" a="1"/>
  <c r="C29" i="47" s="1"/>
  <c r="C24" i="47" a="1"/>
  <c r="C24" i="47" s="1"/>
  <c r="C32" i="47" a="1"/>
  <c r="C32" i="47" s="1"/>
  <c r="C37" i="47" a="1"/>
  <c r="C37" i="47" s="1"/>
  <c r="C22" i="47" a="1"/>
  <c r="C22" i="47" s="1"/>
  <c r="C38" i="47" a="1"/>
  <c r="C38" i="47" s="1"/>
  <c r="C28" i="47" a="1"/>
  <c r="C28" i="47" s="1"/>
  <c r="C26" i="47" a="1"/>
  <c r="C26" i="47" s="1"/>
  <c r="C33" i="47" a="1"/>
  <c r="C33" i="47" s="1"/>
  <c r="G259" i="68"/>
  <c r="T377" i="72"/>
  <c r="M377" i="72"/>
  <c r="T382" i="72"/>
  <c r="M382" i="72"/>
  <c r="T381" i="72"/>
  <c r="M381" i="72"/>
  <c r="T379" i="72"/>
  <c r="M379" i="72"/>
  <c r="T378" i="72"/>
  <c r="M378" i="72"/>
  <c r="T380" i="72"/>
  <c r="M380" i="72"/>
  <c r="E24" i="55"/>
  <c r="G41" i="77" s="1"/>
  <c r="M13" i="21"/>
  <c r="DH38" i="35"/>
  <c r="DI38" i="35" s="1"/>
  <c r="T38" i="35" s="1"/>
  <c r="DH40" i="35"/>
  <c r="DI40" i="35" s="1"/>
  <c r="T40" i="35" s="1"/>
  <c r="DH36" i="35"/>
  <c r="DI36" i="35" s="1"/>
  <c r="T36" i="35" s="1"/>
  <c r="H12" i="74"/>
  <c r="T3" i="73"/>
  <c r="S18" i="73"/>
  <c r="J3" i="73"/>
  <c r="I18" i="73"/>
  <c r="R3" i="73"/>
  <c r="Q18" i="73"/>
  <c r="L3" i="73"/>
  <c r="K18" i="73"/>
  <c r="P3" i="73"/>
  <c r="O18" i="73"/>
  <c r="N3" i="73"/>
  <c r="M18" i="73"/>
  <c r="DH31" i="35"/>
  <c r="DI31" i="35" s="1"/>
  <c r="T31" i="35" s="1"/>
  <c r="DH35" i="35"/>
  <c r="DI35" i="35" s="1"/>
  <c r="T35" i="35" s="1"/>
  <c r="DH37" i="35"/>
  <c r="DI37" i="35" s="1"/>
  <c r="T37" i="35" s="1"/>
  <c r="DH29" i="46"/>
  <c r="DI29" i="46" s="1"/>
  <c r="DH28" i="46"/>
  <c r="DI28" i="46" s="1"/>
  <c r="DH35" i="46"/>
  <c r="DI35" i="46" s="1"/>
  <c r="DH30" i="35"/>
  <c r="DI30" i="35" s="1"/>
  <c r="T30" i="35" s="1"/>
  <c r="DH34" i="35"/>
  <c r="DI34" i="35" s="1"/>
  <c r="T34" i="35" s="1"/>
  <c r="DH42" i="35"/>
  <c r="DI42" i="35" s="1"/>
  <c r="T42" i="35" s="1"/>
  <c r="DH45" i="35"/>
  <c r="DI45" i="35" s="1"/>
  <c r="T45" i="35" s="1"/>
  <c r="BZ45" i="35" s="1"/>
  <c r="DH49" i="35"/>
  <c r="DI49" i="35" s="1"/>
  <c r="T49" i="35" s="1"/>
  <c r="BZ49" i="35" s="1"/>
  <c r="DH30" i="46"/>
  <c r="DI30" i="46" s="1"/>
  <c r="DH39" i="35"/>
  <c r="DI39" i="35" s="1"/>
  <c r="T39" i="35" s="1"/>
  <c r="DH46" i="35"/>
  <c r="DI46" i="35" s="1"/>
  <c r="T46" i="35" s="1"/>
  <c r="BZ46" i="35" s="1"/>
  <c r="DH50" i="35"/>
  <c r="DI50" i="35" s="1"/>
  <c r="T50" i="35" s="1"/>
  <c r="BZ50" i="35" s="1"/>
  <c r="DH31" i="46"/>
  <c r="DI31" i="46" s="1"/>
  <c r="DH39" i="46"/>
  <c r="DI39" i="46" s="1"/>
  <c r="BZ39" i="46" s="1"/>
  <c r="DH32" i="35"/>
  <c r="DI32" i="35" s="1"/>
  <c r="T32" i="35" s="1"/>
  <c r="DH47" i="35"/>
  <c r="DI47" i="35" s="1"/>
  <c r="T47" i="35" s="1"/>
  <c r="BZ47" i="35" s="1"/>
  <c r="DH41" i="35"/>
  <c r="DI41" i="35" s="1"/>
  <c r="T41" i="35" s="1"/>
  <c r="DH44" i="35"/>
  <c r="DI44" i="35" s="1"/>
  <c r="T44" i="35" s="1"/>
  <c r="DH48" i="35"/>
  <c r="DI48" i="35" s="1"/>
  <c r="T48" i="35" s="1"/>
  <c r="BZ48" i="35" s="1"/>
  <c r="DH33" i="46"/>
  <c r="DI33" i="46" s="1"/>
  <c r="DH33" i="35"/>
  <c r="DI33" i="35" s="1"/>
  <c r="T33" i="35" s="1"/>
  <c r="DH32" i="46"/>
  <c r="DI32" i="46" s="1"/>
  <c r="DH34" i="46"/>
  <c r="DI34" i="46" s="1"/>
  <c r="DH36" i="46"/>
  <c r="DI36" i="46" s="1"/>
  <c r="DH38" i="46"/>
  <c r="DI38" i="46" s="1"/>
  <c r="DH29" i="35"/>
  <c r="DI29" i="35" s="1"/>
  <c r="T29" i="35" s="1"/>
  <c r="K152" i="55"/>
  <c r="L152" i="55"/>
  <c r="K126" i="55"/>
  <c r="L126" i="55"/>
  <c r="M142" i="16"/>
  <c r="AG243" i="77" s="1"/>
  <c r="L142" i="16"/>
  <c r="AH243" i="77" s="1"/>
  <c r="M131" i="16"/>
  <c r="AE243" i="77" s="1"/>
  <c r="L131" i="16"/>
  <c r="AF243" i="77" s="1"/>
  <c r="M120" i="16"/>
  <c r="AC243" i="77" s="1"/>
  <c r="L120" i="16"/>
  <c r="AD243" i="77" s="1"/>
  <c r="M98" i="16"/>
  <c r="Y243" i="77" s="1"/>
  <c r="M109" i="16"/>
  <c r="AA243" i="77" s="1"/>
  <c r="L109" i="16"/>
  <c r="AB243" i="77" s="1"/>
  <c r="L98" i="16"/>
  <c r="Z243" i="77" s="1"/>
  <c r="L87" i="16"/>
  <c r="X243" i="77" s="1"/>
  <c r="M87" i="16"/>
  <c r="E17" i="55"/>
  <c r="E14" i="55"/>
  <c r="T88" i="77" l="1"/>
  <c r="K89" i="77"/>
  <c r="K90" i="77"/>
  <c r="K98" i="77"/>
  <c r="K94" i="77"/>
  <c r="K93" i="77"/>
  <c r="W243" i="77"/>
  <c r="K185" i="55"/>
  <c r="K107" i="55"/>
  <c r="K159" i="55"/>
  <c r="K133" i="55"/>
  <c r="L133" i="55"/>
  <c r="L185" i="55"/>
  <c r="L107" i="55"/>
  <c r="L159" i="55"/>
  <c r="K31" i="55"/>
  <c r="W22" i="77"/>
  <c r="G42" i="77"/>
  <c r="Y26" i="47"/>
  <c r="H26" i="47" s="1"/>
  <c r="I29" i="72" s="1"/>
  <c r="Y37" i="47"/>
  <c r="H37" i="47" s="1"/>
  <c r="I40" i="72" s="1"/>
  <c r="M37" i="47"/>
  <c r="Y34" i="47"/>
  <c r="H34" i="47" s="1"/>
  <c r="I37" i="72" s="1"/>
  <c r="M34" i="47"/>
  <c r="Y36" i="47"/>
  <c r="H36" i="47" s="1"/>
  <c r="I39" i="72" s="1"/>
  <c r="M36" i="47"/>
  <c r="Y31" i="47"/>
  <c r="H31" i="47" s="1"/>
  <c r="I34" i="72" s="1"/>
  <c r="M31" i="47"/>
  <c r="Y28" i="47"/>
  <c r="H28" i="47" s="1"/>
  <c r="I31" i="72" s="1"/>
  <c r="M28" i="47"/>
  <c r="Y32" i="47"/>
  <c r="H32" i="47" s="1"/>
  <c r="I35" i="72" s="1"/>
  <c r="M32" i="47"/>
  <c r="Y40" i="47"/>
  <c r="H40" i="47" s="1"/>
  <c r="I43" i="72" s="1"/>
  <c r="M40" i="47"/>
  <c r="Y41" i="47"/>
  <c r="H41" i="47" s="1"/>
  <c r="I44" i="72" s="1"/>
  <c r="M41" i="47"/>
  <c r="Y35" i="47"/>
  <c r="H35" i="47" s="1"/>
  <c r="I38" i="72" s="1"/>
  <c r="M35" i="47"/>
  <c r="Y38" i="47"/>
  <c r="H38" i="47" s="1"/>
  <c r="I41" i="72" s="1"/>
  <c r="M38" i="47"/>
  <c r="Y24" i="47"/>
  <c r="H24" i="47" s="1"/>
  <c r="I27" i="72" s="1"/>
  <c r="Y25" i="47"/>
  <c r="H25" i="47" s="1"/>
  <c r="I28" i="72" s="1"/>
  <c r="Y23" i="47"/>
  <c r="H23" i="47" s="1"/>
  <c r="I26" i="72" s="1"/>
  <c r="Y39" i="47"/>
  <c r="H39" i="47" s="1"/>
  <c r="I42" i="72" s="1"/>
  <c r="M39" i="47"/>
  <c r="Y33" i="47"/>
  <c r="H33" i="47" s="1"/>
  <c r="I36" i="72" s="1"/>
  <c r="M33" i="47"/>
  <c r="Y22" i="47"/>
  <c r="H22" i="47" s="1"/>
  <c r="I25" i="72" s="1"/>
  <c r="Y29" i="47"/>
  <c r="H29" i="47" s="1"/>
  <c r="I32" i="72" s="1"/>
  <c r="M29" i="47"/>
  <c r="Y30" i="47"/>
  <c r="H30" i="47" s="1"/>
  <c r="I33" i="72" s="1"/>
  <c r="M30" i="47"/>
  <c r="Y27" i="47"/>
  <c r="H27" i="47" s="1"/>
  <c r="I30" i="72" s="1"/>
  <c r="BX43" i="35"/>
  <c r="BW43" i="35"/>
  <c r="BZ43" i="35" s="1"/>
  <c r="BY43" i="35"/>
  <c r="BU43" i="35"/>
  <c r="BV43" i="35" s="1"/>
  <c r="V25" i="47"/>
  <c r="E25" i="47" s="1"/>
  <c r="W25" i="47"/>
  <c r="F25" i="47" s="1"/>
  <c r="X25" i="47"/>
  <c r="G25" i="47" s="1"/>
  <c r="X23" i="47"/>
  <c r="G23" i="47" s="1"/>
  <c r="W23" i="47"/>
  <c r="F23" i="47" s="1"/>
  <c r="V23" i="47"/>
  <c r="E23" i="47" s="1"/>
  <c r="X39" i="47"/>
  <c r="G39" i="47" s="1"/>
  <c r="W39" i="47"/>
  <c r="F39" i="47" s="1"/>
  <c r="V39" i="47"/>
  <c r="E39" i="47" s="1"/>
  <c r="V33" i="47"/>
  <c r="E33" i="47" s="1"/>
  <c r="X33" i="47"/>
  <c r="G33" i="47" s="1"/>
  <c r="W33" i="47"/>
  <c r="F33" i="47" s="1"/>
  <c r="V22" i="47"/>
  <c r="E22" i="47" s="1"/>
  <c r="W22" i="47"/>
  <c r="F22" i="47" s="1"/>
  <c r="X22" i="47"/>
  <c r="G22" i="47" s="1"/>
  <c r="V29" i="47"/>
  <c r="E29" i="47" s="1"/>
  <c r="W29" i="47"/>
  <c r="F29" i="47" s="1"/>
  <c r="X29" i="47"/>
  <c r="G29" i="47" s="1"/>
  <c r="W30" i="47"/>
  <c r="F30" i="47" s="1"/>
  <c r="X30" i="47"/>
  <c r="G30" i="47" s="1"/>
  <c r="V30" i="47"/>
  <c r="E30" i="47" s="1"/>
  <c r="X27" i="47"/>
  <c r="G27" i="47" s="1"/>
  <c r="V27" i="47"/>
  <c r="E27" i="47" s="1"/>
  <c r="W27" i="47"/>
  <c r="F27" i="47" s="1"/>
  <c r="X24" i="47"/>
  <c r="G24" i="47" s="1"/>
  <c r="V24" i="47"/>
  <c r="E24" i="47" s="1"/>
  <c r="W24" i="47"/>
  <c r="F24" i="47" s="1"/>
  <c r="W26" i="47"/>
  <c r="F26" i="47" s="1"/>
  <c r="X26" i="47"/>
  <c r="G26" i="47" s="1"/>
  <c r="V26" i="47"/>
  <c r="E26" i="47" s="1"/>
  <c r="V37" i="47"/>
  <c r="E37" i="47" s="1"/>
  <c r="X37" i="47"/>
  <c r="G37" i="47" s="1"/>
  <c r="W37" i="47"/>
  <c r="F37" i="47" s="1"/>
  <c r="W34" i="47"/>
  <c r="F34" i="47" s="1"/>
  <c r="V34" i="47"/>
  <c r="E34" i="47" s="1"/>
  <c r="X34" i="47"/>
  <c r="G34" i="47" s="1"/>
  <c r="V36" i="47"/>
  <c r="E36" i="47" s="1"/>
  <c r="W36" i="47"/>
  <c r="F36" i="47" s="1"/>
  <c r="X36" i="47"/>
  <c r="G36" i="47" s="1"/>
  <c r="X31" i="47"/>
  <c r="G31" i="47" s="1"/>
  <c r="V31" i="47"/>
  <c r="E31" i="47" s="1"/>
  <c r="W31" i="47"/>
  <c r="F31" i="47" s="1"/>
  <c r="W38" i="47"/>
  <c r="F38" i="47" s="1"/>
  <c r="V38" i="47"/>
  <c r="E38" i="47" s="1"/>
  <c r="X38" i="47"/>
  <c r="G38" i="47" s="1"/>
  <c r="X28" i="47"/>
  <c r="G28" i="47" s="1"/>
  <c r="W28" i="47"/>
  <c r="F28" i="47" s="1"/>
  <c r="V28" i="47"/>
  <c r="E28" i="47" s="1"/>
  <c r="W32" i="47"/>
  <c r="F32" i="47" s="1"/>
  <c r="V32" i="47"/>
  <c r="E32" i="47" s="1"/>
  <c r="X32" i="47"/>
  <c r="G32" i="47" s="1"/>
  <c r="X40" i="47"/>
  <c r="G40" i="47" s="1"/>
  <c r="V40" i="47"/>
  <c r="E40" i="47" s="1"/>
  <c r="W40" i="47"/>
  <c r="F40" i="47" s="1"/>
  <c r="V41" i="47"/>
  <c r="E41" i="47" s="1"/>
  <c r="W41" i="47"/>
  <c r="F41" i="47" s="1"/>
  <c r="X41" i="47"/>
  <c r="G41" i="47" s="1"/>
  <c r="X35" i="47"/>
  <c r="G35" i="47" s="1"/>
  <c r="W35" i="47"/>
  <c r="F35" i="47" s="1"/>
  <c r="V35" i="47"/>
  <c r="E35" i="47" s="1"/>
  <c r="G387" i="68"/>
  <c r="G195" i="68"/>
  <c r="G31" i="55"/>
  <c r="E31" i="55" s="1"/>
  <c r="G29" i="21"/>
  <c r="G67" i="68"/>
  <c r="G323" i="68"/>
  <c r="G131" i="68"/>
  <c r="D5" i="46"/>
  <c r="D5" i="35"/>
  <c r="L1" i="73"/>
  <c r="K17" i="73"/>
  <c r="E39" i="21"/>
  <c r="H40" i="21"/>
  <c r="P1" i="73"/>
  <c r="P6" i="73" s="1"/>
  <c r="O6" i="73"/>
  <c r="O17" i="73"/>
  <c r="O5" i="73"/>
  <c r="W5" i="73" s="1"/>
  <c r="E49" i="21"/>
  <c r="H50" i="21"/>
  <c r="E44" i="21"/>
  <c r="H45" i="21"/>
  <c r="E54" i="21"/>
  <c r="H55" i="21"/>
  <c r="E34" i="21"/>
  <c r="H35" i="21"/>
  <c r="A205" i="68"/>
  <c r="A206" i="68" s="1"/>
  <c r="A207" i="68" s="1"/>
  <c r="A208" i="68" s="1"/>
  <c r="A209" i="68" s="1"/>
  <c r="A210" i="68" s="1"/>
  <c r="A211" i="68" s="1"/>
  <c r="A212" i="68" s="1"/>
  <c r="A213" i="68" s="1"/>
  <c r="A214" i="68" s="1"/>
  <c r="A215" i="68" s="1"/>
  <c r="A5" i="68"/>
  <c r="I5" i="73"/>
  <c r="W2" i="73" s="1"/>
  <c r="X2" i="73" s="1"/>
  <c r="J1" i="73"/>
  <c r="I17" i="73"/>
  <c r="T1" i="73"/>
  <c r="S17" i="73"/>
  <c r="Q6" i="73"/>
  <c r="Q17" i="73"/>
  <c r="R1" i="73"/>
  <c r="R6" i="73" s="1"/>
  <c r="N1" i="73"/>
  <c r="M17" i="73"/>
  <c r="AB17" i="73"/>
  <c r="X17" i="73"/>
  <c r="AD17" i="73"/>
  <c r="AF17" i="73"/>
  <c r="AH17" i="73"/>
  <c r="Z17" i="73"/>
  <c r="L130" i="16"/>
  <c r="AF242" i="77" s="1"/>
  <c r="M130" i="16"/>
  <c r="AE242" i="77" s="1"/>
  <c r="L119" i="16"/>
  <c r="AD242" i="77" s="1"/>
  <c r="M119" i="16"/>
  <c r="AC242" i="77" s="1"/>
  <c r="L141" i="16"/>
  <c r="AH242" i="77" s="1"/>
  <c r="M141" i="16"/>
  <c r="AG242" i="77" s="1"/>
  <c r="BX37" i="35"/>
  <c r="BY37" i="35"/>
  <c r="BW37" i="35"/>
  <c r="BZ37" i="35" s="1"/>
  <c r="BU37" i="35"/>
  <c r="BV37" i="35" s="1"/>
  <c r="BU38" i="46"/>
  <c r="BV38" i="46" s="1"/>
  <c r="BW38" i="46"/>
  <c r="BZ38" i="46" s="1"/>
  <c r="BX38" i="46"/>
  <c r="BY38" i="46"/>
  <c r="BU32" i="46"/>
  <c r="BV32" i="46" s="1"/>
  <c r="BW32" i="46"/>
  <c r="BZ32" i="46" s="1"/>
  <c r="BW44" i="35"/>
  <c r="BZ44" i="35" s="1"/>
  <c r="BU44" i="35"/>
  <c r="BV44" i="35" s="1"/>
  <c r="BY44" i="35"/>
  <c r="BW36" i="35"/>
  <c r="BZ36" i="35" s="1"/>
  <c r="BU36" i="35"/>
  <c r="BV36" i="35" s="1"/>
  <c r="BW50" i="35"/>
  <c r="BU50" i="35"/>
  <c r="BV50" i="35"/>
  <c r="BY50" i="35"/>
  <c r="BX50" i="35"/>
  <c r="BU31" i="35"/>
  <c r="BV31" i="35" s="1"/>
  <c r="BW31" i="35"/>
  <c r="BZ31" i="35" s="1"/>
  <c r="BW42" i="35"/>
  <c r="BZ42" i="35" s="1"/>
  <c r="BU42" i="35"/>
  <c r="BV42" i="35" s="1"/>
  <c r="BX42" i="35"/>
  <c r="BY42" i="35"/>
  <c r="BW35" i="46"/>
  <c r="BZ35" i="46" s="1"/>
  <c r="BU35" i="46"/>
  <c r="BV35" i="46" s="1"/>
  <c r="BU36" i="46"/>
  <c r="BV36" i="46" s="1"/>
  <c r="BW36" i="46"/>
  <c r="BZ36" i="46" s="1"/>
  <c r="BU33" i="35"/>
  <c r="BV33" i="35" s="1"/>
  <c r="BW33" i="35"/>
  <c r="BZ33" i="35" s="1"/>
  <c r="BU41" i="35"/>
  <c r="BV41" i="35" s="1"/>
  <c r="BW41" i="35"/>
  <c r="BZ41" i="35" s="1"/>
  <c r="BW32" i="35"/>
  <c r="BZ32" i="35" s="1"/>
  <c r="BU32" i="35"/>
  <c r="BV32" i="35" s="1"/>
  <c r="BW46" i="35"/>
  <c r="BU46" i="35"/>
  <c r="BY46" i="35"/>
  <c r="BX46" i="35"/>
  <c r="BV46" i="35"/>
  <c r="BU30" i="46"/>
  <c r="BV30" i="46" s="1"/>
  <c r="BW30" i="46"/>
  <c r="BZ30" i="46" s="1"/>
  <c r="BW38" i="35"/>
  <c r="BZ38" i="35" s="1"/>
  <c r="BU38" i="35"/>
  <c r="BV38" i="35" s="1"/>
  <c r="BU28" i="46"/>
  <c r="BV28" i="46" s="1"/>
  <c r="BW28" i="46"/>
  <c r="BZ28" i="46" s="1"/>
  <c r="DH27" i="35"/>
  <c r="DH27" i="46"/>
  <c r="DF2" i="46"/>
  <c r="BW33" i="46"/>
  <c r="BZ33" i="46" s="1"/>
  <c r="BU33" i="46"/>
  <c r="BV33" i="46" s="1"/>
  <c r="BU47" i="35"/>
  <c r="BW47" i="35"/>
  <c r="BV47" i="35"/>
  <c r="BY47" i="35"/>
  <c r="BX47" i="35"/>
  <c r="BW39" i="46"/>
  <c r="BU39" i="46"/>
  <c r="BV39" i="46"/>
  <c r="BY39" i="46"/>
  <c r="BX39" i="46"/>
  <c r="BU39" i="35"/>
  <c r="BV39" i="35" s="1"/>
  <c r="BW39" i="35"/>
  <c r="BZ39" i="35" s="1"/>
  <c r="BY39" i="35"/>
  <c r="BU49" i="35"/>
  <c r="BW49" i="35"/>
  <c r="BY49" i="35"/>
  <c r="BX49" i="35"/>
  <c r="BV49" i="35"/>
  <c r="BW34" i="35"/>
  <c r="BZ34" i="35" s="1"/>
  <c r="BU34" i="35"/>
  <c r="BV34" i="35" s="1"/>
  <c r="BU29" i="35"/>
  <c r="BV29" i="35" s="1"/>
  <c r="BW29" i="35"/>
  <c r="BZ29" i="35" s="1"/>
  <c r="BU34" i="46"/>
  <c r="BV34" i="46" s="1"/>
  <c r="BW34" i="46"/>
  <c r="BZ34" i="46" s="1"/>
  <c r="BW48" i="35"/>
  <c r="BU48" i="35"/>
  <c r="BV48" i="35"/>
  <c r="BY48" i="35"/>
  <c r="BX48" i="35"/>
  <c r="BW40" i="35"/>
  <c r="BZ40" i="35" s="1"/>
  <c r="BU40" i="35"/>
  <c r="BV40" i="35" s="1"/>
  <c r="BW31" i="46"/>
  <c r="BX31" i="46" s="1"/>
  <c r="BU31" i="46"/>
  <c r="BV31" i="46" s="1"/>
  <c r="BU35" i="35"/>
  <c r="BV35" i="35" s="1"/>
  <c r="BW35" i="35"/>
  <c r="BZ35" i="35" s="1"/>
  <c r="BU45" i="35"/>
  <c r="BW45" i="35"/>
  <c r="BY45" i="35"/>
  <c r="BX45" i="35"/>
  <c r="BV45" i="35"/>
  <c r="BW30" i="35"/>
  <c r="BZ30" i="35" s="1"/>
  <c r="BU30" i="35"/>
  <c r="BV30" i="35" s="1"/>
  <c r="BW29" i="46"/>
  <c r="BZ29" i="46" s="1"/>
  <c r="BU29" i="46"/>
  <c r="BV29" i="46" s="1"/>
  <c r="L97" i="16"/>
  <c r="Z242" i="77" s="1"/>
  <c r="K81" i="55"/>
  <c r="M97" i="16"/>
  <c r="Y242" i="77" s="1"/>
  <c r="L81" i="55"/>
  <c r="M108" i="16"/>
  <c r="AA242" i="77" s="1"/>
  <c r="L108" i="16"/>
  <c r="AB242" i="77" s="1"/>
  <c r="L86" i="16"/>
  <c r="X242" i="77" s="1"/>
  <c r="K55" i="55"/>
  <c r="M86" i="16"/>
  <c r="L55" i="55"/>
  <c r="H54" i="57"/>
  <c r="E37" i="57"/>
  <c r="E25" i="57"/>
  <c r="K6" i="73" l="1"/>
  <c r="L6" i="73"/>
  <c r="M6" i="73"/>
  <c r="N6" i="73"/>
  <c r="K91" i="77"/>
  <c r="A3" i="68"/>
  <c r="T62" i="77"/>
  <c r="K68" i="77"/>
  <c r="K64" i="77"/>
  <c r="K63" i="77"/>
  <c r="K72" i="77"/>
  <c r="K67" i="77"/>
  <c r="A13" i="68"/>
  <c r="A14" i="68" s="1"/>
  <c r="A15" i="68" s="1"/>
  <c r="A16" i="68" s="1"/>
  <c r="A17" i="68" s="1"/>
  <c r="A18" i="68" s="1"/>
  <c r="A19" i="68" s="1"/>
  <c r="A20" i="68" s="1"/>
  <c r="A21" i="68" s="1"/>
  <c r="A22" i="68" s="1"/>
  <c r="A23" i="68" s="1"/>
  <c r="A24" i="68" s="1"/>
  <c r="A25" i="68" s="1"/>
  <c r="A26" i="68" s="1"/>
  <c r="A27" i="68" s="1"/>
  <c r="T49" i="77"/>
  <c r="K51" i="77"/>
  <c r="K54" i="77"/>
  <c r="K50" i="77"/>
  <c r="K59" i="77"/>
  <c r="K55" i="77"/>
  <c r="A141" i="68"/>
  <c r="A142" i="68" s="1"/>
  <c r="A143" i="68" s="1"/>
  <c r="A144" i="68" s="1"/>
  <c r="A145" i="68" s="1"/>
  <c r="A146" i="68" s="1"/>
  <c r="A147" i="68" s="1"/>
  <c r="A148" i="68" s="1"/>
  <c r="A149" i="68" s="1"/>
  <c r="A150" i="68" s="1"/>
  <c r="A151" i="68" s="1"/>
  <c r="A152" i="68" s="1"/>
  <c r="A153" i="68" s="1"/>
  <c r="A154" i="68" s="1"/>
  <c r="A155" i="68" s="1"/>
  <c r="T75" i="77"/>
  <c r="K77" i="77"/>
  <c r="K76" i="77"/>
  <c r="K81" i="77"/>
  <c r="K85" i="77"/>
  <c r="K80" i="77"/>
  <c r="A6" i="68"/>
  <c r="T101" i="77"/>
  <c r="K106" i="77"/>
  <c r="K102" i="77"/>
  <c r="K111" i="77"/>
  <c r="K107" i="77"/>
  <c r="K103" i="77"/>
  <c r="K119" i="77"/>
  <c r="K116" i="77"/>
  <c r="K124" i="77"/>
  <c r="K115" i="77"/>
  <c r="K120" i="77"/>
  <c r="T114" i="77"/>
  <c r="K95" i="77"/>
  <c r="A7" i="68"/>
  <c r="W242" i="77"/>
  <c r="K132" i="55"/>
  <c r="K54" i="55"/>
  <c r="K106" i="55"/>
  <c r="K80" i="55"/>
  <c r="K184" i="55"/>
  <c r="K158" i="55"/>
  <c r="L132" i="55"/>
  <c r="L80" i="55"/>
  <c r="L184" i="55"/>
  <c r="L158" i="55"/>
  <c r="L54" i="55"/>
  <c r="L106" i="55"/>
  <c r="K57" i="55"/>
  <c r="X22" i="77"/>
  <c r="K109" i="55"/>
  <c r="Z22" i="77"/>
  <c r="K83" i="55"/>
  <c r="Y22" i="77"/>
  <c r="K161" i="55"/>
  <c r="AB22" i="77"/>
  <c r="K135" i="55"/>
  <c r="AA22" i="77"/>
  <c r="A216" i="68"/>
  <c r="A217" i="68" s="1"/>
  <c r="A218" i="68" s="1"/>
  <c r="A219" i="68" s="1"/>
  <c r="S29" i="47"/>
  <c r="R33" i="47"/>
  <c r="S33" i="47"/>
  <c r="R35" i="47"/>
  <c r="S35" i="47"/>
  <c r="S40" i="47"/>
  <c r="R40" i="47"/>
  <c r="S28" i="47"/>
  <c r="S36" i="47"/>
  <c r="R36" i="47"/>
  <c r="R37" i="47"/>
  <c r="S37" i="47"/>
  <c r="S30" i="47"/>
  <c r="R30" i="47"/>
  <c r="R39" i="47"/>
  <c r="S39" i="47"/>
  <c r="R38" i="47"/>
  <c r="S38" i="47"/>
  <c r="R41" i="47"/>
  <c r="S41" i="47"/>
  <c r="S32" i="47"/>
  <c r="R32" i="47"/>
  <c r="R31" i="47"/>
  <c r="S31" i="47"/>
  <c r="R34" i="47"/>
  <c r="S34" i="47"/>
  <c r="BX39" i="35"/>
  <c r="BX38" i="35"/>
  <c r="BY38" i="35"/>
  <c r="A333" i="68"/>
  <c r="A334" i="68" s="1"/>
  <c r="A335" i="68" s="1"/>
  <c r="A336" i="68" s="1"/>
  <c r="A337" i="68" s="1"/>
  <c r="A338" i="68" s="1"/>
  <c r="A339" i="68" s="1"/>
  <c r="A340" i="68" s="1"/>
  <c r="A341" i="68" s="1"/>
  <c r="A342" i="68" s="1"/>
  <c r="A343" i="68" s="1"/>
  <c r="A269" i="68"/>
  <c r="A270" i="68" s="1"/>
  <c r="A271" i="68" s="1"/>
  <c r="A272" i="68" s="1"/>
  <c r="A273" i="68" s="1"/>
  <c r="A274" i="68" s="1"/>
  <c r="A275" i="68" s="1"/>
  <c r="A276" i="68" s="1"/>
  <c r="A277" i="68" s="1"/>
  <c r="A278" i="68" s="1"/>
  <c r="A279" i="68" s="1"/>
  <c r="A4" i="68"/>
  <c r="A77" i="68"/>
  <c r="A78" i="68" s="1"/>
  <c r="A79" i="68" s="1"/>
  <c r="A80" i="68" s="1"/>
  <c r="A81" i="68" s="1"/>
  <c r="A82" i="68" s="1"/>
  <c r="A83" i="68" s="1"/>
  <c r="A84" i="68" s="1"/>
  <c r="A85" i="68" s="1"/>
  <c r="A86" i="68" s="1"/>
  <c r="A2" i="68"/>
  <c r="G35" i="21"/>
  <c r="G57" i="55"/>
  <c r="E57" i="55" s="1"/>
  <c r="G50" i="21"/>
  <c r="G135" i="55"/>
  <c r="E135" i="55" s="1"/>
  <c r="G45" i="21"/>
  <c r="G109" i="55"/>
  <c r="E109" i="55" s="1"/>
  <c r="G55" i="21"/>
  <c r="G161" i="55"/>
  <c r="E161" i="55" s="1"/>
  <c r="G40" i="21"/>
  <c r="G83" i="55"/>
  <c r="E83" i="55" s="1"/>
  <c r="S6" i="73"/>
  <c r="T6" i="73"/>
  <c r="AK5" i="73"/>
  <c r="G63" i="35"/>
  <c r="W13" i="73"/>
  <c r="G63" i="46" s="1"/>
  <c r="O63" i="46" s="1"/>
  <c r="AD2" i="73"/>
  <c r="W10" i="73"/>
  <c r="G60" i="46" s="1"/>
  <c r="O60" i="46" s="1"/>
  <c r="G60" i="35"/>
  <c r="O60" i="35" s="1"/>
  <c r="AK2" i="73"/>
  <c r="S16" i="73"/>
  <c r="T2" i="73"/>
  <c r="T5" i="73" s="1"/>
  <c r="S5" i="73"/>
  <c r="I6" i="73"/>
  <c r="AD5" i="73"/>
  <c r="K16" i="73"/>
  <c r="L2" i="73"/>
  <c r="L5" i="73" s="1"/>
  <c r="K5" i="73"/>
  <c r="X5" i="73"/>
  <c r="N2" i="73"/>
  <c r="N5" i="73" s="1"/>
  <c r="M16" i="73"/>
  <c r="M5" i="73"/>
  <c r="Q16" i="73"/>
  <c r="R2" i="73"/>
  <c r="R5" i="73" s="1"/>
  <c r="J6" i="73"/>
  <c r="AM5" i="73"/>
  <c r="AN5" i="73" s="1"/>
  <c r="I16" i="73"/>
  <c r="J2" i="73"/>
  <c r="J5" i="73" s="1"/>
  <c r="P2" i="73"/>
  <c r="P5" i="73" s="1"/>
  <c r="O16" i="73"/>
  <c r="AM2" i="73"/>
  <c r="AN2" i="73" s="1"/>
  <c r="Q5" i="73"/>
  <c r="BY32" i="35"/>
  <c r="BY30" i="35"/>
  <c r="BX35" i="35"/>
  <c r="BY34" i="35"/>
  <c r="BX40" i="35"/>
  <c r="BY36" i="35"/>
  <c r="BY29" i="35"/>
  <c r="BY41" i="35"/>
  <c r="BY33" i="35"/>
  <c r="BX31" i="35"/>
  <c r="BX30" i="35"/>
  <c r="BY40" i="35"/>
  <c r="BY31" i="35"/>
  <c r="BX36" i="35"/>
  <c r="BX44" i="35"/>
  <c r="BY35" i="35"/>
  <c r="BX29" i="35"/>
  <c r="BX34" i="35"/>
  <c r="BX32" i="35"/>
  <c r="BX41" i="35"/>
  <c r="BX33" i="35"/>
  <c r="BZ31" i="46"/>
  <c r="BX35" i="46"/>
  <c r="BY30" i="46"/>
  <c r="BX33" i="46"/>
  <c r="BY36" i="46"/>
  <c r="BY34" i="46"/>
  <c r="BY29" i="46"/>
  <c r="BY31" i="46"/>
  <c r="BX30" i="46"/>
  <c r="BX29" i="46"/>
  <c r="BX28" i="46"/>
  <c r="BX32" i="46"/>
  <c r="BX34" i="46"/>
  <c r="BY33" i="46"/>
  <c r="BY28" i="46"/>
  <c r="BX36" i="46"/>
  <c r="BY35" i="46"/>
  <c r="BY32" i="46"/>
  <c r="DI27" i="46"/>
  <c r="DH2" i="46"/>
  <c r="DI27" i="35"/>
  <c r="T27" i="35" s="1"/>
  <c r="K121" i="77" l="1"/>
  <c r="K97" i="77"/>
  <c r="K65" i="77"/>
  <c r="K82" i="77"/>
  <c r="K108" i="77"/>
  <c r="K117" i="77"/>
  <c r="K56" i="77"/>
  <c r="K69" i="77"/>
  <c r="K52" i="77"/>
  <c r="K104" i="77"/>
  <c r="K78" i="77"/>
  <c r="A28" i="68"/>
  <c r="A156" i="68"/>
  <c r="A220" i="68"/>
  <c r="A344" i="68"/>
  <c r="A345" i="68" s="1"/>
  <c r="A346" i="68" s="1"/>
  <c r="A347" i="68" s="1"/>
  <c r="A280" i="68"/>
  <c r="A281" i="68" s="1"/>
  <c r="A282" i="68" s="1"/>
  <c r="A283" i="68" s="1"/>
  <c r="A87" i="68"/>
  <c r="A88" i="68" s="1"/>
  <c r="A89" i="68" s="1"/>
  <c r="A90" i="68" s="1"/>
  <c r="A91" i="68" s="1"/>
  <c r="A1" i="68"/>
  <c r="AD10" i="73"/>
  <c r="X10" i="73"/>
  <c r="C63" i="52"/>
  <c r="X13" i="73"/>
  <c r="O63" i="35"/>
  <c r="C60" i="52"/>
  <c r="AD13" i="73"/>
  <c r="D27" i="73"/>
  <c r="H6" i="73"/>
  <c r="E30" i="73"/>
  <c r="D24" i="73"/>
  <c r="D21" i="73"/>
  <c r="D22" i="73"/>
  <c r="E22" i="73"/>
  <c r="E21" i="73"/>
  <c r="D30" i="73"/>
  <c r="E27" i="73"/>
  <c r="W3" i="73"/>
  <c r="AM3" i="73"/>
  <c r="AN3" i="73" s="1"/>
  <c r="D28" i="73"/>
  <c r="W7" i="73"/>
  <c r="AM7" i="73"/>
  <c r="AN7" i="73" s="1"/>
  <c r="H5" i="73"/>
  <c r="E24" i="73"/>
  <c r="AM4" i="73"/>
  <c r="AN4" i="73" s="1"/>
  <c r="W4" i="73"/>
  <c r="AM6" i="73"/>
  <c r="AN6" i="73" s="1"/>
  <c r="W6" i="73"/>
  <c r="E28" i="73"/>
  <c r="DI2" i="46"/>
  <c r="BW27" i="35"/>
  <c r="BZ27" i="35" s="1"/>
  <c r="BU27" i="35"/>
  <c r="BV27" i="35" s="1"/>
  <c r="BW27" i="46"/>
  <c r="BZ27" i="46" s="1"/>
  <c r="BU27" i="46"/>
  <c r="BV27" i="46" s="1"/>
  <c r="Z2" i="54"/>
  <c r="Z3" i="54"/>
  <c r="Z4" i="54"/>
  <c r="D11" i="54"/>
  <c r="D12" i="54"/>
  <c r="I12" i="54"/>
  <c r="T12" i="54"/>
  <c r="D13" i="54"/>
  <c r="T13" i="54"/>
  <c r="D14" i="54"/>
  <c r="T15" i="54"/>
  <c r="M17" i="54"/>
  <c r="Q17" i="54"/>
  <c r="E18" i="54"/>
  <c r="F18" i="54"/>
  <c r="G18" i="54"/>
  <c r="J18" i="54"/>
  <c r="K18" i="54"/>
  <c r="L18" i="54"/>
  <c r="M18" i="54"/>
  <c r="N18" i="54"/>
  <c r="O18" i="54"/>
  <c r="P18" i="54"/>
  <c r="Q18" i="54"/>
  <c r="S18" i="54"/>
  <c r="C171" i="54"/>
  <c r="K123" i="77" l="1"/>
  <c r="K110" i="77"/>
  <c r="K84" i="77"/>
  <c r="K71" i="77"/>
  <c r="K58" i="77"/>
  <c r="A284" i="68"/>
  <c r="A92" i="68"/>
  <c r="A157" i="68"/>
  <c r="A221" i="68"/>
  <c r="A29" i="68"/>
  <c r="A348" i="68"/>
  <c r="A63" i="52"/>
  <c r="A60" i="52"/>
  <c r="C24" i="73"/>
  <c r="AN8" i="73"/>
  <c r="AN9" i="73" s="1"/>
  <c r="H14" i="66" s="1"/>
  <c r="C22" i="73"/>
  <c r="C30" i="73"/>
  <c r="AD6" i="73"/>
  <c r="G64" i="35"/>
  <c r="W14" i="73"/>
  <c r="AK6" i="73"/>
  <c r="X6" i="73"/>
  <c r="X3" i="73"/>
  <c r="G61" i="35"/>
  <c r="W11" i="73"/>
  <c r="AK3" i="73"/>
  <c r="AD3" i="73"/>
  <c r="X7" i="73"/>
  <c r="G65" i="35"/>
  <c r="AK7" i="73"/>
  <c r="AD7" i="73"/>
  <c r="W15" i="73"/>
  <c r="A60" i="46"/>
  <c r="A63" i="46"/>
  <c r="A63" i="35"/>
  <c r="A60" i="35"/>
  <c r="C28" i="73"/>
  <c r="AK4" i="73"/>
  <c r="X4" i="73"/>
  <c r="AD4" i="73"/>
  <c r="G62" i="35"/>
  <c r="W12" i="73"/>
  <c r="C21" i="73"/>
  <c r="C27" i="73"/>
  <c r="BX27" i="35"/>
  <c r="BY27" i="35"/>
  <c r="BY27" i="46"/>
  <c r="BX27" i="46"/>
  <c r="T14" i="54"/>
  <c r="CD18" i="35"/>
  <c r="CP21" i="35"/>
  <c r="CD21" i="35"/>
  <c r="CP20" i="35"/>
  <c r="CD20" i="35"/>
  <c r="CD19" i="35"/>
  <c r="A222" i="68" l="1"/>
  <c r="A93" i="68"/>
  <c r="A30" i="68"/>
  <c r="A158" i="68"/>
  <c r="A285" i="68"/>
  <c r="A349" i="68"/>
  <c r="L14" i="65"/>
  <c r="G62" i="46"/>
  <c r="C62" i="52" s="1"/>
  <c r="A62" i="52" s="1"/>
  <c r="X12" i="73"/>
  <c r="AD12" i="73"/>
  <c r="AK8" i="73"/>
  <c r="AK9" i="73" s="1"/>
  <c r="A62" i="35"/>
  <c r="O62" i="35"/>
  <c r="O65" i="35"/>
  <c r="A65" i="35"/>
  <c r="G61" i="46"/>
  <c r="C61" i="52" s="1"/>
  <c r="A61" i="52" s="1"/>
  <c r="X11" i="73"/>
  <c r="AD11" i="73"/>
  <c r="G65" i="46"/>
  <c r="C65" i="52" s="1"/>
  <c r="A65" i="52" s="1"/>
  <c r="AD15" i="73"/>
  <c r="X15" i="73"/>
  <c r="O61" i="35"/>
  <c r="A61" i="35"/>
  <c r="G64" i="46"/>
  <c r="C64" i="52" s="1"/>
  <c r="A64" i="52" s="1"/>
  <c r="AD14" i="73"/>
  <c r="X14" i="73"/>
  <c r="A1" i="73"/>
  <c r="AI6" i="36" s="1"/>
  <c r="A64" i="35"/>
  <c r="O64" i="35"/>
  <c r="A192" i="47"/>
  <c r="A369" i="47"/>
  <c r="A159" i="68" l="1"/>
  <c r="A94" i="68"/>
  <c r="A286" i="68"/>
  <c r="A31" i="68"/>
  <c r="A223" i="68"/>
  <c r="A350" i="68"/>
  <c r="A59" i="52"/>
  <c r="A58" i="52" s="1"/>
  <c r="A58" i="35"/>
  <c r="A59" i="35" s="1"/>
  <c r="F17" i="16"/>
  <c r="D19" i="17"/>
  <c r="D17" i="18"/>
  <c r="A64" i="46"/>
  <c r="O64" i="46"/>
  <c r="A65" i="46"/>
  <c r="O65" i="46"/>
  <c r="O61" i="46"/>
  <c r="A61" i="46"/>
  <c r="O62" i="46"/>
  <c r="A62" i="46"/>
  <c r="A371" i="47"/>
  <c r="A372" i="47"/>
  <c r="A193" i="47"/>
  <c r="A195" i="47"/>
  <c r="A194" i="47"/>
  <c r="A370" i="47"/>
  <c r="A369" i="11"/>
  <c r="A192" i="11"/>
  <c r="A32" i="68" l="1"/>
  <c r="A95" i="68"/>
  <c r="A224" i="68"/>
  <c r="A287" i="68"/>
  <c r="A160" i="68"/>
  <c r="A351" i="68"/>
  <c r="A57" i="35"/>
  <c r="A58" i="46"/>
  <c r="A193" i="11"/>
  <c r="A195" i="11"/>
  <c r="A371" i="11"/>
  <c r="A372" i="11"/>
  <c r="A194" i="11"/>
  <c r="A370" i="11"/>
  <c r="P3" i="6"/>
  <c r="G22" i="6"/>
  <c r="G21" i="6"/>
  <c r="G20" i="6"/>
  <c r="G19" i="6"/>
  <c r="G18" i="6"/>
  <c r="G17" i="6"/>
  <c r="G16" i="6"/>
  <c r="L17" i="40"/>
  <c r="L16" i="40"/>
  <c r="L15" i="40"/>
  <c r="L14" i="40"/>
  <c r="A24" i="6"/>
  <c r="A33" i="68" l="1"/>
  <c r="A288" i="68"/>
  <c r="A96" i="68"/>
  <c r="A225" i="68"/>
  <c r="A161" i="68"/>
  <c r="A352" i="68"/>
  <c r="A57" i="46"/>
  <c r="A59" i="46"/>
  <c r="P2" i="6"/>
  <c r="N1" i="6" s="1"/>
  <c r="D49" i="6" s="1"/>
  <c r="Z1" i="47"/>
  <c r="A289" i="68" l="1"/>
  <c r="A226" i="68"/>
  <c r="A162" i="68"/>
  <c r="A97" i="68"/>
  <c r="A34" i="68"/>
  <c r="A353" i="68"/>
  <c r="M373" i="47"/>
  <c r="C10" i="72"/>
  <c r="A98" i="68" l="1"/>
  <c r="A227" i="68"/>
  <c r="A35" i="68"/>
  <c r="A163" i="68"/>
  <c r="A290" i="68"/>
  <c r="A354" i="68"/>
  <c r="AW1" i="36"/>
  <c r="A165" i="68" l="1"/>
  <c r="A164" i="68"/>
  <c r="K86" i="77" s="1"/>
  <c r="A166" i="68"/>
  <c r="A167" i="68" s="1"/>
  <c r="A168" i="68" s="1"/>
  <c r="A169" i="68" s="1"/>
  <c r="A170" i="68" s="1"/>
  <c r="A171" i="68" s="1"/>
  <c r="A230" i="68"/>
  <c r="A231" i="68" s="1"/>
  <c r="A232" i="68" s="1"/>
  <c r="A233" i="68" s="1"/>
  <c r="A234" i="68" s="1"/>
  <c r="A235" i="68" s="1"/>
  <c r="A228" i="68"/>
  <c r="K99" i="77" s="1"/>
  <c r="A229" i="68"/>
  <c r="A291" i="68"/>
  <c r="A37" i="68"/>
  <c r="A36" i="68"/>
  <c r="K60" i="77" s="1"/>
  <c r="A38" i="68"/>
  <c r="A39" i="68" s="1"/>
  <c r="A40" i="68" s="1"/>
  <c r="A41" i="68" s="1"/>
  <c r="A42" i="68" s="1"/>
  <c r="A43" i="68" s="1"/>
  <c r="A99" i="68"/>
  <c r="A355" i="68"/>
  <c r="X27" i="52"/>
  <c r="W27" i="52"/>
  <c r="V27" i="52"/>
  <c r="U27" i="52"/>
  <c r="T27" i="52"/>
  <c r="S27" i="52"/>
  <c r="R27" i="52"/>
  <c r="Q27" i="52"/>
  <c r="P27" i="52"/>
  <c r="O27" i="52"/>
  <c r="U26" i="52"/>
  <c r="Q26" i="52"/>
  <c r="P26" i="52"/>
  <c r="O26" i="52"/>
  <c r="X25" i="52"/>
  <c r="W25" i="52"/>
  <c r="V25" i="52"/>
  <c r="U25" i="52"/>
  <c r="S25" i="52"/>
  <c r="R25" i="52"/>
  <c r="Q25" i="52"/>
  <c r="P25" i="52"/>
  <c r="O25" i="52"/>
  <c r="A59" i="68" l="1"/>
  <c r="A60" i="68" s="1"/>
  <c r="A61" i="68" s="1"/>
  <c r="A62" i="68" s="1"/>
  <c r="A63" i="68" s="1"/>
  <c r="A64" i="68" s="1"/>
  <c r="A65" i="68" s="1"/>
  <c r="A66" i="68" s="1"/>
  <c r="A67" i="68" s="1"/>
  <c r="A69" i="68" s="1"/>
  <c r="A70" i="68" s="1"/>
  <c r="A71" i="68" s="1"/>
  <c r="A72" i="68" s="1"/>
  <c r="A73" i="68" s="1"/>
  <c r="A74" i="68" s="1"/>
  <c r="A75" i="68" s="1"/>
  <c r="A44" i="68"/>
  <c r="A45" i="68" s="1"/>
  <c r="A46" i="68" s="1"/>
  <c r="A47" i="68" s="1"/>
  <c r="A48" i="68" s="1"/>
  <c r="A49" i="68" s="1"/>
  <c r="A50" i="68" s="1"/>
  <c r="A51" i="68" s="1"/>
  <c r="A52" i="68" s="1"/>
  <c r="A53" i="68" s="1"/>
  <c r="A54" i="68" s="1"/>
  <c r="A55" i="68" s="1"/>
  <c r="A56" i="68" s="1"/>
  <c r="A57" i="68" s="1"/>
  <c r="A58" i="68" s="1"/>
  <c r="A251" i="68"/>
  <c r="A252" i="68" s="1"/>
  <c r="A253" i="68" s="1"/>
  <c r="A254" i="68" s="1"/>
  <c r="A255" i="68" s="1"/>
  <c r="A256" i="68" s="1"/>
  <c r="A257" i="68" s="1"/>
  <c r="A258" i="68" s="1"/>
  <c r="A259" i="68" s="1"/>
  <c r="A261" i="68" s="1"/>
  <c r="A262" i="68" s="1"/>
  <c r="A263" i="68" s="1"/>
  <c r="A264" i="68" s="1"/>
  <c r="A265" i="68" s="1"/>
  <c r="A266" i="68" s="1"/>
  <c r="A267" i="68" s="1"/>
  <c r="A236" i="68"/>
  <c r="A237" i="68" s="1"/>
  <c r="A238" i="68" s="1"/>
  <c r="A239" i="68" s="1"/>
  <c r="A240" i="68" s="1"/>
  <c r="A241" i="68" s="1"/>
  <c r="A242" i="68" s="1"/>
  <c r="A243" i="68" s="1"/>
  <c r="A244" i="68" s="1"/>
  <c r="A245" i="68" s="1"/>
  <c r="A246" i="68" s="1"/>
  <c r="A247" i="68" s="1"/>
  <c r="A248" i="68" s="1"/>
  <c r="A249" i="68" s="1"/>
  <c r="A250" i="68" s="1"/>
  <c r="A187" i="68"/>
  <c r="A188" i="68" s="1"/>
  <c r="A189" i="68" s="1"/>
  <c r="A190" i="68" s="1"/>
  <c r="A191" i="68" s="1"/>
  <c r="A192" i="68" s="1"/>
  <c r="A193" i="68" s="1"/>
  <c r="A194" i="68" s="1"/>
  <c r="A195" i="68" s="1"/>
  <c r="A197" i="68" s="1"/>
  <c r="A198" i="68" s="1"/>
  <c r="A199" i="68" s="1"/>
  <c r="A200" i="68" s="1"/>
  <c r="A201" i="68" s="1"/>
  <c r="A202" i="68" s="1"/>
  <c r="A203" i="68" s="1"/>
  <c r="A172" i="68"/>
  <c r="A173" i="68" s="1"/>
  <c r="A174" i="68" s="1"/>
  <c r="A175" i="68" s="1"/>
  <c r="A176" i="68" s="1"/>
  <c r="A177" i="68" s="1"/>
  <c r="A178" i="68" s="1"/>
  <c r="A179" i="68" s="1"/>
  <c r="A180" i="68" s="1"/>
  <c r="A181" i="68" s="1"/>
  <c r="A182" i="68" s="1"/>
  <c r="A183" i="68" s="1"/>
  <c r="A184" i="68" s="1"/>
  <c r="A185" i="68" s="1"/>
  <c r="A186" i="68" s="1"/>
  <c r="A102" i="68"/>
  <c r="A103" i="68" s="1"/>
  <c r="A104" i="68" s="1"/>
  <c r="A105" i="68" s="1"/>
  <c r="A106" i="68" s="1"/>
  <c r="A107" i="68" s="1"/>
  <c r="A101" i="68"/>
  <c r="A100" i="68"/>
  <c r="K73" i="77" s="1"/>
  <c r="A293" i="68"/>
  <c r="A292" i="68"/>
  <c r="K112" i="77" s="1"/>
  <c r="A294" i="68"/>
  <c r="A295" i="68" s="1"/>
  <c r="A296" i="68" s="1"/>
  <c r="A297" i="68" s="1"/>
  <c r="A298" i="68" s="1"/>
  <c r="A299" i="68" s="1"/>
  <c r="A356" i="68"/>
  <c r="K125" i="77" s="1"/>
  <c r="A357" i="68"/>
  <c r="A358" i="68"/>
  <c r="A359" i="68" s="1"/>
  <c r="A360" i="68" s="1"/>
  <c r="A361" i="68" s="1"/>
  <c r="A362" i="68" s="1"/>
  <c r="A363" i="68" s="1"/>
  <c r="N2" i="52"/>
  <c r="B74" i="52"/>
  <c r="D20" i="52"/>
  <c r="A123" i="68" l="1"/>
  <c r="A124" i="68" s="1"/>
  <c r="A125" i="68" s="1"/>
  <c r="A126" i="68" s="1"/>
  <c r="A127" i="68" s="1"/>
  <c r="A128" i="68" s="1"/>
  <c r="A129" i="68" s="1"/>
  <c r="A130" i="68" s="1"/>
  <c r="A131" i="68" s="1"/>
  <c r="A133" i="68" s="1"/>
  <c r="A134" i="68" s="1"/>
  <c r="A135" i="68" s="1"/>
  <c r="A136" i="68" s="1"/>
  <c r="A137" i="68" s="1"/>
  <c r="A138" i="68" s="1"/>
  <c r="A139" i="68" s="1"/>
  <c r="A108" i="68"/>
  <c r="A109" i="68" s="1"/>
  <c r="A110" i="68" s="1"/>
  <c r="A111" i="68" s="1"/>
  <c r="A112" i="68" s="1"/>
  <c r="A113" i="68" s="1"/>
  <c r="A114" i="68" s="1"/>
  <c r="A115" i="68" s="1"/>
  <c r="A116" i="68" s="1"/>
  <c r="A117" i="68" s="1"/>
  <c r="A118" i="68" s="1"/>
  <c r="A119" i="68" s="1"/>
  <c r="A120" i="68" s="1"/>
  <c r="A121" i="68" s="1"/>
  <c r="A122" i="68" s="1"/>
  <c r="A315" i="68"/>
  <c r="A316" i="68" s="1"/>
  <c r="A317" i="68" s="1"/>
  <c r="A318" i="68" s="1"/>
  <c r="A319" i="68" s="1"/>
  <c r="A320" i="68" s="1"/>
  <c r="A321" i="68" s="1"/>
  <c r="A322" i="68" s="1"/>
  <c r="A323" i="68" s="1"/>
  <c r="A325" i="68" s="1"/>
  <c r="A326" i="68" s="1"/>
  <c r="A327" i="68" s="1"/>
  <c r="A328" i="68" s="1"/>
  <c r="A329" i="68" s="1"/>
  <c r="A330" i="68" s="1"/>
  <c r="A331" i="68" s="1"/>
  <c r="A300" i="68"/>
  <c r="A301" i="68" s="1"/>
  <c r="A302" i="68" s="1"/>
  <c r="A303" i="68" s="1"/>
  <c r="A304" i="68" s="1"/>
  <c r="A305" i="68" s="1"/>
  <c r="A306" i="68" s="1"/>
  <c r="A307" i="68" s="1"/>
  <c r="A308" i="68" s="1"/>
  <c r="A309" i="68" s="1"/>
  <c r="A310" i="68" s="1"/>
  <c r="A311" i="68" s="1"/>
  <c r="A312" i="68" s="1"/>
  <c r="A313" i="68" s="1"/>
  <c r="A314" i="68" s="1"/>
  <c r="A379" i="68"/>
  <c r="A380" i="68" s="1"/>
  <c r="A381" i="68" s="1"/>
  <c r="A382" i="68" s="1"/>
  <c r="A383" i="68" s="1"/>
  <c r="A384" i="68" s="1"/>
  <c r="A385" i="68" s="1"/>
  <c r="A386" i="68" s="1"/>
  <c r="A387" i="68" s="1"/>
  <c r="A389" i="68" s="1"/>
  <c r="A390" i="68" s="1"/>
  <c r="A391" i="68" s="1"/>
  <c r="A392" i="68" s="1"/>
  <c r="A393" i="68" s="1"/>
  <c r="A394" i="68" s="1"/>
  <c r="A395" i="68" s="1"/>
  <c r="A364" i="68"/>
  <c r="A365" i="68" s="1"/>
  <c r="A366" i="68" s="1"/>
  <c r="A367" i="68" s="1"/>
  <c r="A368" i="68" s="1"/>
  <c r="A369" i="68" s="1"/>
  <c r="A370" i="68" s="1"/>
  <c r="A371" i="68" s="1"/>
  <c r="A372" i="68" s="1"/>
  <c r="A373" i="68" s="1"/>
  <c r="A374" i="68" s="1"/>
  <c r="A375" i="68" s="1"/>
  <c r="A376" i="68" s="1"/>
  <c r="A377" i="68" s="1"/>
  <c r="A378" i="68" s="1"/>
  <c r="A22" i="52"/>
  <c r="A21" i="52"/>
  <c r="D19" i="52"/>
  <c r="F74" i="52"/>
  <c r="X57" i="52"/>
  <c r="X53" i="52"/>
  <c r="X49" i="52"/>
  <c r="X45" i="52"/>
  <c r="X41" i="52"/>
  <c r="X37" i="52"/>
  <c r="X33" i="52"/>
  <c r="X29" i="52"/>
  <c r="W55" i="52"/>
  <c r="W51" i="52"/>
  <c r="W47" i="52"/>
  <c r="W43" i="52"/>
  <c r="W39" i="52"/>
  <c r="W35" i="52"/>
  <c r="W31" i="52"/>
  <c r="V57" i="52"/>
  <c r="V53" i="52"/>
  <c r="V49" i="52"/>
  <c r="V45" i="52"/>
  <c r="V41" i="52"/>
  <c r="V37" i="52"/>
  <c r="V33" i="52"/>
  <c r="V29" i="52"/>
  <c r="S55" i="52"/>
  <c r="S51" i="52"/>
  <c r="S47" i="52"/>
  <c r="S43" i="52"/>
  <c r="S39" i="52"/>
  <c r="S35" i="52"/>
  <c r="S31" i="52"/>
  <c r="X56" i="52"/>
  <c r="X52" i="52"/>
  <c r="X48" i="52"/>
  <c r="X44" i="52"/>
  <c r="X40" i="52"/>
  <c r="X36" i="52"/>
  <c r="X32" i="52"/>
  <c r="X28" i="52"/>
  <c r="W46" i="52"/>
  <c r="W34" i="52"/>
  <c r="V56" i="52"/>
  <c r="X55" i="52"/>
  <c r="X51" i="52"/>
  <c r="X47" i="52"/>
  <c r="X43" i="52"/>
  <c r="X39" i="52"/>
  <c r="X35" i="52"/>
  <c r="X31" i="52"/>
  <c r="W57" i="52"/>
  <c r="W53" i="52"/>
  <c r="W49" i="52"/>
  <c r="W45" i="52"/>
  <c r="W41" i="52"/>
  <c r="W37" i="52"/>
  <c r="W33" i="52"/>
  <c r="W29" i="52"/>
  <c r="V55" i="52"/>
  <c r="V51" i="52"/>
  <c r="V47" i="52"/>
  <c r="V43" i="52"/>
  <c r="V39" i="52"/>
  <c r="V35" i="52"/>
  <c r="V31" i="52"/>
  <c r="S57" i="52"/>
  <c r="S53" i="52"/>
  <c r="S49" i="52"/>
  <c r="S45" i="52"/>
  <c r="S41" i="52"/>
  <c r="S37" i="52"/>
  <c r="S33" i="52"/>
  <c r="S28" i="52"/>
  <c r="S32" i="52"/>
  <c r="W54" i="52"/>
  <c r="W42" i="52"/>
  <c r="W30" i="52"/>
  <c r="X54" i="52"/>
  <c r="X50" i="52"/>
  <c r="X46" i="52"/>
  <c r="X42" i="52"/>
  <c r="X38" i="52"/>
  <c r="X34" i="52"/>
  <c r="X30" i="52"/>
  <c r="W56" i="52"/>
  <c r="W52" i="52"/>
  <c r="W48" i="52"/>
  <c r="W44" i="52"/>
  <c r="W40" i="52"/>
  <c r="W36" i="52"/>
  <c r="W32" i="52"/>
  <c r="W28" i="52"/>
  <c r="V54" i="52"/>
  <c r="V50" i="52"/>
  <c r="V46" i="52"/>
  <c r="V42" i="52"/>
  <c r="V38" i="52"/>
  <c r="V34" i="52"/>
  <c r="V30" i="52"/>
  <c r="S56" i="52"/>
  <c r="S52" i="52"/>
  <c r="S48" i="52"/>
  <c r="S44" i="52"/>
  <c r="S40" i="52"/>
  <c r="S36" i="52"/>
  <c r="S30" i="52"/>
  <c r="W50" i="52"/>
  <c r="W38" i="52"/>
  <c r="V52" i="52"/>
  <c r="V48" i="52"/>
  <c r="V32" i="52"/>
  <c r="S46" i="52"/>
  <c r="S29" i="52"/>
  <c r="V44" i="52"/>
  <c r="V28" i="52"/>
  <c r="S42" i="52"/>
  <c r="V40" i="52"/>
  <c r="S54" i="52"/>
  <c r="V36" i="52"/>
  <c r="S50" i="52"/>
  <c r="S34" i="52"/>
  <c r="S38" i="52"/>
  <c r="N3" i="52"/>
  <c r="B19" i="52"/>
  <c r="F75" i="52"/>
  <c r="G15" i="52"/>
  <c r="U57" i="52"/>
  <c r="H57" i="52" s="1"/>
  <c r="U53" i="52"/>
  <c r="H53" i="52" s="1"/>
  <c r="U49" i="52"/>
  <c r="H49" i="52" s="1"/>
  <c r="U45" i="52"/>
  <c r="H45" i="52" s="1"/>
  <c r="U41" i="52"/>
  <c r="H41" i="52" s="1"/>
  <c r="U37" i="52"/>
  <c r="H37" i="52" s="1"/>
  <c r="U33" i="52"/>
  <c r="H33" i="52" s="1"/>
  <c r="U29" i="52"/>
  <c r="H29" i="52" s="1"/>
  <c r="U56" i="52"/>
  <c r="H56" i="52" s="1"/>
  <c r="U52" i="52"/>
  <c r="H52" i="52" s="1"/>
  <c r="U48" i="52"/>
  <c r="H48" i="52" s="1"/>
  <c r="U44" i="52"/>
  <c r="H44" i="52" s="1"/>
  <c r="U40" i="52"/>
  <c r="H40" i="52" s="1"/>
  <c r="U36" i="52"/>
  <c r="H36" i="52" s="1"/>
  <c r="U32" i="52"/>
  <c r="H32" i="52" s="1"/>
  <c r="U28" i="52"/>
  <c r="H28" i="52" s="1"/>
  <c r="U55" i="52"/>
  <c r="H55" i="52" s="1"/>
  <c r="U51" i="52"/>
  <c r="H51" i="52" s="1"/>
  <c r="U47" i="52"/>
  <c r="H47" i="52" s="1"/>
  <c r="U43" i="52"/>
  <c r="H43" i="52" s="1"/>
  <c r="U39" i="52"/>
  <c r="H39" i="52" s="1"/>
  <c r="U35" i="52"/>
  <c r="H35" i="52" s="1"/>
  <c r="U31" i="52"/>
  <c r="H31" i="52" s="1"/>
  <c r="U54" i="52"/>
  <c r="H54" i="52" s="1"/>
  <c r="U38" i="52"/>
  <c r="H38" i="52" s="1"/>
  <c r="R57" i="52"/>
  <c r="E57" i="52" s="1"/>
  <c r="T56" i="52"/>
  <c r="G56" i="52" s="1"/>
  <c r="P56" i="52"/>
  <c r="C56" i="52" s="1"/>
  <c r="R55" i="52"/>
  <c r="E55" i="52" s="1"/>
  <c r="T54" i="52"/>
  <c r="G54" i="52" s="1"/>
  <c r="P54" i="52"/>
  <c r="C54" i="52" s="1"/>
  <c r="R53" i="52"/>
  <c r="E53" i="52" s="1"/>
  <c r="T52" i="52"/>
  <c r="G52" i="52" s="1"/>
  <c r="P52" i="52"/>
  <c r="C52" i="52" s="1"/>
  <c r="R51" i="52"/>
  <c r="E51" i="52" s="1"/>
  <c r="T50" i="52"/>
  <c r="G50" i="52" s="1"/>
  <c r="P50" i="52"/>
  <c r="C50" i="52" s="1"/>
  <c r="R49" i="52"/>
  <c r="E49" i="52" s="1"/>
  <c r="T48" i="52"/>
  <c r="G48" i="52" s="1"/>
  <c r="P48" i="52"/>
  <c r="C48" i="52" s="1"/>
  <c r="R47" i="52"/>
  <c r="E47" i="52" s="1"/>
  <c r="T46" i="52"/>
  <c r="G46" i="52" s="1"/>
  <c r="P46" i="52"/>
  <c r="C46" i="52" s="1"/>
  <c r="R45" i="52"/>
  <c r="E45" i="52" s="1"/>
  <c r="T44" i="52"/>
  <c r="G44" i="52" s="1"/>
  <c r="P44" i="52"/>
  <c r="C44" i="52" s="1"/>
  <c r="R43" i="52"/>
  <c r="E43" i="52" s="1"/>
  <c r="T42" i="52"/>
  <c r="G42" i="52" s="1"/>
  <c r="P42" i="52"/>
  <c r="C42" i="52" s="1"/>
  <c r="R41" i="52"/>
  <c r="E41" i="52" s="1"/>
  <c r="T40" i="52"/>
  <c r="G40" i="52" s="1"/>
  <c r="P40" i="52"/>
  <c r="C40" i="52" s="1"/>
  <c r="R39" i="52"/>
  <c r="E39" i="52" s="1"/>
  <c r="T38" i="52"/>
  <c r="G38" i="52" s="1"/>
  <c r="P38" i="52"/>
  <c r="C38" i="52" s="1"/>
  <c r="U50" i="52"/>
  <c r="H50" i="52" s="1"/>
  <c r="U34" i="52"/>
  <c r="H34" i="52" s="1"/>
  <c r="Q57" i="52"/>
  <c r="D57" i="52" s="1"/>
  <c r="O56" i="52"/>
  <c r="B56" i="52" s="1"/>
  <c r="Q55" i="52"/>
  <c r="D55" i="52" s="1"/>
  <c r="O54" i="52"/>
  <c r="B54" i="52" s="1"/>
  <c r="Q53" i="52"/>
  <c r="D53" i="52" s="1"/>
  <c r="O52" i="52"/>
  <c r="B52" i="52" s="1"/>
  <c r="Q51" i="52"/>
  <c r="D51" i="52" s="1"/>
  <c r="O50" i="52"/>
  <c r="B50" i="52" s="1"/>
  <c r="Q49" i="52"/>
  <c r="D49" i="52" s="1"/>
  <c r="O48" i="52"/>
  <c r="B48" i="52" s="1"/>
  <c r="Q47" i="52"/>
  <c r="D47" i="52" s="1"/>
  <c r="O46" i="52"/>
  <c r="B46" i="52" s="1"/>
  <c r="Q45" i="52"/>
  <c r="D45" i="52" s="1"/>
  <c r="O44" i="52"/>
  <c r="B44" i="52" s="1"/>
  <c r="Q43" i="52"/>
  <c r="D43" i="52" s="1"/>
  <c r="O42" i="52"/>
  <c r="B42" i="52" s="1"/>
  <c r="Q41" i="52"/>
  <c r="D41" i="52" s="1"/>
  <c r="O40" i="52"/>
  <c r="B40" i="52" s="1"/>
  <c r="Q39" i="52"/>
  <c r="D39" i="52" s="1"/>
  <c r="O38" i="52"/>
  <c r="B38" i="52" s="1"/>
  <c r="Q37" i="52"/>
  <c r="D37" i="52" s="1"/>
  <c r="O36" i="52"/>
  <c r="B36" i="52" s="1"/>
  <c r="Q35" i="52"/>
  <c r="D35" i="52" s="1"/>
  <c r="O34" i="52"/>
  <c r="B34" i="52" s="1"/>
  <c r="Q33" i="52"/>
  <c r="D33" i="52" s="1"/>
  <c r="U46" i="52"/>
  <c r="H46" i="52" s="1"/>
  <c r="U30" i="52"/>
  <c r="H30" i="52" s="1"/>
  <c r="T57" i="52"/>
  <c r="G57" i="52" s="1"/>
  <c r="P57" i="52"/>
  <c r="C57" i="52" s="1"/>
  <c r="R56" i="52"/>
  <c r="E56" i="52" s="1"/>
  <c r="T55" i="52"/>
  <c r="G55" i="52" s="1"/>
  <c r="P55" i="52"/>
  <c r="C55" i="52" s="1"/>
  <c r="R54" i="52"/>
  <c r="E54" i="52" s="1"/>
  <c r="T53" i="52"/>
  <c r="G53" i="52" s="1"/>
  <c r="P53" i="52"/>
  <c r="C53" i="52" s="1"/>
  <c r="R52" i="52"/>
  <c r="E52" i="52" s="1"/>
  <c r="T51" i="52"/>
  <c r="G51" i="52" s="1"/>
  <c r="P51" i="52"/>
  <c r="C51" i="52" s="1"/>
  <c r="R50" i="52"/>
  <c r="E50" i="52" s="1"/>
  <c r="T49" i="52"/>
  <c r="G49" i="52" s="1"/>
  <c r="P49" i="52"/>
  <c r="C49" i="52" s="1"/>
  <c r="R48" i="52"/>
  <c r="E48" i="52" s="1"/>
  <c r="T47" i="52"/>
  <c r="G47" i="52" s="1"/>
  <c r="P47" i="52"/>
  <c r="C47" i="52" s="1"/>
  <c r="R46" i="52"/>
  <c r="E46" i="52" s="1"/>
  <c r="T45" i="52"/>
  <c r="G45" i="52" s="1"/>
  <c r="P45" i="52"/>
  <c r="C45" i="52" s="1"/>
  <c r="R44" i="52"/>
  <c r="E44" i="52" s="1"/>
  <c r="T43" i="52"/>
  <c r="G43" i="52" s="1"/>
  <c r="P43" i="52"/>
  <c r="C43" i="52" s="1"/>
  <c r="R42" i="52"/>
  <c r="E42" i="52" s="1"/>
  <c r="T41" i="52"/>
  <c r="G41" i="52" s="1"/>
  <c r="P41" i="52"/>
  <c r="C41" i="52" s="1"/>
  <c r="R40" i="52"/>
  <c r="E40" i="52" s="1"/>
  <c r="U42" i="52"/>
  <c r="H42" i="52" s="1"/>
  <c r="O55" i="52"/>
  <c r="B55" i="52" s="1"/>
  <c r="Q52" i="52"/>
  <c r="D52" i="52" s="1"/>
  <c r="O47" i="52"/>
  <c r="B47" i="52" s="1"/>
  <c r="Q44" i="52"/>
  <c r="D44" i="52" s="1"/>
  <c r="Q38" i="52"/>
  <c r="D38" i="52" s="1"/>
  <c r="P37" i="52"/>
  <c r="C37" i="52" s="1"/>
  <c r="Q36" i="52"/>
  <c r="D36" i="52" s="1"/>
  <c r="R35" i="52"/>
  <c r="E35" i="52" s="1"/>
  <c r="R34" i="52"/>
  <c r="E34" i="52" s="1"/>
  <c r="T32" i="52"/>
  <c r="G32" i="52" s="1"/>
  <c r="P32" i="52"/>
  <c r="C32" i="52" s="1"/>
  <c r="R31" i="52"/>
  <c r="E31" i="52" s="1"/>
  <c r="T30" i="52"/>
  <c r="G30" i="52" s="1"/>
  <c r="P30" i="52"/>
  <c r="C30" i="52" s="1"/>
  <c r="R29" i="52"/>
  <c r="E29" i="52" s="1"/>
  <c r="T28" i="52"/>
  <c r="G28" i="52" s="1"/>
  <c r="P28" i="52"/>
  <c r="C28" i="52" s="1"/>
  <c r="O35" i="52"/>
  <c r="B35" i="52" s="1"/>
  <c r="T31" i="52"/>
  <c r="G31" i="52" s="1"/>
  <c r="T29" i="52"/>
  <c r="G29" i="52" s="1"/>
  <c r="B24" i="52"/>
  <c r="O53" i="52"/>
  <c r="B53" i="52" s="1"/>
  <c r="O45" i="52"/>
  <c r="B45" i="52" s="1"/>
  <c r="R38" i="52"/>
  <c r="E38" i="52" s="1"/>
  <c r="O33" i="52"/>
  <c r="B33" i="52" s="1"/>
  <c r="Q30" i="52"/>
  <c r="D30" i="52" s="1"/>
  <c r="Q28" i="52"/>
  <c r="D28" i="52" s="1"/>
  <c r="O57" i="52"/>
  <c r="B57" i="52" s="1"/>
  <c r="Q54" i="52"/>
  <c r="D54" i="52" s="1"/>
  <c r="O49" i="52"/>
  <c r="B49" i="52" s="1"/>
  <c r="Q46" i="52"/>
  <c r="D46" i="52" s="1"/>
  <c r="O41" i="52"/>
  <c r="B41" i="52" s="1"/>
  <c r="P39" i="52"/>
  <c r="C39" i="52" s="1"/>
  <c r="T37" i="52"/>
  <c r="G37" i="52" s="1"/>
  <c r="O37" i="52"/>
  <c r="B37" i="52" s="1"/>
  <c r="P36" i="52"/>
  <c r="C36" i="52" s="1"/>
  <c r="P35" i="52"/>
  <c r="C35" i="52" s="1"/>
  <c r="Q34" i="52"/>
  <c r="D34" i="52" s="1"/>
  <c r="R33" i="52"/>
  <c r="E33" i="52" s="1"/>
  <c r="O32" i="52"/>
  <c r="B32" i="52" s="1"/>
  <c r="Q31" i="52"/>
  <c r="D31" i="52" s="1"/>
  <c r="O30" i="52"/>
  <c r="B30" i="52" s="1"/>
  <c r="Q29" i="52"/>
  <c r="D29" i="52" s="1"/>
  <c r="O28" i="52"/>
  <c r="B28" i="52" s="1"/>
  <c r="P34" i="52"/>
  <c r="C34" i="52" s="1"/>
  <c r="R32" i="52"/>
  <c r="E32" i="52" s="1"/>
  <c r="R30" i="52"/>
  <c r="E30" i="52" s="1"/>
  <c r="R28" i="52"/>
  <c r="E28" i="52" s="1"/>
  <c r="T39" i="52"/>
  <c r="G39" i="52" s="1"/>
  <c r="R36" i="52"/>
  <c r="E36" i="52" s="1"/>
  <c r="T34" i="52"/>
  <c r="G34" i="52" s="1"/>
  <c r="Q32" i="52"/>
  <c r="D32" i="52" s="1"/>
  <c r="O31" i="52"/>
  <c r="B31" i="52" s="1"/>
  <c r="Q56" i="52"/>
  <c r="D56" i="52" s="1"/>
  <c r="O51" i="52"/>
  <c r="B51" i="52" s="1"/>
  <c r="Q48" i="52"/>
  <c r="D48" i="52" s="1"/>
  <c r="O43" i="52"/>
  <c r="B43" i="52" s="1"/>
  <c r="Q40" i="52"/>
  <c r="D40" i="52" s="1"/>
  <c r="O39" i="52"/>
  <c r="B39" i="52" s="1"/>
  <c r="T36" i="52"/>
  <c r="G36" i="52" s="1"/>
  <c r="T35" i="52"/>
  <c r="G35" i="52" s="1"/>
  <c r="P33" i="52"/>
  <c r="C33" i="52" s="1"/>
  <c r="P31" i="52"/>
  <c r="C31" i="52" s="1"/>
  <c r="P29" i="52"/>
  <c r="C29" i="52" s="1"/>
  <c r="Q50" i="52"/>
  <c r="D50" i="52" s="1"/>
  <c r="Q42" i="52"/>
  <c r="D42" i="52" s="1"/>
  <c r="R37" i="52"/>
  <c r="E37" i="52" s="1"/>
  <c r="T33" i="52"/>
  <c r="G33" i="52" s="1"/>
  <c r="O29" i="52"/>
  <c r="B29" i="52" s="1"/>
  <c r="K19" i="52"/>
  <c r="K20" i="52"/>
  <c r="K22" i="52"/>
  <c r="D1" i="35"/>
  <c r="K28" i="52" l="1"/>
  <c r="J28" i="52"/>
  <c r="F28" i="52"/>
  <c r="I28" i="52"/>
  <c r="J57" i="52"/>
  <c r="K57" i="52"/>
  <c r="F57" i="52"/>
  <c r="I57" i="52"/>
  <c r="J32" i="52"/>
  <c r="F32" i="52"/>
  <c r="I32" i="52"/>
  <c r="K32" i="52"/>
  <c r="J41" i="52"/>
  <c r="K41" i="52"/>
  <c r="F41" i="52"/>
  <c r="I41" i="52"/>
  <c r="F39" i="52"/>
  <c r="J39" i="52"/>
  <c r="I39" i="52"/>
  <c r="K39" i="52"/>
  <c r="F51" i="52"/>
  <c r="J51" i="52"/>
  <c r="K51" i="52"/>
  <c r="I51" i="52"/>
  <c r="J37" i="52"/>
  <c r="K37" i="52"/>
  <c r="F37" i="52"/>
  <c r="I37" i="52"/>
  <c r="J45" i="52"/>
  <c r="K45" i="52"/>
  <c r="F45" i="52"/>
  <c r="I45" i="52"/>
  <c r="F47" i="52"/>
  <c r="J47" i="52"/>
  <c r="I47" i="52"/>
  <c r="K47" i="52"/>
  <c r="K36" i="52"/>
  <c r="J36" i="52"/>
  <c r="F36" i="52"/>
  <c r="I36" i="52"/>
  <c r="J40" i="52"/>
  <c r="K40" i="52"/>
  <c r="F40" i="52"/>
  <c r="I40" i="52"/>
  <c r="J44" i="52"/>
  <c r="F44" i="52"/>
  <c r="I44" i="52"/>
  <c r="K44" i="52"/>
  <c r="K48" i="52"/>
  <c r="J48" i="52"/>
  <c r="F48" i="52"/>
  <c r="I48" i="52"/>
  <c r="J52" i="52"/>
  <c r="K52" i="52"/>
  <c r="F52" i="52"/>
  <c r="I52" i="52"/>
  <c r="K56" i="52"/>
  <c r="J56" i="52"/>
  <c r="F56" i="52"/>
  <c r="I56" i="52"/>
  <c r="J30" i="52"/>
  <c r="F30" i="52"/>
  <c r="I30" i="52"/>
  <c r="K30" i="52"/>
  <c r="J49" i="52"/>
  <c r="K49" i="52"/>
  <c r="F49" i="52"/>
  <c r="I49" i="52"/>
  <c r="J53" i="52"/>
  <c r="K53" i="52"/>
  <c r="I53" i="52"/>
  <c r="F53" i="52"/>
  <c r="F35" i="52"/>
  <c r="J35" i="52"/>
  <c r="K35" i="52"/>
  <c r="I35" i="52"/>
  <c r="J29" i="52"/>
  <c r="K29" i="52"/>
  <c r="F29" i="52"/>
  <c r="I29" i="52"/>
  <c r="F43" i="52"/>
  <c r="J43" i="52"/>
  <c r="I43" i="52"/>
  <c r="K43" i="52"/>
  <c r="F31" i="52"/>
  <c r="J31" i="52"/>
  <c r="K31" i="52"/>
  <c r="I31" i="52"/>
  <c r="J33" i="52"/>
  <c r="K33" i="52"/>
  <c r="I33" i="52"/>
  <c r="F33" i="52"/>
  <c r="F55" i="52"/>
  <c r="J55" i="52"/>
  <c r="I55" i="52"/>
  <c r="K55" i="52"/>
  <c r="F34" i="52"/>
  <c r="J34" i="52"/>
  <c r="I34" i="52"/>
  <c r="K34" i="52"/>
  <c r="F38" i="52"/>
  <c r="J38" i="52"/>
  <c r="I38" i="52"/>
  <c r="K38" i="52"/>
  <c r="F42" i="52"/>
  <c r="J42" i="52"/>
  <c r="I42" i="52"/>
  <c r="K42" i="52"/>
  <c r="J46" i="52"/>
  <c r="I46" i="52"/>
  <c r="K46" i="52"/>
  <c r="F46" i="52"/>
  <c r="F50" i="52"/>
  <c r="J50" i="52"/>
  <c r="I50" i="52"/>
  <c r="K50" i="52"/>
  <c r="J54" i="52"/>
  <c r="F54" i="52"/>
  <c r="I54" i="52"/>
  <c r="K54" i="52"/>
  <c r="K21" i="52"/>
  <c r="A11" i="37" l="1"/>
  <c r="A10" i="37"/>
  <c r="A12" i="37"/>
  <c r="A15" i="37"/>
  <c r="A14" i="37"/>
  <c r="A13" i="37"/>
  <c r="G19" i="40"/>
  <c r="E19" i="40"/>
  <c r="G18" i="40"/>
  <c r="E18" i="40"/>
  <c r="D19" i="40"/>
  <c r="D18" i="40"/>
  <c r="N31" i="37"/>
  <c r="N30" i="37"/>
  <c r="N29" i="37"/>
  <c r="N28" i="37"/>
  <c r="N27" i="37"/>
  <c r="N26" i="37"/>
  <c r="N25" i="37"/>
  <c r="N23" i="37"/>
  <c r="N22" i="37"/>
  <c r="N21" i="37"/>
  <c r="N20" i="37"/>
  <c r="N24" i="37"/>
  <c r="O31" i="37"/>
  <c r="O30" i="37"/>
  <c r="O29" i="37"/>
  <c r="O28" i="37"/>
  <c r="O27" i="37"/>
  <c r="O26" i="37"/>
  <c r="O25" i="37"/>
  <c r="O24" i="37"/>
  <c r="O23" i="37"/>
  <c r="O22" i="37"/>
  <c r="O21" i="37"/>
  <c r="O20" i="37"/>
  <c r="P31" i="37"/>
  <c r="P30" i="37"/>
  <c r="P29" i="37"/>
  <c r="P28" i="37"/>
  <c r="P27" i="37"/>
  <c r="P26" i="37"/>
  <c r="P25" i="37"/>
  <c r="P24" i="37"/>
  <c r="P23" i="37"/>
  <c r="P22" i="37"/>
  <c r="P21" i="37"/>
  <c r="P20" i="37"/>
  <c r="R18" i="37"/>
  <c r="Q18" i="37"/>
  <c r="P18" i="37"/>
  <c r="P5" i="6"/>
  <c r="Q5" i="6" s="1"/>
  <c r="Q3" i="6" s="1"/>
  <c r="E49" i="6" s="1"/>
  <c r="M373" i="11"/>
  <c r="C189" i="47" a="1"/>
  <c r="C189" i="47" s="1"/>
  <c r="C188" i="47" a="1"/>
  <c r="C188" i="47" s="1"/>
  <c r="C187" i="47" a="1"/>
  <c r="C187" i="47" s="1"/>
  <c r="C186" i="47" a="1"/>
  <c r="C186" i="47" s="1"/>
  <c r="C185" i="47" a="1"/>
  <c r="C185" i="47" s="1"/>
  <c r="C184" i="47" a="1"/>
  <c r="C184" i="47" s="1"/>
  <c r="C183" i="47" a="1"/>
  <c r="C183" i="47" s="1"/>
  <c r="C182" i="47" a="1"/>
  <c r="C182" i="47" s="1"/>
  <c r="C181" i="47" a="1"/>
  <c r="C181" i="47" s="1"/>
  <c r="C180" i="47" a="1"/>
  <c r="C180" i="47" s="1"/>
  <c r="C179" i="47" a="1"/>
  <c r="C179" i="47" s="1"/>
  <c r="C178" i="47" a="1"/>
  <c r="C178" i="47" s="1"/>
  <c r="C177" i="47" a="1"/>
  <c r="C177" i="47" s="1"/>
  <c r="C176" i="47" a="1"/>
  <c r="C176" i="47" s="1"/>
  <c r="C175" i="47" a="1"/>
  <c r="C175" i="47" s="1"/>
  <c r="C174" i="47" a="1"/>
  <c r="C174" i="47" s="1"/>
  <c r="C173" i="47" a="1"/>
  <c r="C173" i="47" s="1"/>
  <c r="C172" i="47" a="1"/>
  <c r="C172" i="47" s="1"/>
  <c r="C171" i="47" a="1"/>
  <c r="C171" i="47" s="1"/>
  <c r="C170" i="47" a="1"/>
  <c r="C170" i="47" s="1"/>
  <c r="C169" i="47" a="1"/>
  <c r="C169" i="47" s="1"/>
  <c r="C168" i="47" a="1"/>
  <c r="C168" i="47" s="1"/>
  <c r="C167" i="47" a="1"/>
  <c r="C167" i="47" s="1"/>
  <c r="C166" i="47" a="1"/>
  <c r="C166" i="47" s="1"/>
  <c r="C165" i="47" a="1"/>
  <c r="C165" i="47" s="1"/>
  <c r="C164" i="47" a="1"/>
  <c r="C164" i="47" s="1"/>
  <c r="Y164" i="47" s="1"/>
  <c r="H164" i="47" s="1"/>
  <c r="I168" i="72" s="1"/>
  <c r="C163" i="47" a="1"/>
  <c r="C163" i="47" s="1"/>
  <c r="C162" i="47" a="1"/>
  <c r="C162" i="47" s="1"/>
  <c r="C161" i="47" a="1"/>
  <c r="C161" i="47" s="1"/>
  <c r="C160" i="47" a="1"/>
  <c r="C160" i="47" s="1"/>
  <c r="I12" i="47"/>
  <c r="Y163" i="47" l="1"/>
  <c r="H163" i="47" s="1"/>
  <c r="I167" i="72" s="1"/>
  <c r="Y167" i="47"/>
  <c r="H167" i="47" s="1"/>
  <c r="I171" i="72" s="1"/>
  <c r="M167" i="47"/>
  <c r="Y171" i="47"/>
  <c r="H171" i="47" s="1"/>
  <c r="I175" i="72" s="1"/>
  <c r="M171" i="47"/>
  <c r="Y175" i="47"/>
  <c r="H175" i="47" s="1"/>
  <c r="I179" i="72" s="1"/>
  <c r="M175" i="47"/>
  <c r="Y179" i="47"/>
  <c r="H179" i="47" s="1"/>
  <c r="I183" i="72" s="1"/>
  <c r="M179" i="47"/>
  <c r="Y183" i="47"/>
  <c r="H183" i="47" s="1"/>
  <c r="I187" i="72" s="1"/>
  <c r="M183" i="47"/>
  <c r="Y187" i="47"/>
  <c r="H187" i="47" s="1"/>
  <c r="I191" i="72" s="1"/>
  <c r="M187" i="47"/>
  <c r="Y168" i="47"/>
  <c r="H168" i="47" s="1"/>
  <c r="I172" i="72" s="1"/>
  <c r="M168" i="47"/>
  <c r="Y172" i="47"/>
  <c r="H172" i="47" s="1"/>
  <c r="I176" i="72" s="1"/>
  <c r="M172" i="47"/>
  <c r="Y176" i="47"/>
  <c r="H176" i="47" s="1"/>
  <c r="I180" i="72" s="1"/>
  <c r="M176" i="47"/>
  <c r="Y180" i="47"/>
  <c r="H180" i="47" s="1"/>
  <c r="I184" i="72" s="1"/>
  <c r="M180" i="47"/>
  <c r="Y184" i="47"/>
  <c r="H184" i="47" s="1"/>
  <c r="I188" i="72" s="1"/>
  <c r="M184" i="47"/>
  <c r="Y188" i="47"/>
  <c r="H188" i="47" s="1"/>
  <c r="I192" i="72" s="1"/>
  <c r="M188" i="47"/>
  <c r="Y161" i="47"/>
  <c r="H161" i="47" s="1"/>
  <c r="I165" i="72" s="1"/>
  <c r="Y165" i="47"/>
  <c r="H165" i="47" s="1"/>
  <c r="I169" i="72" s="1"/>
  <c r="Y169" i="47"/>
  <c r="H169" i="47" s="1"/>
  <c r="I173" i="72" s="1"/>
  <c r="M169" i="47"/>
  <c r="Y173" i="47"/>
  <c r="H173" i="47" s="1"/>
  <c r="I177" i="72" s="1"/>
  <c r="M173" i="47"/>
  <c r="Y177" i="47"/>
  <c r="H177" i="47" s="1"/>
  <c r="I181" i="72" s="1"/>
  <c r="M177" i="47"/>
  <c r="Y181" i="47"/>
  <c r="H181" i="47" s="1"/>
  <c r="I185" i="72" s="1"/>
  <c r="M181" i="47"/>
  <c r="Y185" i="47"/>
  <c r="H185" i="47" s="1"/>
  <c r="I189" i="72" s="1"/>
  <c r="M185" i="47"/>
  <c r="Y189" i="47"/>
  <c r="H189" i="47" s="1"/>
  <c r="I193" i="72" s="1"/>
  <c r="M189" i="47"/>
  <c r="Y160" i="47"/>
  <c r="H160" i="47" s="1"/>
  <c r="I164" i="72" s="1"/>
  <c r="Y162" i="47"/>
  <c r="H162" i="47" s="1"/>
  <c r="I166" i="72" s="1"/>
  <c r="Y166" i="47"/>
  <c r="H166" i="47" s="1"/>
  <c r="I170" i="72" s="1"/>
  <c r="M166" i="47"/>
  <c r="Y170" i="47"/>
  <c r="H170" i="47" s="1"/>
  <c r="I174" i="72" s="1"/>
  <c r="M170" i="47"/>
  <c r="Y174" i="47"/>
  <c r="H174" i="47" s="1"/>
  <c r="I178" i="72" s="1"/>
  <c r="M174" i="47"/>
  <c r="Y178" i="47"/>
  <c r="H178" i="47" s="1"/>
  <c r="I182" i="72" s="1"/>
  <c r="M178" i="47"/>
  <c r="Y182" i="47"/>
  <c r="H182" i="47" s="1"/>
  <c r="I186" i="72" s="1"/>
  <c r="M182" i="47"/>
  <c r="Y186" i="47"/>
  <c r="H186" i="47" s="1"/>
  <c r="I190" i="72" s="1"/>
  <c r="M186" i="47"/>
  <c r="V164" i="47"/>
  <c r="E164" i="47" s="1"/>
  <c r="W164" i="47"/>
  <c r="F164" i="47" s="1"/>
  <c r="X164" i="47"/>
  <c r="G164" i="47" s="1"/>
  <c r="V162" i="47"/>
  <c r="E162" i="47" s="1"/>
  <c r="X162" i="47"/>
  <c r="G162" i="47" s="1"/>
  <c r="W162" i="47"/>
  <c r="F162" i="47" s="1"/>
  <c r="X166" i="47"/>
  <c r="G166" i="47" s="1"/>
  <c r="V166" i="47"/>
  <c r="E166" i="47" s="1"/>
  <c r="W166" i="47"/>
  <c r="F166" i="47" s="1"/>
  <c r="X170" i="47"/>
  <c r="G170" i="47" s="1"/>
  <c r="V170" i="47"/>
  <c r="E170" i="47" s="1"/>
  <c r="W170" i="47"/>
  <c r="F170" i="47" s="1"/>
  <c r="X174" i="47"/>
  <c r="G174" i="47" s="1"/>
  <c r="W174" i="47"/>
  <c r="F174" i="47" s="1"/>
  <c r="V174" i="47"/>
  <c r="E174" i="47" s="1"/>
  <c r="X178" i="47"/>
  <c r="G178" i="47" s="1"/>
  <c r="V178" i="47"/>
  <c r="E178" i="47" s="1"/>
  <c r="W178" i="47"/>
  <c r="F178" i="47" s="1"/>
  <c r="X182" i="47"/>
  <c r="G182" i="47" s="1"/>
  <c r="V182" i="47"/>
  <c r="E182" i="47" s="1"/>
  <c r="W182" i="47"/>
  <c r="F182" i="47" s="1"/>
  <c r="X186" i="47"/>
  <c r="G186" i="47" s="1"/>
  <c r="V186" i="47"/>
  <c r="E186" i="47" s="1"/>
  <c r="W186" i="47"/>
  <c r="F186" i="47" s="1"/>
  <c r="W163" i="47"/>
  <c r="F163" i="47" s="1"/>
  <c r="V163" i="47"/>
  <c r="E163" i="47" s="1"/>
  <c r="X163" i="47"/>
  <c r="G163" i="47" s="1"/>
  <c r="V167" i="47"/>
  <c r="E167" i="47" s="1"/>
  <c r="W167" i="47"/>
  <c r="F167" i="47" s="1"/>
  <c r="X167" i="47"/>
  <c r="G167" i="47" s="1"/>
  <c r="V171" i="47"/>
  <c r="E171" i="47" s="1"/>
  <c r="W171" i="47"/>
  <c r="F171" i="47" s="1"/>
  <c r="X171" i="47"/>
  <c r="G171" i="47" s="1"/>
  <c r="V175" i="47"/>
  <c r="E175" i="47" s="1"/>
  <c r="W175" i="47"/>
  <c r="F175" i="47" s="1"/>
  <c r="X175" i="47"/>
  <c r="G175" i="47" s="1"/>
  <c r="V179" i="47"/>
  <c r="E179" i="47" s="1"/>
  <c r="X179" i="47"/>
  <c r="G179" i="47" s="1"/>
  <c r="W179" i="47"/>
  <c r="F179" i="47" s="1"/>
  <c r="V183" i="47"/>
  <c r="E183" i="47" s="1"/>
  <c r="W183" i="47"/>
  <c r="F183" i="47" s="1"/>
  <c r="X183" i="47"/>
  <c r="G183" i="47" s="1"/>
  <c r="V187" i="47"/>
  <c r="E187" i="47" s="1"/>
  <c r="X187" i="47"/>
  <c r="G187" i="47" s="1"/>
  <c r="W187" i="47"/>
  <c r="F187" i="47" s="1"/>
  <c r="X160" i="47"/>
  <c r="G160" i="47" s="1"/>
  <c r="W160" i="47"/>
  <c r="F160" i="47" s="1"/>
  <c r="V160" i="47"/>
  <c r="E160" i="47" s="1"/>
  <c r="W168" i="47"/>
  <c r="F168" i="47" s="1"/>
  <c r="V168" i="47"/>
  <c r="E168" i="47" s="1"/>
  <c r="X168" i="47"/>
  <c r="G168" i="47" s="1"/>
  <c r="W172" i="47"/>
  <c r="F172" i="47" s="1"/>
  <c r="V172" i="47"/>
  <c r="E172" i="47" s="1"/>
  <c r="X172" i="47"/>
  <c r="G172" i="47" s="1"/>
  <c r="W176" i="47"/>
  <c r="F176" i="47" s="1"/>
  <c r="V176" i="47"/>
  <c r="E176" i="47" s="1"/>
  <c r="X176" i="47"/>
  <c r="G176" i="47" s="1"/>
  <c r="W180" i="47"/>
  <c r="F180" i="47" s="1"/>
  <c r="V180" i="47"/>
  <c r="E180" i="47" s="1"/>
  <c r="X180" i="47"/>
  <c r="G180" i="47" s="1"/>
  <c r="W184" i="47"/>
  <c r="F184" i="47" s="1"/>
  <c r="V184" i="47"/>
  <c r="E184" i="47" s="1"/>
  <c r="X184" i="47"/>
  <c r="G184" i="47" s="1"/>
  <c r="W188" i="47"/>
  <c r="F188" i="47" s="1"/>
  <c r="V188" i="47"/>
  <c r="E188" i="47" s="1"/>
  <c r="X188" i="47"/>
  <c r="G188" i="47" s="1"/>
  <c r="X161" i="47"/>
  <c r="G161" i="47" s="1"/>
  <c r="V161" i="47"/>
  <c r="E161" i="47" s="1"/>
  <c r="W161" i="47"/>
  <c r="F161" i="47" s="1"/>
  <c r="X165" i="47"/>
  <c r="G165" i="47" s="1"/>
  <c r="W165" i="47"/>
  <c r="F165" i="47" s="1"/>
  <c r="V165" i="47"/>
  <c r="E165" i="47" s="1"/>
  <c r="X169" i="47"/>
  <c r="G169" i="47" s="1"/>
  <c r="W169" i="47"/>
  <c r="F169" i="47" s="1"/>
  <c r="V169" i="47"/>
  <c r="E169" i="47" s="1"/>
  <c r="X173" i="47"/>
  <c r="G173" i="47" s="1"/>
  <c r="W173" i="47"/>
  <c r="F173" i="47" s="1"/>
  <c r="V173" i="47"/>
  <c r="E173" i="47" s="1"/>
  <c r="X177" i="47"/>
  <c r="G177" i="47" s="1"/>
  <c r="W177" i="47"/>
  <c r="F177" i="47" s="1"/>
  <c r="V177" i="47"/>
  <c r="E177" i="47" s="1"/>
  <c r="X181" i="47"/>
  <c r="G181" i="47" s="1"/>
  <c r="W181" i="47"/>
  <c r="F181" i="47" s="1"/>
  <c r="V181" i="47"/>
  <c r="E181" i="47" s="1"/>
  <c r="X185" i="47"/>
  <c r="G185" i="47" s="1"/>
  <c r="W185" i="47"/>
  <c r="F185" i="47" s="1"/>
  <c r="V185" i="47"/>
  <c r="E185" i="47" s="1"/>
  <c r="X189" i="47"/>
  <c r="G189" i="47" s="1"/>
  <c r="W189" i="47"/>
  <c r="F189" i="47" s="1"/>
  <c r="V189" i="47"/>
  <c r="E189" i="47" s="1"/>
  <c r="A7" i="37"/>
  <c r="A8" i="37" s="1"/>
  <c r="A6" i="37"/>
  <c r="A9" i="37" s="1"/>
  <c r="C171" i="72"/>
  <c r="BD167" i="47"/>
  <c r="K167" i="47" s="1"/>
  <c r="BC167" i="47"/>
  <c r="BB167" i="47"/>
  <c r="BE167" i="47"/>
  <c r="L167" i="47" s="1"/>
  <c r="Z167" i="47"/>
  <c r="C183" i="72"/>
  <c r="BD179" i="47"/>
  <c r="K179" i="47" s="1"/>
  <c r="BC179" i="47"/>
  <c r="BB179" i="47"/>
  <c r="BE179" i="47"/>
  <c r="L179" i="47" s="1"/>
  <c r="Z179" i="47"/>
  <c r="C164" i="72"/>
  <c r="BD160" i="47"/>
  <c r="K160" i="47" s="1"/>
  <c r="BC160" i="47"/>
  <c r="Z160" i="47"/>
  <c r="BE160" i="47"/>
  <c r="L160" i="47" s="1"/>
  <c r="BB160" i="47"/>
  <c r="C172" i="72"/>
  <c r="BD168" i="47"/>
  <c r="K168" i="47" s="1"/>
  <c r="BC168" i="47"/>
  <c r="Z168" i="47"/>
  <c r="BE168" i="47"/>
  <c r="L168" i="47" s="1"/>
  <c r="BB168" i="47"/>
  <c r="C180" i="72"/>
  <c r="BD176" i="47"/>
  <c r="K176" i="47" s="1"/>
  <c r="BC176" i="47"/>
  <c r="Z176" i="47"/>
  <c r="BE176" i="47"/>
  <c r="L176" i="47" s="1"/>
  <c r="BB176" i="47"/>
  <c r="C188" i="72"/>
  <c r="BD184" i="47"/>
  <c r="K184" i="47" s="1"/>
  <c r="BC184" i="47"/>
  <c r="Z184" i="47"/>
  <c r="BE184" i="47"/>
  <c r="L184" i="47" s="1"/>
  <c r="BB184" i="47"/>
  <c r="C165" i="72"/>
  <c r="BD161" i="47"/>
  <c r="K161" i="47" s="1"/>
  <c r="BC161" i="47"/>
  <c r="BB161" i="47"/>
  <c r="BE161" i="47"/>
  <c r="L161" i="47" s="1"/>
  <c r="Z161" i="47"/>
  <c r="C169" i="72"/>
  <c r="BD165" i="47"/>
  <c r="K165" i="47" s="1"/>
  <c r="BC165" i="47"/>
  <c r="BB165" i="47"/>
  <c r="BE165" i="47"/>
  <c r="L165" i="47" s="1"/>
  <c r="Z165" i="47"/>
  <c r="C173" i="72"/>
  <c r="BD169" i="47"/>
  <c r="K169" i="47" s="1"/>
  <c r="BC169" i="47"/>
  <c r="BB169" i="47"/>
  <c r="BE169" i="47"/>
  <c r="L169" i="47" s="1"/>
  <c r="Z169" i="47"/>
  <c r="C177" i="72"/>
  <c r="BD173" i="47"/>
  <c r="K173" i="47" s="1"/>
  <c r="BC173" i="47"/>
  <c r="BB173" i="47"/>
  <c r="BE173" i="47"/>
  <c r="L173" i="47" s="1"/>
  <c r="Z173" i="47"/>
  <c r="C181" i="72"/>
  <c r="BD177" i="47"/>
  <c r="K177" i="47" s="1"/>
  <c r="BC177" i="47"/>
  <c r="BB177" i="47"/>
  <c r="BE177" i="47"/>
  <c r="L177" i="47" s="1"/>
  <c r="Z177" i="47"/>
  <c r="C185" i="72"/>
  <c r="BD181" i="47"/>
  <c r="K181" i="47" s="1"/>
  <c r="BC181" i="47"/>
  <c r="BB181" i="47"/>
  <c r="BE181" i="47"/>
  <c r="L181" i="47" s="1"/>
  <c r="Z181" i="47"/>
  <c r="C189" i="72"/>
  <c r="BE185" i="47"/>
  <c r="L185" i="47" s="1"/>
  <c r="BD185" i="47"/>
  <c r="K185" i="47" s="1"/>
  <c r="BC185" i="47"/>
  <c r="BB185" i="47"/>
  <c r="Z185" i="47"/>
  <c r="C193" i="72"/>
  <c r="BE189" i="47"/>
  <c r="L189" i="47" s="1"/>
  <c r="BB189" i="47"/>
  <c r="BD189" i="47"/>
  <c r="K189" i="47" s="1"/>
  <c r="BC189" i="47"/>
  <c r="Z189" i="47"/>
  <c r="C167" i="72"/>
  <c r="BD163" i="47"/>
  <c r="K163" i="47" s="1"/>
  <c r="BC163" i="47"/>
  <c r="BB163" i="47"/>
  <c r="BE163" i="47"/>
  <c r="L163" i="47" s="1"/>
  <c r="Z163" i="47"/>
  <c r="C175" i="72"/>
  <c r="BD171" i="47"/>
  <c r="K171" i="47" s="1"/>
  <c r="BC171" i="47"/>
  <c r="BB171" i="47"/>
  <c r="BE171" i="47"/>
  <c r="L171" i="47" s="1"/>
  <c r="Z171" i="47"/>
  <c r="C179" i="72"/>
  <c r="BD175" i="47"/>
  <c r="K175" i="47" s="1"/>
  <c r="BC175" i="47"/>
  <c r="BB175" i="47"/>
  <c r="BE175" i="47"/>
  <c r="L175" i="47" s="1"/>
  <c r="Z175" i="47"/>
  <c r="C187" i="72"/>
  <c r="BD183" i="47"/>
  <c r="K183" i="47" s="1"/>
  <c r="BC183" i="47"/>
  <c r="BB183" i="47"/>
  <c r="BE183" i="47"/>
  <c r="L183" i="47" s="1"/>
  <c r="Z183" i="47"/>
  <c r="C191" i="72"/>
  <c r="BE187" i="47"/>
  <c r="L187" i="47" s="1"/>
  <c r="BB187" i="47"/>
  <c r="BD187" i="47"/>
  <c r="K187" i="47" s="1"/>
  <c r="BC187" i="47"/>
  <c r="Z187" i="47"/>
  <c r="C168" i="72"/>
  <c r="BD164" i="47"/>
  <c r="K164" i="47" s="1"/>
  <c r="BC164" i="47"/>
  <c r="Z164" i="47"/>
  <c r="BE164" i="47"/>
  <c r="L164" i="47" s="1"/>
  <c r="BB164" i="47"/>
  <c r="C176" i="72"/>
  <c r="BD172" i="47"/>
  <c r="K172" i="47" s="1"/>
  <c r="BC172" i="47"/>
  <c r="Z172" i="47"/>
  <c r="BE172" i="47"/>
  <c r="L172" i="47" s="1"/>
  <c r="BB172" i="47"/>
  <c r="C184" i="72"/>
  <c r="BD180" i="47"/>
  <c r="K180" i="47" s="1"/>
  <c r="BC180" i="47"/>
  <c r="Z180" i="47"/>
  <c r="BE180" i="47"/>
  <c r="L180" i="47" s="1"/>
  <c r="BB180" i="47"/>
  <c r="C192" i="72"/>
  <c r="BE188" i="47"/>
  <c r="L188" i="47" s="1"/>
  <c r="BB188" i="47"/>
  <c r="BD188" i="47"/>
  <c r="K188" i="47" s="1"/>
  <c r="BC188" i="47"/>
  <c r="Z188" i="47"/>
  <c r="C166" i="72"/>
  <c r="BD162" i="47"/>
  <c r="K162" i="47" s="1"/>
  <c r="BC162" i="47"/>
  <c r="BE162" i="47"/>
  <c r="L162" i="47" s="1"/>
  <c r="Z162" i="47"/>
  <c r="BB162" i="47"/>
  <c r="C170" i="72"/>
  <c r="BD166" i="47"/>
  <c r="K166" i="47" s="1"/>
  <c r="BC166" i="47"/>
  <c r="BE166" i="47"/>
  <c r="L166" i="47" s="1"/>
  <c r="Z166" i="47"/>
  <c r="BB166" i="47"/>
  <c r="C174" i="72"/>
  <c r="BD170" i="47"/>
  <c r="K170" i="47" s="1"/>
  <c r="BC170" i="47"/>
  <c r="BE170" i="47"/>
  <c r="L170" i="47" s="1"/>
  <c r="Z170" i="47"/>
  <c r="BB170" i="47"/>
  <c r="C178" i="72"/>
  <c r="BD174" i="47"/>
  <c r="K174" i="47" s="1"/>
  <c r="BC174" i="47"/>
  <c r="BE174" i="47"/>
  <c r="L174" i="47" s="1"/>
  <c r="Z174" i="47"/>
  <c r="BB174" i="47"/>
  <c r="C182" i="72"/>
  <c r="BD178" i="47"/>
  <c r="K178" i="47" s="1"/>
  <c r="BC178" i="47"/>
  <c r="BE178" i="47"/>
  <c r="L178" i="47" s="1"/>
  <c r="Z178" i="47"/>
  <c r="BB178" i="47"/>
  <c r="C186" i="72"/>
  <c r="BD182" i="47"/>
  <c r="K182" i="47" s="1"/>
  <c r="BC182" i="47"/>
  <c r="BE182" i="47"/>
  <c r="L182" i="47" s="1"/>
  <c r="Z182" i="47"/>
  <c r="BB182" i="47"/>
  <c r="C190" i="72"/>
  <c r="BE186" i="47"/>
  <c r="L186" i="47" s="1"/>
  <c r="BB186" i="47"/>
  <c r="BC186" i="47"/>
  <c r="Z186" i="47"/>
  <c r="BD186" i="47"/>
  <c r="K186" i="47" s="1"/>
  <c r="AB172" i="47"/>
  <c r="AB176" i="47"/>
  <c r="AB180" i="47"/>
  <c r="AB184" i="47"/>
  <c r="AB188" i="47"/>
  <c r="AB169" i="47"/>
  <c r="AB173" i="47"/>
  <c r="AB177" i="47"/>
  <c r="AB181" i="47"/>
  <c r="AB185" i="47"/>
  <c r="AB189" i="47"/>
  <c r="AB168" i="47"/>
  <c r="AB170" i="47"/>
  <c r="AB174" i="47"/>
  <c r="AB178" i="47"/>
  <c r="AB182" i="47"/>
  <c r="AB186" i="47"/>
  <c r="AB167" i="47"/>
  <c r="AB171" i="47"/>
  <c r="AB175" i="47"/>
  <c r="AB179" i="47"/>
  <c r="AB183" i="47"/>
  <c r="AB187" i="47"/>
  <c r="G34" i="55"/>
  <c r="D15" i="40"/>
  <c r="D16" i="40"/>
  <c r="D17" i="40"/>
  <c r="D14" i="40"/>
  <c r="D172" i="47"/>
  <c r="D176" i="72" s="1"/>
  <c r="D166" i="47"/>
  <c r="D170" i="72" s="1"/>
  <c r="D170" i="47"/>
  <c r="D174" i="72" s="1"/>
  <c r="D174" i="47"/>
  <c r="D178" i="72" s="1"/>
  <c r="D160" i="47"/>
  <c r="D164" i="72" s="1"/>
  <c r="D164" i="47"/>
  <c r="D168" i="72" s="1"/>
  <c r="D168" i="47"/>
  <c r="D172" i="72" s="1"/>
  <c r="D176" i="47"/>
  <c r="D180" i="72" s="1"/>
  <c r="D180" i="47"/>
  <c r="D184" i="72" s="1"/>
  <c r="D184" i="47"/>
  <c r="D188" i="72" s="1"/>
  <c r="D188" i="47"/>
  <c r="D192" i="72" s="1"/>
  <c r="D162" i="47"/>
  <c r="D166" i="72" s="1"/>
  <c r="D177" i="47"/>
  <c r="D181" i="72" s="1"/>
  <c r="D185" i="47"/>
  <c r="D189" i="72" s="1"/>
  <c r="D178" i="47"/>
  <c r="D182" i="72" s="1"/>
  <c r="D182" i="47"/>
  <c r="D186" i="72" s="1"/>
  <c r="D187" i="47"/>
  <c r="D191" i="72" s="1"/>
  <c r="D181" i="47"/>
  <c r="D185" i="72" s="1"/>
  <c r="D163" i="47"/>
  <c r="D167" i="72" s="1"/>
  <c r="D167" i="47"/>
  <c r="D171" i="72" s="1"/>
  <c r="D171" i="47"/>
  <c r="D175" i="72" s="1"/>
  <c r="D175" i="47"/>
  <c r="D179" i="72" s="1"/>
  <c r="D179" i="47"/>
  <c r="D183" i="72" s="1"/>
  <c r="D161" i="47"/>
  <c r="D165" i="72" s="1"/>
  <c r="D165" i="47"/>
  <c r="D169" i="72" s="1"/>
  <c r="D169" i="47"/>
  <c r="D173" i="72" s="1"/>
  <c r="D173" i="47"/>
  <c r="D177" i="72" s="1"/>
  <c r="D186" i="47"/>
  <c r="D190" i="72" s="1"/>
  <c r="D189" i="47"/>
  <c r="D193" i="72" s="1"/>
  <c r="D183" i="47"/>
  <c r="D187" i="72" s="1"/>
  <c r="T15" i="47"/>
  <c r="S15" i="47"/>
  <c r="T13" i="47"/>
  <c r="S13" i="47"/>
  <c r="T12" i="47"/>
  <c r="S12" i="47"/>
  <c r="J186" i="47" l="1"/>
  <c r="O186" i="47" s="1"/>
  <c r="N188" i="47"/>
  <c r="E192" i="72" s="1"/>
  <c r="N180" i="47"/>
  <c r="E184" i="72" s="1"/>
  <c r="N164" i="47"/>
  <c r="E168" i="72" s="1"/>
  <c r="N187" i="47"/>
  <c r="E191" i="72" s="1"/>
  <c r="N175" i="47"/>
  <c r="E179" i="72" s="1"/>
  <c r="N163" i="47"/>
  <c r="E167" i="72" s="1"/>
  <c r="N185" i="47"/>
  <c r="E189" i="72" s="1"/>
  <c r="N177" i="47"/>
  <c r="E181" i="72" s="1"/>
  <c r="N169" i="47"/>
  <c r="E173" i="72" s="1"/>
  <c r="N161" i="47"/>
  <c r="E165" i="72" s="1"/>
  <c r="N184" i="47"/>
  <c r="E188" i="72" s="1"/>
  <c r="N168" i="47"/>
  <c r="E172" i="72" s="1"/>
  <c r="N167" i="47"/>
  <c r="E171" i="72" s="1"/>
  <c r="S182" i="47"/>
  <c r="R182" i="47"/>
  <c r="S174" i="47"/>
  <c r="R174" i="47"/>
  <c r="S166" i="47"/>
  <c r="R166" i="47"/>
  <c r="R185" i="47"/>
  <c r="S185" i="47"/>
  <c r="R177" i="47"/>
  <c r="S177" i="47"/>
  <c r="S169" i="47"/>
  <c r="R169" i="47"/>
  <c r="S184" i="47"/>
  <c r="R184" i="47"/>
  <c r="S176" i="47"/>
  <c r="R176" i="47"/>
  <c r="S168" i="47"/>
  <c r="R168" i="47"/>
  <c r="R183" i="47"/>
  <c r="S183" i="47"/>
  <c r="R175" i="47"/>
  <c r="S175" i="47"/>
  <c r="R167" i="47"/>
  <c r="S167" i="47"/>
  <c r="N182" i="47"/>
  <c r="T182" i="47" s="1"/>
  <c r="J178" i="47"/>
  <c r="O178" i="47" s="1"/>
  <c r="N174" i="47"/>
  <c r="T174" i="47" s="1"/>
  <c r="J170" i="47"/>
  <c r="O170" i="47" s="1"/>
  <c r="N166" i="47"/>
  <c r="Q166" i="47" s="1"/>
  <c r="J162" i="47"/>
  <c r="O162" i="47" s="1"/>
  <c r="J188" i="47"/>
  <c r="O188" i="47" s="1"/>
  <c r="J180" i="47"/>
  <c r="O180" i="47" s="1"/>
  <c r="J164" i="47"/>
  <c r="O164" i="47" s="1"/>
  <c r="J187" i="47"/>
  <c r="O187" i="47" s="1"/>
  <c r="J183" i="47"/>
  <c r="O183" i="47" s="1"/>
  <c r="J171" i="47"/>
  <c r="O171" i="47" s="1"/>
  <c r="J181" i="47"/>
  <c r="O181" i="47" s="1"/>
  <c r="J173" i="47"/>
  <c r="O173" i="47" s="1"/>
  <c r="J165" i="47"/>
  <c r="O165" i="47" s="1"/>
  <c r="J184" i="47"/>
  <c r="O184" i="47" s="1"/>
  <c r="J168" i="47"/>
  <c r="O168" i="47" s="1"/>
  <c r="J179" i="47"/>
  <c r="O179" i="47" s="1"/>
  <c r="N172" i="47"/>
  <c r="T172" i="47" s="1"/>
  <c r="N183" i="47"/>
  <c r="E187" i="72" s="1"/>
  <c r="N171" i="47"/>
  <c r="T171" i="47" s="1"/>
  <c r="N189" i="47"/>
  <c r="E193" i="72" s="1"/>
  <c r="J185" i="47"/>
  <c r="O185" i="47" s="1"/>
  <c r="N181" i="47"/>
  <c r="E185" i="72" s="1"/>
  <c r="N173" i="47"/>
  <c r="E177" i="72" s="1"/>
  <c r="N165" i="47"/>
  <c r="E169" i="72" s="1"/>
  <c r="N176" i="47"/>
  <c r="Q176" i="47" s="1"/>
  <c r="N160" i="47"/>
  <c r="E164" i="72" s="1"/>
  <c r="N179" i="47"/>
  <c r="P179" i="47" s="1"/>
  <c r="O183" i="72" s="1"/>
  <c r="S186" i="47"/>
  <c r="R186" i="47"/>
  <c r="S178" i="47"/>
  <c r="R178" i="47"/>
  <c r="S170" i="47"/>
  <c r="R170" i="47"/>
  <c r="R189" i="47"/>
  <c r="S189" i="47"/>
  <c r="R181" i="47"/>
  <c r="S181" i="47"/>
  <c r="R173" i="47"/>
  <c r="S173" i="47"/>
  <c r="S188" i="47"/>
  <c r="R188" i="47"/>
  <c r="S180" i="47"/>
  <c r="R180" i="47"/>
  <c r="S172" i="47"/>
  <c r="R172" i="47"/>
  <c r="R187" i="47"/>
  <c r="S187" i="47"/>
  <c r="R179" i="47"/>
  <c r="S179" i="47"/>
  <c r="R171" i="47"/>
  <c r="S171" i="47"/>
  <c r="N186" i="47"/>
  <c r="T186" i="47" s="1"/>
  <c r="J182" i="47"/>
  <c r="O182" i="47" s="1"/>
  <c r="N178" i="47"/>
  <c r="T178" i="47" s="1"/>
  <c r="J174" i="47"/>
  <c r="O174" i="47" s="1"/>
  <c r="N170" i="47"/>
  <c r="Q170" i="47" s="1"/>
  <c r="J166" i="47"/>
  <c r="O166" i="47" s="1"/>
  <c r="N162" i="47"/>
  <c r="E166" i="72" s="1"/>
  <c r="J172" i="47"/>
  <c r="O172" i="47" s="1"/>
  <c r="J175" i="47"/>
  <c r="O175" i="47" s="1"/>
  <c r="J163" i="47"/>
  <c r="O163" i="47" s="1"/>
  <c r="J189" i="47"/>
  <c r="O189" i="47" s="1"/>
  <c r="J177" i="47"/>
  <c r="O177" i="47" s="1"/>
  <c r="J169" i="47"/>
  <c r="O169" i="47" s="1"/>
  <c r="J161" i="47"/>
  <c r="O161" i="47" s="1"/>
  <c r="J176" i="47"/>
  <c r="O176" i="47" s="1"/>
  <c r="J160" i="47"/>
  <c r="O160" i="47" s="1"/>
  <c r="J167" i="47"/>
  <c r="O167" i="47" s="1"/>
  <c r="L186" i="72"/>
  <c r="L178" i="72"/>
  <c r="L170" i="72"/>
  <c r="L192" i="72"/>
  <c r="L176" i="72"/>
  <c r="L191" i="72"/>
  <c r="L187" i="72"/>
  <c r="L175" i="72"/>
  <c r="L189" i="72"/>
  <c r="L185" i="72"/>
  <c r="L177" i="72"/>
  <c r="L169" i="72"/>
  <c r="L180" i="72"/>
  <c r="L164" i="72"/>
  <c r="L183" i="72"/>
  <c r="L190" i="72"/>
  <c r="L182" i="72"/>
  <c r="L174" i="72"/>
  <c r="L166" i="72"/>
  <c r="L184" i="72"/>
  <c r="L168" i="72"/>
  <c r="L179" i="72"/>
  <c r="L167" i="72"/>
  <c r="L193" i="72"/>
  <c r="L181" i="72"/>
  <c r="L173" i="72"/>
  <c r="L165" i="72"/>
  <c r="L188" i="72"/>
  <c r="L172" i="72"/>
  <c r="L171" i="72"/>
  <c r="N186" i="72"/>
  <c r="N181" i="72"/>
  <c r="N192" i="72"/>
  <c r="N175" i="72"/>
  <c r="N182" i="72"/>
  <c r="N183" i="72"/>
  <c r="N190" i="72"/>
  <c r="N180" i="72"/>
  <c r="N179" i="72"/>
  <c r="N191" i="72"/>
  <c r="N188" i="72"/>
  <c r="N187" i="72"/>
  <c r="N171" i="72"/>
  <c r="N178" i="72"/>
  <c r="N189" i="72"/>
  <c r="N173" i="72"/>
  <c r="N184" i="72"/>
  <c r="N193" i="72"/>
  <c r="N174" i="72"/>
  <c r="N185" i="72"/>
  <c r="N177" i="72"/>
  <c r="N172" i="72"/>
  <c r="N176" i="72"/>
  <c r="B4" i="46"/>
  <c r="T169" i="47" l="1"/>
  <c r="P177" i="47"/>
  <c r="O181" i="72" s="1"/>
  <c r="P187" i="47"/>
  <c r="O191" i="72" s="1"/>
  <c r="P175" i="47"/>
  <c r="O179" i="72" s="1"/>
  <c r="Q188" i="47"/>
  <c r="Q180" i="47"/>
  <c r="Q187" i="47"/>
  <c r="T167" i="47"/>
  <c r="Q172" i="47"/>
  <c r="Q169" i="47"/>
  <c r="T187" i="47"/>
  <c r="T180" i="47"/>
  <c r="P188" i="47"/>
  <c r="O192" i="72" s="1"/>
  <c r="Q167" i="47"/>
  <c r="T188" i="47"/>
  <c r="P167" i="47"/>
  <c r="O171" i="72" s="1"/>
  <c r="Q175" i="47"/>
  <c r="T175" i="47"/>
  <c r="P169" i="47"/>
  <c r="O173" i="72" s="1"/>
  <c r="P172" i="47"/>
  <c r="O176" i="72" s="1"/>
  <c r="P180" i="47"/>
  <c r="O184" i="72" s="1"/>
  <c r="T168" i="47"/>
  <c r="Q168" i="47"/>
  <c r="P184" i="47"/>
  <c r="O188" i="72" s="1"/>
  <c r="T189" i="47"/>
  <c r="P171" i="47"/>
  <c r="O175" i="72" s="1"/>
  <c r="P189" i="47"/>
  <c r="O193" i="72" s="1"/>
  <c r="T184" i="47"/>
  <c r="Q185" i="47"/>
  <c r="Q181" i="47"/>
  <c r="Q184" i="47"/>
  <c r="P185" i="47"/>
  <c r="O189" i="72" s="1"/>
  <c r="T185" i="47"/>
  <c r="K171" i="72"/>
  <c r="K180" i="72"/>
  <c r="K173" i="72"/>
  <c r="K193" i="72"/>
  <c r="K179" i="72"/>
  <c r="E174" i="72"/>
  <c r="E182" i="72"/>
  <c r="E190" i="72"/>
  <c r="Q179" i="47"/>
  <c r="Q173" i="47"/>
  <c r="P186" i="47"/>
  <c r="O190" i="72" s="1"/>
  <c r="P178" i="47"/>
  <c r="O182" i="72" s="1"/>
  <c r="T179" i="47"/>
  <c r="K164" i="72"/>
  <c r="K165" i="72"/>
  <c r="K181" i="72"/>
  <c r="K167" i="72"/>
  <c r="K176" i="72"/>
  <c r="K170" i="72"/>
  <c r="K178" i="72"/>
  <c r="K186" i="72"/>
  <c r="P173" i="47"/>
  <c r="O177" i="72" s="1"/>
  <c r="T173" i="47"/>
  <c r="P170" i="47"/>
  <c r="O174" i="72" s="1"/>
  <c r="Q183" i="47"/>
  <c r="P176" i="47"/>
  <c r="O180" i="72" s="1"/>
  <c r="P166" i="47"/>
  <c r="P174" i="47"/>
  <c r="O178" i="72" s="1"/>
  <c r="P182" i="47"/>
  <c r="O186" i="72" s="1"/>
  <c r="Q171" i="47"/>
  <c r="T181" i="47"/>
  <c r="E183" i="72"/>
  <c r="E180" i="72"/>
  <c r="K189" i="72"/>
  <c r="E175" i="72"/>
  <c r="E176" i="72"/>
  <c r="K172" i="72"/>
  <c r="K169" i="72"/>
  <c r="K185" i="72"/>
  <c r="K187" i="72"/>
  <c r="K168" i="72"/>
  <c r="K192" i="72"/>
  <c r="E170" i="72"/>
  <c r="E178" i="72"/>
  <c r="E186" i="72"/>
  <c r="P183" i="47"/>
  <c r="O187" i="72" s="1"/>
  <c r="T176" i="47"/>
  <c r="T177" i="47"/>
  <c r="T183" i="47"/>
  <c r="P181" i="47"/>
  <c r="O185" i="72" s="1"/>
  <c r="Q189" i="47"/>
  <c r="T170" i="47"/>
  <c r="Q178" i="47"/>
  <c r="Q186" i="47"/>
  <c r="K183" i="72"/>
  <c r="K188" i="72"/>
  <c r="K177" i="72"/>
  <c r="K175" i="72"/>
  <c r="K191" i="72"/>
  <c r="K184" i="72"/>
  <c r="K166" i="72"/>
  <c r="K174" i="72"/>
  <c r="K182" i="72"/>
  <c r="P168" i="47"/>
  <c r="O172" i="72" s="1"/>
  <c r="Q177" i="47"/>
  <c r="T166" i="47"/>
  <c r="Q174" i="47"/>
  <c r="Q182" i="47"/>
  <c r="K190" i="72"/>
  <c r="BY3" i="46"/>
  <c r="O23" i="35"/>
  <c r="O58" i="35" s="1"/>
  <c r="R385" i="47" l="1"/>
  <c r="C385" i="47"/>
  <c r="C369" i="47"/>
  <c r="C192" i="47"/>
  <c r="D363" i="47"/>
  <c r="D369" i="72" s="1"/>
  <c r="H188" i="72"/>
  <c r="AC182" i="47"/>
  <c r="H184" i="72"/>
  <c r="H182" i="72"/>
  <c r="H180" i="72"/>
  <c r="H178" i="72"/>
  <c r="H176" i="72"/>
  <c r="H172" i="72"/>
  <c r="H168" i="72"/>
  <c r="H166" i="72"/>
  <c r="S18" i="47"/>
  <c r="M376" i="72" s="1"/>
  <c r="Q18" i="47"/>
  <c r="P22" i="72" s="1"/>
  <c r="K376" i="72" s="1"/>
  <c r="P18" i="47"/>
  <c r="O22" i="72" s="1"/>
  <c r="O18" i="47"/>
  <c r="M22" i="72" s="1"/>
  <c r="N18" i="47"/>
  <c r="E22" i="72" s="1"/>
  <c r="M18" i="47"/>
  <c r="N22" i="72" s="1"/>
  <c r="L18" i="47"/>
  <c r="L22" i="72" s="1"/>
  <c r="K18" i="47"/>
  <c r="J18" i="47"/>
  <c r="K22" i="72" s="1"/>
  <c r="G18" i="47"/>
  <c r="H22" i="72" s="1"/>
  <c r="F18" i="47"/>
  <c r="F22" i="72" s="1"/>
  <c r="F201" i="72" s="1"/>
  <c r="E18" i="47"/>
  <c r="G22" i="72" s="1"/>
  <c r="G201" i="72" s="1"/>
  <c r="Q17" i="47"/>
  <c r="P20" i="72" s="1"/>
  <c r="M17" i="47"/>
  <c r="N20" i="72" s="1"/>
  <c r="S14" i="47"/>
  <c r="D13" i="47"/>
  <c r="D11" i="47"/>
  <c r="Z4" i="47"/>
  <c r="Z3" i="47"/>
  <c r="Z2" i="47"/>
  <c r="S74" i="46"/>
  <c r="B74" i="46"/>
  <c r="CQ56" i="46"/>
  <c r="CW56" i="46" s="1"/>
  <c r="CD56" i="46"/>
  <c r="CG56" i="46" s="1"/>
  <c r="CQ55" i="46"/>
  <c r="CW55" i="46" s="1"/>
  <c r="CD55" i="46"/>
  <c r="CJ55" i="46" s="1"/>
  <c r="CQ54" i="46"/>
  <c r="CW54" i="46" s="1"/>
  <c r="CD54" i="46"/>
  <c r="CJ54" i="46" s="1"/>
  <c r="CQ53" i="46"/>
  <c r="CW53" i="46" s="1"/>
  <c r="CD53" i="46"/>
  <c r="CJ53" i="46" s="1"/>
  <c r="CQ52" i="46"/>
  <c r="CW52" i="46" s="1"/>
  <c r="CD52" i="46"/>
  <c r="CJ52" i="46" s="1"/>
  <c r="CQ51" i="46"/>
  <c r="CT51" i="46" s="1"/>
  <c r="CD51" i="46"/>
  <c r="CQ50" i="46"/>
  <c r="CW50" i="46" s="1"/>
  <c r="CD50" i="46"/>
  <c r="CJ50" i="46" s="1"/>
  <c r="CQ49" i="46"/>
  <c r="CT49" i="46" s="1"/>
  <c r="CD49" i="46"/>
  <c r="CJ49" i="46" s="1"/>
  <c r="CQ48" i="46"/>
  <c r="CW48" i="46" s="1"/>
  <c r="CD48" i="46"/>
  <c r="CJ48" i="46" s="1"/>
  <c r="CQ47" i="46"/>
  <c r="CW47" i="46" s="1"/>
  <c r="CD47" i="46"/>
  <c r="CJ47" i="46" s="1"/>
  <c r="CQ46" i="46"/>
  <c r="CW46" i="46" s="1"/>
  <c r="CD46" i="46"/>
  <c r="CG46" i="46" s="1"/>
  <c r="CQ45" i="46"/>
  <c r="CT45" i="46" s="1"/>
  <c r="CD45" i="46"/>
  <c r="CQ44" i="46"/>
  <c r="CD44" i="46"/>
  <c r="CG44" i="46" s="1"/>
  <c r="CQ43" i="46"/>
  <c r="CT43" i="46" s="1"/>
  <c r="CD43" i="46"/>
  <c r="CQ42" i="46"/>
  <c r="CW42" i="46" s="1"/>
  <c r="CD42" i="46"/>
  <c r="CG42" i="46" s="1"/>
  <c r="CQ41" i="46"/>
  <c r="CW41" i="46" s="1"/>
  <c r="CD41" i="46"/>
  <c r="CJ41" i="46" s="1"/>
  <c r="CQ40" i="46"/>
  <c r="CD40" i="46"/>
  <c r="CJ40" i="46" s="1"/>
  <c r="CQ39" i="46"/>
  <c r="CD39" i="46"/>
  <c r="CQ38" i="46"/>
  <c r="CD38" i="46"/>
  <c r="CJ38" i="46" s="1"/>
  <c r="CQ37" i="46"/>
  <c r="CT37" i="46" s="1"/>
  <c r="CD37" i="46"/>
  <c r="CQ36" i="46"/>
  <c r="CD36" i="46"/>
  <c r="CG36" i="46" s="1"/>
  <c r="CQ35" i="46"/>
  <c r="CW35" i="46" s="1"/>
  <c r="CD35" i="46"/>
  <c r="CQ34" i="46"/>
  <c r="CD34" i="46"/>
  <c r="CG34" i="46" s="1"/>
  <c r="CQ33" i="46"/>
  <c r="CW33" i="46" s="1"/>
  <c r="CD33" i="46"/>
  <c r="CJ33" i="46" s="1"/>
  <c r="CQ32" i="46"/>
  <c r="CW32" i="46" s="1"/>
  <c r="CD32" i="46"/>
  <c r="CJ32" i="46" s="1"/>
  <c r="CQ31" i="46"/>
  <c r="CT31" i="46" s="1"/>
  <c r="CD31" i="46"/>
  <c r="CJ31" i="46" s="1"/>
  <c r="CQ30" i="46"/>
  <c r="CW30" i="46" s="1"/>
  <c r="CD30" i="46"/>
  <c r="CJ30" i="46" s="1"/>
  <c r="CQ29" i="46"/>
  <c r="CW29" i="46" s="1"/>
  <c r="CD29" i="46"/>
  <c r="CJ29" i="46" s="1"/>
  <c r="CQ28" i="46"/>
  <c r="CW28" i="46" s="1"/>
  <c r="CD28" i="46"/>
  <c r="CG28" i="46" s="1"/>
  <c r="CQ27" i="46"/>
  <c r="CW27" i="46" s="1"/>
  <c r="CD27" i="46"/>
  <c r="CJ27" i="46" s="1"/>
  <c r="CX26" i="46"/>
  <c r="CV26" i="46"/>
  <c r="CU26" i="46"/>
  <c r="CS26" i="46"/>
  <c r="CR26" i="46"/>
  <c r="CP26" i="46"/>
  <c r="CK26" i="46"/>
  <c r="CI26" i="46"/>
  <c r="CH26" i="46"/>
  <c r="CF26" i="46"/>
  <c r="CE26" i="46"/>
  <c r="CC26" i="46"/>
  <c r="BS25" i="46"/>
  <c r="BR25" i="46"/>
  <c r="BQ25" i="46"/>
  <c r="BO25" i="46"/>
  <c r="BI25" i="46"/>
  <c r="BH25" i="46"/>
  <c r="BC25" i="46"/>
  <c r="BB25" i="46"/>
  <c r="AQ25" i="46"/>
  <c r="AP25" i="46"/>
  <c r="Y25" i="46"/>
  <c r="X25" i="46"/>
  <c r="M25" i="46"/>
  <c r="K25" i="46"/>
  <c r="J25" i="46"/>
  <c r="L25" i="46"/>
  <c r="E25" i="46"/>
  <c r="L24" i="46"/>
  <c r="CP21" i="46"/>
  <c r="CD21" i="46"/>
  <c r="D21" i="46"/>
  <c r="CP20" i="46"/>
  <c r="CD20" i="46"/>
  <c r="O20" i="46"/>
  <c r="N20" i="46"/>
  <c r="D20" i="46"/>
  <c r="CD19" i="46"/>
  <c r="D19" i="46"/>
  <c r="CD18" i="46"/>
  <c r="M17" i="46"/>
  <c r="AA7" i="46"/>
  <c r="AD7" i="46" s="1"/>
  <c r="AA6" i="46"/>
  <c r="AD6" i="46" s="1"/>
  <c r="AA5" i="46"/>
  <c r="AD5" i="46" s="1"/>
  <c r="AA4" i="46"/>
  <c r="AD4" i="46" s="1"/>
  <c r="CE2" i="46"/>
  <c r="AA3" i="46"/>
  <c r="AD3" i="46" s="1"/>
  <c r="V3" i="46"/>
  <c r="AY25" i="46" s="1"/>
  <c r="U3" i="46"/>
  <c r="BK25" i="46" s="1"/>
  <c r="S3" i="46"/>
  <c r="BE25" i="46" s="1"/>
  <c r="R3" i="46"/>
  <c r="AV25" i="46" s="1"/>
  <c r="P3" i="46"/>
  <c r="AJ25" i="46" s="1"/>
  <c r="N3" i="46"/>
  <c r="AS25" i="46" s="1"/>
  <c r="H3" i="46"/>
  <c r="AD25" i="46" s="1"/>
  <c r="F3" i="46"/>
  <c r="AA25" i="46" s="1"/>
  <c r="B3" i="46"/>
  <c r="CF2" i="46"/>
  <c r="AA2" i="46"/>
  <c r="AD2" i="46" s="1"/>
  <c r="V2" i="46"/>
  <c r="AZ25" i="46" s="1"/>
  <c r="U2" i="46"/>
  <c r="BL25" i="46" s="1"/>
  <c r="S2" i="46"/>
  <c r="BF25" i="46" s="1"/>
  <c r="R2" i="46"/>
  <c r="AW25" i="46" s="1"/>
  <c r="P2" i="46"/>
  <c r="AK25" i="46" s="1"/>
  <c r="N2" i="46"/>
  <c r="AT25" i="46" s="1"/>
  <c r="H2" i="46"/>
  <c r="AE25" i="46" s="1"/>
  <c r="F2" i="46"/>
  <c r="AB25" i="46" s="1"/>
  <c r="B2" i="46"/>
  <c r="V1" i="46"/>
  <c r="U1" i="46"/>
  <c r="S1" i="46"/>
  <c r="R1" i="46"/>
  <c r="P1" i="46"/>
  <c r="N1" i="46"/>
  <c r="H1" i="46"/>
  <c r="F1" i="46"/>
  <c r="D1" i="46"/>
  <c r="B5" i="46"/>
  <c r="AP38" i="46" l="1"/>
  <c r="AP36" i="46"/>
  <c r="AQ37" i="46"/>
  <c r="AQ35" i="46"/>
  <c r="AP37" i="46"/>
  <c r="AP35" i="46"/>
  <c r="AQ38" i="46"/>
  <c r="AQ36" i="46"/>
  <c r="BB38" i="46"/>
  <c r="BB36" i="46"/>
  <c r="BC37" i="46"/>
  <c r="BC35" i="46"/>
  <c r="BB37" i="46"/>
  <c r="BB35" i="46"/>
  <c r="BC38" i="46"/>
  <c r="BC36" i="46"/>
  <c r="E159" i="47"/>
  <c r="G163" i="72" s="1"/>
  <c r="C375" i="72" s="1"/>
  <c r="X38" i="46"/>
  <c r="X36" i="46"/>
  <c r="Y37" i="46"/>
  <c r="Y35" i="46"/>
  <c r="X37" i="46"/>
  <c r="X35" i="46"/>
  <c r="Y38" i="46"/>
  <c r="Y36" i="46"/>
  <c r="BH38" i="46"/>
  <c r="BH36" i="46"/>
  <c r="BI37" i="46"/>
  <c r="BI35" i="46"/>
  <c r="BH37" i="46"/>
  <c r="BH35" i="46"/>
  <c r="BI38" i="46"/>
  <c r="BI36" i="46"/>
  <c r="BQ37" i="46"/>
  <c r="BR37" i="46"/>
  <c r="BS37" i="46"/>
  <c r="BO37" i="46"/>
  <c r="X33" i="46"/>
  <c r="Y33" i="46"/>
  <c r="BI33" i="46"/>
  <c r="BH33" i="46"/>
  <c r="AQ33" i="46"/>
  <c r="AP33" i="46"/>
  <c r="BB33" i="46"/>
  <c r="BC33" i="46"/>
  <c r="DD25" i="46"/>
  <c r="DG25" i="46" s="1"/>
  <c r="AP34" i="46"/>
  <c r="AP32" i="46"/>
  <c r="AP30" i="46"/>
  <c r="AP28" i="46"/>
  <c r="AP43" i="46"/>
  <c r="AQ31" i="46"/>
  <c r="AQ29" i="46"/>
  <c r="AQ27" i="46"/>
  <c r="AP31" i="46"/>
  <c r="AP27" i="46"/>
  <c r="AP29" i="46"/>
  <c r="AQ28" i="46"/>
  <c r="AQ43" i="46"/>
  <c r="AQ34" i="46"/>
  <c r="AQ32" i="46"/>
  <c r="AQ30" i="46"/>
  <c r="BB34" i="46"/>
  <c r="BB32" i="46"/>
  <c r="BB30" i="46"/>
  <c r="BB28" i="46"/>
  <c r="BB43" i="46"/>
  <c r="BC31" i="46"/>
  <c r="BC29" i="46"/>
  <c r="BC27" i="46"/>
  <c r="BB31" i="46"/>
  <c r="BB27" i="46"/>
  <c r="BB29" i="46"/>
  <c r="BC34" i="46"/>
  <c r="BC32" i="46"/>
  <c r="BC30" i="46"/>
  <c r="BC28" i="46"/>
  <c r="BC43" i="46"/>
  <c r="X34" i="46"/>
  <c r="X32" i="46"/>
  <c r="X30" i="46"/>
  <c r="X28" i="46"/>
  <c r="X43" i="46"/>
  <c r="Y31" i="46"/>
  <c r="Y29" i="46"/>
  <c r="Y27" i="46"/>
  <c r="Y34" i="46"/>
  <c r="Y30" i="46"/>
  <c r="Y28" i="46"/>
  <c r="X31" i="46"/>
  <c r="X29" i="46"/>
  <c r="X27" i="46"/>
  <c r="Y32" i="46"/>
  <c r="Y43" i="46"/>
  <c r="BH34" i="46"/>
  <c r="BH32" i="46"/>
  <c r="BH30" i="46"/>
  <c r="BH28" i="46"/>
  <c r="BH43" i="46"/>
  <c r="BI31" i="46"/>
  <c r="BI29" i="46"/>
  <c r="BI27" i="46"/>
  <c r="BH29" i="46"/>
  <c r="BI34" i="46"/>
  <c r="BH31" i="46"/>
  <c r="BH27" i="46"/>
  <c r="BI30" i="46"/>
  <c r="BI28" i="46"/>
  <c r="BI43" i="46"/>
  <c r="BI32" i="46"/>
  <c r="BR43" i="46"/>
  <c r="M165" i="47" s="1"/>
  <c r="BQ43" i="46"/>
  <c r="BO43" i="46"/>
  <c r="BS43" i="46"/>
  <c r="DC25" i="46"/>
  <c r="BS39" i="46"/>
  <c r="BS35" i="46"/>
  <c r="BS27" i="46"/>
  <c r="BS38" i="46"/>
  <c r="BS34" i="46"/>
  <c r="BS30" i="46"/>
  <c r="BS36" i="46"/>
  <c r="BS32" i="46"/>
  <c r="BS28" i="46"/>
  <c r="BS31" i="46"/>
  <c r="BS33" i="46"/>
  <c r="BS29" i="46"/>
  <c r="CQ24" i="46"/>
  <c r="CY56" i="46" s="1"/>
  <c r="I197" i="72"/>
  <c r="H201" i="72"/>
  <c r="I22" i="72"/>
  <c r="I201" i="72" s="1"/>
  <c r="CD24" i="46"/>
  <c r="CN56" i="46" s="1"/>
  <c r="I18" i="72"/>
  <c r="E343" i="47"/>
  <c r="G349" i="72" s="1"/>
  <c r="G170" i="72"/>
  <c r="E347" i="47"/>
  <c r="G353" i="72" s="1"/>
  <c r="G174" i="72"/>
  <c r="AB2" i="46"/>
  <c r="AB7" i="46"/>
  <c r="AB4" i="46"/>
  <c r="AB5" i="46"/>
  <c r="AB3" i="46"/>
  <c r="AB6" i="46"/>
  <c r="BR36" i="46"/>
  <c r="BR35" i="46"/>
  <c r="BR34" i="46"/>
  <c r="BR33" i="46"/>
  <c r="M26" i="47" s="1"/>
  <c r="S26" i="47" s="1"/>
  <c r="BR32" i="46"/>
  <c r="BR31" i="46"/>
  <c r="BR30" i="46"/>
  <c r="BR29" i="46"/>
  <c r="M22" i="47" s="1"/>
  <c r="S22" i="47" s="1"/>
  <c r="BR28" i="46"/>
  <c r="M161" i="47" s="1"/>
  <c r="S161" i="47" s="1"/>
  <c r="BR27" i="46"/>
  <c r="BQ36" i="46"/>
  <c r="BQ35" i="46"/>
  <c r="BQ34" i="46"/>
  <c r="BQ33" i="46"/>
  <c r="BQ32" i="46"/>
  <c r="BQ31" i="46"/>
  <c r="BQ30" i="46"/>
  <c r="BQ29" i="46"/>
  <c r="BQ28" i="46"/>
  <c r="BQ27" i="46"/>
  <c r="BQ38" i="46"/>
  <c r="BR39" i="46"/>
  <c r="BR38" i="46"/>
  <c r="BQ39" i="46"/>
  <c r="BO31" i="46"/>
  <c r="BO33" i="46"/>
  <c r="BO28" i="46"/>
  <c r="BO36" i="46"/>
  <c r="BO39" i="46"/>
  <c r="BO32" i="46"/>
  <c r="BO38" i="46"/>
  <c r="BO35" i="46"/>
  <c r="BO30" i="46"/>
  <c r="BO27" i="46"/>
  <c r="BO29" i="46"/>
  <c r="BO34" i="46"/>
  <c r="H25" i="46"/>
  <c r="S25" i="46"/>
  <c r="N25" i="46"/>
  <c r="U25" i="46"/>
  <c r="CW43" i="46"/>
  <c r="CT52" i="46"/>
  <c r="CW49" i="46"/>
  <c r="CT33" i="46"/>
  <c r="CT55" i="46"/>
  <c r="CJ44" i="46"/>
  <c r="CJ42" i="46"/>
  <c r="CJ46" i="46"/>
  <c r="CG53" i="46"/>
  <c r="CG50" i="46"/>
  <c r="CW37" i="46"/>
  <c r="CT56" i="46"/>
  <c r="CJ28" i="46"/>
  <c r="CJ36" i="46"/>
  <c r="CJ56" i="46"/>
  <c r="CW31" i="46"/>
  <c r="CJ34" i="46"/>
  <c r="CT35" i="46"/>
  <c r="CG41" i="46"/>
  <c r="CW51" i="46"/>
  <c r="CG52" i="46"/>
  <c r="CW45" i="46"/>
  <c r="T14" i="47"/>
  <c r="H171" i="72"/>
  <c r="D351" i="47"/>
  <c r="D357" i="72" s="1"/>
  <c r="CT27" i="46"/>
  <c r="CG30" i="46"/>
  <c r="CG38" i="46"/>
  <c r="CT47" i="46"/>
  <c r="CT48" i="46"/>
  <c r="CG49" i="46"/>
  <c r="CT53" i="46"/>
  <c r="CT54" i="46"/>
  <c r="CG55" i="46"/>
  <c r="CT29" i="46"/>
  <c r="CG32" i="46"/>
  <c r="CT41" i="46"/>
  <c r="CT42" i="46"/>
  <c r="CG48" i="46"/>
  <c r="CG54" i="46"/>
  <c r="D345" i="47"/>
  <c r="D351" i="72" s="1"/>
  <c r="AE170" i="47"/>
  <c r="AF170" i="47" s="1"/>
  <c r="P25" i="46"/>
  <c r="V25" i="46"/>
  <c r="CG40" i="46"/>
  <c r="CT46" i="46"/>
  <c r="CG47" i="46"/>
  <c r="D339" i="47"/>
  <c r="D345" i="72" s="1"/>
  <c r="D349" i="47"/>
  <c r="D355" i="72" s="1"/>
  <c r="AE174" i="47"/>
  <c r="AF174" i="47" s="1"/>
  <c r="D355" i="47"/>
  <c r="D361" i="72" s="1"/>
  <c r="D361" i="47"/>
  <c r="D367" i="72" s="1"/>
  <c r="AC178" i="47"/>
  <c r="AE178" i="47"/>
  <c r="AF178" i="47" s="1"/>
  <c r="AI168" i="47"/>
  <c r="H175" i="72"/>
  <c r="AC174" i="47"/>
  <c r="H187" i="72"/>
  <c r="F25" i="46"/>
  <c r="R25" i="46"/>
  <c r="CB2" i="46"/>
  <c r="CD2" i="46"/>
  <c r="H164" i="72"/>
  <c r="AC180" i="47"/>
  <c r="AC186" i="47"/>
  <c r="H170" i="72"/>
  <c r="H174" i="72"/>
  <c r="AE182" i="47"/>
  <c r="AF182" i="47" s="1"/>
  <c r="CC2" i="46"/>
  <c r="D341" i="47"/>
  <c r="D347" i="72" s="1"/>
  <c r="D343" i="47"/>
  <c r="D349" i="72" s="1"/>
  <c r="AC168" i="47"/>
  <c r="D347" i="47"/>
  <c r="D353" i="72" s="1"/>
  <c r="AC170" i="47"/>
  <c r="AC172" i="47"/>
  <c r="H179" i="72"/>
  <c r="H183" i="72"/>
  <c r="AI184" i="47"/>
  <c r="D365" i="47"/>
  <c r="D371" i="72" s="1"/>
  <c r="AC176" i="47"/>
  <c r="H186" i="72"/>
  <c r="BZ2" i="46"/>
  <c r="H167" i="72"/>
  <c r="D353" i="47"/>
  <c r="D359" i="72" s="1"/>
  <c r="D357" i="47"/>
  <c r="D363" i="72" s="1"/>
  <c r="D359" i="47"/>
  <c r="D365" i="72" s="1"/>
  <c r="AC184" i="47"/>
  <c r="C342" i="47"/>
  <c r="A165" i="47"/>
  <c r="I165" i="47"/>
  <c r="AH165" i="47"/>
  <c r="AQ165" i="47" s="1"/>
  <c r="M169" i="72"/>
  <c r="H169" i="72"/>
  <c r="D342" i="47"/>
  <c r="D348" i="72" s="1"/>
  <c r="C350" i="47"/>
  <c r="F177" i="72"/>
  <c r="A173" i="47"/>
  <c r="I173" i="47"/>
  <c r="J177" i="72" s="1"/>
  <c r="AH173" i="47"/>
  <c r="AQ173" i="47" s="1"/>
  <c r="M177" i="72"/>
  <c r="AC173" i="47"/>
  <c r="H177" i="72"/>
  <c r="D350" i="47"/>
  <c r="D356" i="72" s="1"/>
  <c r="C358" i="47"/>
  <c r="F185" i="72"/>
  <c r="A181" i="47"/>
  <c r="I181" i="47"/>
  <c r="J185" i="72" s="1"/>
  <c r="AH181" i="47"/>
  <c r="AQ181" i="47" s="1"/>
  <c r="M185" i="72"/>
  <c r="AC181" i="47"/>
  <c r="H185" i="72"/>
  <c r="D358" i="47"/>
  <c r="D364" i="72" s="1"/>
  <c r="AE188" i="47"/>
  <c r="AF188" i="47" s="1"/>
  <c r="AI188" i="47"/>
  <c r="C366" i="47"/>
  <c r="F193" i="72"/>
  <c r="A189" i="47"/>
  <c r="M193" i="72"/>
  <c r="AC189" i="47"/>
  <c r="D366" i="47"/>
  <c r="D372" i="72" s="1"/>
  <c r="I189" i="47"/>
  <c r="J193" i="72" s="1"/>
  <c r="AH189" i="47"/>
  <c r="AQ189" i="47" s="1"/>
  <c r="H193" i="72"/>
  <c r="C338" i="47"/>
  <c r="A161" i="47"/>
  <c r="I161" i="47"/>
  <c r="AH161" i="47"/>
  <c r="AQ161" i="47" s="1"/>
  <c r="M165" i="72"/>
  <c r="H165" i="72"/>
  <c r="D338" i="47"/>
  <c r="D344" i="72" s="1"/>
  <c r="C346" i="47"/>
  <c r="F173" i="72"/>
  <c r="A169" i="47"/>
  <c r="I169" i="47"/>
  <c r="J173" i="72" s="1"/>
  <c r="AH169" i="47"/>
  <c r="AQ169" i="47" s="1"/>
  <c r="M173" i="72"/>
  <c r="AC169" i="47"/>
  <c r="H173" i="72"/>
  <c r="D346" i="47"/>
  <c r="D352" i="72" s="1"/>
  <c r="C354" i="47"/>
  <c r="F181" i="72"/>
  <c r="A177" i="47"/>
  <c r="I177" i="47"/>
  <c r="J181" i="72" s="1"/>
  <c r="AH177" i="47"/>
  <c r="AQ177" i="47" s="1"/>
  <c r="M181" i="72"/>
  <c r="AC177" i="47"/>
  <c r="H181" i="72"/>
  <c r="D354" i="47"/>
  <c r="D360" i="72" s="1"/>
  <c r="C362" i="47"/>
  <c r="F189" i="72"/>
  <c r="A185" i="47"/>
  <c r="I185" i="47"/>
  <c r="J189" i="72" s="1"/>
  <c r="AH185" i="47"/>
  <c r="AQ185" i="47" s="1"/>
  <c r="M189" i="72"/>
  <c r="AC185" i="47"/>
  <c r="H189" i="72"/>
  <c r="D362" i="47"/>
  <c r="D368" i="72" s="1"/>
  <c r="C339" i="47"/>
  <c r="I162" i="47"/>
  <c r="A162" i="47"/>
  <c r="C343" i="47"/>
  <c r="I166" i="47"/>
  <c r="J170" i="72" s="1"/>
  <c r="F170" i="72"/>
  <c r="A166" i="47"/>
  <c r="AC167" i="47"/>
  <c r="C347" i="47"/>
  <c r="I170" i="47"/>
  <c r="J174" i="72" s="1"/>
  <c r="F174" i="72"/>
  <c r="A170" i="47"/>
  <c r="AC171" i="47"/>
  <c r="C351" i="47"/>
  <c r="I174" i="47"/>
  <c r="J178" i="72" s="1"/>
  <c r="F178" i="72"/>
  <c r="A174" i="47"/>
  <c r="AC175" i="47"/>
  <c r="C355" i="47"/>
  <c r="I178" i="47"/>
  <c r="J182" i="72" s="1"/>
  <c r="F182" i="72"/>
  <c r="A178" i="47"/>
  <c r="AC179" i="47"/>
  <c r="C359" i="47"/>
  <c r="I182" i="47"/>
  <c r="J186" i="72" s="1"/>
  <c r="F186" i="72"/>
  <c r="A182" i="47"/>
  <c r="AC183" i="47"/>
  <c r="C363" i="47"/>
  <c r="I186" i="47"/>
  <c r="J190" i="72" s="1"/>
  <c r="AH186" i="47"/>
  <c r="AQ186" i="47" s="1"/>
  <c r="H190" i="72"/>
  <c r="F190" i="72"/>
  <c r="A186" i="47"/>
  <c r="AC188" i="47"/>
  <c r="C337" i="47"/>
  <c r="I160" i="47"/>
  <c r="AH160" i="47"/>
  <c r="AQ160" i="47" s="1"/>
  <c r="A160" i="47"/>
  <c r="A164" i="72" s="1"/>
  <c r="C340" i="47"/>
  <c r="A163" i="47"/>
  <c r="I163" i="47"/>
  <c r="AH163" i="47"/>
  <c r="AQ163" i="47" s="1"/>
  <c r="M167" i="72"/>
  <c r="C344" i="47"/>
  <c r="F171" i="72"/>
  <c r="A167" i="47"/>
  <c r="I167" i="47"/>
  <c r="J171" i="72" s="1"/>
  <c r="AH167" i="47"/>
  <c r="AQ167" i="47" s="1"/>
  <c r="M171" i="72"/>
  <c r="C348" i="47"/>
  <c r="F175" i="72"/>
  <c r="A171" i="47"/>
  <c r="I171" i="47"/>
  <c r="J175" i="72" s="1"/>
  <c r="AH171" i="47"/>
  <c r="AQ171" i="47" s="1"/>
  <c r="M175" i="72"/>
  <c r="C352" i="47"/>
  <c r="F179" i="72"/>
  <c r="A175" i="47"/>
  <c r="I175" i="47"/>
  <c r="J179" i="72" s="1"/>
  <c r="AH175" i="47"/>
  <c r="AQ175" i="47" s="1"/>
  <c r="M179" i="72"/>
  <c r="C356" i="47"/>
  <c r="F183" i="72"/>
  <c r="A179" i="47"/>
  <c r="I179" i="47"/>
  <c r="J183" i="72" s="1"/>
  <c r="AH179" i="47"/>
  <c r="AQ179" i="47" s="1"/>
  <c r="M183" i="72"/>
  <c r="C360" i="47"/>
  <c r="F187" i="72"/>
  <c r="A183" i="47"/>
  <c r="I183" i="47"/>
  <c r="J187" i="72" s="1"/>
  <c r="AH183" i="47"/>
  <c r="AQ183" i="47" s="1"/>
  <c r="M187" i="72"/>
  <c r="C364" i="47"/>
  <c r="F191" i="72"/>
  <c r="A187" i="47"/>
  <c r="AC187" i="47"/>
  <c r="D364" i="47"/>
  <c r="D370" i="72" s="1"/>
  <c r="I187" i="47"/>
  <c r="J191" i="72" s="1"/>
  <c r="AH187" i="47"/>
  <c r="AQ187" i="47" s="1"/>
  <c r="D337" i="47"/>
  <c r="D343" i="72" s="1"/>
  <c r="D340" i="47"/>
  <c r="D346" i="72" s="1"/>
  <c r="C341" i="47"/>
  <c r="M341" i="47" s="1"/>
  <c r="I164" i="47"/>
  <c r="AH164" i="47"/>
  <c r="AQ164" i="47" s="1"/>
  <c r="A164" i="47"/>
  <c r="D344" i="47"/>
  <c r="D350" i="72" s="1"/>
  <c r="C345" i="47"/>
  <c r="I168" i="47"/>
  <c r="J172" i="72" s="1"/>
  <c r="AH168" i="47"/>
  <c r="AQ168" i="47" s="1"/>
  <c r="F172" i="72"/>
  <c r="A168" i="47"/>
  <c r="D348" i="47"/>
  <c r="D354" i="72" s="1"/>
  <c r="C349" i="47"/>
  <c r="I172" i="47"/>
  <c r="J176" i="72" s="1"/>
  <c r="AH172" i="47"/>
  <c r="AQ172" i="47" s="1"/>
  <c r="F176" i="72"/>
  <c r="A172" i="47"/>
  <c r="D352" i="47"/>
  <c r="D358" i="72" s="1"/>
  <c r="C353" i="47"/>
  <c r="I176" i="47"/>
  <c r="J180" i="72" s="1"/>
  <c r="AH176" i="47"/>
  <c r="AQ176" i="47" s="1"/>
  <c r="F180" i="72"/>
  <c r="A176" i="47"/>
  <c r="D356" i="47"/>
  <c r="D362" i="72" s="1"/>
  <c r="C357" i="47"/>
  <c r="I180" i="47"/>
  <c r="J184" i="72" s="1"/>
  <c r="AH180" i="47"/>
  <c r="AQ180" i="47" s="1"/>
  <c r="F184" i="72"/>
  <c r="A180" i="47"/>
  <c r="D360" i="47"/>
  <c r="D366" i="72" s="1"/>
  <c r="C361" i="47"/>
  <c r="I184" i="47"/>
  <c r="J188" i="72" s="1"/>
  <c r="AH184" i="47"/>
  <c r="AQ184" i="47" s="1"/>
  <c r="F188" i="72"/>
  <c r="A184" i="47"/>
  <c r="H191" i="72"/>
  <c r="C365" i="47"/>
  <c r="I188" i="47"/>
  <c r="J192" i="72" s="1"/>
  <c r="AH188" i="47"/>
  <c r="AQ188" i="47" s="1"/>
  <c r="H192" i="72"/>
  <c r="F192" i="72"/>
  <c r="A188" i="47"/>
  <c r="CW34" i="46"/>
  <c r="CT34" i="46"/>
  <c r="CJ35" i="46"/>
  <c r="CG35" i="46"/>
  <c r="CW36" i="46"/>
  <c r="CT36" i="46"/>
  <c r="CJ37" i="46"/>
  <c r="CG37" i="46"/>
  <c r="CW39" i="46"/>
  <c r="CT39" i="46"/>
  <c r="CG27" i="46"/>
  <c r="CT28" i="46"/>
  <c r="CG29" i="46"/>
  <c r="CT30" i="46"/>
  <c r="CG31" i="46"/>
  <c r="CT32" i="46"/>
  <c r="CG33" i="46"/>
  <c r="CW38" i="46"/>
  <c r="CT38" i="46"/>
  <c r="CT40" i="46"/>
  <c r="CW40" i="46"/>
  <c r="CG39" i="46"/>
  <c r="CJ39" i="46"/>
  <c r="CJ43" i="46"/>
  <c r="CG43" i="46"/>
  <c r="CJ45" i="46"/>
  <c r="CG45" i="46"/>
  <c r="CW44" i="46"/>
  <c r="CT44" i="46"/>
  <c r="CJ51" i="46"/>
  <c r="CG51" i="46"/>
  <c r="CT50" i="46"/>
  <c r="I12" i="11"/>
  <c r="C369" i="11"/>
  <c r="C192" i="11"/>
  <c r="B42" i="6"/>
  <c r="B48" i="6"/>
  <c r="B52" i="6"/>
  <c r="A64" i="6"/>
  <c r="B36" i="6"/>
  <c r="A27" i="6"/>
  <c r="D12" i="6"/>
  <c r="E21" i="6"/>
  <c r="E22" i="6" s="1"/>
  <c r="E20" i="6"/>
  <c r="E19" i="6"/>
  <c r="E336" i="47" l="1"/>
  <c r="G342" i="72" s="1"/>
  <c r="BK37" i="46"/>
  <c r="BK35" i="46"/>
  <c r="BL38" i="46"/>
  <c r="BL36" i="46"/>
  <c r="BK38" i="46"/>
  <c r="BK36" i="46"/>
  <c r="BL37" i="46"/>
  <c r="BL35" i="46"/>
  <c r="AA37" i="46"/>
  <c r="AA35" i="46"/>
  <c r="AB38" i="46"/>
  <c r="AB36" i="46"/>
  <c r="AA38" i="46"/>
  <c r="AA36" i="46"/>
  <c r="AB37" i="46"/>
  <c r="AB35" i="46"/>
  <c r="BE37" i="46"/>
  <c r="BE35" i="46"/>
  <c r="BF38" i="46"/>
  <c r="BF36" i="46"/>
  <c r="BE38" i="46"/>
  <c r="BE36" i="46"/>
  <c r="BF37" i="46"/>
  <c r="BF35" i="46"/>
  <c r="AV38" i="46"/>
  <c r="AV36" i="46"/>
  <c r="AW37" i="46"/>
  <c r="AW35" i="46"/>
  <c r="AV37" i="46"/>
  <c r="AV35" i="46"/>
  <c r="AW38" i="46"/>
  <c r="AW36" i="46"/>
  <c r="AY37" i="46"/>
  <c r="AY35" i="46"/>
  <c r="AZ38" i="46"/>
  <c r="AZ36" i="46"/>
  <c r="AY38" i="46"/>
  <c r="AY36" i="46"/>
  <c r="AZ37" i="46"/>
  <c r="AZ35" i="46"/>
  <c r="AJ38" i="46"/>
  <c r="AJ36" i="46"/>
  <c r="AK37" i="46"/>
  <c r="AK35" i="46"/>
  <c r="AJ37" i="46"/>
  <c r="AJ35" i="46"/>
  <c r="AK38" i="46"/>
  <c r="AK36" i="46"/>
  <c r="AS37" i="46"/>
  <c r="AS35" i="46"/>
  <c r="AT38" i="46"/>
  <c r="AT36" i="46"/>
  <c r="AS38" i="46"/>
  <c r="AS36" i="46"/>
  <c r="AT37" i="46"/>
  <c r="AT35" i="46"/>
  <c r="AD38" i="46"/>
  <c r="AD36" i="46"/>
  <c r="AE37" i="46"/>
  <c r="AE35" i="46"/>
  <c r="AD37" i="46"/>
  <c r="AD35" i="46"/>
  <c r="AE38" i="46"/>
  <c r="AE36" i="46"/>
  <c r="M27" i="47"/>
  <c r="S27" i="47" s="1"/>
  <c r="M23" i="47"/>
  <c r="S23" i="47" s="1"/>
  <c r="AE33" i="46"/>
  <c r="AD33" i="46"/>
  <c r="BK33" i="46"/>
  <c r="BL33" i="46"/>
  <c r="AA33" i="46"/>
  <c r="AB33" i="46"/>
  <c r="AJ33" i="46"/>
  <c r="AK33" i="46"/>
  <c r="AS33" i="46"/>
  <c r="AT33" i="46"/>
  <c r="AV33" i="46"/>
  <c r="AW33" i="46"/>
  <c r="AY33" i="46"/>
  <c r="AZ33" i="46"/>
  <c r="BE33" i="46"/>
  <c r="BF33" i="46"/>
  <c r="M163" i="47"/>
  <c r="S163" i="47" s="1"/>
  <c r="M25" i="47"/>
  <c r="S25" i="47" s="1"/>
  <c r="M160" i="47"/>
  <c r="S160" i="47" s="1"/>
  <c r="M162" i="47"/>
  <c r="S162" i="47" s="1"/>
  <c r="M24" i="47"/>
  <c r="S24" i="47" s="1"/>
  <c r="AD34" i="46"/>
  <c r="AD32" i="46"/>
  <c r="AD30" i="46"/>
  <c r="AD28" i="46"/>
  <c r="AD43" i="46"/>
  <c r="AE31" i="46"/>
  <c r="AE29" i="46"/>
  <c r="AE27" i="46"/>
  <c r="AD31" i="46"/>
  <c r="AD27" i="46"/>
  <c r="AD29" i="46"/>
  <c r="AE34" i="46"/>
  <c r="AE32" i="46"/>
  <c r="AE28" i="46"/>
  <c r="AE43" i="46"/>
  <c r="AE30" i="46"/>
  <c r="AV34" i="46"/>
  <c r="AV32" i="46"/>
  <c r="AV30" i="46"/>
  <c r="AV28" i="46"/>
  <c r="AV43" i="46"/>
  <c r="AW34" i="46"/>
  <c r="AW31" i="46"/>
  <c r="AW29" i="46"/>
  <c r="AW27" i="46"/>
  <c r="AV29" i="46"/>
  <c r="AV31" i="46"/>
  <c r="AV27" i="46"/>
  <c r="AW43" i="46"/>
  <c r="AW32" i="46"/>
  <c r="AW30" i="46"/>
  <c r="AW28" i="46"/>
  <c r="AY31" i="46"/>
  <c r="AY29" i="46"/>
  <c r="AY27" i="46"/>
  <c r="AZ34" i="46"/>
  <c r="AZ32" i="46"/>
  <c r="AZ30" i="46"/>
  <c r="AZ28" i="46"/>
  <c r="AZ43" i="46"/>
  <c r="AY28" i="46"/>
  <c r="AY34" i="46"/>
  <c r="AY32" i="46"/>
  <c r="AY30" i="46"/>
  <c r="AY43" i="46"/>
  <c r="AZ29" i="46"/>
  <c r="AZ27" i="46"/>
  <c r="AZ31" i="46"/>
  <c r="BK31" i="46"/>
  <c r="BK29" i="46"/>
  <c r="BK27" i="46"/>
  <c r="BL34" i="46"/>
  <c r="BL32" i="46"/>
  <c r="BL30" i="46"/>
  <c r="BL28" i="46"/>
  <c r="BL43" i="46"/>
  <c r="BK28" i="46"/>
  <c r="BK34" i="46"/>
  <c r="BK32" i="46"/>
  <c r="BK30" i="46"/>
  <c r="BK43" i="46"/>
  <c r="BL31" i="46"/>
  <c r="BL29" i="46"/>
  <c r="BL27" i="46"/>
  <c r="AA31" i="46"/>
  <c r="AA29" i="46"/>
  <c r="AA27" i="46"/>
  <c r="AB34" i="46"/>
  <c r="AB32" i="46"/>
  <c r="AB30" i="46"/>
  <c r="AB28" i="46"/>
  <c r="AB43" i="46"/>
  <c r="AA34" i="46"/>
  <c r="AA32" i="46"/>
  <c r="AA28" i="46"/>
  <c r="AA30" i="46"/>
  <c r="AA43" i="46"/>
  <c r="AB29" i="46"/>
  <c r="AB31" i="46"/>
  <c r="AB27" i="46"/>
  <c r="AJ34" i="46"/>
  <c r="AJ32" i="46"/>
  <c r="AJ30" i="46"/>
  <c r="AJ28" i="46"/>
  <c r="AJ43" i="46"/>
  <c r="AK31" i="46"/>
  <c r="AK29" i="46"/>
  <c r="AK27" i="46"/>
  <c r="AJ29" i="46"/>
  <c r="AJ31" i="46"/>
  <c r="AJ27" i="46"/>
  <c r="AK30" i="46"/>
  <c r="AK43" i="46"/>
  <c r="AK34" i="46"/>
  <c r="AK32" i="46"/>
  <c r="AK28" i="46"/>
  <c r="AS31" i="46"/>
  <c r="AS29" i="46"/>
  <c r="AS27" i="46"/>
  <c r="AT34" i="46"/>
  <c r="AT32" i="46"/>
  <c r="AT30" i="46"/>
  <c r="AT28" i="46"/>
  <c r="AT43" i="46"/>
  <c r="AS32" i="46"/>
  <c r="AS30" i="46"/>
  <c r="AS43" i="46"/>
  <c r="AS34" i="46"/>
  <c r="AS28" i="46"/>
  <c r="AT31" i="46"/>
  <c r="AT29" i="46"/>
  <c r="AT27" i="46"/>
  <c r="S165" i="47"/>
  <c r="Q165" i="47"/>
  <c r="R165" i="47" s="1"/>
  <c r="P165" i="47"/>
  <c r="BE31" i="46"/>
  <c r="BE29" i="46"/>
  <c r="BE27" i="46"/>
  <c r="BF34" i="46"/>
  <c r="BF32" i="46"/>
  <c r="BF30" i="46"/>
  <c r="BF28" i="46"/>
  <c r="BF43" i="46"/>
  <c r="BE32" i="46"/>
  <c r="BE30" i="46"/>
  <c r="BE43" i="46"/>
  <c r="BE34" i="46"/>
  <c r="BE28" i="46"/>
  <c r="BF27" i="46"/>
  <c r="BF31" i="46"/>
  <c r="BF29" i="46"/>
  <c r="J169" i="72"/>
  <c r="Y351" i="47"/>
  <c r="H351" i="47" s="1"/>
  <c r="I357" i="72" s="1"/>
  <c r="M351" i="47"/>
  <c r="Y346" i="47"/>
  <c r="H346" i="47" s="1"/>
  <c r="I352" i="72" s="1"/>
  <c r="M346" i="47"/>
  <c r="Y366" i="47"/>
  <c r="H366" i="47" s="1"/>
  <c r="I372" i="72" s="1"/>
  <c r="M366" i="47"/>
  <c r="Y350" i="47"/>
  <c r="H350" i="47" s="1"/>
  <c r="I356" i="72" s="1"/>
  <c r="M350" i="47"/>
  <c r="Y361" i="47"/>
  <c r="H361" i="47" s="1"/>
  <c r="I367" i="72" s="1"/>
  <c r="M361" i="47"/>
  <c r="Y353" i="47"/>
  <c r="H353" i="47" s="1"/>
  <c r="I359" i="72" s="1"/>
  <c r="M353" i="47"/>
  <c r="Y345" i="47"/>
  <c r="H345" i="47" s="1"/>
  <c r="I351" i="72" s="1"/>
  <c r="M345" i="47"/>
  <c r="Y360" i="47"/>
  <c r="H360" i="47" s="1"/>
  <c r="I366" i="72" s="1"/>
  <c r="M360" i="47"/>
  <c r="Y352" i="47"/>
  <c r="H352" i="47" s="1"/>
  <c r="I358" i="72" s="1"/>
  <c r="M352" i="47"/>
  <c r="Y344" i="47"/>
  <c r="H344" i="47" s="1"/>
  <c r="I350" i="72" s="1"/>
  <c r="M344" i="47"/>
  <c r="Y363" i="47"/>
  <c r="H363" i="47" s="1"/>
  <c r="I369" i="72" s="1"/>
  <c r="M363" i="47"/>
  <c r="Y347" i="47"/>
  <c r="H347" i="47" s="1"/>
  <c r="I353" i="72" s="1"/>
  <c r="M347" i="47"/>
  <c r="Y339" i="47"/>
  <c r="H339" i="47" s="1"/>
  <c r="I345" i="72" s="1"/>
  <c r="M339" i="47"/>
  <c r="S339" i="47" s="1"/>
  <c r="Y341" i="47"/>
  <c r="H341" i="47" s="1"/>
  <c r="I347" i="72" s="1"/>
  <c r="Y340" i="47"/>
  <c r="H340" i="47" s="1"/>
  <c r="I346" i="72" s="1"/>
  <c r="M340" i="47"/>
  <c r="S340" i="47" s="1"/>
  <c r="Y337" i="47"/>
  <c r="H337" i="47" s="1"/>
  <c r="I343" i="72" s="1"/>
  <c r="M337" i="47"/>
  <c r="S337" i="47" s="1"/>
  <c r="Y359" i="47"/>
  <c r="H359" i="47" s="1"/>
  <c r="I365" i="72" s="1"/>
  <c r="M359" i="47"/>
  <c r="Y343" i="47"/>
  <c r="H343" i="47" s="1"/>
  <c r="I349" i="72" s="1"/>
  <c r="M343" i="47"/>
  <c r="Y362" i="47"/>
  <c r="H362" i="47" s="1"/>
  <c r="I368" i="72" s="1"/>
  <c r="M362" i="47"/>
  <c r="Y365" i="47"/>
  <c r="H365" i="47" s="1"/>
  <c r="I371" i="72" s="1"/>
  <c r="M365" i="47"/>
  <c r="Y357" i="47"/>
  <c r="H357" i="47" s="1"/>
  <c r="I363" i="72" s="1"/>
  <c r="M357" i="47"/>
  <c r="Y349" i="47"/>
  <c r="H349" i="47" s="1"/>
  <c r="I355" i="72" s="1"/>
  <c r="M349" i="47"/>
  <c r="Y364" i="47"/>
  <c r="H364" i="47" s="1"/>
  <c r="I370" i="72" s="1"/>
  <c r="M364" i="47"/>
  <c r="Y356" i="47"/>
  <c r="H356" i="47" s="1"/>
  <c r="I362" i="72" s="1"/>
  <c r="M356" i="47"/>
  <c r="Y348" i="47"/>
  <c r="H348" i="47" s="1"/>
  <c r="I354" i="72" s="1"/>
  <c r="M348" i="47"/>
  <c r="Y355" i="47"/>
  <c r="H355" i="47" s="1"/>
  <c r="I361" i="72" s="1"/>
  <c r="M355" i="47"/>
  <c r="Y354" i="47"/>
  <c r="H354" i="47" s="1"/>
  <c r="I360" i="72" s="1"/>
  <c r="M354" i="47"/>
  <c r="Y338" i="47"/>
  <c r="H338" i="47" s="1"/>
  <c r="I344" i="72" s="1"/>
  <c r="M338" i="47"/>
  <c r="S338" i="47" s="1"/>
  <c r="Y358" i="47"/>
  <c r="H358" i="47" s="1"/>
  <c r="I364" i="72" s="1"/>
  <c r="M358" i="47"/>
  <c r="Y342" i="47"/>
  <c r="H342" i="47" s="1"/>
  <c r="I348" i="72" s="1"/>
  <c r="M342" i="47"/>
  <c r="J168" i="72"/>
  <c r="F168" i="72"/>
  <c r="J167" i="72"/>
  <c r="F167" i="72"/>
  <c r="J166" i="72"/>
  <c r="F166" i="72"/>
  <c r="X365" i="47"/>
  <c r="G365" i="47" s="1"/>
  <c r="H371" i="72" s="1"/>
  <c r="W365" i="47"/>
  <c r="X337" i="47"/>
  <c r="G337" i="47" s="1"/>
  <c r="H343" i="72" s="1"/>
  <c r="W337" i="47"/>
  <c r="F337" i="47" s="1"/>
  <c r="W359" i="47"/>
  <c r="X359" i="47"/>
  <c r="G359" i="47" s="1"/>
  <c r="H365" i="72" s="1"/>
  <c r="W343" i="47"/>
  <c r="X343" i="47"/>
  <c r="G343" i="47" s="1"/>
  <c r="H349" i="72" s="1"/>
  <c r="X362" i="47"/>
  <c r="G362" i="47" s="1"/>
  <c r="H368" i="72" s="1"/>
  <c r="W362" i="47"/>
  <c r="X348" i="47"/>
  <c r="G348" i="47" s="1"/>
  <c r="H354" i="72" s="1"/>
  <c r="W348" i="47"/>
  <c r="W355" i="47"/>
  <c r="X355" i="47"/>
  <c r="G355" i="47" s="1"/>
  <c r="H361" i="72" s="1"/>
  <c r="X338" i="47"/>
  <c r="G338" i="47" s="1"/>
  <c r="H344" i="72" s="1"/>
  <c r="W338" i="47"/>
  <c r="F338" i="47" s="1"/>
  <c r="W361" i="47"/>
  <c r="X361" i="47"/>
  <c r="G361" i="47" s="1"/>
  <c r="H367" i="72" s="1"/>
  <c r="W353" i="47"/>
  <c r="X353" i="47"/>
  <c r="G353" i="47" s="1"/>
  <c r="H359" i="72" s="1"/>
  <c r="X345" i="47"/>
  <c r="G345" i="47" s="1"/>
  <c r="H351" i="72" s="1"/>
  <c r="W345" i="47"/>
  <c r="X360" i="47"/>
  <c r="G360" i="47" s="1"/>
  <c r="H366" i="72" s="1"/>
  <c r="W360" i="47"/>
  <c r="W351" i="47"/>
  <c r="X351" i="47"/>
  <c r="G351" i="47" s="1"/>
  <c r="H357" i="72" s="1"/>
  <c r="X346" i="47"/>
  <c r="G346" i="47" s="1"/>
  <c r="H352" i="72" s="1"/>
  <c r="W346" i="47"/>
  <c r="X366" i="47"/>
  <c r="G366" i="47" s="1"/>
  <c r="H372" i="72" s="1"/>
  <c r="W366" i="47"/>
  <c r="X358" i="47"/>
  <c r="G358" i="47" s="1"/>
  <c r="H364" i="72" s="1"/>
  <c r="W358" i="47"/>
  <c r="X342" i="47"/>
  <c r="G342" i="47" s="1"/>
  <c r="H348" i="72" s="1"/>
  <c r="W342" i="47"/>
  <c r="F342" i="47" s="1"/>
  <c r="X357" i="47"/>
  <c r="G357" i="47" s="1"/>
  <c r="H363" i="72" s="1"/>
  <c r="W357" i="47"/>
  <c r="W349" i="47"/>
  <c r="X349" i="47"/>
  <c r="G349" i="47" s="1"/>
  <c r="H355" i="72" s="1"/>
  <c r="X364" i="47"/>
  <c r="G364" i="47" s="1"/>
  <c r="H370" i="72" s="1"/>
  <c r="W364" i="47"/>
  <c r="X356" i="47"/>
  <c r="G356" i="47" s="1"/>
  <c r="H362" i="72" s="1"/>
  <c r="W356" i="47"/>
  <c r="X340" i="47"/>
  <c r="G340" i="47" s="1"/>
  <c r="H346" i="72" s="1"/>
  <c r="W340" i="47"/>
  <c r="F340" i="47" s="1"/>
  <c r="X354" i="47"/>
  <c r="G354" i="47" s="1"/>
  <c r="H360" i="72" s="1"/>
  <c r="W354" i="47"/>
  <c r="W341" i="47"/>
  <c r="F341" i="47" s="1"/>
  <c r="X341" i="47"/>
  <c r="G341" i="47" s="1"/>
  <c r="H347" i="72" s="1"/>
  <c r="X352" i="47"/>
  <c r="G352" i="47" s="1"/>
  <c r="H358" i="72" s="1"/>
  <c r="W352" i="47"/>
  <c r="X344" i="47"/>
  <c r="G344" i="47" s="1"/>
  <c r="H350" i="72" s="1"/>
  <c r="W344" i="47"/>
  <c r="W363" i="47"/>
  <c r="X363" i="47"/>
  <c r="G363" i="47" s="1"/>
  <c r="H369" i="72" s="1"/>
  <c r="W347" i="47"/>
  <c r="X347" i="47"/>
  <c r="G347" i="47" s="1"/>
  <c r="H353" i="72" s="1"/>
  <c r="W339" i="47"/>
  <c r="F339" i="47" s="1"/>
  <c r="X339" i="47"/>
  <c r="G339" i="47" s="1"/>
  <c r="H345" i="72" s="1"/>
  <c r="X350" i="47"/>
  <c r="G350" i="47" s="1"/>
  <c r="H356" i="72" s="1"/>
  <c r="W350" i="47"/>
  <c r="AB166" i="47"/>
  <c r="AC166" i="47" s="1"/>
  <c r="AI166" i="47"/>
  <c r="AJ166" i="47" s="1"/>
  <c r="CY44" i="46"/>
  <c r="DA31" i="46"/>
  <c r="CN36" i="46"/>
  <c r="CZ34" i="46"/>
  <c r="CY32" i="46"/>
  <c r="CY30" i="46"/>
  <c r="CY28" i="46"/>
  <c r="DA47" i="46"/>
  <c r="CZ47" i="46" s="1"/>
  <c r="CY34" i="46"/>
  <c r="DA38" i="46"/>
  <c r="CN48" i="46"/>
  <c r="DA27" i="46"/>
  <c r="CA2" i="46"/>
  <c r="DA35" i="46"/>
  <c r="DA33" i="46"/>
  <c r="DA29" i="46"/>
  <c r="CY42" i="46"/>
  <c r="CY33" i="46"/>
  <c r="CY48" i="46"/>
  <c r="CZ54" i="46"/>
  <c r="CL28" i="46"/>
  <c r="CL39" i="46"/>
  <c r="CN47" i="46"/>
  <c r="CY55" i="46"/>
  <c r="CZ55" i="46"/>
  <c r="CN29" i="46"/>
  <c r="CL37" i="46"/>
  <c r="CL53" i="46"/>
  <c r="CY51" i="46"/>
  <c r="CY47" i="46"/>
  <c r="CL35" i="46"/>
  <c r="CN37" i="46"/>
  <c r="CL44" i="46"/>
  <c r="CY31" i="46"/>
  <c r="DA30" i="46"/>
  <c r="DA36" i="46"/>
  <c r="DA41" i="46"/>
  <c r="CY38" i="46"/>
  <c r="CY46" i="46"/>
  <c r="DA42" i="46"/>
  <c r="DA52" i="46"/>
  <c r="CY50" i="46"/>
  <c r="CZ51" i="46"/>
  <c r="CY54" i="46"/>
  <c r="CN31" i="46"/>
  <c r="CL48" i="46"/>
  <c r="CL31" i="46"/>
  <c r="CN32" i="46"/>
  <c r="CL34" i="46"/>
  <c r="CN42" i="46"/>
  <c r="CL49" i="46"/>
  <c r="CM49" i="46" s="1"/>
  <c r="CN43" i="46"/>
  <c r="CN55" i="46"/>
  <c r="CN49" i="46"/>
  <c r="CN53" i="46"/>
  <c r="CL55" i="46"/>
  <c r="AB162" i="47"/>
  <c r="DA28" i="46"/>
  <c r="DA39" i="46"/>
  <c r="DA32" i="46"/>
  <c r="CY27" i="46"/>
  <c r="DA34" i="46"/>
  <c r="CY37" i="46"/>
  <c r="CZ33" i="46"/>
  <c r="CZ37" i="46"/>
  <c r="CY45" i="46"/>
  <c r="DA37" i="46"/>
  <c r="CY43" i="46"/>
  <c r="DA45" i="46"/>
  <c r="DA51" i="46"/>
  <c r="CY39" i="46"/>
  <c r="DA43" i="46"/>
  <c r="CY49" i="46"/>
  <c r="DA56" i="46"/>
  <c r="DA49" i="46"/>
  <c r="CZ52" i="46"/>
  <c r="CZ56" i="46"/>
  <c r="CZ53" i="46"/>
  <c r="DA53" i="46"/>
  <c r="DA55" i="46"/>
  <c r="CI2" i="46"/>
  <c r="CL41" i="46"/>
  <c r="CL42" i="46"/>
  <c r="CL27" i="46"/>
  <c r="CL30" i="46"/>
  <c r="CL32" i="46"/>
  <c r="CN27" i="46"/>
  <c r="CN30" i="46"/>
  <c r="CN50" i="46"/>
  <c r="CL36" i="46"/>
  <c r="CL38" i="46"/>
  <c r="CL43" i="46"/>
  <c r="CM43" i="46"/>
  <c r="CN51" i="46"/>
  <c r="CN40" i="46"/>
  <c r="CM40" i="46" s="1"/>
  <c r="CL46" i="46"/>
  <c r="CL54" i="46"/>
  <c r="CL40" i="46"/>
  <c r="CL45" i="46"/>
  <c r="CL51" i="46"/>
  <c r="CL52" i="46"/>
  <c r="CL56" i="46"/>
  <c r="CM56" i="46" s="1"/>
  <c r="CN54" i="46"/>
  <c r="DF25" i="46"/>
  <c r="DL25" i="46"/>
  <c r="AI165" i="47"/>
  <c r="AB165" i="47"/>
  <c r="AC165" i="47" s="1"/>
  <c r="AB163" i="47"/>
  <c r="AC163" i="47" s="1"/>
  <c r="AB164" i="47"/>
  <c r="AC164" i="47" s="1"/>
  <c r="M164" i="47"/>
  <c r="F169" i="72"/>
  <c r="C367" i="72"/>
  <c r="BE361" i="47"/>
  <c r="L361" i="47" s="1"/>
  <c r="BB361" i="47"/>
  <c r="I361" i="47" s="1"/>
  <c r="J367" i="72" s="1"/>
  <c r="BD361" i="47"/>
  <c r="K361" i="47" s="1"/>
  <c r="BC361" i="47"/>
  <c r="Z361" i="47"/>
  <c r="N361" i="47" s="1"/>
  <c r="C351" i="72"/>
  <c r="BE345" i="47"/>
  <c r="L345" i="47" s="1"/>
  <c r="BB345" i="47"/>
  <c r="I345" i="47" s="1"/>
  <c r="J351" i="72" s="1"/>
  <c r="BD345" i="47"/>
  <c r="K345" i="47" s="1"/>
  <c r="BC345" i="47"/>
  <c r="Z345" i="47"/>
  <c r="N345" i="47" s="1"/>
  <c r="C366" i="72"/>
  <c r="BE360" i="47"/>
  <c r="L360" i="47" s="1"/>
  <c r="BB360" i="47"/>
  <c r="I360" i="47" s="1"/>
  <c r="J366" i="72" s="1"/>
  <c r="BD360" i="47"/>
  <c r="K360" i="47" s="1"/>
  <c r="BC360" i="47"/>
  <c r="Z360" i="47"/>
  <c r="N360" i="47" s="1"/>
  <c r="C361" i="72"/>
  <c r="BE355" i="47"/>
  <c r="L355" i="47" s="1"/>
  <c r="BB355" i="47"/>
  <c r="I355" i="47" s="1"/>
  <c r="J361" i="72" s="1"/>
  <c r="BC355" i="47"/>
  <c r="BD355" i="47"/>
  <c r="K355" i="47" s="1"/>
  <c r="Z355" i="47"/>
  <c r="N355" i="47" s="1"/>
  <c r="C355" i="72"/>
  <c r="BE349" i="47"/>
  <c r="L349" i="47" s="1"/>
  <c r="BB349" i="47"/>
  <c r="I349" i="47" s="1"/>
  <c r="J355" i="72" s="1"/>
  <c r="BD349" i="47"/>
  <c r="K349" i="47" s="1"/>
  <c r="BC349" i="47"/>
  <c r="Z349" i="47"/>
  <c r="N349" i="47" s="1"/>
  <c r="C350" i="72"/>
  <c r="BE344" i="47"/>
  <c r="L344" i="47" s="1"/>
  <c r="BB344" i="47"/>
  <c r="I344" i="47" s="1"/>
  <c r="J350" i="72" s="1"/>
  <c r="BD344" i="47"/>
  <c r="K344" i="47" s="1"/>
  <c r="BC344" i="47"/>
  <c r="Z344" i="47"/>
  <c r="N344" i="47" s="1"/>
  <c r="C368" i="72"/>
  <c r="BE362" i="47"/>
  <c r="L362" i="47" s="1"/>
  <c r="BB362" i="47"/>
  <c r="I362" i="47" s="1"/>
  <c r="J368" i="72" s="1"/>
  <c r="BD362" i="47"/>
  <c r="K362" i="47" s="1"/>
  <c r="BC362" i="47"/>
  <c r="Z362" i="47"/>
  <c r="N362" i="47" s="1"/>
  <c r="C344" i="72"/>
  <c r="BE338" i="47"/>
  <c r="L338" i="47" s="1"/>
  <c r="BB338" i="47"/>
  <c r="I338" i="47" s="1"/>
  <c r="J344" i="72" s="1"/>
  <c r="BD338" i="47"/>
  <c r="K338" i="47" s="1"/>
  <c r="BC338" i="47"/>
  <c r="Z338" i="47"/>
  <c r="N338" i="47" s="1"/>
  <c r="C372" i="72"/>
  <c r="BE366" i="47"/>
  <c r="L366" i="47" s="1"/>
  <c r="BB366" i="47"/>
  <c r="I366" i="47" s="1"/>
  <c r="J372" i="72" s="1"/>
  <c r="BD366" i="47"/>
  <c r="K366" i="47" s="1"/>
  <c r="BC366" i="47"/>
  <c r="Z366" i="47"/>
  <c r="N366" i="47" s="1"/>
  <c r="C356" i="72"/>
  <c r="BE350" i="47"/>
  <c r="L350" i="47" s="1"/>
  <c r="BB350" i="47"/>
  <c r="I350" i="47" s="1"/>
  <c r="J356" i="72" s="1"/>
  <c r="BD350" i="47"/>
  <c r="K350" i="47" s="1"/>
  <c r="BC350" i="47"/>
  <c r="Z350" i="47"/>
  <c r="N350" i="47" s="1"/>
  <c r="C371" i="72"/>
  <c r="BE365" i="47"/>
  <c r="L365" i="47" s="1"/>
  <c r="BB365" i="47"/>
  <c r="I365" i="47" s="1"/>
  <c r="J371" i="72" s="1"/>
  <c r="BD365" i="47"/>
  <c r="K365" i="47" s="1"/>
  <c r="BC365" i="47"/>
  <c r="Z365" i="47"/>
  <c r="N365" i="47" s="1"/>
  <c r="C359" i="72"/>
  <c r="BE353" i="47"/>
  <c r="L353" i="47" s="1"/>
  <c r="BB353" i="47"/>
  <c r="I353" i="47" s="1"/>
  <c r="J359" i="72" s="1"/>
  <c r="BD353" i="47"/>
  <c r="K353" i="47" s="1"/>
  <c r="BC353" i="47"/>
  <c r="Z353" i="47"/>
  <c r="N353" i="47" s="1"/>
  <c r="C370" i="72"/>
  <c r="BE364" i="47"/>
  <c r="L364" i="47" s="1"/>
  <c r="BB364" i="47"/>
  <c r="I364" i="47" s="1"/>
  <c r="J370" i="72" s="1"/>
  <c r="BD364" i="47"/>
  <c r="K364" i="47" s="1"/>
  <c r="BC364" i="47"/>
  <c r="Z364" i="47"/>
  <c r="N364" i="47" s="1"/>
  <c r="C362" i="72"/>
  <c r="BE356" i="47"/>
  <c r="L356" i="47" s="1"/>
  <c r="BB356" i="47"/>
  <c r="I356" i="47" s="1"/>
  <c r="J362" i="72" s="1"/>
  <c r="BD356" i="47"/>
  <c r="K356" i="47" s="1"/>
  <c r="BC356" i="47"/>
  <c r="Z356" i="47"/>
  <c r="N356" i="47" s="1"/>
  <c r="C369" i="72"/>
  <c r="BE363" i="47"/>
  <c r="L363" i="47" s="1"/>
  <c r="BB363" i="47"/>
  <c r="I363" i="47" s="1"/>
  <c r="J369" i="72" s="1"/>
  <c r="BC363" i="47"/>
  <c r="BD363" i="47"/>
  <c r="K363" i="47" s="1"/>
  <c r="Z363" i="47"/>
  <c r="N363" i="47" s="1"/>
  <c r="C349" i="72"/>
  <c r="BE343" i="47"/>
  <c r="L343" i="47" s="1"/>
  <c r="BB343" i="47"/>
  <c r="I343" i="47" s="1"/>
  <c r="J349" i="72" s="1"/>
  <c r="BC343" i="47"/>
  <c r="Z343" i="47"/>
  <c r="N343" i="47" s="1"/>
  <c r="BD343" i="47"/>
  <c r="K343" i="47" s="1"/>
  <c r="C358" i="72"/>
  <c r="BE352" i="47"/>
  <c r="L352" i="47" s="1"/>
  <c r="BB352" i="47"/>
  <c r="I352" i="47" s="1"/>
  <c r="J358" i="72" s="1"/>
  <c r="BD352" i="47"/>
  <c r="K352" i="47" s="1"/>
  <c r="BC352" i="47"/>
  <c r="Z352" i="47"/>
  <c r="N352" i="47" s="1"/>
  <c r="C357" i="72"/>
  <c r="BE351" i="47"/>
  <c r="L351" i="47" s="1"/>
  <c r="BB351" i="47"/>
  <c r="I351" i="47" s="1"/>
  <c r="J357" i="72" s="1"/>
  <c r="BC351" i="47"/>
  <c r="BD351" i="47"/>
  <c r="K351" i="47" s="1"/>
  <c r="Z351" i="47"/>
  <c r="N351" i="47" s="1"/>
  <c r="C352" i="72"/>
  <c r="BE346" i="47"/>
  <c r="L346" i="47" s="1"/>
  <c r="BB346" i="47"/>
  <c r="I346" i="47" s="1"/>
  <c r="J352" i="72" s="1"/>
  <c r="BD346" i="47"/>
  <c r="K346" i="47" s="1"/>
  <c r="BC346" i="47"/>
  <c r="Z346" i="47"/>
  <c r="N346" i="47" s="1"/>
  <c r="C363" i="72"/>
  <c r="BE357" i="47"/>
  <c r="L357" i="47" s="1"/>
  <c r="BB357" i="47"/>
  <c r="I357" i="47" s="1"/>
  <c r="J363" i="72" s="1"/>
  <c r="BD357" i="47"/>
  <c r="K357" i="47" s="1"/>
  <c r="BC357" i="47"/>
  <c r="Z357" i="47"/>
  <c r="N357" i="47" s="1"/>
  <c r="C347" i="72"/>
  <c r="BE341" i="47"/>
  <c r="L341" i="47" s="1"/>
  <c r="BB341" i="47"/>
  <c r="I341" i="47" s="1"/>
  <c r="J347" i="72" s="1"/>
  <c r="BD341" i="47"/>
  <c r="K341" i="47" s="1"/>
  <c r="BC341" i="47"/>
  <c r="Z341" i="47"/>
  <c r="N341" i="47" s="1"/>
  <c r="C354" i="72"/>
  <c r="BE348" i="47"/>
  <c r="L348" i="47" s="1"/>
  <c r="BB348" i="47"/>
  <c r="I348" i="47" s="1"/>
  <c r="J354" i="72" s="1"/>
  <c r="BD348" i="47"/>
  <c r="K348" i="47" s="1"/>
  <c r="BC348" i="47"/>
  <c r="Z348" i="47"/>
  <c r="N348" i="47" s="1"/>
  <c r="C346" i="72"/>
  <c r="BE340" i="47"/>
  <c r="L340" i="47" s="1"/>
  <c r="BB340" i="47"/>
  <c r="I340" i="47" s="1"/>
  <c r="J346" i="72" s="1"/>
  <c r="BD340" i="47"/>
  <c r="K340" i="47" s="1"/>
  <c r="BC340" i="47"/>
  <c r="Z340" i="47"/>
  <c r="N340" i="47" s="1"/>
  <c r="C343" i="72"/>
  <c r="BE337" i="47"/>
  <c r="L337" i="47" s="1"/>
  <c r="BB337" i="47"/>
  <c r="I337" i="47" s="1"/>
  <c r="J343" i="72" s="1"/>
  <c r="BD337" i="47"/>
  <c r="K337" i="47" s="1"/>
  <c r="BC337" i="47"/>
  <c r="Z337" i="47"/>
  <c r="N337" i="47" s="1"/>
  <c r="C365" i="72"/>
  <c r="BE359" i="47"/>
  <c r="L359" i="47" s="1"/>
  <c r="BB359" i="47"/>
  <c r="I359" i="47" s="1"/>
  <c r="J365" i="72" s="1"/>
  <c r="BC359" i="47"/>
  <c r="Z359" i="47"/>
  <c r="N359" i="47" s="1"/>
  <c r="BD359" i="47"/>
  <c r="K359" i="47" s="1"/>
  <c r="C353" i="72"/>
  <c r="BE347" i="47"/>
  <c r="L347" i="47" s="1"/>
  <c r="BB347" i="47"/>
  <c r="I347" i="47" s="1"/>
  <c r="J353" i="72" s="1"/>
  <c r="BC347" i="47"/>
  <c r="BD347" i="47"/>
  <c r="K347" i="47" s="1"/>
  <c r="Z347" i="47"/>
  <c r="N347" i="47" s="1"/>
  <c r="C345" i="72"/>
  <c r="BE339" i="47"/>
  <c r="L339" i="47" s="1"/>
  <c r="BB339" i="47"/>
  <c r="I339" i="47" s="1"/>
  <c r="J345" i="72" s="1"/>
  <c r="BC339" i="47"/>
  <c r="BD339" i="47"/>
  <c r="K339" i="47" s="1"/>
  <c r="Z339" i="47"/>
  <c r="N339" i="47" s="1"/>
  <c r="C360" i="72"/>
  <c r="BE354" i="47"/>
  <c r="L354" i="47" s="1"/>
  <c r="BB354" i="47"/>
  <c r="I354" i="47" s="1"/>
  <c r="J360" i="72" s="1"/>
  <c r="BD354" i="47"/>
  <c r="K354" i="47" s="1"/>
  <c r="BC354" i="47"/>
  <c r="Z354" i="47"/>
  <c r="N354" i="47" s="1"/>
  <c r="C364" i="72"/>
  <c r="BE358" i="47"/>
  <c r="L358" i="47" s="1"/>
  <c r="BB358" i="47"/>
  <c r="I358" i="47" s="1"/>
  <c r="J364" i="72" s="1"/>
  <c r="BD358" i="47"/>
  <c r="K358" i="47" s="1"/>
  <c r="BC358" i="47"/>
  <c r="Z358" i="47"/>
  <c r="N358" i="47" s="1"/>
  <c r="C348" i="72"/>
  <c r="BE342" i="47"/>
  <c r="L342" i="47" s="1"/>
  <c r="BB342" i="47"/>
  <c r="I342" i="47" s="1"/>
  <c r="J348" i="72" s="1"/>
  <c r="BD342" i="47"/>
  <c r="K342" i="47" s="1"/>
  <c r="BC342" i="47"/>
  <c r="Z342" i="47"/>
  <c r="N342" i="47" s="1"/>
  <c r="DA54" i="46"/>
  <c r="CY29" i="46"/>
  <c r="CY35" i="46"/>
  <c r="CY41" i="46"/>
  <c r="CY40" i="46"/>
  <c r="CY36" i="46"/>
  <c r="DA44" i="46"/>
  <c r="DA50" i="46"/>
  <c r="DA40" i="46"/>
  <c r="DA48" i="46"/>
  <c r="DA46" i="46"/>
  <c r="CY53" i="46"/>
  <c r="CZ43" i="46"/>
  <c r="CY52" i="46"/>
  <c r="CN33" i="46"/>
  <c r="CN44" i="46"/>
  <c r="CM44" i="46" s="1"/>
  <c r="CL29" i="46"/>
  <c r="CL33" i="46"/>
  <c r="CN28" i="46"/>
  <c r="CN34" i="46"/>
  <c r="CN35" i="46"/>
  <c r="CN41" i="46"/>
  <c r="CN45" i="46"/>
  <c r="CN38" i="46"/>
  <c r="CL47" i="46"/>
  <c r="CN39" i="46"/>
  <c r="CM39" i="46" s="1"/>
  <c r="CN46" i="46"/>
  <c r="CL50" i="46"/>
  <c r="CN52" i="46"/>
  <c r="A345" i="47"/>
  <c r="A351" i="72" s="1"/>
  <c r="A172" i="72"/>
  <c r="A364" i="47"/>
  <c r="A370" i="72" s="1"/>
  <c r="A191" i="72"/>
  <c r="A359" i="47"/>
  <c r="A365" i="72" s="1"/>
  <c r="A186" i="72"/>
  <c r="E353" i="47"/>
  <c r="G359" i="72" s="1"/>
  <c r="G180" i="72"/>
  <c r="E355" i="47"/>
  <c r="G361" i="72" s="1"/>
  <c r="G182" i="72"/>
  <c r="E345" i="47"/>
  <c r="G351" i="72" s="1"/>
  <c r="G172" i="72"/>
  <c r="A348" i="47"/>
  <c r="A354" i="72" s="1"/>
  <c r="A175" i="72"/>
  <c r="A358" i="47"/>
  <c r="A364" i="72" s="1"/>
  <c r="A185" i="72"/>
  <c r="E350" i="47"/>
  <c r="G356" i="72" s="1"/>
  <c r="G177" i="72"/>
  <c r="E361" i="47"/>
  <c r="G367" i="72" s="1"/>
  <c r="G188" i="72"/>
  <c r="E339" i="47"/>
  <c r="G345" i="72" s="1"/>
  <c r="G166" i="72"/>
  <c r="E365" i="47"/>
  <c r="G371" i="72" s="1"/>
  <c r="G192" i="72"/>
  <c r="A360" i="47"/>
  <c r="A366" i="72" s="1"/>
  <c r="A187" i="72"/>
  <c r="A351" i="47"/>
  <c r="A357" i="72" s="1"/>
  <c r="A178" i="72"/>
  <c r="E357" i="47"/>
  <c r="G363" i="72" s="1"/>
  <c r="G184" i="72"/>
  <c r="E349" i="47"/>
  <c r="G355" i="72" s="1"/>
  <c r="G176" i="72"/>
  <c r="E351" i="47"/>
  <c r="G357" i="72" s="1"/>
  <c r="G178" i="72"/>
  <c r="A361" i="47"/>
  <c r="A367" i="72" s="1"/>
  <c r="A188" i="72"/>
  <c r="E356" i="47"/>
  <c r="G362" i="72" s="1"/>
  <c r="G183" i="72"/>
  <c r="E340" i="47"/>
  <c r="G346" i="72" s="1"/>
  <c r="G167" i="72"/>
  <c r="A356" i="47"/>
  <c r="A362" i="72" s="1"/>
  <c r="A183" i="72"/>
  <c r="A347" i="47"/>
  <c r="A353" i="72" s="1"/>
  <c r="A174" i="72"/>
  <c r="A338" i="47"/>
  <c r="A344" i="72" s="1"/>
  <c r="A165" i="72"/>
  <c r="E366" i="47"/>
  <c r="G372" i="72" s="1"/>
  <c r="G193" i="72"/>
  <c r="A365" i="47"/>
  <c r="A371" i="72" s="1"/>
  <c r="A192" i="72"/>
  <c r="E360" i="47"/>
  <c r="G366" i="72" s="1"/>
  <c r="G187" i="72"/>
  <c r="A349" i="47"/>
  <c r="A355" i="72" s="1"/>
  <c r="A176" i="72"/>
  <c r="E344" i="47"/>
  <c r="G350" i="72" s="1"/>
  <c r="G171" i="72"/>
  <c r="A340" i="47"/>
  <c r="A346" i="72" s="1"/>
  <c r="A167" i="72"/>
  <c r="A363" i="47"/>
  <c r="A369" i="72" s="1"/>
  <c r="A190" i="72"/>
  <c r="A355" i="47"/>
  <c r="A361" i="72" s="1"/>
  <c r="A182" i="72"/>
  <c r="A343" i="47"/>
  <c r="A349" i="72" s="1"/>
  <c r="A170" i="72"/>
  <c r="A339" i="47"/>
  <c r="A345" i="72" s="1"/>
  <c r="A166" i="72"/>
  <c r="E362" i="47"/>
  <c r="G368" i="72" s="1"/>
  <c r="G189" i="72"/>
  <c r="A354" i="47"/>
  <c r="A360" i="72" s="1"/>
  <c r="A181" i="72"/>
  <c r="E346" i="47"/>
  <c r="G352" i="72" s="1"/>
  <c r="G173" i="72"/>
  <c r="A342" i="47"/>
  <c r="A348" i="72" s="1"/>
  <c r="A169" i="72"/>
  <c r="E341" i="47"/>
  <c r="G347" i="72" s="1"/>
  <c r="G168" i="72"/>
  <c r="E359" i="47"/>
  <c r="G365" i="72" s="1"/>
  <c r="G186" i="72"/>
  <c r="A353" i="47"/>
  <c r="A359" i="72" s="1"/>
  <c r="A180" i="72"/>
  <c r="E348" i="47"/>
  <c r="G354" i="72" s="1"/>
  <c r="G175" i="72"/>
  <c r="E364" i="47"/>
  <c r="G370" i="72" s="1"/>
  <c r="G191" i="72"/>
  <c r="F164" i="72"/>
  <c r="J164" i="72"/>
  <c r="A357" i="47"/>
  <c r="A363" i="72" s="1"/>
  <c r="A184" i="72"/>
  <c r="E352" i="47"/>
  <c r="G358" i="72" s="1"/>
  <c r="G179" i="72"/>
  <c r="A341" i="47"/>
  <c r="A347" i="72" s="1"/>
  <c r="A168" i="72"/>
  <c r="A352" i="47"/>
  <c r="A358" i="72" s="1"/>
  <c r="A179" i="72"/>
  <c r="A344" i="47"/>
  <c r="A350" i="72" s="1"/>
  <c r="A171" i="72"/>
  <c r="A362" i="47"/>
  <c r="A368" i="72" s="1"/>
  <c r="A189" i="72"/>
  <c r="E354" i="47"/>
  <c r="G360" i="72" s="1"/>
  <c r="G181" i="72"/>
  <c r="A346" i="47"/>
  <c r="A352" i="72" s="1"/>
  <c r="A173" i="72"/>
  <c r="E338" i="47"/>
  <c r="G344" i="72" s="1"/>
  <c r="G165" i="72"/>
  <c r="F165" i="72"/>
  <c r="J165" i="72"/>
  <c r="A366" i="47"/>
  <c r="A372" i="72" s="1"/>
  <c r="A193" i="72"/>
  <c r="E358" i="47"/>
  <c r="G364" i="72" s="1"/>
  <c r="G185" i="72"/>
  <c r="A350" i="47"/>
  <c r="A356" i="72" s="1"/>
  <c r="A177" i="72"/>
  <c r="E342" i="47"/>
  <c r="G348" i="72" s="1"/>
  <c r="G169" i="72"/>
  <c r="E363" i="47"/>
  <c r="G369" i="72" s="1"/>
  <c r="G190" i="72"/>
  <c r="E337" i="47"/>
  <c r="G343" i="72" s="1"/>
  <c r="G164" i="72"/>
  <c r="AB8" i="46"/>
  <c r="AB9" i="46" s="1"/>
  <c r="AD8" i="46"/>
  <c r="AD9" i="46" s="1"/>
  <c r="AB160" i="47"/>
  <c r="D4" i="46"/>
  <c r="D3" i="46"/>
  <c r="AB161" i="47"/>
  <c r="AB364" i="47"/>
  <c r="AC364" i="47" s="1"/>
  <c r="AB366" i="47"/>
  <c r="AC366" i="47" s="1"/>
  <c r="AB350" i="47"/>
  <c r="AC350" i="47" s="1"/>
  <c r="AB349" i="47"/>
  <c r="AC349" i="47" s="1"/>
  <c r="AB352" i="47"/>
  <c r="AC352" i="47" s="1"/>
  <c r="AB344" i="47"/>
  <c r="AC344" i="47" s="1"/>
  <c r="AB351" i="47"/>
  <c r="AC351" i="47" s="1"/>
  <c r="AB362" i="47"/>
  <c r="AC362" i="47" s="1"/>
  <c r="AB346" i="47"/>
  <c r="AC346" i="47" s="1"/>
  <c r="AB365" i="47"/>
  <c r="AC365" i="47" s="1"/>
  <c r="AB338" i="47"/>
  <c r="AB357" i="47"/>
  <c r="AC357" i="47" s="1"/>
  <c r="AB341" i="47"/>
  <c r="AC341" i="47" s="1"/>
  <c r="AB348" i="47"/>
  <c r="AC348" i="47" s="1"/>
  <c r="AB340" i="47"/>
  <c r="AC340" i="47" s="1"/>
  <c r="AB337" i="47"/>
  <c r="AB359" i="47"/>
  <c r="AC359" i="47" s="1"/>
  <c r="AB347" i="47"/>
  <c r="AC347" i="47" s="1"/>
  <c r="AB339" i="47"/>
  <c r="AB354" i="47"/>
  <c r="AC354" i="47" s="1"/>
  <c r="AB353" i="47"/>
  <c r="AC353" i="47" s="1"/>
  <c r="AB356" i="47"/>
  <c r="AC356" i="47" s="1"/>
  <c r="AB363" i="47"/>
  <c r="AC363" i="47" s="1"/>
  <c r="AB361" i="47"/>
  <c r="AC361" i="47" s="1"/>
  <c r="AB345" i="47"/>
  <c r="AC345" i="47" s="1"/>
  <c r="AB360" i="47"/>
  <c r="AC360" i="47" s="1"/>
  <c r="AB355" i="47"/>
  <c r="AC355" i="47" s="1"/>
  <c r="AB343" i="47"/>
  <c r="AC343" i="47" s="1"/>
  <c r="AB358" i="47"/>
  <c r="AC358" i="47" s="1"/>
  <c r="AB342" i="47"/>
  <c r="AC342" i="47" s="1"/>
  <c r="DJ25" i="46"/>
  <c r="M180" i="72"/>
  <c r="AI170" i="47"/>
  <c r="AL170" i="47" s="1"/>
  <c r="AE168" i="47"/>
  <c r="AF168" i="47" s="1"/>
  <c r="M176" i="72"/>
  <c r="M182" i="72"/>
  <c r="M174" i="72"/>
  <c r="M178" i="72"/>
  <c r="AI182" i="47"/>
  <c r="AJ182" i="47" s="1"/>
  <c r="AK182" i="47" s="1"/>
  <c r="M188" i="72"/>
  <c r="M172" i="72"/>
  <c r="AI178" i="47"/>
  <c r="AJ178" i="47" s="1"/>
  <c r="AK178" i="47" s="1"/>
  <c r="CM42" i="46"/>
  <c r="CM32" i="46"/>
  <c r="CM45" i="46"/>
  <c r="AE172" i="47"/>
  <c r="AF172" i="47" s="1"/>
  <c r="AI186" i="47"/>
  <c r="AL186" i="47" s="1"/>
  <c r="AE176" i="47"/>
  <c r="AF176" i="47" s="1"/>
  <c r="AI174" i="47"/>
  <c r="AL174" i="47" s="1"/>
  <c r="AI172" i="47"/>
  <c r="AL172" i="47" s="1"/>
  <c r="AE186" i="47"/>
  <c r="AF186" i="47" s="1"/>
  <c r="AI176" i="47"/>
  <c r="AJ176" i="47" s="1"/>
  <c r="AK176" i="47" s="1"/>
  <c r="M184" i="72"/>
  <c r="M192" i="72"/>
  <c r="AI180" i="47"/>
  <c r="AL180" i="47" s="1"/>
  <c r="M166" i="72"/>
  <c r="M170" i="72"/>
  <c r="CJ2" i="46"/>
  <c r="CK2" i="46"/>
  <c r="CM50" i="46"/>
  <c r="M168" i="72"/>
  <c r="AE180" i="47"/>
  <c r="AF180" i="47" s="1"/>
  <c r="CG2" i="46"/>
  <c r="CH2" i="46"/>
  <c r="CZ49" i="46"/>
  <c r="M186" i="72"/>
  <c r="AE184" i="47"/>
  <c r="AF184" i="47" s="1"/>
  <c r="P180" i="72"/>
  <c r="CZ44" i="46"/>
  <c r="AH170" i="47"/>
  <c r="AQ170" i="47" s="1"/>
  <c r="P174" i="72"/>
  <c r="CZ50" i="46"/>
  <c r="AI179" i="47"/>
  <c r="AE179" i="47"/>
  <c r="AF179" i="47" s="1"/>
  <c r="P183" i="72"/>
  <c r="AI171" i="47"/>
  <c r="AE171" i="47"/>
  <c r="AF171" i="47" s="1"/>
  <c r="P175" i="72"/>
  <c r="M164" i="72"/>
  <c r="AH182" i="47"/>
  <c r="AQ182" i="47" s="1"/>
  <c r="P186" i="72"/>
  <c r="AH166" i="47"/>
  <c r="AQ166" i="47" s="1"/>
  <c r="P184" i="72"/>
  <c r="AJ188" i="47"/>
  <c r="AL188" i="47"/>
  <c r="P190" i="72"/>
  <c r="CZ46" i="46"/>
  <c r="M191" i="72"/>
  <c r="M190" i="72"/>
  <c r="AH178" i="47"/>
  <c r="AQ178" i="47" s="1"/>
  <c r="P182" i="72"/>
  <c r="AH162" i="47"/>
  <c r="AQ162" i="47" s="1"/>
  <c r="P176" i="72"/>
  <c r="CZ38" i="46"/>
  <c r="AI183" i="47"/>
  <c r="AE183" i="47"/>
  <c r="AF183" i="47" s="1"/>
  <c r="P187" i="72"/>
  <c r="AI175" i="47"/>
  <c r="AE175" i="47"/>
  <c r="AF175" i="47" s="1"/>
  <c r="P179" i="72"/>
  <c r="AI167" i="47"/>
  <c r="AE167" i="47"/>
  <c r="AF167" i="47" s="1"/>
  <c r="P171" i="72"/>
  <c r="AI187" i="47"/>
  <c r="P191" i="72"/>
  <c r="AE187" i="47"/>
  <c r="AF187" i="47" s="1"/>
  <c r="A337" i="47"/>
  <c r="A343" i="72" s="1"/>
  <c r="A159" i="47"/>
  <c r="A163" i="72" s="1"/>
  <c r="AH174" i="47"/>
  <c r="AQ174" i="47" s="1"/>
  <c r="P178" i="72"/>
  <c r="AI185" i="47"/>
  <c r="P189" i="72"/>
  <c r="AE185" i="47"/>
  <c r="AF185" i="47" s="1"/>
  <c r="AI177" i="47"/>
  <c r="P181" i="72"/>
  <c r="AE177" i="47"/>
  <c r="AF177" i="47" s="1"/>
  <c r="AI169" i="47"/>
  <c r="P173" i="72"/>
  <c r="AE169" i="47"/>
  <c r="AF169" i="47" s="1"/>
  <c r="AI189" i="47"/>
  <c r="P193" i="72"/>
  <c r="AE189" i="47"/>
  <c r="AF189" i="47" s="1"/>
  <c r="P192" i="72"/>
  <c r="AI181" i="47"/>
  <c r="P185" i="72"/>
  <c r="AE181" i="47"/>
  <c r="AF181" i="47" s="1"/>
  <c r="AI173" i="47"/>
  <c r="P177" i="72"/>
  <c r="AE173" i="47"/>
  <c r="AF173" i="47" s="1"/>
  <c r="P188" i="72"/>
  <c r="AL184" i="47"/>
  <c r="AJ184" i="47"/>
  <c r="AK184" i="47" s="1"/>
  <c r="P172" i="72"/>
  <c r="AL168" i="47"/>
  <c r="AJ168" i="47"/>
  <c r="AK168" i="47" s="1"/>
  <c r="CZ48" i="46"/>
  <c r="CM47" i="46"/>
  <c r="CZ42" i="46"/>
  <c r="CZ45" i="46"/>
  <c r="CM48" i="46"/>
  <c r="CM46" i="46"/>
  <c r="CZ41" i="46"/>
  <c r="CM27" i="46"/>
  <c r="CM41" i="46"/>
  <c r="CZ40" i="46"/>
  <c r="A26" i="6"/>
  <c r="CM31" i="46" l="1"/>
  <c r="T363" i="47"/>
  <c r="T359" i="47"/>
  <c r="F356" i="47"/>
  <c r="F362" i="72" s="1"/>
  <c r="F366" i="47"/>
  <c r="F372" i="72" s="1"/>
  <c r="F362" i="47"/>
  <c r="F368" i="72" s="1"/>
  <c r="F365" i="47"/>
  <c r="F371" i="72" s="1"/>
  <c r="F363" i="47"/>
  <c r="F369" i="72" s="1"/>
  <c r="F349" i="47"/>
  <c r="F355" i="72" s="1"/>
  <c r="F351" i="47"/>
  <c r="F357" i="72" s="1"/>
  <c r="F361" i="47"/>
  <c r="F367" i="72" s="1"/>
  <c r="F355" i="47"/>
  <c r="F361" i="72" s="1"/>
  <c r="F359" i="47"/>
  <c r="F365" i="72" s="1"/>
  <c r="F352" i="47"/>
  <c r="F358" i="72" s="1"/>
  <c r="F350" i="47"/>
  <c r="F356" i="72" s="1"/>
  <c r="F344" i="47"/>
  <c r="F350" i="72" s="1"/>
  <c r="F364" i="47"/>
  <c r="F370" i="72" s="1"/>
  <c r="F357" i="47"/>
  <c r="F363" i="72" s="1"/>
  <c r="F358" i="47"/>
  <c r="F364" i="72" s="1"/>
  <c r="F346" i="47"/>
  <c r="F352" i="72" s="1"/>
  <c r="F360" i="47"/>
  <c r="F366" i="72" s="1"/>
  <c r="F348" i="47"/>
  <c r="F354" i="72" s="1"/>
  <c r="F354" i="47"/>
  <c r="F360" i="72" s="1"/>
  <c r="F345" i="47"/>
  <c r="F351" i="72" s="1"/>
  <c r="F347" i="47"/>
  <c r="F353" i="72" s="1"/>
  <c r="F353" i="47"/>
  <c r="F359" i="72" s="1"/>
  <c r="F343" i="47"/>
  <c r="F349" i="72" s="1"/>
  <c r="CZ31" i="46"/>
  <c r="T165" i="47"/>
  <c r="T355" i="47"/>
  <c r="J358" i="47"/>
  <c r="O358" i="47" s="1"/>
  <c r="J340" i="47"/>
  <c r="O340" i="47" s="1"/>
  <c r="J341" i="47"/>
  <c r="O341" i="47" s="1"/>
  <c r="J346" i="47"/>
  <c r="O346" i="47" s="1"/>
  <c r="J352" i="47"/>
  <c r="O352" i="47" s="1"/>
  <c r="J364" i="47"/>
  <c r="O364" i="47" s="1"/>
  <c r="J365" i="47"/>
  <c r="O365" i="47" s="1"/>
  <c r="J366" i="47"/>
  <c r="O366" i="47" s="1"/>
  <c r="J362" i="47"/>
  <c r="O362" i="47" s="1"/>
  <c r="J349" i="47"/>
  <c r="O349" i="47" s="1"/>
  <c r="J360" i="47"/>
  <c r="O360" i="47" s="1"/>
  <c r="J361" i="47"/>
  <c r="O361" i="47" s="1"/>
  <c r="T342" i="47"/>
  <c r="Q342" i="47"/>
  <c r="S342" i="47"/>
  <c r="R342" i="47"/>
  <c r="P342" i="47"/>
  <c r="Q355" i="47"/>
  <c r="S355" i="47"/>
  <c r="R355" i="47"/>
  <c r="P355" i="47"/>
  <c r="R356" i="47"/>
  <c r="S356" i="47"/>
  <c r="P356" i="47"/>
  <c r="T356" i="47"/>
  <c r="Q356" i="47"/>
  <c r="S349" i="47"/>
  <c r="P349" i="47"/>
  <c r="T349" i="47"/>
  <c r="Q349" i="47"/>
  <c r="P355" i="72" s="1"/>
  <c r="R349" i="47"/>
  <c r="S365" i="47"/>
  <c r="T365" i="47"/>
  <c r="P365" i="47"/>
  <c r="Q365" i="47"/>
  <c r="R365" i="47"/>
  <c r="Q343" i="47"/>
  <c r="R343" i="47"/>
  <c r="S343" i="47"/>
  <c r="P343" i="47"/>
  <c r="T343" i="47"/>
  <c r="S341" i="47"/>
  <c r="P341" i="47"/>
  <c r="Q341" i="47"/>
  <c r="T341" i="47" s="1"/>
  <c r="Q347" i="47"/>
  <c r="P353" i="72" s="1"/>
  <c r="R347" i="47"/>
  <c r="S347" i="47"/>
  <c r="T347" i="47"/>
  <c r="P347" i="47"/>
  <c r="O353" i="72" s="1"/>
  <c r="R344" i="47"/>
  <c r="P344" i="47"/>
  <c r="O350" i="72" s="1"/>
  <c r="T344" i="47"/>
  <c r="S344" i="47"/>
  <c r="Q344" i="47"/>
  <c r="P350" i="72" s="1"/>
  <c r="R360" i="47"/>
  <c r="S360" i="47"/>
  <c r="P360" i="47"/>
  <c r="T360" i="47"/>
  <c r="Q360" i="47"/>
  <c r="S353" i="47"/>
  <c r="T353" i="47"/>
  <c r="P353" i="47"/>
  <c r="Q353" i="47"/>
  <c r="R353" i="47"/>
  <c r="T350" i="47"/>
  <c r="P350" i="47"/>
  <c r="Q350" i="47"/>
  <c r="R350" i="47"/>
  <c r="S350" i="47"/>
  <c r="T346" i="47"/>
  <c r="R346" i="47"/>
  <c r="S346" i="47"/>
  <c r="Q346" i="47"/>
  <c r="P346" i="47"/>
  <c r="J339" i="47"/>
  <c r="O339" i="47" s="1"/>
  <c r="J359" i="47"/>
  <c r="O359" i="47" s="1"/>
  <c r="J363" i="47"/>
  <c r="O363" i="47" s="1"/>
  <c r="J342" i="47"/>
  <c r="O342" i="47" s="1"/>
  <c r="J354" i="47"/>
  <c r="O354" i="47" s="1"/>
  <c r="J337" i="47"/>
  <c r="O337" i="47" s="1"/>
  <c r="J348" i="47"/>
  <c r="O348" i="47" s="1"/>
  <c r="J357" i="47"/>
  <c r="O357" i="47" s="1"/>
  <c r="J356" i="47"/>
  <c r="O356" i="47" s="1"/>
  <c r="J353" i="47"/>
  <c r="O353" i="47" s="1"/>
  <c r="J350" i="47"/>
  <c r="O350" i="47" s="1"/>
  <c r="J338" i="47"/>
  <c r="O338" i="47" s="1"/>
  <c r="J344" i="47"/>
  <c r="O344" i="47" s="1"/>
  <c r="J345" i="47"/>
  <c r="O345" i="47" s="1"/>
  <c r="AE164" i="47"/>
  <c r="AF164" i="47" s="1"/>
  <c r="Q164" i="47"/>
  <c r="R164" i="47" s="1"/>
  <c r="P164" i="47"/>
  <c r="T358" i="47"/>
  <c r="S358" i="47"/>
  <c r="Q358" i="47"/>
  <c r="P364" i="72" s="1"/>
  <c r="R358" i="47"/>
  <c r="P358" i="47"/>
  <c r="O364" i="72" s="1"/>
  <c r="T354" i="47"/>
  <c r="R354" i="47"/>
  <c r="S354" i="47"/>
  <c r="P354" i="47"/>
  <c r="O360" i="72" s="1"/>
  <c r="Q354" i="47"/>
  <c r="P360" i="72" s="1"/>
  <c r="R348" i="47"/>
  <c r="P348" i="47"/>
  <c r="T348" i="47"/>
  <c r="S348" i="47"/>
  <c r="Q348" i="47"/>
  <c r="R364" i="47"/>
  <c r="S364" i="47"/>
  <c r="P364" i="47"/>
  <c r="O370" i="72" s="1"/>
  <c r="T364" i="47"/>
  <c r="Q364" i="47"/>
  <c r="P370" i="72" s="1"/>
  <c r="S357" i="47"/>
  <c r="T357" i="47"/>
  <c r="P357" i="47"/>
  <c r="Q357" i="47"/>
  <c r="R357" i="47"/>
  <c r="T362" i="47"/>
  <c r="R362" i="47"/>
  <c r="S362" i="47"/>
  <c r="Q362" i="47"/>
  <c r="P368" i="72" s="1"/>
  <c r="P362" i="47"/>
  <c r="O368" i="72" s="1"/>
  <c r="Q359" i="47"/>
  <c r="P365" i="72" s="1"/>
  <c r="S359" i="47"/>
  <c r="R359" i="47"/>
  <c r="P359" i="47"/>
  <c r="O365" i="72" s="1"/>
  <c r="Q363" i="47"/>
  <c r="S363" i="47"/>
  <c r="R363" i="47"/>
  <c r="P363" i="47"/>
  <c r="R352" i="47"/>
  <c r="S352" i="47"/>
  <c r="P352" i="47"/>
  <c r="T352" i="47"/>
  <c r="Q352" i="47"/>
  <c r="S345" i="47"/>
  <c r="P345" i="47"/>
  <c r="O351" i="72" s="1"/>
  <c r="T345" i="47"/>
  <c r="R345" i="47"/>
  <c r="Q345" i="47"/>
  <c r="P351" i="72" s="1"/>
  <c r="S361" i="47"/>
  <c r="T361" i="47"/>
  <c r="P361" i="47"/>
  <c r="Q361" i="47"/>
  <c r="R361" i="47"/>
  <c r="T366" i="47"/>
  <c r="Q366" i="47"/>
  <c r="P372" i="72" s="1"/>
  <c r="S366" i="47"/>
  <c r="P366" i="47"/>
  <c r="O372" i="72" s="1"/>
  <c r="R366" i="47"/>
  <c r="Q351" i="47"/>
  <c r="P357" i="72" s="1"/>
  <c r="R351" i="47"/>
  <c r="S351" i="47"/>
  <c r="P351" i="47"/>
  <c r="O357" i="72" s="1"/>
  <c r="T351" i="47"/>
  <c r="J347" i="47"/>
  <c r="O347" i="47" s="1"/>
  <c r="J351" i="47"/>
  <c r="O351" i="47" s="1"/>
  <c r="J343" i="47"/>
  <c r="O343" i="47" s="1"/>
  <c r="J355" i="47"/>
  <c r="O355" i="47" s="1"/>
  <c r="CZ28" i="46"/>
  <c r="CZ32" i="46"/>
  <c r="F344" i="72"/>
  <c r="F345" i="72"/>
  <c r="F346" i="72"/>
  <c r="F343" i="72"/>
  <c r="F347" i="72"/>
  <c r="CM33" i="46"/>
  <c r="CZ27" i="46"/>
  <c r="CM28" i="46"/>
  <c r="N14" i="72"/>
  <c r="D14" i="47"/>
  <c r="CM35" i="46"/>
  <c r="CZ36" i="46"/>
  <c r="CZ29" i="46"/>
  <c r="N170" i="72"/>
  <c r="AE166" i="47"/>
  <c r="AF166" i="47" s="1"/>
  <c r="O170" i="72" s="1"/>
  <c r="CN2" i="46"/>
  <c r="CZ30" i="46"/>
  <c r="CM36" i="46"/>
  <c r="CM37" i="46"/>
  <c r="CM54" i="46"/>
  <c r="CM53" i="46"/>
  <c r="CM38" i="46"/>
  <c r="CM30" i="46"/>
  <c r="CZ35" i="46"/>
  <c r="CM29" i="46"/>
  <c r="CM55" i="46"/>
  <c r="CL2" i="46"/>
  <c r="CM34" i="46"/>
  <c r="L348" i="72"/>
  <c r="L364" i="72"/>
  <c r="L360" i="72"/>
  <c r="L345" i="72"/>
  <c r="L353" i="72"/>
  <c r="L365" i="72"/>
  <c r="L343" i="72"/>
  <c r="L346" i="72"/>
  <c r="L354" i="72"/>
  <c r="L347" i="72"/>
  <c r="L363" i="72"/>
  <c r="L352" i="72"/>
  <c r="L357" i="72"/>
  <c r="L358" i="72"/>
  <c r="L349" i="72"/>
  <c r="L369" i="72"/>
  <c r="L362" i="72"/>
  <c r="L370" i="72"/>
  <c r="L359" i="72"/>
  <c r="L371" i="72"/>
  <c r="L356" i="72"/>
  <c r="L372" i="72"/>
  <c r="L344" i="72"/>
  <c r="L368" i="72"/>
  <c r="L350" i="72"/>
  <c r="L355" i="72"/>
  <c r="L361" i="72"/>
  <c r="L366" i="72"/>
  <c r="L351" i="72"/>
  <c r="L367" i="72"/>
  <c r="CZ39" i="46"/>
  <c r="CM52" i="46"/>
  <c r="CM51" i="46"/>
  <c r="AE165" i="47"/>
  <c r="AF165" i="47" s="1"/>
  <c r="F348" i="72"/>
  <c r="S164" i="47"/>
  <c r="N168" i="72"/>
  <c r="AI164" i="47"/>
  <c r="N169" i="72"/>
  <c r="N344" i="72"/>
  <c r="N347" i="72"/>
  <c r="N359" i="72"/>
  <c r="N348" i="72"/>
  <c r="N353" i="72"/>
  <c r="N164" i="72"/>
  <c r="N363" i="72"/>
  <c r="N371" i="72"/>
  <c r="N350" i="72"/>
  <c r="N365" i="72"/>
  <c r="N346" i="72"/>
  <c r="N356" i="72"/>
  <c r="N362" i="72"/>
  <c r="N345" i="72"/>
  <c r="N358" i="72"/>
  <c r="N352" i="72"/>
  <c r="N366" i="72"/>
  <c r="N167" i="72"/>
  <c r="N165" i="72"/>
  <c r="N343" i="72"/>
  <c r="N360" i="72"/>
  <c r="N361" i="72"/>
  <c r="N367" i="72"/>
  <c r="N369" i="72"/>
  <c r="N357" i="72"/>
  <c r="N364" i="72"/>
  <c r="N166" i="72"/>
  <c r="N354" i="72"/>
  <c r="N372" i="72"/>
  <c r="N370" i="72"/>
  <c r="N349" i="72"/>
  <c r="N355" i="72"/>
  <c r="N368" i="72"/>
  <c r="N351" i="72"/>
  <c r="AH351" i="47"/>
  <c r="AQ351" i="47" s="1"/>
  <c r="E357" i="72"/>
  <c r="AH359" i="47"/>
  <c r="AQ359" i="47" s="1"/>
  <c r="E365" i="72"/>
  <c r="AH349" i="47"/>
  <c r="AQ349" i="47" s="1"/>
  <c r="E355" i="72"/>
  <c r="AH342" i="47"/>
  <c r="AQ342" i="47" s="1"/>
  <c r="E348" i="72"/>
  <c r="AH358" i="47"/>
  <c r="AQ358" i="47" s="1"/>
  <c r="E364" i="72"/>
  <c r="AH343" i="47"/>
  <c r="AQ343" i="47" s="1"/>
  <c r="E349" i="72"/>
  <c r="AH345" i="47"/>
  <c r="AQ345" i="47" s="1"/>
  <c r="E351" i="72"/>
  <c r="AH339" i="47"/>
  <c r="AQ339" i="47" s="1"/>
  <c r="E345" i="72"/>
  <c r="AH347" i="47"/>
  <c r="AQ347" i="47" s="1"/>
  <c r="E353" i="72"/>
  <c r="AH337" i="47"/>
  <c r="AQ337" i="47" s="1"/>
  <c r="E343" i="72"/>
  <c r="AH338" i="47"/>
  <c r="AQ338" i="47" s="1"/>
  <c r="E344" i="72"/>
  <c r="AH362" i="47"/>
  <c r="AQ362" i="47" s="1"/>
  <c r="E368" i="72"/>
  <c r="AH366" i="47"/>
  <c r="AQ366" i="47" s="1"/>
  <c r="E372" i="72"/>
  <c r="AH364" i="47"/>
  <c r="AQ364" i="47" s="1"/>
  <c r="E370" i="72"/>
  <c r="AH354" i="47"/>
  <c r="AQ354" i="47" s="1"/>
  <c r="E360" i="72"/>
  <c r="AH340" i="47"/>
  <c r="AQ340" i="47" s="1"/>
  <c r="E346" i="72"/>
  <c r="AH344" i="47"/>
  <c r="AQ344" i="47" s="1"/>
  <c r="E350" i="72"/>
  <c r="O355" i="72"/>
  <c r="AI163" i="47"/>
  <c r="AJ163" i="47" s="1"/>
  <c r="AK163" i="47" s="1"/>
  <c r="J194" i="47"/>
  <c r="L194" i="47"/>
  <c r="A190" i="47"/>
  <c r="A367" i="47" s="1"/>
  <c r="O194" i="47"/>
  <c r="AE163" i="47"/>
  <c r="AF163" i="47" s="1"/>
  <c r="P163" i="47" s="1"/>
  <c r="Q163" i="47" s="1"/>
  <c r="AL182" i="47"/>
  <c r="AO182" i="47" s="1"/>
  <c r="AJ186" i="47"/>
  <c r="AK186" i="47" s="1"/>
  <c r="AO186" i="47" s="1"/>
  <c r="AJ170" i="47"/>
  <c r="AK170" i="47" s="1"/>
  <c r="AV170" i="47" s="1"/>
  <c r="AW170" i="47" s="1"/>
  <c r="AX170" i="47" s="1"/>
  <c r="AL176" i="47"/>
  <c r="AV176" i="47" s="1"/>
  <c r="AW176" i="47" s="1"/>
  <c r="AX176" i="47" s="1"/>
  <c r="AJ174" i="47"/>
  <c r="AM174" i="47" s="1"/>
  <c r="AN174" i="47" s="1"/>
  <c r="AL178" i="47"/>
  <c r="AM178" i="47" s="1"/>
  <c r="AN178" i="47" s="1"/>
  <c r="AJ172" i="47"/>
  <c r="AM172" i="47" s="1"/>
  <c r="AN172" i="47" s="1"/>
  <c r="AL166" i="47"/>
  <c r="AM166" i="47" s="1"/>
  <c r="AN166" i="47" s="1"/>
  <c r="AJ180" i="47"/>
  <c r="AK180" i="47" s="1"/>
  <c r="AO180" i="47" s="1"/>
  <c r="AO168" i="47"/>
  <c r="AV168" i="47"/>
  <c r="AW168" i="47" s="1"/>
  <c r="AX168" i="47" s="1"/>
  <c r="AO184" i="47"/>
  <c r="AV184" i="47"/>
  <c r="AW184" i="47" s="1"/>
  <c r="AX184" i="47" s="1"/>
  <c r="AL177" i="47"/>
  <c r="AJ177" i="47"/>
  <c r="AK177" i="47" s="1"/>
  <c r="A336" i="47"/>
  <c r="A342" i="72" s="1"/>
  <c r="AL167" i="47"/>
  <c r="AJ167" i="47"/>
  <c r="AK167" i="47" s="1"/>
  <c r="AL175" i="47"/>
  <c r="AJ175" i="47"/>
  <c r="AE347" i="47"/>
  <c r="AF347" i="47" s="1"/>
  <c r="AI347" i="47"/>
  <c r="AI340" i="47"/>
  <c r="AE340" i="47"/>
  <c r="AF340" i="47" s="1"/>
  <c r="P340" i="47" s="1"/>
  <c r="AE356" i="47"/>
  <c r="AF356" i="47" s="1"/>
  <c r="AI356" i="47"/>
  <c r="AE350" i="47"/>
  <c r="AF350" i="47" s="1"/>
  <c r="AI350" i="47"/>
  <c r="AI354" i="47"/>
  <c r="AE354" i="47"/>
  <c r="AF354" i="47" s="1"/>
  <c r="AI345" i="47"/>
  <c r="AE345" i="47"/>
  <c r="AF345" i="47" s="1"/>
  <c r="AI353" i="47"/>
  <c r="AE353" i="47"/>
  <c r="AF353" i="47" s="1"/>
  <c r="AI361" i="47"/>
  <c r="AE361" i="47"/>
  <c r="AF361" i="47" s="1"/>
  <c r="AM184" i="47"/>
  <c r="AN184" i="47" s="1"/>
  <c r="AL169" i="47"/>
  <c r="AJ169" i="47"/>
  <c r="AK169" i="47" s="1"/>
  <c r="AE349" i="47"/>
  <c r="AF349" i="47" s="1"/>
  <c r="AI349" i="47"/>
  <c r="AE363" i="47"/>
  <c r="AF363" i="47" s="1"/>
  <c r="AI363" i="47"/>
  <c r="AI342" i="47"/>
  <c r="AE342" i="47"/>
  <c r="AF342" i="47" s="1"/>
  <c r="AI344" i="47"/>
  <c r="AE344" i="47"/>
  <c r="AF344" i="47" s="1"/>
  <c r="AL171" i="47"/>
  <c r="AJ171" i="47"/>
  <c r="AL179" i="47"/>
  <c r="AJ179" i="47"/>
  <c r="AK179" i="47" s="1"/>
  <c r="AE365" i="47"/>
  <c r="AF365" i="47" s="1"/>
  <c r="AI365" i="47"/>
  <c r="AL183" i="47"/>
  <c r="AJ183" i="47"/>
  <c r="AL181" i="47"/>
  <c r="AJ181" i="47"/>
  <c r="AL189" i="47"/>
  <c r="AJ189" i="47"/>
  <c r="AI343" i="47"/>
  <c r="AE343" i="47"/>
  <c r="AF343" i="47" s="1"/>
  <c r="AK166" i="47"/>
  <c r="AI352" i="47"/>
  <c r="AE352" i="47"/>
  <c r="AF352" i="47" s="1"/>
  <c r="AE357" i="47"/>
  <c r="AF357" i="47" s="1"/>
  <c r="AI357" i="47"/>
  <c r="AE366" i="47"/>
  <c r="AF366" i="47" s="1"/>
  <c r="AI366" i="47"/>
  <c r="AE358" i="47"/>
  <c r="AF358" i="47" s="1"/>
  <c r="AI358" i="47"/>
  <c r="AM188" i="47"/>
  <c r="AN188" i="47" s="1"/>
  <c r="AI362" i="47"/>
  <c r="AE362" i="47"/>
  <c r="AF362" i="47" s="1"/>
  <c r="AE351" i="47"/>
  <c r="AF351" i="47" s="1"/>
  <c r="AI351" i="47"/>
  <c r="AL165" i="47"/>
  <c r="AJ165" i="47"/>
  <c r="AK165" i="47" s="1"/>
  <c r="AE359" i="47"/>
  <c r="AF359" i="47" s="1"/>
  <c r="AI359" i="47"/>
  <c r="AM168" i="47"/>
  <c r="AN168" i="47" s="1"/>
  <c r="AL173" i="47"/>
  <c r="AJ173" i="47"/>
  <c r="AL185" i="47"/>
  <c r="AJ185" i="47"/>
  <c r="AK185" i="47" s="1"/>
  <c r="AL187" i="47"/>
  <c r="AJ187" i="47"/>
  <c r="AK187" i="47" s="1"/>
  <c r="AI341" i="47"/>
  <c r="AE341" i="47"/>
  <c r="AF341" i="47" s="1"/>
  <c r="AE348" i="47"/>
  <c r="AF348" i="47" s="1"/>
  <c r="AI348" i="47"/>
  <c r="AE364" i="47"/>
  <c r="AF364" i="47" s="1"/>
  <c r="AI364" i="47"/>
  <c r="AI355" i="47"/>
  <c r="AE355" i="47"/>
  <c r="AF355" i="47" s="1"/>
  <c r="AK188" i="47"/>
  <c r="AI346" i="47"/>
  <c r="AE346" i="47"/>
  <c r="AF346" i="47" s="1"/>
  <c r="AE360" i="47"/>
  <c r="AF360" i="47" s="1"/>
  <c r="AI360" i="47"/>
  <c r="E28" i="5"/>
  <c r="D28" i="5"/>
  <c r="E27" i="5"/>
  <c r="D27" i="5"/>
  <c r="E26" i="5"/>
  <c r="D26" i="5"/>
  <c r="CM2" i="46" l="1"/>
  <c r="Q340" i="47"/>
  <c r="T340" i="47" s="1"/>
  <c r="K363" i="72"/>
  <c r="K357" i="72"/>
  <c r="K348" i="72"/>
  <c r="K344" i="72"/>
  <c r="K359" i="72"/>
  <c r="K365" i="72"/>
  <c r="K361" i="72"/>
  <c r="K351" i="72"/>
  <c r="K343" i="72"/>
  <c r="K350" i="72"/>
  <c r="K356" i="72"/>
  <c r="K362" i="72"/>
  <c r="K354" i="72"/>
  <c r="K360" i="72"/>
  <c r="K369" i="72"/>
  <c r="K345" i="72"/>
  <c r="R341" i="47"/>
  <c r="K349" i="72"/>
  <c r="K353" i="72"/>
  <c r="K367" i="72"/>
  <c r="K355" i="72"/>
  <c r="K372" i="72"/>
  <c r="K370" i="72"/>
  <c r="K352" i="72"/>
  <c r="K346" i="72"/>
  <c r="T164" i="47"/>
  <c r="K366" i="72"/>
  <c r="K368" i="72"/>
  <c r="K371" i="72"/>
  <c r="K358" i="72"/>
  <c r="K347" i="72"/>
  <c r="K364" i="72"/>
  <c r="T163" i="47"/>
  <c r="R163" i="47"/>
  <c r="M353" i="72"/>
  <c r="P170" i="72"/>
  <c r="M350" i="72"/>
  <c r="M347" i="72"/>
  <c r="M367" i="72"/>
  <c r="M364" i="72"/>
  <c r="M351" i="72"/>
  <c r="M357" i="72"/>
  <c r="M348" i="72"/>
  <c r="M354" i="72"/>
  <c r="M361" i="72"/>
  <c r="M360" i="72"/>
  <c r="M349" i="72"/>
  <c r="M363" i="72"/>
  <c r="M345" i="72"/>
  <c r="M372" i="72"/>
  <c r="M359" i="72"/>
  <c r="M346" i="72"/>
  <c r="M362" i="72"/>
  <c r="M344" i="72"/>
  <c r="M355" i="72"/>
  <c r="M365" i="72"/>
  <c r="M343" i="72"/>
  <c r="M366" i="72"/>
  <c r="M371" i="72"/>
  <c r="M369" i="72"/>
  <c r="M370" i="72"/>
  <c r="M352" i="72"/>
  <c r="M368" i="72"/>
  <c r="M356" i="72"/>
  <c r="M358" i="72"/>
  <c r="O349" i="72"/>
  <c r="O348" i="72"/>
  <c r="AL164" i="47"/>
  <c r="AJ164" i="47"/>
  <c r="AH348" i="47"/>
  <c r="AQ348" i="47" s="1"/>
  <c r="E354" i="72"/>
  <c r="AH341" i="47"/>
  <c r="AQ341" i="47" s="1"/>
  <c r="E347" i="72"/>
  <c r="AH350" i="47"/>
  <c r="AQ350" i="47" s="1"/>
  <c r="E356" i="72"/>
  <c r="P359" i="72"/>
  <c r="E359" i="72"/>
  <c r="P371" i="72"/>
  <c r="E371" i="72"/>
  <c r="AH352" i="47"/>
  <c r="AQ352" i="47" s="1"/>
  <c r="E358" i="72"/>
  <c r="AH346" i="47"/>
  <c r="AQ346" i="47" s="1"/>
  <c r="E352" i="72"/>
  <c r="AH355" i="47"/>
  <c r="AQ355" i="47" s="1"/>
  <c r="E361" i="72"/>
  <c r="AH363" i="47"/>
  <c r="AQ363" i="47" s="1"/>
  <c r="E369" i="72"/>
  <c r="AH360" i="47"/>
  <c r="AQ360" i="47" s="1"/>
  <c r="E366" i="72"/>
  <c r="AH356" i="47"/>
  <c r="AQ356" i="47" s="1"/>
  <c r="E362" i="72"/>
  <c r="AH357" i="47"/>
  <c r="AQ357" i="47" s="1"/>
  <c r="E363" i="72"/>
  <c r="O367" i="72"/>
  <c r="E367" i="72"/>
  <c r="AL163" i="47"/>
  <c r="AV163" i="47" s="1"/>
  <c r="AW163" i="47" s="1"/>
  <c r="AX163" i="47" s="1"/>
  <c r="O358" i="72"/>
  <c r="O371" i="72"/>
  <c r="O354" i="72"/>
  <c r="O366" i="72"/>
  <c r="O361" i="72"/>
  <c r="O359" i="72"/>
  <c r="O362" i="72"/>
  <c r="O363" i="72"/>
  <c r="O352" i="72"/>
  <c r="O356" i="72"/>
  <c r="O369" i="72"/>
  <c r="L371" i="47"/>
  <c r="J371" i="47"/>
  <c r="AM176" i="47"/>
  <c r="AN176" i="47" s="1"/>
  <c r="P358" i="72"/>
  <c r="P352" i="72"/>
  <c r="P363" i="72"/>
  <c r="P369" i="72"/>
  <c r="AK174" i="47"/>
  <c r="AO174" i="47" s="1"/>
  <c r="AP174" i="47" s="1"/>
  <c r="AV182" i="47"/>
  <c r="AW182" i="47" s="1"/>
  <c r="AX182" i="47" s="1"/>
  <c r="AM182" i="47"/>
  <c r="AN182" i="47" s="1"/>
  <c r="AP182" i="47" s="1"/>
  <c r="AY182" i="47" s="1"/>
  <c r="P366" i="72"/>
  <c r="AV186" i="47"/>
  <c r="AW186" i="47" s="1"/>
  <c r="AX186" i="47" s="1"/>
  <c r="P367" i="72"/>
  <c r="P362" i="72"/>
  <c r="P356" i="72"/>
  <c r="AH353" i="47"/>
  <c r="AQ353" i="47" s="1"/>
  <c r="AH365" i="47"/>
  <c r="AQ365" i="47" s="1"/>
  <c r="AH361" i="47"/>
  <c r="AQ361" i="47" s="1"/>
  <c r="P361" i="72"/>
  <c r="P354" i="72"/>
  <c r="AM186" i="47"/>
  <c r="AN186" i="47" s="1"/>
  <c r="AP186" i="47" s="1"/>
  <c r="AO170" i="47"/>
  <c r="AO176" i="47"/>
  <c r="AV178" i="47"/>
  <c r="AW178" i="47" s="1"/>
  <c r="AX178" i="47" s="1"/>
  <c r="AM170" i="47"/>
  <c r="AN170" i="47" s="1"/>
  <c r="AO178" i="47"/>
  <c r="AP178" i="47" s="1"/>
  <c r="AT178" i="47" s="1"/>
  <c r="AV180" i="47"/>
  <c r="AW180" i="47" s="1"/>
  <c r="AX180" i="47" s="1"/>
  <c r="AK172" i="47"/>
  <c r="AV172" i="47" s="1"/>
  <c r="AW172" i="47" s="1"/>
  <c r="AX172" i="47" s="1"/>
  <c r="AM180" i="47"/>
  <c r="AN180" i="47" s="1"/>
  <c r="AP180" i="47" s="1"/>
  <c r="AP184" i="47"/>
  <c r="AR184" i="47" s="1"/>
  <c r="AM173" i="47"/>
  <c r="AN173" i="47" s="1"/>
  <c r="AM181" i="47"/>
  <c r="AN181" i="47" s="1"/>
  <c r="AP168" i="47"/>
  <c r="AT168" i="47" s="1"/>
  <c r="AM171" i="47"/>
  <c r="AN171" i="47" s="1"/>
  <c r="AM183" i="47"/>
  <c r="AN183" i="47" s="1"/>
  <c r="AM177" i="47"/>
  <c r="AN177" i="47" s="1"/>
  <c r="AM189" i="47"/>
  <c r="AN189" i="47" s="1"/>
  <c r="AK181" i="47"/>
  <c r="AO181" i="47" s="1"/>
  <c r="AM175" i="47"/>
  <c r="AN175" i="47" s="1"/>
  <c r="AO167" i="47"/>
  <c r="AV167" i="47"/>
  <c r="AW167" i="47" s="1"/>
  <c r="AX167" i="47" s="1"/>
  <c r="AO185" i="47"/>
  <c r="AV185" i="47"/>
  <c r="AW185" i="47" s="1"/>
  <c r="AX185" i="47" s="1"/>
  <c r="AO179" i="47"/>
  <c r="AV179" i="47"/>
  <c r="AW179" i="47" s="1"/>
  <c r="AX179" i="47" s="1"/>
  <c r="AL341" i="47"/>
  <c r="AJ341" i="47"/>
  <c r="AL354" i="47"/>
  <c r="AJ354" i="47"/>
  <c r="AJ356" i="47"/>
  <c r="AK356" i="47" s="1"/>
  <c r="AL356" i="47"/>
  <c r="AL347" i="47"/>
  <c r="AJ347" i="47"/>
  <c r="AO177" i="47"/>
  <c r="AV177" i="47"/>
  <c r="AW177" i="47" s="1"/>
  <c r="AX177" i="47" s="1"/>
  <c r="AM187" i="47"/>
  <c r="AN187" i="47" s="1"/>
  <c r="AJ359" i="47"/>
  <c r="AK359" i="47" s="1"/>
  <c r="AL359" i="47"/>
  <c r="AM165" i="47"/>
  <c r="AN165" i="47" s="1"/>
  <c r="AL352" i="47"/>
  <c r="AJ352" i="47"/>
  <c r="AK352" i="47" s="1"/>
  <c r="AK189" i="47"/>
  <c r="AL344" i="47"/>
  <c r="AJ344" i="47"/>
  <c r="AK344" i="47" s="1"/>
  <c r="AM169" i="47"/>
  <c r="AN169" i="47" s="1"/>
  <c r="AL345" i="47"/>
  <c r="AJ345" i="47"/>
  <c r="AL350" i="47"/>
  <c r="AJ350" i="47"/>
  <c r="AK350" i="47" s="1"/>
  <c r="AL340" i="47"/>
  <c r="AJ340" i="47"/>
  <c r="AK340" i="47" s="1"/>
  <c r="AK175" i="47"/>
  <c r="AL348" i="47"/>
  <c r="AJ348" i="47"/>
  <c r="AL346" i="47"/>
  <c r="AJ346" i="47"/>
  <c r="AK346" i="47" s="1"/>
  <c r="AL355" i="47"/>
  <c r="AJ355" i="47"/>
  <c r="AO187" i="47"/>
  <c r="AV187" i="47"/>
  <c r="AW187" i="47" s="1"/>
  <c r="AX187" i="47" s="1"/>
  <c r="AK173" i="47"/>
  <c r="AL351" i="47"/>
  <c r="AJ351" i="47"/>
  <c r="AK351" i="47" s="1"/>
  <c r="AJ362" i="47"/>
  <c r="AL362" i="47"/>
  <c r="AJ358" i="47"/>
  <c r="AL358" i="47"/>
  <c r="AL343" i="47"/>
  <c r="AJ343" i="47"/>
  <c r="AL342" i="47"/>
  <c r="AJ342" i="47"/>
  <c r="AJ363" i="47"/>
  <c r="AK363" i="47" s="1"/>
  <c r="AL363" i="47"/>
  <c r="AJ353" i="47"/>
  <c r="AL353" i="47"/>
  <c r="AJ360" i="47"/>
  <c r="AL360" i="47"/>
  <c r="AO188" i="47"/>
  <c r="AP188" i="47" s="1"/>
  <c r="AV188" i="47"/>
  <c r="AW188" i="47" s="1"/>
  <c r="AX188" i="47" s="1"/>
  <c r="AJ364" i="47"/>
  <c r="AK364" i="47" s="1"/>
  <c r="AL364" i="47"/>
  <c r="AJ357" i="47"/>
  <c r="AK357" i="47" s="1"/>
  <c r="AL357" i="47"/>
  <c r="AM185" i="47"/>
  <c r="AN185" i="47" s="1"/>
  <c r="AO165" i="47"/>
  <c r="AV165" i="47"/>
  <c r="AW165" i="47" s="1"/>
  <c r="AX165" i="47" s="1"/>
  <c r="AJ366" i="47"/>
  <c r="AK366" i="47" s="1"/>
  <c r="AL366" i="47"/>
  <c r="AO166" i="47"/>
  <c r="AP166" i="47" s="1"/>
  <c r="AV166" i="47"/>
  <c r="AW166" i="47" s="1"/>
  <c r="AX166" i="47" s="1"/>
  <c r="AK183" i="47"/>
  <c r="AJ365" i="47"/>
  <c r="AK365" i="47" s="1"/>
  <c r="AL365" i="47"/>
  <c r="AM179" i="47"/>
  <c r="AN179" i="47" s="1"/>
  <c r="AK171" i="47"/>
  <c r="AL349" i="47"/>
  <c r="AJ349" i="47"/>
  <c r="AK349" i="47" s="1"/>
  <c r="AO169" i="47"/>
  <c r="AV169" i="47"/>
  <c r="AW169" i="47" s="1"/>
  <c r="AX169" i="47" s="1"/>
  <c r="AJ361" i="47"/>
  <c r="AK361" i="47" s="1"/>
  <c r="AL361" i="47"/>
  <c r="AM167" i="47"/>
  <c r="AN167" i="47" s="1"/>
  <c r="R340" i="47" l="1"/>
  <c r="O371" i="47"/>
  <c r="O374" i="47" s="1"/>
  <c r="P349" i="72"/>
  <c r="AK164" i="47"/>
  <c r="AM164" i="47"/>
  <c r="AN164" i="47" s="1"/>
  <c r="AO163" i="47"/>
  <c r="AM163" i="47"/>
  <c r="AN163" i="47" s="1"/>
  <c r="AP176" i="47"/>
  <c r="AR176" i="47" s="1"/>
  <c r="AS176" i="47" s="1"/>
  <c r="AV174" i="47"/>
  <c r="AW174" i="47" s="1"/>
  <c r="AX174" i="47" s="1"/>
  <c r="AP170" i="47"/>
  <c r="AR170" i="47" s="1"/>
  <c r="AO172" i="47"/>
  <c r="AP172" i="47" s="1"/>
  <c r="AY172" i="47" s="1"/>
  <c r="AP167" i="47"/>
  <c r="AY167" i="47" s="1"/>
  <c r="AP185" i="47"/>
  <c r="AR185" i="47" s="1"/>
  <c r="AT182" i="47"/>
  <c r="AY184" i="47"/>
  <c r="AY168" i="47"/>
  <c r="AP177" i="47"/>
  <c r="AY177" i="47" s="1"/>
  <c r="AP181" i="47"/>
  <c r="AR181" i="47" s="1"/>
  <c r="AR178" i="47"/>
  <c r="AU178" i="47" s="1"/>
  <c r="AZ178" i="47" s="1"/>
  <c r="AT184" i="47"/>
  <c r="AU184" i="47" s="1"/>
  <c r="AZ184" i="47" s="1"/>
  <c r="AY178" i="47"/>
  <c r="AP179" i="47"/>
  <c r="AT179" i="47" s="1"/>
  <c r="AR182" i="47"/>
  <c r="AS182" i="47" s="1"/>
  <c r="AM348" i="47"/>
  <c r="AN348" i="47" s="1"/>
  <c r="AR168" i="47"/>
  <c r="AS168" i="47" s="1"/>
  <c r="AM355" i="47"/>
  <c r="AN355" i="47" s="1"/>
  <c r="AM358" i="47"/>
  <c r="AN358" i="47" s="1"/>
  <c r="AM343" i="47"/>
  <c r="AN343" i="47" s="1"/>
  <c r="AM351" i="47"/>
  <c r="AN351" i="47" s="1"/>
  <c r="AM350" i="47"/>
  <c r="AN350" i="47" s="1"/>
  <c r="AV181" i="47"/>
  <c r="AW181" i="47" s="1"/>
  <c r="AX181" i="47" s="1"/>
  <c r="AM347" i="47"/>
  <c r="AN347" i="47" s="1"/>
  <c r="AM342" i="47"/>
  <c r="AN342" i="47" s="1"/>
  <c r="AM362" i="47"/>
  <c r="AN362" i="47" s="1"/>
  <c r="AM345" i="47"/>
  <c r="AN345" i="47" s="1"/>
  <c r="AM354" i="47"/>
  <c r="AN354" i="47" s="1"/>
  <c r="AO352" i="47"/>
  <c r="AV352" i="47"/>
  <c r="AW352" i="47" s="1"/>
  <c r="AX352" i="47" s="1"/>
  <c r="AO363" i="47"/>
  <c r="AV363" i="47"/>
  <c r="AW363" i="47" s="1"/>
  <c r="AX363" i="47" s="1"/>
  <c r="AO173" i="47"/>
  <c r="AP173" i="47" s="1"/>
  <c r="AV173" i="47"/>
  <c r="AW173" i="47" s="1"/>
  <c r="AX173" i="47" s="1"/>
  <c r="AM360" i="47"/>
  <c r="AN360" i="47" s="1"/>
  <c r="AK342" i="47"/>
  <c r="AK358" i="47"/>
  <c r="AO175" i="47"/>
  <c r="AP175" i="47" s="1"/>
  <c r="AV175" i="47"/>
  <c r="AW175" i="47" s="1"/>
  <c r="AX175" i="47" s="1"/>
  <c r="AK345" i="47"/>
  <c r="AP169" i="47"/>
  <c r="AO189" i="47"/>
  <c r="AP189" i="47" s="1"/>
  <c r="AV189" i="47"/>
  <c r="AW189" i="47" s="1"/>
  <c r="AX189" i="47" s="1"/>
  <c r="AP165" i="47"/>
  <c r="AK354" i="47"/>
  <c r="AR166" i="47"/>
  <c r="AT166" i="47"/>
  <c r="AY166" i="47"/>
  <c r="AV351" i="47"/>
  <c r="AW351" i="47" s="1"/>
  <c r="AX351" i="47" s="1"/>
  <c r="AO351" i="47"/>
  <c r="AO344" i="47"/>
  <c r="AV344" i="47"/>
  <c r="AW344" i="47" s="1"/>
  <c r="AX344" i="47" s="1"/>
  <c r="AR188" i="47"/>
  <c r="AT188" i="47"/>
  <c r="AY188" i="47"/>
  <c r="AV356" i="47"/>
  <c r="AW356" i="47" s="1"/>
  <c r="AX356" i="47" s="1"/>
  <c r="AO356" i="47"/>
  <c r="AV349" i="47"/>
  <c r="AW349" i="47" s="1"/>
  <c r="AX349" i="47" s="1"/>
  <c r="AO349" i="47"/>
  <c r="AT180" i="47"/>
  <c r="AR180" i="47"/>
  <c r="AY180" i="47"/>
  <c r="AM353" i="47"/>
  <c r="AN353" i="47" s="1"/>
  <c r="AM361" i="47"/>
  <c r="AN361" i="47" s="1"/>
  <c r="AM349" i="47"/>
  <c r="AN349" i="47" s="1"/>
  <c r="AO171" i="47"/>
  <c r="AP171" i="47" s="1"/>
  <c r="AV171" i="47"/>
  <c r="AW171" i="47" s="1"/>
  <c r="AX171" i="47" s="1"/>
  <c r="AO183" i="47"/>
  <c r="AP183" i="47" s="1"/>
  <c r="AV183" i="47"/>
  <c r="AW183" i="47" s="1"/>
  <c r="AX183" i="47" s="1"/>
  <c r="AM357" i="47"/>
  <c r="AN357" i="47" s="1"/>
  <c r="AM364" i="47"/>
  <c r="AN364" i="47" s="1"/>
  <c r="AK360" i="47"/>
  <c r="AK353" i="47"/>
  <c r="AS184" i="47"/>
  <c r="AR174" i="47"/>
  <c r="AT174" i="47"/>
  <c r="AY174" i="47"/>
  <c r="AK343" i="47"/>
  <c r="AK362" i="47"/>
  <c r="AK355" i="47"/>
  <c r="AM346" i="47"/>
  <c r="AN346" i="47" s="1"/>
  <c r="AM340" i="47"/>
  <c r="AN340" i="47" s="1"/>
  <c r="AR186" i="47"/>
  <c r="AT186" i="47"/>
  <c r="AY186" i="47"/>
  <c r="AM359" i="47"/>
  <c r="AN359" i="47" s="1"/>
  <c r="AM341" i="47"/>
  <c r="AN341" i="47" s="1"/>
  <c r="AO365" i="47"/>
  <c r="AV365" i="47"/>
  <c r="AW365" i="47" s="1"/>
  <c r="AX365" i="47" s="1"/>
  <c r="AO366" i="47"/>
  <c r="AV366" i="47"/>
  <c r="AW366" i="47" s="1"/>
  <c r="AX366" i="47" s="1"/>
  <c r="AV350" i="47"/>
  <c r="AW350" i="47" s="1"/>
  <c r="AX350" i="47" s="1"/>
  <c r="AO350" i="47"/>
  <c r="AV361" i="47"/>
  <c r="AW361" i="47" s="1"/>
  <c r="AX361" i="47" s="1"/>
  <c r="AO361" i="47"/>
  <c r="AM365" i="47"/>
  <c r="AN365" i="47" s="1"/>
  <c r="AM366" i="47"/>
  <c r="AN366" i="47" s="1"/>
  <c r="AV357" i="47"/>
  <c r="AW357" i="47" s="1"/>
  <c r="AX357" i="47" s="1"/>
  <c r="AO357" i="47"/>
  <c r="AO364" i="47"/>
  <c r="AV364" i="47"/>
  <c r="AW364" i="47" s="1"/>
  <c r="AX364" i="47" s="1"/>
  <c r="AM363" i="47"/>
  <c r="AN363" i="47" s="1"/>
  <c r="AO346" i="47"/>
  <c r="AV346" i="47"/>
  <c r="AW346" i="47" s="1"/>
  <c r="AX346" i="47" s="1"/>
  <c r="AK348" i="47"/>
  <c r="AO340" i="47"/>
  <c r="AV340" i="47"/>
  <c r="AW340" i="47" s="1"/>
  <c r="AX340" i="47" s="1"/>
  <c r="AM344" i="47"/>
  <c r="AN344" i="47" s="1"/>
  <c r="AM352" i="47"/>
  <c r="AN352" i="47" s="1"/>
  <c r="AV359" i="47"/>
  <c r="AW359" i="47" s="1"/>
  <c r="AX359" i="47" s="1"/>
  <c r="AO359" i="47"/>
  <c r="AP187" i="47"/>
  <c r="AK347" i="47"/>
  <c r="AM356" i="47"/>
  <c r="AN356" i="47" s="1"/>
  <c r="AK341" i="47"/>
  <c r="P348" i="72" l="1"/>
  <c r="AO164" i="47"/>
  <c r="AP164" i="47" s="1"/>
  <c r="AV164" i="47"/>
  <c r="AW164" i="47" s="1"/>
  <c r="AX164" i="47" s="1"/>
  <c r="AP163" i="47"/>
  <c r="AT163" i="47" s="1"/>
  <c r="AT185" i="47"/>
  <c r="AU185" i="47" s="1"/>
  <c r="AZ185" i="47" s="1"/>
  <c r="AY176" i="47"/>
  <c r="AT176" i="47"/>
  <c r="AU176" i="47" s="1"/>
  <c r="AZ176" i="47" s="1"/>
  <c r="AY170" i="47"/>
  <c r="AT170" i="47"/>
  <c r="AU170" i="47" s="1"/>
  <c r="AZ170" i="47" s="1"/>
  <c r="AR172" i="47"/>
  <c r="AS172" i="47" s="1"/>
  <c r="AT172" i="47"/>
  <c r="AP356" i="47"/>
  <c r="AY356" i="47" s="1"/>
  <c r="AT181" i="47"/>
  <c r="AU181" i="47" s="1"/>
  <c r="AZ181" i="47" s="1"/>
  <c r="AS178" i="47"/>
  <c r="AR167" i="47"/>
  <c r="AT167" i="47"/>
  <c r="AR177" i="47"/>
  <c r="AS177" i="47" s="1"/>
  <c r="AP366" i="47"/>
  <c r="AY366" i="47" s="1"/>
  <c r="AY181" i="47"/>
  <c r="AY185" i="47"/>
  <c r="AU182" i="47"/>
  <c r="AZ182" i="47" s="1"/>
  <c r="AT177" i="47"/>
  <c r="AP363" i="47"/>
  <c r="AT363" i="47" s="1"/>
  <c r="AY179" i="47"/>
  <c r="AR179" i="47"/>
  <c r="AS179" i="47" s="1"/>
  <c r="AP344" i="47"/>
  <c r="AR344" i="47" s="1"/>
  <c r="AU168" i="47"/>
  <c r="AZ168" i="47" s="1"/>
  <c r="AP351" i="47"/>
  <c r="AT351" i="47" s="1"/>
  <c r="AP352" i="47"/>
  <c r="AR352" i="47" s="1"/>
  <c r="AP350" i="47"/>
  <c r="AY350" i="47" s="1"/>
  <c r="AP365" i="47"/>
  <c r="AT365" i="47" s="1"/>
  <c r="AP349" i="47"/>
  <c r="AR349" i="47" s="1"/>
  <c r="AP359" i="47"/>
  <c r="AR359" i="47" s="1"/>
  <c r="AP340" i="47"/>
  <c r="AY340" i="47" s="1"/>
  <c r="AO353" i="47"/>
  <c r="AP353" i="47" s="1"/>
  <c r="AV353" i="47"/>
  <c r="AW353" i="47" s="1"/>
  <c r="AX353" i="47" s="1"/>
  <c r="AP361" i="47"/>
  <c r="AT189" i="47"/>
  <c r="AR189" i="47"/>
  <c r="AY189" i="47"/>
  <c r="AO342" i="47"/>
  <c r="AP342" i="47" s="1"/>
  <c r="AV342" i="47"/>
  <c r="AW342" i="47" s="1"/>
  <c r="AX342" i="47" s="1"/>
  <c r="AS170" i="47"/>
  <c r="AT187" i="47"/>
  <c r="AR187" i="47"/>
  <c r="AY187" i="47"/>
  <c r="AP346" i="47"/>
  <c r="AS174" i="47"/>
  <c r="AU174" i="47"/>
  <c r="AZ174" i="47" s="1"/>
  <c r="AV360" i="47"/>
  <c r="AW360" i="47" s="1"/>
  <c r="AX360" i="47" s="1"/>
  <c r="AO360" i="47"/>
  <c r="AP360" i="47" s="1"/>
  <c r="AS185" i="47"/>
  <c r="AS181" i="47"/>
  <c r="AO354" i="47"/>
  <c r="AP354" i="47" s="1"/>
  <c r="AV354" i="47"/>
  <c r="AW354" i="47" s="1"/>
  <c r="AX354" i="47" s="1"/>
  <c r="AT169" i="47"/>
  <c r="AR169" i="47"/>
  <c r="AY169" i="47"/>
  <c r="AV347" i="47"/>
  <c r="AW347" i="47" s="1"/>
  <c r="AX347" i="47" s="1"/>
  <c r="AO347" i="47"/>
  <c r="AP347" i="47" s="1"/>
  <c r="AS166" i="47"/>
  <c r="AU166" i="47"/>
  <c r="AZ166" i="47" s="1"/>
  <c r="AT175" i="47"/>
  <c r="AR175" i="47"/>
  <c r="AY175" i="47"/>
  <c r="AO341" i="47"/>
  <c r="AP341" i="47" s="1"/>
  <c r="AV341" i="47"/>
  <c r="AW341" i="47" s="1"/>
  <c r="AX341" i="47" s="1"/>
  <c r="AO355" i="47"/>
  <c r="AP355" i="47" s="1"/>
  <c r="AV355" i="47"/>
  <c r="AW355" i="47" s="1"/>
  <c r="AX355" i="47" s="1"/>
  <c r="AO343" i="47"/>
  <c r="AP343" i="47" s="1"/>
  <c r="AV343" i="47"/>
  <c r="AW343" i="47" s="1"/>
  <c r="AX343" i="47" s="1"/>
  <c r="AP364" i="47"/>
  <c r="AT183" i="47"/>
  <c r="AR183" i="47"/>
  <c r="AY183" i="47"/>
  <c r="AT171" i="47"/>
  <c r="AR171" i="47"/>
  <c r="AY171" i="47"/>
  <c r="AT165" i="47"/>
  <c r="AR165" i="47"/>
  <c r="AY165" i="47"/>
  <c r="AO345" i="47"/>
  <c r="AP345" i="47" s="1"/>
  <c r="AV345" i="47"/>
  <c r="AW345" i="47" s="1"/>
  <c r="AX345" i="47" s="1"/>
  <c r="AV348" i="47"/>
  <c r="AW348" i="47" s="1"/>
  <c r="AX348" i="47" s="1"/>
  <c r="AO348" i="47"/>
  <c r="AP348" i="47" s="1"/>
  <c r="AS186" i="47"/>
  <c r="AU186" i="47"/>
  <c r="AZ186" i="47" s="1"/>
  <c r="AO362" i="47"/>
  <c r="AP362" i="47" s="1"/>
  <c r="AV362" i="47"/>
  <c r="AW362" i="47" s="1"/>
  <c r="AX362" i="47" s="1"/>
  <c r="AP357" i="47"/>
  <c r="AS180" i="47"/>
  <c r="AU180" i="47"/>
  <c r="AZ180" i="47" s="1"/>
  <c r="AS188" i="47"/>
  <c r="AU188" i="47"/>
  <c r="AZ188" i="47" s="1"/>
  <c r="AV358" i="47"/>
  <c r="AW358" i="47" s="1"/>
  <c r="AX358" i="47" s="1"/>
  <c r="AO358" i="47"/>
  <c r="AP358" i="47" s="1"/>
  <c r="AT173" i="47"/>
  <c r="AR173" i="47"/>
  <c r="AY173" i="47"/>
  <c r="D17" i="17"/>
  <c r="D15" i="17"/>
  <c r="G56" i="18"/>
  <c r="B56" i="18"/>
  <c r="D16" i="18"/>
  <c r="D14" i="18"/>
  <c r="AY163" i="47" l="1"/>
  <c r="AR164" i="47"/>
  <c r="AS164" i="47" s="1"/>
  <c r="AT164" i="47"/>
  <c r="AY164" i="47"/>
  <c r="AR163" i="47"/>
  <c r="AS163" i="47" s="1"/>
  <c r="AR363" i="47"/>
  <c r="AU363" i="47" s="1"/>
  <c r="AZ363" i="47" s="1"/>
  <c r="AT356" i="47"/>
  <c r="AR356" i="47"/>
  <c r="AT366" i="47"/>
  <c r="AT349" i="47"/>
  <c r="AU349" i="47" s="1"/>
  <c r="AZ349" i="47" s="1"/>
  <c r="AU172" i="47"/>
  <c r="AZ172" i="47" s="1"/>
  <c r="AU167" i="47"/>
  <c r="AZ167" i="47" s="1"/>
  <c r="AR366" i="47"/>
  <c r="AS167" i="47"/>
  <c r="AU177" i="47"/>
  <c r="AZ177" i="47" s="1"/>
  <c r="AY365" i="47"/>
  <c r="AY363" i="47"/>
  <c r="AR365" i="47"/>
  <c r="AU365" i="47" s="1"/>
  <c r="AZ365" i="47" s="1"/>
  <c r="AY349" i="47"/>
  <c r="AU179" i="47"/>
  <c r="AZ179" i="47" s="1"/>
  <c r="AT359" i="47"/>
  <c r="AU359" i="47" s="1"/>
  <c r="AZ359" i="47" s="1"/>
  <c r="AY352" i="47"/>
  <c r="AT352" i="47"/>
  <c r="AU352" i="47" s="1"/>
  <c r="AZ352" i="47" s="1"/>
  <c r="AR351" i="47"/>
  <c r="AU351" i="47" s="1"/>
  <c r="AZ351" i="47" s="1"/>
  <c r="AY359" i="47"/>
  <c r="AT344" i="47"/>
  <c r="AU344" i="47" s="1"/>
  <c r="AZ344" i="47" s="1"/>
  <c r="AY344" i="47"/>
  <c r="AY351" i="47"/>
  <c r="AR340" i="47"/>
  <c r="AS340" i="47" s="1"/>
  <c r="AR350" i="47"/>
  <c r="AT340" i="47"/>
  <c r="AT350" i="47"/>
  <c r="AU165" i="47"/>
  <c r="AZ165" i="47" s="1"/>
  <c r="AS165" i="47"/>
  <c r="AR364" i="47"/>
  <c r="AT364" i="47"/>
  <c r="AY364" i="47"/>
  <c r="AU169" i="47"/>
  <c r="AZ169" i="47" s="1"/>
  <c r="AS169" i="47"/>
  <c r="AT361" i="47"/>
  <c r="AR361" i="47"/>
  <c r="AY361" i="47"/>
  <c r="AR358" i="47"/>
  <c r="AT358" i="47"/>
  <c r="AY358" i="47"/>
  <c r="AT341" i="47"/>
  <c r="AR341" i="47"/>
  <c r="AY341" i="47"/>
  <c r="AU175" i="47"/>
  <c r="AZ175" i="47" s="1"/>
  <c r="AS175" i="47"/>
  <c r="AT346" i="47"/>
  <c r="AR346" i="47"/>
  <c r="AY346" i="47"/>
  <c r="AS352" i="47"/>
  <c r="AS359" i="47"/>
  <c r="AR357" i="47"/>
  <c r="AT357" i="47"/>
  <c r="AY357" i="47"/>
  <c r="AS344" i="47"/>
  <c r="AT347" i="47"/>
  <c r="AR347" i="47"/>
  <c r="AY347" i="47"/>
  <c r="AS349" i="47"/>
  <c r="AR362" i="47"/>
  <c r="AT362" i="47"/>
  <c r="AY362" i="47"/>
  <c r="AT348" i="47"/>
  <c r="AR348" i="47"/>
  <c r="AY348" i="47"/>
  <c r="AT345" i="47"/>
  <c r="AR345" i="47"/>
  <c r="AY345" i="47"/>
  <c r="AU183" i="47"/>
  <c r="AZ183" i="47" s="1"/>
  <c r="AS183" i="47"/>
  <c r="AT343" i="47"/>
  <c r="AR343" i="47"/>
  <c r="AY343" i="47"/>
  <c r="AT360" i="47"/>
  <c r="AR360" i="47"/>
  <c r="AY360" i="47"/>
  <c r="AT342" i="47"/>
  <c r="AR342" i="47"/>
  <c r="AY342" i="47"/>
  <c r="AT355" i="47"/>
  <c r="AR355" i="47"/>
  <c r="AY355" i="47"/>
  <c r="AU189" i="47"/>
  <c r="AZ189" i="47" s="1"/>
  <c r="AS189" i="47"/>
  <c r="AU173" i="47"/>
  <c r="AZ173" i="47" s="1"/>
  <c r="AS173" i="47"/>
  <c r="AU171" i="47"/>
  <c r="AZ171" i="47" s="1"/>
  <c r="AS171" i="47"/>
  <c r="AT354" i="47"/>
  <c r="AR354" i="47"/>
  <c r="AY354" i="47"/>
  <c r="AT353" i="47"/>
  <c r="AR353" i="47"/>
  <c r="AY353" i="47"/>
  <c r="AU187" i="47"/>
  <c r="AZ187" i="47" s="1"/>
  <c r="AS187" i="47"/>
  <c r="C19" i="20"/>
  <c r="AU164" i="47" l="1"/>
  <c r="AZ164" i="47" s="1"/>
  <c r="O168" i="72" s="1"/>
  <c r="AU163" i="47"/>
  <c r="AZ163" i="47" s="1"/>
  <c r="O167" i="72" s="1"/>
  <c r="O169" i="72"/>
  <c r="AS363" i="47"/>
  <c r="AU366" i="47"/>
  <c r="AZ366" i="47" s="1"/>
  <c r="AU356" i="47"/>
  <c r="AZ356" i="47" s="1"/>
  <c r="AS356" i="47"/>
  <c r="AS366" i="47"/>
  <c r="AS365" i="47"/>
  <c r="AS351" i="47"/>
  <c r="AU340" i="47"/>
  <c r="AZ340" i="47" s="1"/>
  <c r="AU350" i="47"/>
  <c r="AZ350" i="47" s="1"/>
  <c r="AS350" i="47"/>
  <c r="AU353" i="47"/>
  <c r="AZ353" i="47" s="1"/>
  <c r="AS353" i="47"/>
  <c r="AU348" i="47"/>
  <c r="AZ348" i="47" s="1"/>
  <c r="AS348" i="47"/>
  <c r="AS362" i="47"/>
  <c r="AU362" i="47"/>
  <c r="AZ362" i="47" s="1"/>
  <c r="AU357" i="47"/>
  <c r="AZ357" i="47" s="1"/>
  <c r="AS357" i="47"/>
  <c r="AU346" i="47"/>
  <c r="AZ346" i="47" s="1"/>
  <c r="AS346" i="47"/>
  <c r="AU342" i="47"/>
  <c r="AZ342" i="47" s="1"/>
  <c r="AS342" i="47"/>
  <c r="AU360" i="47"/>
  <c r="AZ360" i="47" s="1"/>
  <c r="AS360" i="47"/>
  <c r="AU341" i="47"/>
  <c r="AZ341" i="47" s="1"/>
  <c r="AS341" i="47"/>
  <c r="AU358" i="47"/>
  <c r="AZ358" i="47" s="1"/>
  <c r="AS358" i="47"/>
  <c r="AS364" i="47"/>
  <c r="AU364" i="47"/>
  <c r="AZ364" i="47" s="1"/>
  <c r="AU355" i="47"/>
  <c r="AZ355" i="47" s="1"/>
  <c r="AS355" i="47"/>
  <c r="AU343" i="47"/>
  <c r="AZ343" i="47" s="1"/>
  <c r="AS343" i="47"/>
  <c r="AU347" i="47"/>
  <c r="AZ347" i="47" s="1"/>
  <c r="AS347" i="47"/>
  <c r="AU354" i="47"/>
  <c r="AZ354" i="47" s="1"/>
  <c r="AS354" i="47"/>
  <c r="AU345" i="47"/>
  <c r="AZ345" i="47" s="1"/>
  <c r="AS345" i="47"/>
  <c r="AU361" i="47"/>
  <c r="AZ361" i="47" s="1"/>
  <c r="AS361" i="47"/>
  <c r="B52" i="17"/>
  <c r="I61" i="43"/>
  <c r="C14" i="43"/>
  <c r="C12" i="43"/>
  <c r="P168" i="72" l="1"/>
  <c r="O347" i="72"/>
  <c r="P169" i="72"/>
  <c r="O346" i="72"/>
  <c r="J153" i="16"/>
  <c r="D153" i="16"/>
  <c r="F13" i="16"/>
  <c r="F15" i="16"/>
  <c r="D16" i="15"/>
  <c r="D14" i="15"/>
  <c r="I65" i="15"/>
  <c r="B65" i="15"/>
  <c r="D21" i="35"/>
  <c r="D19" i="35"/>
  <c r="K74" i="35"/>
  <c r="B74" i="35"/>
  <c r="D18" i="35"/>
  <c r="P347" i="72" l="1"/>
  <c r="P167" i="72"/>
  <c r="BY5" i="35"/>
  <c r="BY3" i="35"/>
  <c r="BY4" i="35"/>
  <c r="P346" i="72" l="1"/>
  <c r="CB2" i="35"/>
  <c r="BZ2" i="35" l="1"/>
  <c r="CF2" i="35"/>
  <c r="CE2" i="35"/>
  <c r="CC2" i="35"/>
  <c r="CQ56" i="35"/>
  <c r="CD56" i="35"/>
  <c r="CQ55" i="35"/>
  <c r="CD55" i="35"/>
  <c r="CQ54" i="35"/>
  <c r="CD54" i="35"/>
  <c r="CQ53" i="35"/>
  <c r="CD53" i="35"/>
  <c r="CQ52" i="35"/>
  <c r="CD52" i="35"/>
  <c r="CQ51" i="35"/>
  <c r="CD51" i="35"/>
  <c r="CQ50" i="35"/>
  <c r="CD50" i="35"/>
  <c r="CQ49" i="35"/>
  <c r="CD49" i="35"/>
  <c r="CQ48" i="35"/>
  <c r="CD48" i="35"/>
  <c r="CQ47" i="35"/>
  <c r="CD47" i="35"/>
  <c r="CQ46" i="35"/>
  <c r="CD46" i="35"/>
  <c r="CQ45" i="35"/>
  <c r="CD45" i="35"/>
  <c r="CQ44" i="35"/>
  <c r="CD44" i="35"/>
  <c r="CQ43" i="35"/>
  <c r="CD43" i="35"/>
  <c r="CQ42" i="35"/>
  <c r="CD42" i="35"/>
  <c r="CQ41" i="35"/>
  <c r="CD41" i="35"/>
  <c r="CQ40" i="35"/>
  <c r="CD40" i="35"/>
  <c r="CQ39" i="35"/>
  <c r="CD39" i="35"/>
  <c r="CQ38" i="35"/>
  <c r="CD38" i="35"/>
  <c r="CQ37" i="35"/>
  <c r="CD37" i="35"/>
  <c r="CQ36" i="35"/>
  <c r="CD36" i="35"/>
  <c r="CQ35" i="35"/>
  <c r="CD35" i="35"/>
  <c r="CQ34" i="35"/>
  <c r="CD34" i="35"/>
  <c r="CQ33" i="35"/>
  <c r="CD33" i="35"/>
  <c r="CQ32" i="35"/>
  <c r="CD32" i="35"/>
  <c r="CQ31" i="35"/>
  <c r="CD31" i="35"/>
  <c r="CQ30" i="35"/>
  <c r="CD30" i="35"/>
  <c r="CQ29" i="35"/>
  <c r="CD29" i="35"/>
  <c r="CQ28" i="35"/>
  <c r="CD28" i="35"/>
  <c r="O20" i="35"/>
  <c r="CQ27" i="35"/>
  <c r="CX26" i="35"/>
  <c r="CV26" i="35"/>
  <c r="CU26" i="35"/>
  <c r="CS26" i="35"/>
  <c r="CR26" i="35"/>
  <c r="CP26" i="35"/>
  <c r="CK26" i="35"/>
  <c r="CI26" i="35"/>
  <c r="CH26" i="35"/>
  <c r="CF26" i="35"/>
  <c r="CE26" i="35"/>
  <c r="CC26" i="35"/>
  <c r="CQ24" i="35" l="1"/>
  <c r="DA49" i="35" s="1"/>
  <c r="I197" i="63"/>
  <c r="CT37" i="35"/>
  <c r="CW37" i="35"/>
  <c r="CT39" i="35"/>
  <c r="CW39" i="35"/>
  <c r="CT53" i="35"/>
  <c r="CW53" i="35"/>
  <c r="CT28" i="35"/>
  <c r="CW28" i="35"/>
  <c r="CT32" i="35"/>
  <c r="CW32" i="35"/>
  <c r="CT36" i="35"/>
  <c r="CW36" i="35"/>
  <c r="CW42" i="35"/>
  <c r="CT42" i="35"/>
  <c r="CT48" i="35"/>
  <c r="CW48" i="35"/>
  <c r="CT27" i="35"/>
  <c r="CW27" i="35"/>
  <c r="CT31" i="35"/>
  <c r="CW31" i="35"/>
  <c r="CT35" i="35"/>
  <c r="CW35" i="35"/>
  <c r="CT41" i="35"/>
  <c r="CW41" i="35"/>
  <c r="CT55" i="35"/>
  <c r="CW55" i="35"/>
  <c r="CT29" i="35"/>
  <c r="CW29" i="35"/>
  <c r="CT33" i="35"/>
  <c r="CW33" i="35"/>
  <c r="CT43" i="35"/>
  <c r="CW43" i="35"/>
  <c r="CT45" i="35"/>
  <c r="CW45" i="35"/>
  <c r="CT47" i="35"/>
  <c r="CW47" i="35"/>
  <c r="CT49" i="35"/>
  <c r="CW49" i="35"/>
  <c r="CT51" i="35"/>
  <c r="CW51" i="35"/>
  <c r="CW30" i="35"/>
  <c r="CT30" i="35"/>
  <c r="CW34" i="35"/>
  <c r="CT34" i="35"/>
  <c r="CW38" i="35"/>
  <c r="CT38" i="35"/>
  <c r="CT40" i="35"/>
  <c r="CW40" i="35"/>
  <c r="CT44" i="35"/>
  <c r="CW44" i="35"/>
  <c r="CW46" i="35"/>
  <c r="CT46" i="35"/>
  <c r="CW50" i="35"/>
  <c r="CT50" i="35"/>
  <c r="CT52" i="35"/>
  <c r="CW52" i="35"/>
  <c r="CW54" i="35"/>
  <c r="CT54" i="35"/>
  <c r="CT56" i="35"/>
  <c r="CW56" i="35"/>
  <c r="CJ29" i="35"/>
  <c r="CG29" i="35"/>
  <c r="CG39" i="35"/>
  <c r="CJ39" i="35"/>
  <c r="CG51" i="35"/>
  <c r="CJ51" i="35"/>
  <c r="CG55" i="35"/>
  <c r="CJ55" i="35"/>
  <c r="CJ37" i="35"/>
  <c r="CG37" i="35"/>
  <c r="CJ53" i="35"/>
  <c r="CG53" i="35"/>
  <c r="CG40" i="35"/>
  <c r="CJ40" i="35"/>
  <c r="CG31" i="35"/>
  <c r="CJ31" i="35"/>
  <c r="CJ33" i="35"/>
  <c r="CG33" i="35"/>
  <c r="CG35" i="35"/>
  <c r="CJ35" i="35"/>
  <c r="CJ41" i="35"/>
  <c r="CG41" i="35"/>
  <c r="CG43" i="35"/>
  <c r="CJ43" i="35"/>
  <c r="CJ45" i="35"/>
  <c r="CG45" i="35"/>
  <c r="CG47" i="35"/>
  <c r="CJ47" i="35"/>
  <c r="CJ49" i="35"/>
  <c r="CG49" i="35"/>
  <c r="CG28" i="35"/>
  <c r="CJ28" i="35"/>
  <c r="CJ30" i="35"/>
  <c r="CG30" i="35"/>
  <c r="CJ32" i="35"/>
  <c r="CG32" i="35"/>
  <c r="CJ34" i="35"/>
  <c r="CG34" i="35"/>
  <c r="CG36" i="35"/>
  <c r="CJ36" i="35"/>
  <c r="CJ38" i="35"/>
  <c r="CG38" i="35"/>
  <c r="CJ42" i="35"/>
  <c r="CG42" i="35"/>
  <c r="CJ44" i="35"/>
  <c r="CG44" i="35"/>
  <c r="CJ46" i="35"/>
  <c r="CG46" i="35"/>
  <c r="CJ48" i="35"/>
  <c r="CG48" i="35"/>
  <c r="CJ50" i="35"/>
  <c r="CG50" i="35"/>
  <c r="CG52" i="35"/>
  <c r="CJ52" i="35"/>
  <c r="CJ54" i="35"/>
  <c r="CG54" i="35"/>
  <c r="CJ56" i="35"/>
  <c r="CG56" i="35"/>
  <c r="N20" i="35"/>
  <c r="CZ52" i="35" l="1"/>
  <c r="CZ56" i="35"/>
  <c r="CZ54" i="35"/>
  <c r="CY36" i="35"/>
  <c r="CY49" i="35"/>
  <c r="CZ49" i="35" s="1"/>
  <c r="DA40" i="35"/>
  <c r="CY48" i="35"/>
  <c r="DA46" i="35"/>
  <c r="DA35" i="35"/>
  <c r="CY40" i="35"/>
  <c r="CY37" i="35"/>
  <c r="CZ53" i="35"/>
  <c r="CY52" i="35"/>
  <c r="DA52" i="35"/>
  <c r="CY53" i="35"/>
  <c r="DA39" i="35"/>
  <c r="CY28" i="35"/>
  <c r="CY56" i="35"/>
  <c r="CY33" i="35"/>
  <c r="DA32" i="35"/>
  <c r="DA30" i="35"/>
  <c r="DA56" i="35"/>
  <c r="CY41" i="35"/>
  <c r="CY32" i="35"/>
  <c r="CZ32" i="35" s="1"/>
  <c r="DA50" i="35"/>
  <c r="DA45" i="35"/>
  <c r="DA38" i="35"/>
  <c r="CY29" i="35"/>
  <c r="CY45" i="35"/>
  <c r="CY42" i="35"/>
  <c r="DA29" i="35"/>
  <c r="DA55" i="35"/>
  <c r="CZ51" i="35"/>
  <c r="CY34" i="35"/>
  <c r="CY50" i="35"/>
  <c r="CZ50" i="35" s="1"/>
  <c r="CY30" i="35"/>
  <c r="DA34" i="35"/>
  <c r="CZ34" i="35" s="1"/>
  <c r="DA48" i="35"/>
  <c r="CY27" i="35"/>
  <c r="CY35" i="35"/>
  <c r="CY43" i="35"/>
  <c r="CY51" i="35"/>
  <c r="CY38" i="35"/>
  <c r="DA36" i="35"/>
  <c r="DA27" i="35"/>
  <c r="DA37" i="35"/>
  <c r="DA51" i="35"/>
  <c r="CZ43" i="35"/>
  <c r="CZ55" i="35"/>
  <c r="CY46" i="35"/>
  <c r="CZ46" i="35" s="1"/>
  <c r="CY54" i="35"/>
  <c r="CY44" i="35"/>
  <c r="DA42" i="35"/>
  <c r="DA54" i="35"/>
  <c r="CY31" i="35"/>
  <c r="CY39" i="35"/>
  <c r="CY47" i="35"/>
  <c r="CY55" i="35"/>
  <c r="DA28" i="35"/>
  <c r="DA44" i="35"/>
  <c r="CZ44" i="35" s="1"/>
  <c r="DA31" i="35"/>
  <c r="DA43" i="35"/>
  <c r="DA53" i="35"/>
  <c r="DA47" i="35"/>
  <c r="DA33" i="35"/>
  <c r="DA41" i="35"/>
  <c r="CD24" i="35"/>
  <c r="I18" i="63"/>
  <c r="CD27" i="35"/>
  <c r="CZ37" i="35" l="1"/>
  <c r="CZ35" i="35"/>
  <c r="CZ28" i="35"/>
  <c r="CZ33" i="35"/>
  <c r="CZ36" i="35"/>
  <c r="CZ39" i="35"/>
  <c r="CZ40" i="35"/>
  <c r="CZ42" i="35"/>
  <c r="CZ48" i="35"/>
  <c r="CZ31" i="35"/>
  <c r="CZ27" i="35"/>
  <c r="CN41" i="35"/>
  <c r="CN32" i="35"/>
  <c r="CZ45" i="35"/>
  <c r="CZ30" i="35"/>
  <c r="CL46" i="35"/>
  <c r="CL48" i="35"/>
  <c r="CN48" i="35"/>
  <c r="CL31" i="35"/>
  <c r="CZ41" i="35"/>
  <c r="CZ29" i="35"/>
  <c r="CZ47" i="35"/>
  <c r="CA2" i="35"/>
  <c r="CL47" i="35"/>
  <c r="CM43" i="35"/>
  <c r="CZ38" i="35"/>
  <c r="CL27" i="35"/>
  <c r="CN50" i="35"/>
  <c r="CL55" i="35"/>
  <c r="CN33" i="35"/>
  <c r="CL44" i="35"/>
  <c r="CL39" i="35"/>
  <c r="CN34" i="35"/>
  <c r="CN49" i="35"/>
  <c r="CL50" i="35"/>
  <c r="CN54" i="35"/>
  <c r="CL49" i="35"/>
  <c r="CN38" i="35"/>
  <c r="CN43" i="35"/>
  <c r="CI2" i="35"/>
  <c r="CL34" i="35"/>
  <c r="CN56" i="35"/>
  <c r="CN27" i="35"/>
  <c r="CL38" i="35"/>
  <c r="CL40" i="35"/>
  <c r="CN28" i="35"/>
  <c r="CN46" i="35"/>
  <c r="CL29" i="35"/>
  <c r="CL37" i="35"/>
  <c r="CL45" i="35"/>
  <c r="CL53" i="35"/>
  <c r="CL42" i="35"/>
  <c r="CN30" i="35"/>
  <c r="CN44" i="35"/>
  <c r="CN31" i="35"/>
  <c r="CN39" i="35"/>
  <c r="CM39" i="35" s="1"/>
  <c r="CN47" i="35"/>
  <c r="CN55" i="35"/>
  <c r="CN36" i="35"/>
  <c r="CL41" i="35"/>
  <c r="CL52" i="35"/>
  <c r="CN35" i="35"/>
  <c r="CN51" i="35"/>
  <c r="CL30" i="35"/>
  <c r="CL33" i="35"/>
  <c r="CL28" i="35"/>
  <c r="CN52" i="35"/>
  <c r="CL32" i="35"/>
  <c r="CL54" i="35"/>
  <c r="CN42" i="35"/>
  <c r="CL35" i="35"/>
  <c r="CL43" i="35"/>
  <c r="CL51" i="35"/>
  <c r="CL36" i="35"/>
  <c r="CL56" i="35"/>
  <c r="CN40" i="35"/>
  <c r="CN29" i="35"/>
  <c r="CN37" i="35"/>
  <c r="CN45" i="35"/>
  <c r="CM45" i="35" s="1"/>
  <c r="CN53" i="35"/>
  <c r="CJ27" i="35"/>
  <c r="CG27" i="35"/>
  <c r="CD2" i="35"/>
  <c r="R7" i="77"/>
  <c r="R6" i="77"/>
  <c r="R5" i="77"/>
  <c r="R4" i="77"/>
  <c r="CM33" i="35" l="1"/>
  <c r="CM38" i="35"/>
  <c r="Q6" i="76"/>
  <c r="Q5" i="76"/>
  <c r="Q7" i="76"/>
  <c r="Q4" i="76"/>
  <c r="CM35" i="35"/>
  <c r="CM34" i="35"/>
  <c r="P7" i="72"/>
  <c r="P5" i="72"/>
  <c r="P6" i="72"/>
  <c r="CM31" i="35"/>
  <c r="B65" i="21"/>
  <c r="A18" i="5"/>
  <c r="P4" i="72"/>
  <c r="CM37" i="35"/>
  <c r="CM29" i="35"/>
  <c r="CM53" i="35"/>
  <c r="CM36" i="35"/>
  <c r="CM32" i="35"/>
  <c r="CM41" i="35"/>
  <c r="CM48" i="35"/>
  <c r="CM50" i="35"/>
  <c r="CM51" i="35"/>
  <c r="CM47" i="35"/>
  <c r="CM46" i="35"/>
  <c r="CM49" i="35"/>
  <c r="L6" i="67"/>
  <c r="M6" i="68"/>
  <c r="L7" i="67"/>
  <c r="M7" i="68"/>
  <c r="CM52" i="35"/>
  <c r="CM55" i="35"/>
  <c r="CM44" i="35"/>
  <c r="CM28" i="35"/>
  <c r="L4" i="67"/>
  <c r="M4" i="68"/>
  <c r="CM30" i="35"/>
  <c r="L5" i="67"/>
  <c r="M5" i="68"/>
  <c r="CM27" i="35"/>
  <c r="CM40" i="35"/>
  <c r="M4" i="65"/>
  <c r="I4" i="66"/>
  <c r="CM42" i="35"/>
  <c r="CM54" i="35"/>
  <c r="M5" i="65"/>
  <c r="I5" i="66"/>
  <c r="M6" i="65"/>
  <c r="I6" i="66"/>
  <c r="M7" i="65"/>
  <c r="I7" i="66"/>
  <c r="CM56" i="35"/>
  <c r="P4" i="63"/>
  <c r="J4" i="62"/>
  <c r="P6" i="63"/>
  <c r="J6" i="62"/>
  <c r="P5" i="63"/>
  <c r="J5" i="62"/>
  <c r="P7" i="63"/>
  <c r="J7" i="62"/>
  <c r="T7" i="54"/>
  <c r="J8" i="57"/>
  <c r="P8" i="55"/>
  <c r="T4" i="54"/>
  <c r="P5" i="55"/>
  <c r="J5" i="57"/>
  <c r="T5" i="54"/>
  <c r="P6" i="55"/>
  <c r="J6" i="57"/>
  <c r="T6" i="54"/>
  <c r="J7" i="57"/>
  <c r="P7" i="55"/>
  <c r="K9" i="52"/>
  <c r="K11" i="52"/>
  <c r="K10" i="52"/>
  <c r="K12" i="52"/>
  <c r="V9" i="46"/>
  <c r="T4" i="47"/>
  <c r="V10" i="46"/>
  <c r="T5" i="47"/>
  <c r="T6" i="47"/>
  <c r="V11" i="46"/>
  <c r="V12" i="46"/>
  <c r="T7" i="47"/>
  <c r="N9" i="35"/>
  <c r="N10" i="35"/>
  <c r="N12" i="35"/>
  <c r="N11" i="35"/>
  <c r="K6" i="43"/>
  <c r="K6" i="18"/>
  <c r="K6" i="17"/>
  <c r="K4" i="43"/>
  <c r="K4" i="18"/>
  <c r="K4" i="17"/>
  <c r="K5" i="43"/>
  <c r="K5" i="18"/>
  <c r="K5" i="17"/>
  <c r="K7" i="43"/>
  <c r="K7" i="18"/>
  <c r="K7" i="17"/>
  <c r="M4" i="40"/>
  <c r="S4" i="16"/>
  <c r="L4" i="15"/>
  <c r="V9" i="35"/>
  <c r="M5" i="40"/>
  <c r="V10" i="35"/>
  <c r="S5" i="16"/>
  <c r="L5" i="15"/>
  <c r="M6" i="40"/>
  <c r="V11" i="35"/>
  <c r="S6" i="16"/>
  <c r="L6" i="15"/>
  <c r="M7" i="40"/>
  <c r="S7" i="16"/>
  <c r="L7" i="15"/>
  <c r="O12" i="35"/>
  <c r="CH2" i="35"/>
  <c r="CL2" i="35"/>
  <c r="CG2" i="35"/>
  <c r="J5" i="21"/>
  <c r="T4" i="11"/>
  <c r="L4" i="5"/>
  <c r="H4" i="6"/>
  <c r="L4" i="39"/>
  <c r="J6" i="21"/>
  <c r="T5" i="11"/>
  <c r="L5" i="5"/>
  <c r="H5" i="6"/>
  <c r="L5" i="39"/>
  <c r="J7" i="21"/>
  <c r="T6" i="11"/>
  <c r="L6" i="5"/>
  <c r="H6" i="6"/>
  <c r="L6" i="39"/>
  <c r="J8" i="21"/>
  <c r="T7" i="11"/>
  <c r="L7" i="5"/>
  <c r="H7" i="6"/>
  <c r="L7" i="39"/>
  <c r="M68" i="40"/>
  <c r="D156" i="16" l="1"/>
  <c r="C286" i="77"/>
  <c r="B390" i="68"/>
  <c r="B326" i="68"/>
  <c r="B262" i="68"/>
  <c r="B198" i="68"/>
  <c r="B134" i="68"/>
  <c r="B70" i="68"/>
  <c r="B198" i="55"/>
  <c r="B57" i="62"/>
  <c r="A61" i="66"/>
  <c r="A71" i="65"/>
  <c r="C397" i="63"/>
  <c r="C402" i="72"/>
  <c r="A71" i="67"/>
  <c r="CM2" i="35"/>
  <c r="CJ2" i="35"/>
  <c r="CK2" i="35"/>
  <c r="CN2" i="35"/>
  <c r="L57" i="40"/>
  <c r="J57" i="40"/>
  <c r="L56" i="40"/>
  <c r="J56" i="40"/>
  <c r="J55" i="40"/>
  <c r="L55" i="40" s="1"/>
  <c r="A61" i="39"/>
  <c r="G50" i="39"/>
  <c r="C15" i="39"/>
  <c r="C14" i="39"/>
  <c r="C13" i="39"/>
  <c r="C12" i="39"/>
  <c r="J58" i="40" l="1"/>
  <c r="J59" i="40" s="1"/>
  <c r="L58" i="40"/>
  <c r="L59" i="40" s="1"/>
  <c r="J1" i="21"/>
  <c r="C56" i="21" s="1"/>
  <c r="AB21" i="77" s="1"/>
  <c r="I1" i="21"/>
  <c r="H1" i="21"/>
  <c r="C174" i="11" a="1"/>
  <c r="C174" i="11" s="1"/>
  <c r="C173" i="11" a="1"/>
  <c r="C173" i="11" s="1"/>
  <c r="Y173" i="11" s="1"/>
  <c r="H173" i="11" s="1"/>
  <c r="I177" i="63" s="1"/>
  <c r="C172" i="11" a="1"/>
  <c r="C172" i="11" s="1"/>
  <c r="C171" i="11" a="1"/>
  <c r="C171" i="11" s="1"/>
  <c r="C170" i="11" a="1"/>
  <c r="C170" i="11" s="1"/>
  <c r="C169" i="11" a="1"/>
  <c r="C169" i="11" s="1"/>
  <c r="C168" i="11" a="1"/>
  <c r="C168" i="11" s="1"/>
  <c r="C167" i="11" a="1"/>
  <c r="C167" i="11" s="1"/>
  <c r="C166" i="11" a="1"/>
  <c r="C166" i="11" s="1"/>
  <c r="C165" i="11" a="1"/>
  <c r="C165" i="11" s="1"/>
  <c r="D114" i="77" l="1"/>
  <c r="K203" i="77" s="1"/>
  <c r="AB24" i="77"/>
  <c r="E57" i="21"/>
  <c r="E164" i="55" s="1"/>
  <c r="D56" i="21"/>
  <c r="D163" i="55" s="1"/>
  <c r="Y172" i="11"/>
  <c r="H172" i="11" s="1"/>
  <c r="I176" i="63" s="1"/>
  <c r="Y169" i="11"/>
  <c r="H169" i="11" s="1"/>
  <c r="I173" i="63" s="1"/>
  <c r="Y168" i="11"/>
  <c r="H168" i="11" s="1"/>
  <c r="I172" i="63" s="1"/>
  <c r="Y166" i="11"/>
  <c r="H166" i="11" s="1"/>
  <c r="I170" i="63" s="1"/>
  <c r="Y170" i="11"/>
  <c r="H170" i="11" s="1"/>
  <c r="I174" i="63" s="1"/>
  <c r="Y174" i="11"/>
  <c r="H174" i="11" s="1"/>
  <c r="I178" i="63" s="1"/>
  <c r="Y165" i="11"/>
  <c r="H165" i="11" s="1"/>
  <c r="I169" i="63" s="1"/>
  <c r="Y167" i="11"/>
  <c r="H167" i="11" s="1"/>
  <c r="I171" i="63" s="1"/>
  <c r="Y171" i="11"/>
  <c r="H171" i="11" s="1"/>
  <c r="I175" i="63" s="1"/>
  <c r="F57" i="21"/>
  <c r="R24" i="16"/>
  <c r="R145" i="16" s="1"/>
  <c r="W172" i="11"/>
  <c r="F172" i="11" s="1"/>
  <c r="V172" i="11"/>
  <c r="E172" i="11" s="1"/>
  <c r="X172" i="11"/>
  <c r="G172" i="11" s="1"/>
  <c r="V169" i="11"/>
  <c r="E169" i="11" s="1"/>
  <c r="X169" i="11"/>
  <c r="G169" i="11" s="1"/>
  <c r="W169" i="11"/>
  <c r="F169" i="11" s="1"/>
  <c r="W166" i="11"/>
  <c r="F166" i="11" s="1"/>
  <c r="V166" i="11"/>
  <c r="E166" i="11" s="1"/>
  <c r="X166" i="11"/>
  <c r="G166" i="11" s="1"/>
  <c r="W170" i="11"/>
  <c r="F170" i="11" s="1"/>
  <c r="X170" i="11"/>
  <c r="G170" i="11" s="1"/>
  <c r="V170" i="11"/>
  <c r="E170" i="11" s="1"/>
  <c r="V174" i="11"/>
  <c r="E174" i="11" s="1"/>
  <c r="X174" i="11"/>
  <c r="G174" i="11" s="1"/>
  <c r="W174" i="11"/>
  <c r="F174" i="11" s="1"/>
  <c r="W168" i="11"/>
  <c r="F168" i="11" s="1"/>
  <c r="X168" i="11"/>
  <c r="G168" i="11" s="1"/>
  <c r="V168" i="11"/>
  <c r="E168" i="11" s="1"/>
  <c r="V165" i="11"/>
  <c r="E165" i="11" s="1"/>
  <c r="X165" i="11"/>
  <c r="G165" i="11" s="1"/>
  <c r="W165" i="11"/>
  <c r="F165" i="11" s="1"/>
  <c r="X173" i="11"/>
  <c r="G173" i="11" s="1"/>
  <c r="V173" i="11"/>
  <c r="E173" i="11" s="1"/>
  <c r="W173" i="11"/>
  <c r="F173" i="11" s="1"/>
  <c r="X167" i="11"/>
  <c r="G167" i="11" s="1"/>
  <c r="V167" i="11"/>
  <c r="E167" i="11" s="1"/>
  <c r="W167" i="11"/>
  <c r="F167" i="11" s="1"/>
  <c r="X171" i="11"/>
  <c r="G171" i="11" s="1"/>
  <c r="V171" i="11"/>
  <c r="E171" i="11" s="1"/>
  <c r="W171" i="11"/>
  <c r="F171" i="11" s="1"/>
  <c r="G138" i="55"/>
  <c r="G112" i="55"/>
  <c r="BE168" i="11"/>
  <c r="L168" i="11" s="1"/>
  <c r="BD168" i="11"/>
  <c r="K168" i="11" s="1"/>
  <c r="Z168" i="11"/>
  <c r="N168" i="11" s="1"/>
  <c r="BB168" i="11"/>
  <c r="I168" i="11" s="1"/>
  <c r="BC168" i="11"/>
  <c r="J168" i="11" s="1"/>
  <c r="BE172" i="11"/>
  <c r="L172" i="11" s="1"/>
  <c r="BD172" i="11"/>
  <c r="K172" i="11" s="1"/>
  <c r="Z172" i="11"/>
  <c r="N172" i="11" s="1"/>
  <c r="BB172" i="11"/>
  <c r="I172" i="11" s="1"/>
  <c r="BC172" i="11"/>
  <c r="J172" i="11" s="1"/>
  <c r="BE169" i="11"/>
  <c r="L169" i="11" s="1"/>
  <c r="BD169" i="11"/>
  <c r="K169" i="11" s="1"/>
  <c r="Z169" i="11"/>
  <c r="N169" i="11" s="1"/>
  <c r="BC169" i="11"/>
  <c r="J169" i="11" s="1"/>
  <c r="BB169" i="11"/>
  <c r="I169" i="11" s="1"/>
  <c r="BE166" i="11"/>
  <c r="L166" i="11" s="1"/>
  <c r="BD166" i="11"/>
  <c r="K166" i="11" s="1"/>
  <c r="Z166" i="11"/>
  <c r="N166" i="11" s="1"/>
  <c r="BB166" i="11"/>
  <c r="I166" i="11" s="1"/>
  <c r="BC166" i="11"/>
  <c r="J166" i="11" s="1"/>
  <c r="BE170" i="11"/>
  <c r="L170" i="11" s="1"/>
  <c r="BD170" i="11"/>
  <c r="K170" i="11" s="1"/>
  <c r="Z170" i="11"/>
  <c r="N170" i="11" s="1"/>
  <c r="BB170" i="11"/>
  <c r="I170" i="11" s="1"/>
  <c r="BC170" i="11"/>
  <c r="J170" i="11" s="1"/>
  <c r="BE174" i="11"/>
  <c r="L174" i="11" s="1"/>
  <c r="BD174" i="11"/>
  <c r="K174" i="11" s="1"/>
  <c r="Z174" i="11"/>
  <c r="N174" i="11" s="1"/>
  <c r="BB174" i="11"/>
  <c r="I174" i="11" s="1"/>
  <c r="BC174" i="11"/>
  <c r="J174" i="11" s="1"/>
  <c r="BE165" i="11"/>
  <c r="L165" i="11" s="1"/>
  <c r="BD165" i="11"/>
  <c r="K165" i="11" s="1"/>
  <c r="Z165" i="11"/>
  <c r="N165" i="11" s="1"/>
  <c r="BC165" i="11"/>
  <c r="J165" i="11" s="1"/>
  <c r="BB165" i="11"/>
  <c r="I165" i="11" s="1"/>
  <c r="BE173" i="11"/>
  <c r="L173" i="11" s="1"/>
  <c r="BD173" i="11"/>
  <c r="K173" i="11" s="1"/>
  <c r="Z173" i="11"/>
  <c r="N173" i="11" s="1"/>
  <c r="BC173" i="11"/>
  <c r="J173" i="11" s="1"/>
  <c r="BB173" i="11"/>
  <c r="I173" i="11" s="1"/>
  <c r="BE167" i="11"/>
  <c r="L167" i="11" s="1"/>
  <c r="BD167" i="11"/>
  <c r="K167" i="11" s="1"/>
  <c r="Z167" i="11"/>
  <c r="N167" i="11" s="1"/>
  <c r="BC167" i="11"/>
  <c r="J167" i="11" s="1"/>
  <c r="BB167" i="11"/>
  <c r="I167" i="11" s="1"/>
  <c r="BE171" i="11"/>
  <c r="L171" i="11" s="1"/>
  <c r="BD171" i="11"/>
  <c r="K171" i="11" s="1"/>
  <c r="Z171" i="11"/>
  <c r="N171" i="11" s="1"/>
  <c r="BC171" i="11"/>
  <c r="J171" i="11" s="1"/>
  <c r="BB171" i="11"/>
  <c r="I171" i="11" s="1"/>
  <c r="C172" i="63"/>
  <c r="C169" i="63"/>
  <c r="C173" i="63"/>
  <c r="C177" i="63"/>
  <c r="C170" i="63"/>
  <c r="C174" i="63"/>
  <c r="C178" i="63"/>
  <c r="C176" i="63"/>
  <c r="C171" i="63"/>
  <c r="C175" i="63"/>
  <c r="C351" i="11"/>
  <c r="C342" i="11"/>
  <c r="I21" i="21"/>
  <c r="M17" i="21" s="1"/>
  <c r="J21" i="21"/>
  <c r="H21" i="21"/>
  <c r="E113" i="47"/>
  <c r="E113" i="54"/>
  <c r="E136" i="47"/>
  <c r="E136" i="54"/>
  <c r="E90" i="47"/>
  <c r="E90" i="54"/>
  <c r="E113" i="11"/>
  <c r="E136" i="11"/>
  <c r="E90" i="11"/>
  <c r="K24" i="5"/>
  <c r="F31" i="6"/>
  <c r="L24" i="5"/>
  <c r="G31" i="6"/>
  <c r="J24" i="5"/>
  <c r="E31" i="6"/>
  <c r="J7" i="37"/>
  <c r="J8" i="37" s="1"/>
  <c r="K7" i="37"/>
  <c r="K8" i="37" s="1"/>
  <c r="I7" i="37"/>
  <c r="I8" i="37" s="1"/>
  <c r="C346" i="11"/>
  <c r="C344" i="11"/>
  <c r="C347" i="11"/>
  <c r="C350" i="11"/>
  <c r="C343" i="11"/>
  <c r="C345" i="11"/>
  <c r="C348" i="11"/>
  <c r="C349" i="11"/>
  <c r="A168" i="11"/>
  <c r="A171" i="11"/>
  <c r="D167" i="11"/>
  <c r="A167" i="11"/>
  <c r="D165" i="11"/>
  <c r="A165" i="11"/>
  <c r="A166" i="11"/>
  <c r="D168" i="11"/>
  <c r="A172" i="11"/>
  <c r="D166" i="11"/>
  <c r="A170" i="11"/>
  <c r="A174" i="11"/>
  <c r="D170" i="11"/>
  <c r="D171" i="11"/>
  <c r="D174" i="11"/>
  <c r="A169" i="11"/>
  <c r="D169" i="11"/>
  <c r="D172" i="11"/>
  <c r="D173" i="11"/>
  <c r="A173" i="11"/>
  <c r="T15" i="11"/>
  <c r="T13" i="11"/>
  <c r="T12" i="11"/>
  <c r="S15" i="11"/>
  <c r="S13" i="11"/>
  <c r="S12" i="11"/>
  <c r="G164" i="55" l="1"/>
  <c r="I359" i="68"/>
  <c r="D169" i="55"/>
  <c r="D176" i="55"/>
  <c r="O168" i="11"/>
  <c r="O170" i="11"/>
  <c r="O166" i="11"/>
  <c r="O174" i="11"/>
  <c r="O167" i="11"/>
  <c r="O172" i="11"/>
  <c r="Y349" i="11"/>
  <c r="H349" i="11" s="1"/>
  <c r="I355" i="63" s="1"/>
  <c r="M349" i="11"/>
  <c r="S349" i="11" s="1"/>
  <c r="Y350" i="11"/>
  <c r="H350" i="11" s="1"/>
  <c r="I356" i="63" s="1"/>
  <c r="M350" i="11"/>
  <c r="Y348" i="11"/>
  <c r="H348" i="11" s="1"/>
  <c r="I354" i="63" s="1"/>
  <c r="M348" i="11"/>
  <c r="S348" i="11" s="1"/>
  <c r="O165" i="11"/>
  <c r="O169" i="11"/>
  <c r="Y347" i="11"/>
  <c r="H347" i="11" s="1"/>
  <c r="I353" i="63" s="1"/>
  <c r="M347" i="11"/>
  <c r="S347" i="11" s="1"/>
  <c r="Y342" i="11"/>
  <c r="H342" i="11" s="1"/>
  <c r="I348" i="63" s="1"/>
  <c r="M342" i="11"/>
  <c r="S342" i="11" s="1"/>
  <c r="Y345" i="11"/>
  <c r="H345" i="11" s="1"/>
  <c r="I351" i="63" s="1"/>
  <c r="M345" i="11"/>
  <c r="S345" i="11" s="1"/>
  <c r="Y344" i="11"/>
  <c r="H344" i="11" s="1"/>
  <c r="I350" i="63" s="1"/>
  <c r="M344" i="11"/>
  <c r="S344" i="11" s="1"/>
  <c r="Y343" i="11"/>
  <c r="H343" i="11" s="1"/>
  <c r="I349" i="63" s="1"/>
  <c r="M343" i="11"/>
  <c r="S343" i="11" s="1"/>
  <c r="Y346" i="11"/>
  <c r="H346" i="11" s="1"/>
  <c r="I352" i="63" s="1"/>
  <c r="M346" i="11"/>
  <c r="S346" i="11" s="1"/>
  <c r="Y351" i="11"/>
  <c r="H351" i="11" s="1"/>
  <c r="I357" i="63" s="1"/>
  <c r="M351" i="11"/>
  <c r="O171" i="11"/>
  <c r="O173" i="11"/>
  <c r="R65" i="16"/>
  <c r="R23" i="16"/>
  <c r="F176" i="63"/>
  <c r="F172" i="63"/>
  <c r="F174" i="63"/>
  <c r="X349" i="11"/>
  <c r="G349" i="11" s="1"/>
  <c r="W349" i="11"/>
  <c r="F349" i="11" s="1"/>
  <c r="X350" i="11"/>
  <c r="G350" i="11" s="1"/>
  <c r="W350" i="11"/>
  <c r="F350" i="11" s="1"/>
  <c r="X345" i="11"/>
  <c r="G345" i="11" s="1"/>
  <c r="W345" i="11"/>
  <c r="F345" i="11" s="1"/>
  <c r="X344" i="11"/>
  <c r="G344" i="11" s="1"/>
  <c r="W344" i="11"/>
  <c r="F344" i="11" s="1"/>
  <c r="X348" i="11"/>
  <c r="G348" i="11" s="1"/>
  <c r="W348" i="11"/>
  <c r="F348" i="11" s="1"/>
  <c r="X347" i="11"/>
  <c r="G347" i="11" s="1"/>
  <c r="W347" i="11"/>
  <c r="F347" i="11" s="1"/>
  <c r="X342" i="11"/>
  <c r="G342" i="11" s="1"/>
  <c r="W342" i="11"/>
  <c r="F342" i="11" s="1"/>
  <c r="X343" i="11"/>
  <c r="G343" i="11" s="1"/>
  <c r="W343" i="11"/>
  <c r="F343" i="11" s="1"/>
  <c r="X346" i="11"/>
  <c r="G346" i="11" s="1"/>
  <c r="W346" i="11"/>
  <c r="F346" i="11" s="1"/>
  <c r="X351" i="11"/>
  <c r="G351" i="11" s="1"/>
  <c r="W351" i="11"/>
  <c r="F351" i="11" s="1"/>
  <c r="C110" i="54" a="1"/>
  <c r="C110" i="54" s="1"/>
  <c r="M110" i="54" s="1"/>
  <c r="S110" i="54" s="1"/>
  <c r="C106" i="54" a="1"/>
  <c r="C106" i="54" s="1"/>
  <c r="M106" i="54" s="1"/>
  <c r="S106" i="54" s="1"/>
  <c r="C102" i="54" a="1"/>
  <c r="C102" i="54" s="1"/>
  <c r="M102" i="54" s="1"/>
  <c r="S102" i="54" s="1"/>
  <c r="C98" i="54" a="1"/>
  <c r="C98" i="54" s="1"/>
  <c r="M98" i="54" s="1"/>
  <c r="S98" i="54" s="1"/>
  <c r="C94" i="54" a="1"/>
  <c r="C94" i="54" s="1"/>
  <c r="M94" i="54" s="1"/>
  <c r="S94" i="54" s="1"/>
  <c r="C109" i="54" a="1"/>
  <c r="C109" i="54" s="1"/>
  <c r="M109" i="54" s="1"/>
  <c r="S109" i="54" s="1"/>
  <c r="C104" i="54" a="1"/>
  <c r="C104" i="54" s="1"/>
  <c r="M104" i="54" s="1"/>
  <c r="S104" i="54" s="1"/>
  <c r="C99" i="54" a="1"/>
  <c r="C99" i="54" s="1"/>
  <c r="M99" i="54" s="1"/>
  <c r="S99" i="54" s="1"/>
  <c r="C93" i="54" a="1"/>
  <c r="C93" i="54" s="1"/>
  <c r="M93" i="54" s="1"/>
  <c r="S93" i="54" s="1"/>
  <c r="C108" i="54" a="1"/>
  <c r="C108" i="54" s="1"/>
  <c r="M108" i="54" s="1"/>
  <c r="S108" i="54" s="1"/>
  <c r="C103" i="54" a="1"/>
  <c r="C103" i="54" s="1"/>
  <c r="M103" i="54" s="1"/>
  <c r="S103" i="54" s="1"/>
  <c r="C97" i="54" a="1"/>
  <c r="C97" i="54" s="1"/>
  <c r="M97" i="54" s="1"/>
  <c r="S97" i="54" s="1"/>
  <c r="C92" i="54" a="1"/>
  <c r="C92" i="54" s="1"/>
  <c r="M92" i="54" s="1"/>
  <c r="S92" i="54" s="1"/>
  <c r="C100" i="54" a="1"/>
  <c r="C100" i="54" s="1"/>
  <c r="M100" i="54" s="1"/>
  <c r="S100" i="54" s="1"/>
  <c r="C105" i="54" a="1"/>
  <c r="C105" i="54" s="1"/>
  <c r="M105" i="54" s="1"/>
  <c r="S105" i="54" s="1"/>
  <c r="C101" i="54" a="1"/>
  <c r="C101" i="54" s="1"/>
  <c r="M101" i="54" s="1"/>
  <c r="S101" i="54" s="1"/>
  <c r="C107" i="54" a="1"/>
  <c r="C107" i="54" s="1"/>
  <c r="M107" i="54" s="1"/>
  <c r="S107" i="54" s="1"/>
  <c r="C96" i="54" a="1"/>
  <c r="C96" i="54" s="1"/>
  <c r="M96" i="54" s="1"/>
  <c r="S96" i="54" s="1"/>
  <c r="C95" i="54" a="1"/>
  <c r="C95" i="54" s="1"/>
  <c r="M95" i="54" s="1"/>
  <c r="S95" i="54" s="1"/>
  <c r="C91" i="54" a="1"/>
  <c r="C91" i="54" s="1"/>
  <c r="C133" i="54" a="1"/>
  <c r="C133" i="54" s="1"/>
  <c r="M133" i="54" s="1"/>
  <c r="S133" i="54" s="1"/>
  <c r="C129" i="54" a="1"/>
  <c r="C129" i="54" s="1"/>
  <c r="M129" i="54" s="1"/>
  <c r="S129" i="54" s="1"/>
  <c r="C125" i="54" a="1"/>
  <c r="C125" i="54" s="1"/>
  <c r="M125" i="54" s="1"/>
  <c r="S125" i="54" s="1"/>
  <c r="C121" i="54" a="1"/>
  <c r="C121" i="54" s="1"/>
  <c r="M121" i="54" s="1"/>
  <c r="S121" i="54" s="1"/>
  <c r="C117" i="54" a="1"/>
  <c r="C117" i="54" s="1"/>
  <c r="M117" i="54" s="1"/>
  <c r="S117" i="54" s="1"/>
  <c r="C131" i="54" a="1"/>
  <c r="C131" i="54" s="1"/>
  <c r="M131" i="54" s="1"/>
  <c r="S131" i="54" s="1"/>
  <c r="C126" i="54" a="1"/>
  <c r="C126" i="54" s="1"/>
  <c r="M126" i="54" s="1"/>
  <c r="S126" i="54" s="1"/>
  <c r="C120" i="54" a="1"/>
  <c r="C120" i="54" s="1"/>
  <c r="M120" i="54" s="1"/>
  <c r="S120" i="54" s="1"/>
  <c r="C115" i="54" a="1"/>
  <c r="C115" i="54" s="1"/>
  <c r="M115" i="54" s="1"/>
  <c r="S115" i="54" s="1"/>
  <c r="C130" i="54" a="1"/>
  <c r="C130" i="54" s="1"/>
  <c r="M130" i="54" s="1"/>
  <c r="S130" i="54" s="1"/>
  <c r="C124" i="54" a="1"/>
  <c r="C124" i="54" s="1"/>
  <c r="M124" i="54" s="1"/>
  <c r="S124" i="54" s="1"/>
  <c r="C119" i="54" a="1"/>
  <c r="C119" i="54" s="1"/>
  <c r="M119" i="54" s="1"/>
  <c r="S119" i="54" s="1"/>
  <c r="C114" i="54" a="1"/>
  <c r="C114" i="54" s="1"/>
  <c r="C132" i="54" a="1"/>
  <c r="C132" i="54" s="1"/>
  <c r="M132" i="54" s="1"/>
  <c r="S132" i="54" s="1"/>
  <c r="C122" i="54" a="1"/>
  <c r="C122" i="54" s="1"/>
  <c r="M122" i="54" s="1"/>
  <c r="S122" i="54" s="1"/>
  <c r="C127" i="54" a="1"/>
  <c r="C127" i="54" s="1"/>
  <c r="M127" i="54" s="1"/>
  <c r="S127" i="54" s="1"/>
  <c r="C123" i="54" a="1"/>
  <c r="C123" i="54" s="1"/>
  <c r="M123" i="54" s="1"/>
  <c r="S123" i="54" s="1"/>
  <c r="C128" i="54" a="1"/>
  <c r="C128" i="54" s="1"/>
  <c r="M128" i="54" s="1"/>
  <c r="S128" i="54" s="1"/>
  <c r="C118" i="54" a="1"/>
  <c r="C118" i="54" s="1"/>
  <c r="M118" i="54" s="1"/>
  <c r="S118" i="54" s="1"/>
  <c r="C116" i="54" a="1"/>
  <c r="C116" i="54" s="1"/>
  <c r="M116" i="54" s="1"/>
  <c r="S116" i="54" s="1"/>
  <c r="C110" i="11" a="1"/>
  <c r="C110" i="11" s="1"/>
  <c r="C106" i="11" a="1"/>
  <c r="C106" i="11" s="1"/>
  <c r="C102" i="11" a="1"/>
  <c r="C102" i="11" s="1"/>
  <c r="C98" i="11" a="1"/>
  <c r="C98" i="11" s="1"/>
  <c r="C94" i="11" a="1"/>
  <c r="C94" i="11" s="1"/>
  <c r="C107" i="11" a="1"/>
  <c r="C107" i="11" s="1"/>
  <c r="C101" i="11" a="1"/>
  <c r="C101" i="11" s="1"/>
  <c r="C96" i="11" a="1"/>
  <c r="C96" i="11" s="1"/>
  <c r="C91" i="11" a="1"/>
  <c r="C91" i="11" s="1"/>
  <c r="C105" i="11" a="1"/>
  <c r="C105" i="11" s="1"/>
  <c r="C100" i="11" a="1"/>
  <c r="C100" i="11" s="1"/>
  <c r="C95" i="11" a="1"/>
  <c r="C95" i="11" s="1"/>
  <c r="C108" i="11" a="1"/>
  <c r="C108" i="11" s="1"/>
  <c r="C97" i="11" a="1"/>
  <c r="C97" i="11" s="1"/>
  <c r="C103" i="11" a="1"/>
  <c r="C103" i="11" s="1"/>
  <c r="C99" i="11" a="1"/>
  <c r="C99" i="11" s="1"/>
  <c r="C104" i="11" a="1"/>
  <c r="C104" i="11" s="1"/>
  <c r="C93" i="11" a="1"/>
  <c r="C93" i="11" s="1"/>
  <c r="C92" i="11" a="1"/>
  <c r="C92" i="11" s="1"/>
  <c r="C109" i="11" a="1"/>
  <c r="C109" i="11" s="1"/>
  <c r="G93" i="72"/>
  <c r="C108" i="47" a="1"/>
  <c r="C108" i="47" s="1"/>
  <c r="C104" i="47" a="1"/>
  <c r="C104" i="47" s="1"/>
  <c r="C100" i="47" a="1"/>
  <c r="C100" i="47" s="1"/>
  <c r="C96" i="47" a="1"/>
  <c r="C96" i="47" s="1"/>
  <c r="C92" i="47" a="1"/>
  <c r="C92" i="47" s="1"/>
  <c r="C109" i="47" a="1"/>
  <c r="C109" i="47" s="1"/>
  <c r="C103" i="47" a="1"/>
  <c r="C103" i="47" s="1"/>
  <c r="C98" i="47" a="1"/>
  <c r="C98" i="47" s="1"/>
  <c r="C93" i="47" a="1"/>
  <c r="C93" i="47" s="1"/>
  <c r="C107" i="47" a="1"/>
  <c r="C107" i="47" s="1"/>
  <c r="C102" i="47" a="1"/>
  <c r="C102" i="47" s="1"/>
  <c r="C97" i="47" a="1"/>
  <c r="C97" i="47" s="1"/>
  <c r="C91" i="47" a="1"/>
  <c r="C91" i="47" s="1"/>
  <c r="C106" i="47" a="1"/>
  <c r="C106" i="47" s="1"/>
  <c r="C101" i="47" a="1"/>
  <c r="C101" i="47" s="1"/>
  <c r="C95" i="47" a="1"/>
  <c r="C95" i="47" s="1"/>
  <c r="C94" i="47" a="1"/>
  <c r="C94" i="47" s="1"/>
  <c r="C110" i="47" a="1"/>
  <c r="C110" i="47" s="1"/>
  <c r="C105" i="47" a="1"/>
  <c r="C105" i="47" s="1"/>
  <c r="C99" i="47" a="1"/>
  <c r="C99" i="47" s="1"/>
  <c r="G116" i="72"/>
  <c r="C131" i="47" a="1"/>
  <c r="C131" i="47" s="1"/>
  <c r="C127" i="47" a="1"/>
  <c r="C127" i="47" s="1"/>
  <c r="C123" i="47" a="1"/>
  <c r="C123" i="47" s="1"/>
  <c r="C119" i="47" a="1"/>
  <c r="C119" i="47" s="1"/>
  <c r="C115" i="47" a="1"/>
  <c r="C115" i="47" s="1"/>
  <c r="C133" i="47" a="1"/>
  <c r="C133" i="47" s="1"/>
  <c r="C128" i="47" a="1"/>
  <c r="C128" i="47" s="1"/>
  <c r="C122" i="47" a="1"/>
  <c r="C122" i="47" s="1"/>
  <c r="C117" i="47" a="1"/>
  <c r="C117" i="47" s="1"/>
  <c r="C132" i="47" a="1"/>
  <c r="C132" i="47" s="1"/>
  <c r="C126" i="47" a="1"/>
  <c r="C126" i="47" s="1"/>
  <c r="C121" i="47" a="1"/>
  <c r="C121" i="47" s="1"/>
  <c r="C116" i="47" a="1"/>
  <c r="C116" i="47" s="1"/>
  <c r="C130" i="47" a="1"/>
  <c r="C130" i="47" s="1"/>
  <c r="C125" i="47" a="1"/>
  <c r="C125" i="47" s="1"/>
  <c r="C120" i="47" a="1"/>
  <c r="C120" i="47" s="1"/>
  <c r="C114" i="47" a="1"/>
  <c r="C114" i="47" s="1"/>
  <c r="C118" i="47" a="1"/>
  <c r="C118" i="47" s="1"/>
  <c r="C124" i="47" a="1"/>
  <c r="C124" i="47" s="1"/>
  <c r="C129" i="47" a="1"/>
  <c r="C129" i="47" s="1"/>
  <c r="C156" i="11" a="1"/>
  <c r="C156" i="11" s="1"/>
  <c r="C152" i="11" a="1"/>
  <c r="C152" i="11" s="1"/>
  <c r="C148" i="11" a="1"/>
  <c r="C148" i="11" s="1"/>
  <c r="C144" i="11" a="1"/>
  <c r="C144" i="11" s="1"/>
  <c r="C140" i="11" a="1"/>
  <c r="C140" i="11" s="1"/>
  <c r="C155" i="11" a="1"/>
  <c r="C155" i="11" s="1"/>
  <c r="C150" i="11" a="1"/>
  <c r="C150" i="11" s="1"/>
  <c r="C145" i="11" a="1"/>
  <c r="C145" i="11" s="1"/>
  <c r="C139" i="11" a="1"/>
  <c r="C139" i="11" s="1"/>
  <c r="C154" i="11" a="1"/>
  <c r="C154" i="11" s="1"/>
  <c r="C149" i="11" a="1"/>
  <c r="C149" i="11" s="1"/>
  <c r="C143" i="11" a="1"/>
  <c r="C143" i="11" s="1"/>
  <c r="C138" i="11" a="1"/>
  <c r="C138" i="11" s="1"/>
  <c r="C151" i="11" a="1"/>
  <c r="C151" i="11" s="1"/>
  <c r="C141" i="11" a="1"/>
  <c r="C141" i="11" s="1"/>
  <c r="C153" i="11" a="1"/>
  <c r="C153" i="11" s="1"/>
  <c r="C147" i="11" a="1"/>
  <c r="C147" i="11" s="1"/>
  <c r="C137" i="11" a="1"/>
  <c r="C137" i="11" s="1"/>
  <c r="C146" i="11" a="1"/>
  <c r="C146" i="11" s="1"/>
  <c r="C142" i="11" a="1"/>
  <c r="C142" i="11" s="1"/>
  <c r="C154" i="54" a="1"/>
  <c r="C154" i="54" s="1"/>
  <c r="M154" i="54" s="1"/>
  <c r="S154" i="54" s="1"/>
  <c r="C150" i="54" a="1"/>
  <c r="C150" i="54" s="1"/>
  <c r="M150" i="54" s="1"/>
  <c r="S150" i="54" s="1"/>
  <c r="C153" i="54" a="1"/>
  <c r="C153" i="54" s="1"/>
  <c r="M153" i="54" s="1"/>
  <c r="S153" i="54" s="1"/>
  <c r="C149" i="54" a="1"/>
  <c r="C149" i="54" s="1"/>
  <c r="M149" i="54" s="1"/>
  <c r="S149" i="54" s="1"/>
  <c r="C145" i="54" a="1"/>
  <c r="C145" i="54" s="1"/>
  <c r="M145" i="54" s="1"/>
  <c r="S145" i="54" s="1"/>
  <c r="C141" i="54" a="1"/>
  <c r="C141" i="54" s="1"/>
  <c r="C137" i="54" a="1"/>
  <c r="C137" i="54" s="1"/>
  <c r="C155" i="54" a="1"/>
  <c r="C155" i="54" s="1"/>
  <c r="M155" i="54" s="1"/>
  <c r="S155" i="54" s="1"/>
  <c r="C147" i="54" a="1"/>
  <c r="C147" i="54" s="1"/>
  <c r="M147" i="54" s="1"/>
  <c r="S147" i="54" s="1"/>
  <c r="C142" i="54" a="1"/>
  <c r="C142" i="54" s="1"/>
  <c r="C151" i="54" a="1"/>
  <c r="C151" i="54" s="1"/>
  <c r="M151" i="54" s="1"/>
  <c r="S151" i="54" s="1"/>
  <c r="C144" i="54" a="1"/>
  <c r="C144" i="54" s="1"/>
  <c r="C148" i="54" a="1"/>
  <c r="C148" i="54" s="1"/>
  <c r="M148" i="54" s="1"/>
  <c r="S148" i="54" s="1"/>
  <c r="C143" i="54" a="1"/>
  <c r="C143" i="54" s="1"/>
  <c r="C152" i="54" a="1"/>
  <c r="C152" i="54" s="1"/>
  <c r="M152" i="54" s="1"/>
  <c r="S152" i="54" s="1"/>
  <c r="C146" i="54" a="1"/>
  <c r="C146" i="54" s="1"/>
  <c r="M146" i="54" s="1"/>
  <c r="S146" i="54" s="1"/>
  <c r="C140" i="54" a="1"/>
  <c r="C140" i="54" s="1"/>
  <c r="C139" i="54" a="1"/>
  <c r="C139" i="54" s="1"/>
  <c r="C156" i="54" a="1"/>
  <c r="C156" i="54" s="1"/>
  <c r="M156" i="54" s="1"/>
  <c r="S156" i="54" s="1"/>
  <c r="C138" i="54" a="1"/>
  <c r="C138" i="54" s="1"/>
  <c r="C133" i="11" a="1"/>
  <c r="C133" i="11" s="1"/>
  <c r="C129" i="11" a="1"/>
  <c r="C129" i="11" s="1"/>
  <c r="C125" i="11" a="1"/>
  <c r="C125" i="11" s="1"/>
  <c r="C121" i="11" a="1"/>
  <c r="C121" i="11" s="1"/>
  <c r="C117" i="11" a="1"/>
  <c r="C117" i="11" s="1"/>
  <c r="C128" i="11" a="1"/>
  <c r="C128" i="11" s="1"/>
  <c r="C123" i="11" a="1"/>
  <c r="C123" i="11" s="1"/>
  <c r="C118" i="11" a="1"/>
  <c r="C118" i="11" s="1"/>
  <c r="C132" i="11" a="1"/>
  <c r="C132" i="11" s="1"/>
  <c r="C127" i="11" a="1"/>
  <c r="C127" i="11" s="1"/>
  <c r="C122" i="11" a="1"/>
  <c r="C122" i="11" s="1"/>
  <c r="C116" i="11" a="1"/>
  <c r="C116" i="11" s="1"/>
  <c r="C130" i="11" a="1"/>
  <c r="C130" i="11" s="1"/>
  <c r="C119" i="11" a="1"/>
  <c r="C119" i="11" s="1"/>
  <c r="C124" i="11" a="1"/>
  <c r="C124" i="11" s="1"/>
  <c r="C114" i="11" a="1"/>
  <c r="C114" i="11" s="1"/>
  <c r="C131" i="11" a="1"/>
  <c r="C131" i="11" s="1"/>
  <c r="C126" i="11" a="1"/>
  <c r="C126" i="11" s="1"/>
  <c r="C115" i="11" a="1"/>
  <c r="C115" i="11" s="1"/>
  <c r="C120" i="11" a="1"/>
  <c r="C120" i="11" s="1"/>
  <c r="C156" i="47" a="1"/>
  <c r="C156" i="47" s="1"/>
  <c r="C152" i="47" a="1"/>
  <c r="C152" i="47" s="1"/>
  <c r="C148" i="47" a="1"/>
  <c r="C148" i="47" s="1"/>
  <c r="C144" i="47" a="1"/>
  <c r="C144" i="47" s="1"/>
  <c r="C155" i="47" a="1"/>
  <c r="C155" i="47" s="1"/>
  <c r="C151" i="47" a="1"/>
  <c r="C151" i="47" s="1"/>
  <c r="C147" i="47" a="1"/>
  <c r="C147" i="47" s="1"/>
  <c r="C154" i="47" a="1"/>
  <c r="C154" i="47" s="1"/>
  <c r="C150" i="47" a="1"/>
  <c r="C150" i="47" s="1"/>
  <c r="C146" i="47" a="1"/>
  <c r="C146" i="47" s="1"/>
  <c r="C142" i="47" a="1"/>
  <c r="C142" i="47" s="1"/>
  <c r="C138" i="47" a="1"/>
  <c r="C138" i="47" s="1"/>
  <c r="C153" i="47" a="1"/>
  <c r="C153" i="47" s="1"/>
  <c r="C141" i="47" a="1"/>
  <c r="C141" i="47" s="1"/>
  <c r="C149" i="47" a="1"/>
  <c r="C149" i="47" s="1"/>
  <c r="C140" i="47" a="1"/>
  <c r="C140" i="47" s="1"/>
  <c r="C145" i="47" a="1"/>
  <c r="C145" i="47" s="1"/>
  <c r="C139" i="47" a="1"/>
  <c r="C139" i="47" s="1"/>
  <c r="C143" i="47" a="1"/>
  <c r="C143" i="47" s="1"/>
  <c r="C137" i="47" a="1"/>
  <c r="C137" i="47" s="1"/>
  <c r="M16" i="21"/>
  <c r="M18" i="21"/>
  <c r="E32" i="6"/>
  <c r="F32" i="6"/>
  <c r="J28" i="5"/>
  <c r="H23" i="21" s="1"/>
  <c r="K26" i="55" s="1"/>
  <c r="J26" i="5"/>
  <c r="J27" i="5"/>
  <c r="J25" i="5"/>
  <c r="G32" i="6"/>
  <c r="L27" i="5"/>
  <c r="L25" i="5"/>
  <c r="L28" i="5"/>
  <c r="J23" i="21" s="1"/>
  <c r="O26" i="55" s="1"/>
  <c r="L26" i="5"/>
  <c r="K27" i="5"/>
  <c r="K25" i="5"/>
  <c r="K28" i="5"/>
  <c r="I23" i="21" s="1"/>
  <c r="M26" i="55" s="1"/>
  <c r="K26" i="5"/>
  <c r="BD348" i="11"/>
  <c r="K348" i="11" s="1"/>
  <c r="BC348" i="11"/>
  <c r="J348" i="11" s="1"/>
  <c r="BB348" i="11"/>
  <c r="I348" i="11" s="1"/>
  <c r="BE348" i="11"/>
  <c r="L348" i="11" s="1"/>
  <c r="BD347" i="11"/>
  <c r="K347" i="11" s="1"/>
  <c r="BB347" i="11"/>
  <c r="I347" i="11" s="1"/>
  <c r="BE347" i="11"/>
  <c r="L347" i="11" s="1"/>
  <c r="BC347" i="11"/>
  <c r="J347" i="11" s="1"/>
  <c r="BD342" i="11"/>
  <c r="K342" i="11" s="1"/>
  <c r="BE342" i="11"/>
  <c r="L342" i="11" s="1"/>
  <c r="BC342" i="11"/>
  <c r="J342" i="11" s="1"/>
  <c r="BB342" i="11"/>
  <c r="I342" i="11" s="1"/>
  <c r="BD344" i="11"/>
  <c r="K344" i="11" s="1"/>
  <c r="BC344" i="11"/>
  <c r="J344" i="11" s="1"/>
  <c r="BE344" i="11"/>
  <c r="L344" i="11" s="1"/>
  <c r="BB344" i="11"/>
  <c r="I344" i="11" s="1"/>
  <c r="BD351" i="11"/>
  <c r="K351" i="11" s="1"/>
  <c r="BB351" i="11"/>
  <c r="I351" i="11" s="1"/>
  <c r="BE351" i="11"/>
  <c r="L351" i="11" s="1"/>
  <c r="BC351" i="11"/>
  <c r="J351" i="11" s="1"/>
  <c r="BD345" i="11"/>
  <c r="K345" i="11" s="1"/>
  <c r="BE345" i="11"/>
  <c r="L345" i="11" s="1"/>
  <c r="BB345" i="11"/>
  <c r="I345" i="11" s="1"/>
  <c r="BC345" i="11"/>
  <c r="J345" i="11" s="1"/>
  <c r="BD343" i="11"/>
  <c r="K343" i="11" s="1"/>
  <c r="BB343" i="11"/>
  <c r="I343" i="11" s="1"/>
  <c r="BE343" i="11"/>
  <c r="L343" i="11" s="1"/>
  <c r="BC343" i="11"/>
  <c r="J343" i="11" s="1"/>
  <c r="BD349" i="11"/>
  <c r="K349" i="11" s="1"/>
  <c r="BE349" i="11"/>
  <c r="L349" i="11" s="1"/>
  <c r="BC349" i="11"/>
  <c r="J349" i="11" s="1"/>
  <c r="BB349" i="11"/>
  <c r="I349" i="11" s="1"/>
  <c r="BD350" i="11"/>
  <c r="K350" i="11" s="1"/>
  <c r="BB350" i="11"/>
  <c r="I350" i="11" s="1"/>
  <c r="BE350" i="11"/>
  <c r="L350" i="11" s="1"/>
  <c r="BC350" i="11"/>
  <c r="J350" i="11" s="1"/>
  <c r="BD346" i="11"/>
  <c r="K346" i="11" s="1"/>
  <c r="BC346" i="11"/>
  <c r="J346" i="11" s="1"/>
  <c r="BB346" i="11"/>
  <c r="I346" i="11" s="1"/>
  <c r="BE346" i="11"/>
  <c r="L346" i="11" s="1"/>
  <c r="Z343" i="11"/>
  <c r="N343" i="11" s="1"/>
  <c r="Z349" i="11"/>
  <c r="N349" i="11" s="1"/>
  <c r="Z346" i="11"/>
  <c r="N346" i="11" s="1"/>
  <c r="Z345" i="11"/>
  <c r="N345" i="11" s="1"/>
  <c r="Z344" i="11"/>
  <c r="N344" i="11" s="1"/>
  <c r="Z350" i="11"/>
  <c r="N350" i="11" s="1"/>
  <c r="Z351" i="11"/>
  <c r="N351" i="11" s="1"/>
  <c r="Z348" i="11"/>
  <c r="N348" i="11" s="1"/>
  <c r="Z347" i="11"/>
  <c r="N347" i="11" s="1"/>
  <c r="Z342" i="11"/>
  <c r="N342" i="11" s="1"/>
  <c r="E313" i="47"/>
  <c r="G318" i="72" s="1"/>
  <c r="G139" i="72"/>
  <c r="K169" i="63"/>
  <c r="H178" i="63"/>
  <c r="K176" i="63"/>
  <c r="H175" i="63"/>
  <c r="L171" i="63"/>
  <c r="E177" i="63"/>
  <c r="J169" i="63"/>
  <c r="E169" i="63"/>
  <c r="J172" i="63"/>
  <c r="J178" i="63"/>
  <c r="L178" i="63"/>
  <c r="K174" i="63"/>
  <c r="J170" i="63"/>
  <c r="L173" i="63"/>
  <c r="E176" i="63"/>
  <c r="G93" i="63"/>
  <c r="L175" i="63"/>
  <c r="J177" i="63"/>
  <c r="H169" i="63"/>
  <c r="L172" i="63"/>
  <c r="E178" i="63"/>
  <c r="L170" i="63"/>
  <c r="E173" i="63"/>
  <c r="C349" i="63"/>
  <c r="C350" i="63"/>
  <c r="G139" i="63"/>
  <c r="K175" i="63"/>
  <c r="C355" i="63"/>
  <c r="C356" i="63"/>
  <c r="C352" i="63"/>
  <c r="G116" i="63"/>
  <c r="J175" i="63"/>
  <c r="E175" i="63"/>
  <c r="H171" i="63"/>
  <c r="K171" i="63"/>
  <c r="L177" i="63"/>
  <c r="L169" i="63"/>
  <c r="K172" i="63"/>
  <c r="F178" i="63"/>
  <c r="C357" i="63"/>
  <c r="E174" i="63"/>
  <c r="K170" i="63"/>
  <c r="H173" i="63"/>
  <c r="H176" i="63"/>
  <c r="L176" i="63"/>
  <c r="C351" i="63"/>
  <c r="K177" i="63"/>
  <c r="H172" i="63"/>
  <c r="C354" i="63"/>
  <c r="C353" i="63"/>
  <c r="J171" i="63"/>
  <c r="E171" i="63"/>
  <c r="H177" i="63"/>
  <c r="C348" i="63"/>
  <c r="E172" i="63"/>
  <c r="K178" i="63"/>
  <c r="J174" i="63"/>
  <c r="H174" i="63"/>
  <c r="L174" i="63"/>
  <c r="H170" i="63"/>
  <c r="E170" i="63"/>
  <c r="J173" i="63"/>
  <c r="K173" i="63"/>
  <c r="J176" i="63"/>
  <c r="D351" i="11"/>
  <c r="D178" i="63"/>
  <c r="D342" i="11"/>
  <c r="D169" i="63"/>
  <c r="D349" i="11"/>
  <c r="D176" i="63"/>
  <c r="A349" i="11"/>
  <c r="A176" i="63"/>
  <c r="A348" i="11"/>
  <c r="A175" i="63"/>
  <c r="D346" i="11"/>
  <c r="D173" i="63"/>
  <c r="D345" i="11"/>
  <c r="D172" i="63"/>
  <c r="D350" i="11"/>
  <c r="D177" i="63"/>
  <c r="A346" i="11"/>
  <c r="A173" i="63"/>
  <c r="A347" i="11"/>
  <c r="A174" i="63"/>
  <c r="A343" i="11"/>
  <c r="A170" i="63"/>
  <c r="D344" i="11"/>
  <c r="D171" i="63"/>
  <c r="A350" i="11"/>
  <c r="A177" i="63"/>
  <c r="D348" i="11"/>
  <c r="D175" i="63"/>
  <c r="A351" i="11"/>
  <c r="A178" i="63"/>
  <c r="A344" i="11"/>
  <c r="A171" i="63"/>
  <c r="A345" i="11"/>
  <c r="A172" i="63"/>
  <c r="D347" i="11"/>
  <c r="D174" i="63"/>
  <c r="D343" i="11"/>
  <c r="D170" i="63"/>
  <c r="A342" i="11"/>
  <c r="A169" i="63"/>
  <c r="E348" i="11"/>
  <c r="G175" i="63"/>
  <c r="E343" i="11"/>
  <c r="G170" i="63"/>
  <c r="E344" i="11"/>
  <c r="G171" i="63"/>
  <c r="E346" i="11"/>
  <c r="G173" i="63"/>
  <c r="E350" i="11"/>
  <c r="G177" i="63"/>
  <c r="E347" i="11"/>
  <c r="G174" i="63"/>
  <c r="E349" i="11"/>
  <c r="G176" i="63"/>
  <c r="E342" i="11"/>
  <c r="G169" i="63"/>
  <c r="E345" i="11"/>
  <c r="G172" i="63"/>
  <c r="E351" i="11"/>
  <c r="G178" i="63"/>
  <c r="K24" i="55"/>
  <c r="M41" i="77" s="1"/>
  <c r="O24" i="55"/>
  <c r="Q41" i="77" s="1"/>
  <c r="M24" i="55"/>
  <c r="O41" i="77" s="1"/>
  <c r="AB350" i="11"/>
  <c r="AC350" i="11" s="1"/>
  <c r="AB349" i="11"/>
  <c r="AC349" i="11" s="1"/>
  <c r="AB343" i="11"/>
  <c r="AB347" i="11"/>
  <c r="AC347" i="11" s="1"/>
  <c r="AB344" i="11"/>
  <c r="AC344" i="11" s="1"/>
  <c r="AB346" i="11"/>
  <c r="AC346" i="11" s="1"/>
  <c r="AB348" i="11"/>
  <c r="AC348" i="11" s="1"/>
  <c r="AB351" i="11"/>
  <c r="AC351" i="11" s="1"/>
  <c r="AB345" i="11"/>
  <c r="AC345" i="11" s="1"/>
  <c r="AB342" i="11"/>
  <c r="E290" i="47"/>
  <c r="G295" i="72" s="1"/>
  <c r="E267" i="47"/>
  <c r="G272" i="72" s="1"/>
  <c r="J18" i="37"/>
  <c r="J19" i="37" s="1"/>
  <c r="J1" i="37"/>
  <c r="I18" i="37"/>
  <c r="I19" i="37" s="1"/>
  <c r="I1" i="37"/>
  <c r="K18" i="37"/>
  <c r="K19" i="37" s="1"/>
  <c r="K1" i="37"/>
  <c r="G43" i="6"/>
  <c r="G37" i="6"/>
  <c r="E37" i="6"/>
  <c r="E43" i="6"/>
  <c r="F43" i="6"/>
  <c r="F37" i="6"/>
  <c r="AH173" i="11"/>
  <c r="AQ173" i="11" s="1"/>
  <c r="AH169" i="11"/>
  <c r="AQ169" i="11" s="1"/>
  <c r="AH166" i="11"/>
  <c r="AQ166" i="11" s="1"/>
  <c r="AH170" i="11"/>
  <c r="AQ170" i="11" s="1"/>
  <c r="AH171" i="11"/>
  <c r="AQ171" i="11" s="1"/>
  <c r="AH168" i="11"/>
  <c r="AQ168" i="11" s="1"/>
  <c r="AH165" i="11"/>
  <c r="AQ165" i="11" s="1"/>
  <c r="AH167" i="11"/>
  <c r="AQ167" i="11" s="1"/>
  <c r="AH172" i="11"/>
  <c r="AQ172" i="11" s="1"/>
  <c r="AH174" i="11"/>
  <c r="AQ174" i="11" s="1"/>
  <c r="M43" i="77" l="1"/>
  <c r="M42" i="77"/>
  <c r="Q43" i="77"/>
  <c r="Q42" i="77"/>
  <c r="O43" i="77"/>
  <c r="O42" i="77"/>
  <c r="Y145" i="47"/>
  <c r="H145" i="47" s="1"/>
  <c r="I148" i="72" s="1"/>
  <c r="M145" i="47"/>
  <c r="Y153" i="47"/>
  <c r="H153" i="47" s="1"/>
  <c r="I156" i="72" s="1"/>
  <c r="M153" i="47"/>
  <c r="Y150" i="47"/>
  <c r="H150" i="47" s="1"/>
  <c r="I153" i="72" s="1"/>
  <c r="M150" i="47"/>
  <c r="Y155" i="47"/>
  <c r="H155" i="47" s="1"/>
  <c r="I158" i="72" s="1"/>
  <c r="M155" i="47"/>
  <c r="Y156" i="47"/>
  <c r="H156" i="47" s="1"/>
  <c r="I159" i="72" s="1"/>
  <c r="M156" i="47"/>
  <c r="Y114" i="47"/>
  <c r="H114" i="47" s="1"/>
  <c r="I117" i="72" s="1"/>
  <c r="M114" i="47"/>
  <c r="Y116" i="47"/>
  <c r="H116" i="47" s="1"/>
  <c r="I119" i="72" s="1"/>
  <c r="M116" i="47"/>
  <c r="Y117" i="47"/>
  <c r="H117" i="47" s="1"/>
  <c r="I120" i="72" s="1"/>
  <c r="M117" i="47"/>
  <c r="Y115" i="47"/>
  <c r="H115" i="47" s="1"/>
  <c r="I118" i="72" s="1"/>
  <c r="M115" i="47"/>
  <c r="Y131" i="47"/>
  <c r="H131" i="47" s="1"/>
  <c r="I134" i="72" s="1"/>
  <c r="M131" i="47"/>
  <c r="Y110" i="47"/>
  <c r="H110" i="47" s="1"/>
  <c r="I113" i="72" s="1"/>
  <c r="M110" i="47"/>
  <c r="Y106" i="47"/>
  <c r="H106" i="47" s="1"/>
  <c r="I109" i="72" s="1"/>
  <c r="M106" i="47"/>
  <c r="Y107" i="47"/>
  <c r="H107" i="47" s="1"/>
  <c r="I110" i="72" s="1"/>
  <c r="M107" i="47"/>
  <c r="Y109" i="47"/>
  <c r="H109" i="47" s="1"/>
  <c r="I112" i="72" s="1"/>
  <c r="M109" i="47"/>
  <c r="Y104" i="47"/>
  <c r="H104" i="47" s="1"/>
  <c r="I107" i="72" s="1"/>
  <c r="M104" i="47"/>
  <c r="Y140" i="47"/>
  <c r="H140" i="47" s="1"/>
  <c r="I143" i="72" s="1"/>
  <c r="M140" i="47"/>
  <c r="Y138" i="47"/>
  <c r="H138" i="47" s="1"/>
  <c r="I141" i="72" s="1"/>
  <c r="M138" i="47"/>
  <c r="S138" i="47" s="1"/>
  <c r="Y154" i="47"/>
  <c r="H154" i="47" s="1"/>
  <c r="I157" i="72" s="1"/>
  <c r="M154" i="47"/>
  <c r="Y144" i="47"/>
  <c r="H144" i="47" s="1"/>
  <c r="I147" i="72" s="1"/>
  <c r="M144" i="47"/>
  <c r="Y129" i="47"/>
  <c r="H129" i="47" s="1"/>
  <c r="I132" i="72" s="1"/>
  <c r="M129" i="47"/>
  <c r="Y120" i="47"/>
  <c r="H120" i="47" s="1"/>
  <c r="I123" i="72" s="1"/>
  <c r="M120" i="47"/>
  <c r="Y121" i="47"/>
  <c r="H121" i="47" s="1"/>
  <c r="I124" i="72" s="1"/>
  <c r="M121" i="47"/>
  <c r="Y122" i="47"/>
  <c r="H122" i="47" s="1"/>
  <c r="I125" i="72" s="1"/>
  <c r="M122" i="47"/>
  <c r="Y119" i="47"/>
  <c r="H119" i="47" s="1"/>
  <c r="I122" i="72" s="1"/>
  <c r="M119" i="47"/>
  <c r="Y94" i="47"/>
  <c r="H94" i="47" s="1"/>
  <c r="I97" i="72" s="1"/>
  <c r="M94" i="47"/>
  <c r="Y91" i="47"/>
  <c r="H91" i="47" s="1"/>
  <c r="I94" i="72" s="1"/>
  <c r="M91" i="47"/>
  <c r="Y93" i="47"/>
  <c r="H93" i="47" s="1"/>
  <c r="I96" i="72" s="1"/>
  <c r="M93" i="47"/>
  <c r="Y92" i="47"/>
  <c r="H92" i="47" s="1"/>
  <c r="I95" i="72" s="1"/>
  <c r="M92" i="47"/>
  <c r="Y108" i="47"/>
  <c r="H108" i="47" s="1"/>
  <c r="I111" i="72" s="1"/>
  <c r="M108" i="47"/>
  <c r="Y137" i="47"/>
  <c r="H137" i="47" s="1"/>
  <c r="I140" i="72" s="1"/>
  <c r="M137" i="47"/>
  <c r="S137" i="47" s="1"/>
  <c r="Y143" i="47"/>
  <c r="H143" i="47" s="1"/>
  <c r="I146" i="72" s="1"/>
  <c r="M143" i="47"/>
  <c r="Y149" i="47"/>
  <c r="H149" i="47" s="1"/>
  <c r="I152" i="72" s="1"/>
  <c r="M149" i="47"/>
  <c r="Y142" i="47"/>
  <c r="H142" i="47" s="1"/>
  <c r="I145" i="72" s="1"/>
  <c r="M142" i="47"/>
  <c r="Y147" i="47"/>
  <c r="H147" i="47" s="1"/>
  <c r="I150" i="72" s="1"/>
  <c r="M147" i="47"/>
  <c r="Y148" i="47"/>
  <c r="H148" i="47" s="1"/>
  <c r="I151" i="72" s="1"/>
  <c r="M148" i="47"/>
  <c r="Y124" i="47"/>
  <c r="H124" i="47" s="1"/>
  <c r="I127" i="72" s="1"/>
  <c r="M124" i="47"/>
  <c r="Y125" i="47"/>
  <c r="H125" i="47" s="1"/>
  <c r="I128" i="72" s="1"/>
  <c r="M125" i="47"/>
  <c r="Y126" i="47"/>
  <c r="H126" i="47" s="1"/>
  <c r="I129" i="72" s="1"/>
  <c r="M126" i="47"/>
  <c r="Y128" i="47"/>
  <c r="H128" i="47" s="1"/>
  <c r="I131" i="72" s="1"/>
  <c r="M128" i="47"/>
  <c r="Y123" i="47"/>
  <c r="H123" i="47" s="1"/>
  <c r="I126" i="72" s="1"/>
  <c r="M123" i="47"/>
  <c r="Y99" i="47"/>
  <c r="H99" i="47" s="1"/>
  <c r="I102" i="72" s="1"/>
  <c r="M99" i="47"/>
  <c r="Y95" i="47"/>
  <c r="H95" i="47" s="1"/>
  <c r="I98" i="72" s="1"/>
  <c r="M95" i="47"/>
  <c r="Y97" i="47"/>
  <c r="H97" i="47" s="1"/>
  <c r="I100" i="72" s="1"/>
  <c r="M97" i="47"/>
  <c r="Y98" i="47"/>
  <c r="H98" i="47" s="1"/>
  <c r="I101" i="72" s="1"/>
  <c r="M98" i="47"/>
  <c r="Y96" i="47"/>
  <c r="H96" i="47" s="1"/>
  <c r="I99" i="72" s="1"/>
  <c r="M96" i="47"/>
  <c r="Y139" i="47"/>
  <c r="H139" i="47" s="1"/>
  <c r="I142" i="72" s="1"/>
  <c r="M139" i="47"/>
  <c r="Y141" i="47"/>
  <c r="H141" i="47" s="1"/>
  <c r="I144" i="72" s="1"/>
  <c r="M141" i="47"/>
  <c r="Y146" i="47"/>
  <c r="H146" i="47" s="1"/>
  <c r="I149" i="72" s="1"/>
  <c r="M146" i="47"/>
  <c r="Y151" i="47"/>
  <c r="H151" i="47" s="1"/>
  <c r="I154" i="72" s="1"/>
  <c r="M151" i="47"/>
  <c r="Y152" i="47"/>
  <c r="H152" i="47" s="1"/>
  <c r="I155" i="72" s="1"/>
  <c r="M152" i="47"/>
  <c r="Y118" i="47"/>
  <c r="H118" i="47" s="1"/>
  <c r="I121" i="72" s="1"/>
  <c r="M118" i="47"/>
  <c r="Y130" i="47"/>
  <c r="H130" i="47" s="1"/>
  <c r="I133" i="72" s="1"/>
  <c r="M130" i="47"/>
  <c r="Y132" i="47"/>
  <c r="H132" i="47" s="1"/>
  <c r="I135" i="72" s="1"/>
  <c r="M132" i="47"/>
  <c r="Y133" i="47"/>
  <c r="H133" i="47" s="1"/>
  <c r="I136" i="72" s="1"/>
  <c r="M133" i="47"/>
  <c r="Y127" i="47"/>
  <c r="H127" i="47" s="1"/>
  <c r="I130" i="72" s="1"/>
  <c r="M127" i="47"/>
  <c r="Y105" i="47"/>
  <c r="H105" i="47" s="1"/>
  <c r="I108" i="72" s="1"/>
  <c r="M105" i="47"/>
  <c r="Y101" i="47"/>
  <c r="H101" i="47" s="1"/>
  <c r="I104" i="72" s="1"/>
  <c r="M101" i="47"/>
  <c r="Y102" i="47"/>
  <c r="H102" i="47" s="1"/>
  <c r="I105" i="72" s="1"/>
  <c r="M102" i="47"/>
  <c r="Y103" i="47"/>
  <c r="H103" i="47" s="1"/>
  <c r="I106" i="72" s="1"/>
  <c r="M103" i="47"/>
  <c r="Y100" i="47"/>
  <c r="H100" i="47" s="1"/>
  <c r="I103" i="72" s="1"/>
  <c r="M100" i="47"/>
  <c r="O345" i="11"/>
  <c r="O350" i="11"/>
  <c r="O343" i="11"/>
  <c r="O351" i="11"/>
  <c r="O347" i="11"/>
  <c r="O349" i="11"/>
  <c r="O342" i="11"/>
  <c r="Y137" i="11"/>
  <c r="H137" i="11" s="1"/>
  <c r="I140" i="63" s="1"/>
  <c r="Y155" i="11"/>
  <c r="H155" i="11" s="1"/>
  <c r="I158" i="63" s="1"/>
  <c r="M155" i="11"/>
  <c r="Y99" i="11"/>
  <c r="H99" i="11" s="1"/>
  <c r="I102" i="63" s="1"/>
  <c r="M99" i="11"/>
  <c r="Y98" i="11"/>
  <c r="H98" i="11" s="1"/>
  <c r="I101" i="63" s="1"/>
  <c r="M98" i="11"/>
  <c r="Y131" i="11"/>
  <c r="H131" i="11" s="1"/>
  <c r="I134" i="63" s="1"/>
  <c r="M131" i="11"/>
  <c r="Y130" i="11"/>
  <c r="H130" i="11" s="1"/>
  <c r="I133" i="63" s="1"/>
  <c r="M130" i="11"/>
  <c r="Y132" i="11"/>
  <c r="H132" i="11" s="1"/>
  <c r="I135" i="63" s="1"/>
  <c r="M132" i="11"/>
  <c r="Y117" i="11"/>
  <c r="H117" i="11" s="1"/>
  <c r="I120" i="63" s="1"/>
  <c r="M117" i="11"/>
  <c r="Y133" i="11"/>
  <c r="H133" i="11" s="1"/>
  <c r="I136" i="63" s="1"/>
  <c r="M133" i="11"/>
  <c r="Y147" i="11"/>
  <c r="H147" i="11" s="1"/>
  <c r="I150" i="63" s="1"/>
  <c r="M147" i="11"/>
  <c r="Y138" i="11"/>
  <c r="H138" i="11" s="1"/>
  <c r="I141" i="63" s="1"/>
  <c r="Y139" i="11"/>
  <c r="H139" i="11" s="1"/>
  <c r="I142" i="63" s="1"/>
  <c r="M139" i="11"/>
  <c r="Y140" i="11"/>
  <c r="H140" i="11" s="1"/>
  <c r="I143" i="63" s="1"/>
  <c r="M140" i="11"/>
  <c r="Y156" i="11"/>
  <c r="H156" i="11" s="1"/>
  <c r="I159" i="63" s="1"/>
  <c r="M156" i="11"/>
  <c r="Y92" i="11"/>
  <c r="H92" i="11" s="1"/>
  <c r="I95" i="63" s="1"/>
  <c r="M92" i="11"/>
  <c r="Y103" i="11"/>
  <c r="H103" i="11" s="1"/>
  <c r="I106" i="63" s="1"/>
  <c r="M103" i="11"/>
  <c r="Y100" i="11"/>
  <c r="H100" i="11" s="1"/>
  <c r="I103" i="63" s="1"/>
  <c r="M100" i="11"/>
  <c r="Y101" i="11"/>
  <c r="H101" i="11" s="1"/>
  <c r="I104" i="63" s="1"/>
  <c r="M101" i="11"/>
  <c r="Y102" i="11"/>
  <c r="H102" i="11" s="1"/>
  <c r="I105" i="63" s="1"/>
  <c r="M102" i="11"/>
  <c r="S351" i="11"/>
  <c r="Y126" i="11"/>
  <c r="H126" i="11" s="1"/>
  <c r="I129" i="63" s="1"/>
  <c r="M126" i="11"/>
  <c r="Y119" i="11"/>
  <c r="H119" i="11" s="1"/>
  <c r="I122" i="63" s="1"/>
  <c r="M119" i="11"/>
  <c r="Y128" i="11"/>
  <c r="H128" i="11" s="1"/>
  <c r="I131" i="63" s="1"/>
  <c r="M128" i="11"/>
  <c r="Y151" i="11"/>
  <c r="H151" i="11" s="1"/>
  <c r="I154" i="63" s="1"/>
  <c r="M151" i="11"/>
  <c r="Y152" i="11"/>
  <c r="H152" i="11" s="1"/>
  <c r="I155" i="63" s="1"/>
  <c r="M152" i="11"/>
  <c r="Y109" i="11"/>
  <c r="H109" i="11" s="1"/>
  <c r="I112" i="63" s="1"/>
  <c r="M109" i="11"/>
  <c r="Y96" i="11"/>
  <c r="H96" i="11" s="1"/>
  <c r="I99" i="63" s="1"/>
  <c r="M96" i="11"/>
  <c r="S350" i="11"/>
  <c r="Y120" i="11"/>
  <c r="H120" i="11" s="1"/>
  <c r="I123" i="63" s="1"/>
  <c r="M120" i="11"/>
  <c r="Y114" i="11"/>
  <c r="H114" i="11" s="1"/>
  <c r="I117" i="63" s="1"/>
  <c r="M114" i="11"/>
  <c r="Y116" i="11"/>
  <c r="H116" i="11" s="1"/>
  <c r="I119" i="63" s="1"/>
  <c r="M116" i="11"/>
  <c r="Y118" i="11"/>
  <c r="H118" i="11" s="1"/>
  <c r="I121" i="63" s="1"/>
  <c r="M118" i="11"/>
  <c r="Y121" i="11"/>
  <c r="H121" i="11" s="1"/>
  <c r="I124" i="63" s="1"/>
  <c r="M121" i="11"/>
  <c r="Y142" i="11"/>
  <c r="H142" i="11" s="1"/>
  <c r="I145" i="63" s="1"/>
  <c r="M142" i="11"/>
  <c r="Y153" i="11"/>
  <c r="H153" i="11" s="1"/>
  <c r="I156" i="63" s="1"/>
  <c r="M153" i="11"/>
  <c r="Y143" i="11"/>
  <c r="H143" i="11" s="1"/>
  <c r="I146" i="63" s="1"/>
  <c r="M143" i="11"/>
  <c r="Y145" i="11"/>
  <c r="H145" i="11" s="1"/>
  <c r="I148" i="63" s="1"/>
  <c r="M145" i="11"/>
  <c r="Y144" i="11"/>
  <c r="H144" i="11" s="1"/>
  <c r="I147" i="63" s="1"/>
  <c r="M144" i="11"/>
  <c r="Y93" i="11"/>
  <c r="H93" i="11" s="1"/>
  <c r="I96" i="63" s="1"/>
  <c r="M93" i="11"/>
  <c r="Y97" i="11"/>
  <c r="H97" i="11" s="1"/>
  <c r="I100" i="63" s="1"/>
  <c r="M97" i="11"/>
  <c r="Y105" i="11"/>
  <c r="H105" i="11" s="1"/>
  <c r="I108" i="63" s="1"/>
  <c r="M105" i="11"/>
  <c r="Y107" i="11"/>
  <c r="H107" i="11" s="1"/>
  <c r="I110" i="63" s="1"/>
  <c r="M107" i="11"/>
  <c r="Y106" i="11"/>
  <c r="H106" i="11" s="1"/>
  <c r="I109" i="63" s="1"/>
  <c r="M106" i="11"/>
  <c r="Y127" i="11"/>
  <c r="H127" i="11" s="1"/>
  <c r="I130" i="63" s="1"/>
  <c r="M127" i="11"/>
  <c r="Y129" i="11"/>
  <c r="H129" i="11" s="1"/>
  <c r="I132" i="63" s="1"/>
  <c r="M129" i="11"/>
  <c r="Y154" i="11"/>
  <c r="H154" i="11" s="1"/>
  <c r="I157" i="63" s="1"/>
  <c r="M154" i="11"/>
  <c r="Y95" i="11"/>
  <c r="H95" i="11" s="1"/>
  <c r="I98" i="63" s="1"/>
  <c r="M95" i="11"/>
  <c r="O346" i="11"/>
  <c r="O344" i="11"/>
  <c r="O348" i="11"/>
  <c r="Y115" i="11"/>
  <c r="H115" i="11" s="1"/>
  <c r="I118" i="63" s="1"/>
  <c r="M115" i="11"/>
  <c r="Y124" i="11"/>
  <c r="H124" i="11" s="1"/>
  <c r="I127" i="63" s="1"/>
  <c r="M124" i="11"/>
  <c r="Y122" i="11"/>
  <c r="H122" i="11" s="1"/>
  <c r="I125" i="63" s="1"/>
  <c r="M122" i="11"/>
  <c r="Y123" i="11"/>
  <c r="H123" i="11" s="1"/>
  <c r="I126" i="63" s="1"/>
  <c r="M123" i="11"/>
  <c r="Y125" i="11"/>
  <c r="H125" i="11" s="1"/>
  <c r="I128" i="63" s="1"/>
  <c r="M125" i="11"/>
  <c r="Y146" i="11"/>
  <c r="H146" i="11" s="1"/>
  <c r="I149" i="63" s="1"/>
  <c r="M146" i="11"/>
  <c r="Y141" i="11"/>
  <c r="H141" i="11" s="1"/>
  <c r="I144" i="63" s="1"/>
  <c r="M141" i="11"/>
  <c r="Y149" i="11"/>
  <c r="H149" i="11" s="1"/>
  <c r="I152" i="63" s="1"/>
  <c r="M149" i="11"/>
  <c r="Y150" i="11"/>
  <c r="H150" i="11" s="1"/>
  <c r="I153" i="63" s="1"/>
  <c r="M150" i="11"/>
  <c r="Y148" i="11"/>
  <c r="H148" i="11" s="1"/>
  <c r="I151" i="63" s="1"/>
  <c r="M148" i="11"/>
  <c r="Y104" i="11"/>
  <c r="H104" i="11" s="1"/>
  <c r="I107" i="63" s="1"/>
  <c r="M104" i="11"/>
  <c r="Y108" i="11"/>
  <c r="H108" i="11" s="1"/>
  <c r="I111" i="63" s="1"/>
  <c r="M108" i="11"/>
  <c r="Y91" i="11"/>
  <c r="H91" i="11" s="1"/>
  <c r="I94" i="63" s="1"/>
  <c r="M91" i="11"/>
  <c r="Y94" i="11"/>
  <c r="H94" i="11" s="1"/>
  <c r="I97" i="63" s="1"/>
  <c r="M94" i="11"/>
  <c r="Y110" i="11"/>
  <c r="H110" i="11" s="1"/>
  <c r="I113" i="63" s="1"/>
  <c r="M110" i="11"/>
  <c r="R149" i="54"/>
  <c r="R132" i="54"/>
  <c r="R131" i="54"/>
  <c r="R150" i="54"/>
  <c r="R116" i="54"/>
  <c r="R127" i="54"/>
  <c r="R119" i="54"/>
  <c r="R120" i="54"/>
  <c r="R121" i="54"/>
  <c r="R101" i="54"/>
  <c r="R97" i="54"/>
  <c r="R99" i="54"/>
  <c r="R98" i="54"/>
  <c r="R148" i="54"/>
  <c r="R147" i="54"/>
  <c r="R154" i="54"/>
  <c r="R118" i="54"/>
  <c r="R122" i="54"/>
  <c r="R124" i="54"/>
  <c r="R126" i="54"/>
  <c r="R125" i="54"/>
  <c r="R105" i="54"/>
  <c r="R103" i="54"/>
  <c r="R104" i="54"/>
  <c r="R102" i="54"/>
  <c r="R106" i="54"/>
  <c r="R155" i="54"/>
  <c r="R128" i="54"/>
  <c r="R130" i="54"/>
  <c r="R129" i="54"/>
  <c r="R96" i="54"/>
  <c r="R100" i="54"/>
  <c r="R108" i="54"/>
  <c r="R109" i="54"/>
  <c r="R156" i="54"/>
  <c r="R152" i="54"/>
  <c r="R151" i="54"/>
  <c r="R153" i="54"/>
  <c r="R123" i="54"/>
  <c r="R115" i="54"/>
  <c r="R117" i="54"/>
  <c r="R133" i="54"/>
  <c r="R107" i="54"/>
  <c r="R110" i="54"/>
  <c r="Y143" i="54"/>
  <c r="H143" i="54" s="1"/>
  <c r="Y142" i="54"/>
  <c r="H142" i="54" s="1"/>
  <c r="Y141" i="54"/>
  <c r="H141" i="54" s="1"/>
  <c r="Y150" i="54"/>
  <c r="H150" i="54" s="1"/>
  <c r="Y116" i="54"/>
  <c r="H116" i="54" s="1"/>
  <c r="Y127" i="54"/>
  <c r="H127" i="54" s="1"/>
  <c r="Y119" i="54"/>
  <c r="H119" i="54" s="1"/>
  <c r="Y120" i="54"/>
  <c r="H120" i="54" s="1"/>
  <c r="Y121" i="54"/>
  <c r="H121" i="54" s="1"/>
  <c r="Y91" i="54"/>
  <c r="H91" i="54" s="1"/>
  <c r="Y101" i="54"/>
  <c r="H101" i="54" s="1"/>
  <c r="Y97" i="54"/>
  <c r="H97" i="54" s="1"/>
  <c r="Y99" i="54"/>
  <c r="H99" i="54" s="1"/>
  <c r="Y98" i="54"/>
  <c r="H98" i="54" s="1"/>
  <c r="Y139" i="54"/>
  <c r="H139" i="54" s="1"/>
  <c r="Y140" i="54"/>
  <c r="H140" i="54" s="1"/>
  <c r="Y148" i="54"/>
  <c r="H148" i="54" s="1"/>
  <c r="Y147" i="54"/>
  <c r="H147" i="54" s="1"/>
  <c r="Y145" i="54"/>
  <c r="H145" i="54" s="1"/>
  <c r="Y154" i="54"/>
  <c r="H154" i="54" s="1"/>
  <c r="Y118" i="54"/>
  <c r="H118" i="54" s="1"/>
  <c r="Y122" i="54"/>
  <c r="H122" i="54" s="1"/>
  <c r="Y124" i="54"/>
  <c r="H124" i="54" s="1"/>
  <c r="Y126" i="54"/>
  <c r="H126" i="54" s="1"/>
  <c r="Y125" i="54"/>
  <c r="H125" i="54" s="1"/>
  <c r="Y95" i="54"/>
  <c r="H95" i="54" s="1"/>
  <c r="Y105" i="54"/>
  <c r="H105" i="54" s="1"/>
  <c r="Y103" i="54"/>
  <c r="H103" i="54" s="1"/>
  <c r="Y104" i="54"/>
  <c r="H104" i="54" s="1"/>
  <c r="Y102" i="54"/>
  <c r="H102" i="54" s="1"/>
  <c r="Y156" i="54"/>
  <c r="H156" i="54" s="1"/>
  <c r="Y138" i="54"/>
  <c r="H138" i="54" s="1"/>
  <c r="Y146" i="54"/>
  <c r="H146" i="54" s="1"/>
  <c r="Y144" i="54"/>
  <c r="H144" i="54" s="1"/>
  <c r="Y155" i="54"/>
  <c r="H155" i="54" s="1"/>
  <c r="Y149" i="54"/>
  <c r="H149" i="54" s="1"/>
  <c r="Y128" i="54"/>
  <c r="H128" i="54" s="1"/>
  <c r="Y132" i="54"/>
  <c r="H132" i="54" s="1"/>
  <c r="Y130" i="54"/>
  <c r="H130" i="54" s="1"/>
  <c r="Y131" i="54"/>
  <c r="H131" i="54" s="1"/>
  <c r="Y129" i="54"/>
  <c r="H129" i="54" s="1"/>
  <c r="Y96" i="54"/>
  <c r="H96" i="54" s="1"/>
  <c r="Y100" i="54"/>
  <c r="H100" i="54" s="1"/>
  <c r="Y108" i="54"/>
  <c r="H108" i="54" s="1"/>
  <c r="Y109" i="54"/>
  <c r="H109" i="54" s="1"/>
  <c r="Y106" i="54"/>
  <c r="H106" i="54" s="1"/>
  <c r="Y152" i="54"/>
  <c r="H152" i="54" s="1"/>
  <c r="Y151" i="54"/>
  <c r="H151" i="54" s="1"/>
  <c r="Y137" i="54"/>
  <c r="H137" i="54" s="1"/>
  <c r="Y153" i="54"/>
  <c r="H153" i="54" s="1"/>
  <c r="Y123" i="54"/>
  <c r="H123" i="54" s="1"/>
  <c r="Y114" i="54"/>
  <c r="H114" i="54" s="1"/>
  <c r="Y115" i="54"/>
  <c r="H115" i="54" s="1"/>
  <c r="Y117" i="54"/>
  <c r="H117" i="54" s="1"/>
  <c r="Y133" i="54"/>
  <c r="H133" i="54" s="1"/>
  <c r="Y107" i="54"/>
  <c r="H107" i="54" s="1"/>
  <c r="Y92" i="54"/>
  <c r="H92" i="54" s="1"/>
  <c r="Y93" i="54"/>
  <c r="H93" i="54" s="1"/>
  <c r="Y94" i="54"/>
  <c r="H94" i="54" s="1"/>
  <c r="Y110" i="54"/>
  <c r="H110" i="54" s="1"/>
  <c r="F354" i="63"/>
  <c r="F350" i="63"/>
  <c r="F353" i="63"/>
  <c r="N348" i="63"/>
  <c r="W138" i="47"/>
  <c r="F138" i="47" s="1"/>
  <c r="X138" i="47"/>
  <c r="G138" i="47" s="1"/>
  <c r="H141" i="72" s="1"/>
  <c r="V138" i="47"/>
  <c r="E138" i="47" s="1"/>
  <c r="X144" i="47"/>
  <c r="G144" i="47" s="1"/>
  <c r="H147" i="72" s="1"/>
  <c r="W144" i="47"/>
  <c r="V144" i="47"/>
  <c r="E144" i="47" s="1"/>
  <c r="X120" i="47"/>
  <c r="G120" i="47" s="1"/>
  <c r="H123" i="72" s="1"/>
  <c r="W120" i="47"/>
  <c r="V120" i="47"/>
  <c r="E120" i="47" s="1"/>
  <c r="X121" i="47"/>
  <c r="G121" i="47" s="1"/>
  <c r="H124" i="72" s="1"/>
  <c r="W121" i="47"/>
  <c r="V121" i="47"/>
  <c r="E121" i="47" s="1"/>
  <c r="V122" i="47"/>
  <c r="E122" i="47" s="1"/>
  <c r="W122" i="47"/>
  <c r="X122" i="47"/>
  <c r="G122" i="47" s="1"/>
  <c r="H125" i="72" s="1"/>
  <c r="W119" i="47"/>
  <c r="X119" i="47"/>
  <c r="G119" i="47" s="1"/>
  <c r="H122" i="72" s="1"/>
  <c r="V119" i="47"/>
  <c r="E119" i="47" s="1"/>
  <c r="V94" i="47"/>
  <c r="E94" i="47" s="1"/>
  <c r="W94" i="47"/>
  <c r="X94" i="47"/>
  <c r="G94" i="47" s="1"/>
  <c r="H97" i="72" s="1"/>
  <c r="V91" i="47"/>
  <c r="E91" i="47" s="1"/>
  <c r="W91" i="47"/>
  <c r="X91" i="47"/>
  <c r="G91" i="47" s="1"/>
  <c r="H94" i="72" s="1"/>
  <c r="X93" i="47"/>
  <c r="G93" i="47" s="1"/>
  <c r="H96" i="72" s="1"/>
  <c r="W93" i="47"/>
  <c r="V93" i="47"/>
  <c r="E93" i="47" s="1"/>
  <c r="W92" i="47"/>
  <c r="X92" i="47"/>
  <c r="G92" i="47" s="1"/>
  <c r="H95" i="72" s="1"/>
  <c r="V92" i="47"/>
  <c r="E92" i="47" s="1"/>
  <c r="W108" i="47"/>
  <c r="V108" i="47"/>
  <c r="E108" i="47" s="1"/>
  <c r="X108" i="47"/>
  <c r="G108" i="47" s="1"/>
  <c r="H111" i="72" s="1"/>
  <c r="X143" i="47"/>
  <c r="G143" i="47" s="1"/>
  <c r="H146" i="72" s="1"/>
  <c r="W143" i="47"/>
  <c r="V143" i="47"/>
  <c r="E143" i="47" s="1"/>
  <c r="V149" i="47"/>
  <c r="E149" i="47" s="1"/>
  <c r="X149" i="47"/>
  <c r="G149" i="47" s="1"/>
  <c r="H152" i="72" s="1"/>
  <c r="W149" i="47"/>
  <c r="W142" i="47"/>
  <c r="X142" i="47"/>
  <c r="G142" i="47" s="1"/>
  <c r="H145" i="72" s="1"/>
  <c r="V142" i="47"/>
  <c r="E142" i="47" s="1"/>
  <c r="X147" i="47"/>
  <c r="G147" i="47" s="1"/>
  <c r="H150" i="72" s="1"/>
  <c r="W147" i="47"/>
  <c r="V147" i="47"/>
  <c r="E147" i="47" s="1"/>
  <c r="X148" i="47"/>
  <c r="G148" i="47" s="1"/>
  <c r="H151" i="72" s="1"/>
  <c r="W148" i="47"/>
  <c r="V148" i="47"/>
  <c r="E148" i="47" s="1"/>
  <c r="X124" i="47"/>
  <c r="G124" i="47" s="1"/>
  <c r="H127" i="72" s="1"/>
  <c r="W124" i="47"/>
  <c r="V124" i="47"/>
  <c r="E124" i="47" s="1"/>
  <c r="W125" i="47"/>
  <c r="V125" i="47"/>
  <c r="E125" i="47" s="1"/>
  <c r="X125" i="47"/>
  <c r="G125" i="47" s="1"/>
  <c r="H128" i="72" s="1"/>
  <c r="V126" i="47"/>
  <c r="E126" i="47" s="1"/>
  <c r="X126" i="47"/>
  <c r="G126" i="47" s="1"/>
  <c r="H129" i="72" s="1"/>
  <c r="W126" i="47"/>
  <c r="X128" i="47"/>
  <c r="G128" i="47" s="1"/>
  <c r="H131" i="72" s="1"/>
  <c r="W128" i="47"/>
  <c r="V128" i="47"/>
  <c r="E128" i="47" s="1"/>
  <c r="W123" i="47"/>
  <c r="X123" i="47"/>
  <c r="G123" i="47" s="1"/>
  <c r="H126" i="72" s="1"/>
  <c r="V123" i="47"/>
  <c r="E123" i="47" s="1"/>
  <c r="V99" i="47"/>
  <c r="E99" i="47" s="1"/>
  <c r="W99" i="47"/>
  <c r="X99" i="47"/>
  <c r="G99" i="47" s="1"/>
  <c r="H102" i="72" s="1"/>
  <c r="V95" i="47"/>
  <c r="E95" i="47" s="1"/>
  <c r="W95" i="47"/>
  <c r="X95" i="47"/>
  <c r="G95" i="47" s="1"/>
  <c r="H98" i="72" s="1"/>
  <c r="X97" i="47"/>
  <c r="G97" i="47" s="1"/>
  <c r="H100" i="72" s="1"/>
  <c r="W97" i="47"/>
  <c r="V97" i="47"/>
  <c r="E97" i="47" s="1"/>
  <c r="V98" i="47"/>
  <c r="E98" i="47" s="1"/>
  <c r="X98" i="47"/>
  <c r="G98" i="47" s="1"/>
  <c r="H101" i="72" s="1"/>
  <c r="W98" i="47"/>
  <c r="W96" i="47"/>
  <c r="X96" i="47"/>
  <c r="G96" i="47" s="1"/>
  <c r="H99" i="72" s="1"/>
  <c r="V96" i="47"/>
  <c r="E96" i="47" s="1"/>
  <c r="V137" i="47"/>
  <c r="E137" i="47" s="1"/>
  <c r="X137" i="47"/>
  <c r="G137" i="47" s="1"/>
  <c r="H140" i="72" s="1"/>
  <c r="W137" i="47"/>
  <c r="F137" i="47" s="1"/>
  <c r="W154" i="47"/>
  <c r="X154" i="47"/>
  <c r="G154" i="47" s="1"/>
  <c r="H157" i="72" s="1"/>
  <c r="V154" i="47"/>
  <c r="E154" i="47" s="1"/>
  <c r="X139" i="47"/>
  <c r="G139" i="47" s="1"/>
  <c r="H142" i="72" s="1"/>
  <c r="W139" i="47"/>
  <c r="V139" i="47"/>
  <c r="E139" i="47" s="1"/>
  <c r="V141" i="47"/>
  <c r="E141" i="47" s="1"/>
  <c r="X141" i="47"/>
  <c r="G141" i="47" s="1"/>
  <c r="H144" i="72" s="1"/>
  <c r="W141" i="47"/>
  <c r="W146" i="47"/>
  <c r="X146" i="47"/>
  <c r="G146" i="47" s="1"/>
  <c r="H149" i="72" s="1"/>
  <c r="V146" i="47"/>
  <c r="E146" i="47" s="1"/>
  <c r="X151" i="47"/>
  <c r="G151" i="47" s="1"/>
  <c r="H154" i="72" s="1"/>
  <c r="W151" i="47"/>
  <c r="V151" i="47"/>
  <c r="E151" i="47" s="1"/>
  <c r="W152" i="47"/>
  <c r="V152" i="47"/>
  <c r="E152" i="47" s="1"/>
  <c r="X152" i="47"/>
  <c r="G152" i="47" s="1"/>
  <c r="H155" i="72" s="1"/>
  <c r="V118" i="47"/>
  <c r="E118" i="47" s="1"/>
  <c r="X118" i="47"/>
  <c r="G118" i="47" s="1"/>
  <c r="H121" i="72" s="1"/>
  <c r="W118" i="47"/>
  <c r="V130" i="47"/>
  <c r="E130" i="47" s="1"/>
  <c r="X130" i="47"/>
  <c r="G130" i="47" s="1"/>
  <c r="H133" i="72" s="1"/>
  <c r="W130" i="47"/>
  <c r="X132" i="47"/>
  <c r="G132" i="47" s="1"/>
  <c r="H135" i="72" s="1"/>
  <c r="W132" i="47"/>
  <c r="V132" i="47"/>
  <c r="E132" i="47" s="1"/>
  <c r="X133" i="47"/>
  <c r="G133" i="47" s="1"/>
  <c r="H136" i="72" s="1"/>
  <c r="W133" i="47"/>
  <c r="V133" i="47"/>
  <c r="E133" i="47" s="1"/>
  <c r="W127" i="47"/>
  <c r="V127" i="47"/>
  <c r="E127" i="47" s="1"/>
  <c r="X127" i="47"/>
  <c r="G127" i="47" s="1"/>
  <c r="H130" i="72" s="1"/>
  <c r="X105" i="47"/>
  <c r="G105" i="47" s="1"/>
  <c r="H108" i="72" s="1"/>
  <c r="W105" i="47"/>
  <c r="V105" i="47"/>
  <c r="E105" i="47" s="1"/>
  <c r="X101" i="47"/>
  <c r="G101" i="47" s="1"/>
  <c r="H104" i="72" s="1"/>
  <c r="W101" i="47"/>
  <c r="V101" i="47"/>
  <c r="E101" i="47" s="1"/>
  <c r="V102" i="47"/>
  <c r="E102" i="47" s="1"/>
  <c r="W102" i="47"/>
  <c r="X102" i="47"/>
  <c r="G102" i="47" s="1"/>
  <c r="H105" i="72" s="1"/>
  <c r="V103" i="47"/>
  <c r="E103" i="47" s="1"/>
  <c r="W103" i="47"/>
  <c r="X103" i="47"/>
  <c r="G103" i="47" s="1"/>
  <c r="H106" i="72" s="1"/>
  <c r="W100" i="47"/>
  <c r="X100" i="47"/>
  <c r="G100" i="47" s="1"/>
  <c r="H103" i="72" s="1"/>
  <c r="V100" i="47"/>
  <c r="E100" i="47" s="1"/>
  <c r="X140" i="47"/>
  <c r="G140" i="47" s="1"/>
  <c r="H143" i="72" s="1"/>
  <c r="W140" i="47"/>
  <c r="V140" i="47"/>
  <c r="E140" i="47" s="1"/>
  <c r="W129" i="47"/>
  <c r="V129" i="47"/>
  <c r="E129" i="47" s="1"/>
  <c r="X129" i="47"/>
  <c r="G129" i="47" s="1"/>
  <c r="H132" i="72" s="1"/>
  <c r="V145" i="47"/>
  <c r="E145" i="47" s="1"/>
  <c r="X145" i="47"/>
  <c r="G145" i="47" s="1"/>
  <c r="H148" i="72" s="1"/>
  <c r="W145" i="47"/>
  <c r="V153" i="47"/>
  <c r="E153" i="47" s="1"/>
  <c r="X153" i="47"/>
  <c r="G153" i="47" s="1"/>
  <c r="H156" i="72" s="1"/>
  <c r="W153" i="47"/>
  <c r="W150" i="47"/>
  <c r="V150" i="47"/>
  <c r="E150" i="47" s="1"/>
  <c r="X150" i="47"/>
  <c r="G150" i="47" s="1"/>
  <c r="H153" i="72" s="1"/>
  <c r="X155" i="47"/>
  <c r="G155" i="47" s="1"/>
  <c r="H158" i="72" s="1"/>
  <c r="W155" i="47"/>
  <c r="V155" i="47"/>
  <c r="E155" i="47" s="1"/>
  <c r="W156" i="47"/>
  <c r="V156" i="47"/>
  <c r="E156" i="47" s="1"/>
  <c r="X156" i="47"/>
  <c r="G156" i="47" s="1"/>
  <c r="H159" i="72" s="1"/>
  <c r="V114" i="47"/>
  <c r="E114" i="47" s="1"/>
  <c r="W114" i="47"/>
  <c r="F114" i="47" s="1"/>
  <c r="X114" i="47"/>
  <c r="G114" i="47" s="1"/>
  <c r="H117" i="72" s="1"/>
  <c r="X116" i="47"/>
  <c r="G116" i="47" s="1"/>
  <c r="H119" i="72" s="1"/>
  <c r="W116" i="47"/>
  <c r="V116" i="47"/>
  <c r="E116" i="47" s="1"/>
  <c r="X117" i="47"/>
  <c r="G117" i="47" s="1"/>
  <c r="H120" i="72" s="1"/>
  <c r="W117" i="47"/>
  <c r="V117" i="47"/>
  <c r="E117" i="47" s="1"/>
  <c r="W115" i="47"/>
  <c r="X115" i="47"/>
  <c r="G115" i="47" s="1"/>
  <c r="H118" i="72" s="1"/>
  <c r="V115" i="47"/>
  <c r="E115" i="47" s="1"/>
  <c r="W131" i="47"/>
  <c r="X131" i="47"/>
  <c r="G131" i="47" s="1"/>
  <c r="H134" i="72" s="1"/>
  <c r="V131" i="47"/>
  <c r="E131" i="47" s="1"/>
  <c r="X110" i="47"/>
  <c r="G110" i="47" s="1"/>
  <c r="H113" i="72" s="1"/>
  <c r="V110" i="47"/>
  <c r="E110" i="47" s="1"/>
  <c r="W110" i="47"/>
  <c r="X106" i="47"/>
  <c r="G106" i="47" s="1"/>
  <c r="H109" i="72" s="1"/>
  <c r="V106" i="47"/>
  <c r="E106" i="47" s="1"/>
  <c r="W106" i="47"/>
  <c r="V107" i="47"/>
  <c r="E107" i="47" s="1"/>
  <c r="W107" i="47"/>
  <c r="X107" i="47"/>
  <c r="G107" i="47" s="1"/>
  <c r="H110" i="72" s="1"/>
  <c r="X109" i="47"/>
  <c r="G109" i="47" s="1"/>
  <c r="H112" i="72" s="1"/>
  <c r="W109" i="47"/>
  <c r="V109" i="47"/>
  <c r="E109" i="47" s="1"/>
  <c r="W104" i="47"/>
  <c r="X104" i="47"/>
  <c r="G104" i="47" s="1"/>
  <c r="H107" i="72" s="1"/>
  <c r="V104" i="47"/>
  <c r="E104" i="47" s="1"/>
  <c r="X131" i="11"/>
  <c r="G131" i="11" s="1"/>
  <c r="V131" i="11"/>
  <c r="E131" i="11" s="1"/>
  <c r="W131" i="11"/>
  <c r="F131" i="11" s="1"/>
  <c r="W132" i="11"/>
  <c r="F132" i="11" s="1"/>
  <c r="X132" i="11"/>
  <c r="G132" i="11" s="1"/>
  <c r="V132" i="11"/>
  <c r="E132" i="11" s="1"/>
  <c r="W133" i="11"/>
  <c r="F133" i="11" s="1"/>
  <c r="V133" i="11"/>
  <c r="E133" i="11" s="1"/>
  <c r="X133" i="11"/>
  <c r="G133" i="11" s="1"/>
  <c r="V147" i="11"/>
  <c r="E147" i="11" s="1"/>
  <c r="X147" i="11"/>
  <c r="G147" i="11" s="1"/>
  <c r="W147" i="11"/>
  <c r="F147" i="11" s="1"/>
  <c r="V139" i="11"/>
  <c r="E139" i="11" s="1"/>
  <c r="X139" i="11"/>
  <c r="G139" i="11" s="1"/>
  <c r="W139" i="11"/>
  <c r="F139" i="11" s="1"/>
  <c r="W156" i="11"/>
  <c r="F156" i="11" s="1"/>
  <c r="X156" i="11"/>
  <c r="G156" i="11" s="1"/>
  <c r="V156" i="11"/>
  <c r="E156" i="11" s="1"/>
  <c r="X100" i="11"/>
  <c r="G100" i="11" s="1"/>
  <c r="V100" i="11"/>
  <c r="E100" i="11" s="1"/>
  <c r="W100" i="11"/>
  <c r="F100" i="11" s="1"/>
  <c r="V102" i="11"/>
  <c r="E102" i="11" s="1"/>
  <c r="X102" i="11"/>
  <c r="G102" i="11" s="1"/>
  <c r="W102" i="11"/>
  <c r="F102" i="11" s="1"/>
  <c r="W114" i="11"/>
  <c r="F114" i="11" s="1"/>
  <c r="V114" i="11"/>
  <c r="E114" i="11" s="1"/>
  <c r="X114" i="11"/>
  <c r="G114" i="11" s="1"/>
  <c r="W118" i="11"/>
  <c r="F118" i="11" s="1"/>
  <c r="V118" i="11"/>
  <c r="E118" i="11" s="1"/>
  <c r="X118" i="11"/>
  <c r="G118" i="11" s="1"/>
  <c r="X153" i="11"/>
  <c r="G153" i="11" s="1"/>
  <c r="V153" i="11"/>
  <c r="E153" i="11" s="1"/>
  <c r="W153" i="11"/>
  <c r="F153" i="11" s="1"/>
  <c r="X145" i="11"/>
  <c r="G145" i="11" s="1"/>
  <c r="V145" i="11"/>
  <c r="E145" i="11" s="1"/>
  <c r="W145" i="11"/>
  <c r="F145" i="11" s="1"/>
  <c r="W93" i="11"/>
  <c r="F93" i="11" s="1"/>
  <c r="X93" i="11"/>
  <c r="G93" i="11" s="1"/>
  <c r="V93" i="11"/>
  <c r="E93" i="11" s="1"/>
  <c r="W105" i="11"/>
  <c r="F105" i="11" s="1"/>
  <c r="X105" i="11"/>
  <c r="G105" i="11" s="1"/>
  <c r="V105" i="11"/>
  <c r="E105" i="11" s="1"/>
  <c r="V106" i="11"/>
  <c r="E106" i="11" s="1"/>
  <c r="X106" i="11"/>
  <c r="G106" i="11" s="1"/>
  <c r="W106" i="11"/>
  <c r="F106" i="11" s="1"/>
  <c r="X115" i="11"/>
  <c r="G115" i="11" s="1"/>
  <c r="V115" i="11"/>
  <c r="E115" i="11" s="1"/>
  <c r="W115" i="11"/>
  <c r="F115" i="11" s="1"/>
  <c r="W124" i="11"/>
  <c r="F124" i="11" s="1"/>
  <c r="X124" i="11"/>
  <c r="G124" i="11" s="1"/>
  <c r="V124" i="11"/>
  <c r="E124" i="11" s="1"/>
  <c r="W122" i="11"/>
  <c r="F122" i="11" s="1"/>
  <c r="V122" i="11"/>
  <c r="E122" i="11" s="1"/>
  <c r="X122" i="11"/>
  <c r="G122" i="11" s="1"/>
  <c r="X123" i="11"/>
  <c r="G123" i="11" s="1"/>
  <c r="V123" i="11"/>
  <c r="E123" i="11" s="1"/>
  <c r="W123" i="11"/>
  <c r="F123" i="11" s="1"/>
  <c r="V125" i="11"/>
  <c r="E125" i="11" s="1"/>
  <c r="X125" i="11"/>
  <c r="G125" i="11" s="1"/>
  <c r="W125" i="11"/>
  <c r="F125" i="11" s="1"/>
  <c r="X146" i="11"/>
  <c r="G146" i="11" s="1"/>
  <c r="V146" i="11"/>
  <c r="E146" i="11" s="1"/>
  <c r="W146" i="11"/>
  <c r="F146" i="11" s="1"/>
  <c r="X141" i="11"/>
  <c r="G141" i="11" s="1"/>
  <c r="W141" i="11"/>
  <c r="F141" i="11" s="1"/>
  <c r="V141" i="11"/>
  <c r="E141" i="11" s="1"/>
  <c r="X149" i="11"/>
  <c r="G149" i="11" s="1"/>
  <c r="W149" i="11"/>
  <c r="F149" i="11" s="1"/>
  <c r="V149" i="11"/>
  <c r="E149" i="11" s="1"/>
  <c r="W150" i="11"/>
  <c r="F150" i="11" s="1"/>
  <c r="V150" i="11"/>
  <c r="E150" i="11" s="1"/>
  <c r="X150" i="11"/>
  <c r="G150" i="11" s="1"/>
  <c r="W148" i="11"/>
  <c r="F148" i="11" s="1"/>
  <c r="X148" i="11"/>
  <c r="G148" i="11" s="1"/>
  <c r="V148" i="11"/>
  <c r="E148" i="11" s="1"/>
  <c r="X104" i="11"/>
  <c r="G104" i="11" s="1"/>
  <c r="V104" i="11"/>
  <c r="E104" i="11" s="1"/>
  <c r="W104" i="11"/>
  <c r="F104" i="11" s="1"/>
  <c r="X108" i="11"/>
  <c r="G108" i="11" s="1"/>
  <c r="V108" i="11"/>
  <c r="E108" i="11" s="1"/>
  <c r="W108" i="11"/>
  <c r="F108" i="11" s="1"/>
  <c r="W91" i="11"/>
  <c r="F91" i="11" s="1"/>
  <c r="V91" i="11"/>
  <c r="E91" i="11" s="1"/>
  <c r="X91" i="11"/>
  <c r="G91" i="11" s="1"/>
  <c r="V94" i="11"/>
  <c r="E94" i="11" s="1"/>
  <c r="X94" i="11"/>
  <c r="G94" i="11" s="1"/>
  <c r="W94" i="11"/>
  <c r="F94" i="11" s="1"/>
  <c r="V110" i="11"/>
  <c r="E110" i="11" s="1"/>
  <c r="X110" i="11"/>
  <c r="G110" i="11" s="1"/>
  <c r="W110" i="11"/>
  <c r="F110" i="11" s="1"/>
  <c r="W130" i="11"/>
  <c r="F130" i="11" s="1"/>
  <c r="V130" i="11"/>
  <c r="E130" i="11" s="1"/>
  <c r="X130" i="11"/>
  <c r="G130" i="11" s="1"/>
  <c r="V117" i="11"/>
  <c r="E117" i="11" s="1"/>
  <c r="X117" i="11"/>
  <c r="G117" i="11" s="1"/>
  <c r="W117" i="11"/>
  <c r="F117" i="11" s="1"/>
  <c r="V138" i="11"/>
  <c r="E138" i="11" s="1"/>
  <c r="W138" i="11"/>
  <c r="F138" i="11" s="1"/>
  <c r="X138" i="11"/>
  <c r="G138" i="11" s="1"/>
  <c r="W140" i="11"/>
  <c r="F140" i="11" s="1"/>
  <c r="X140" i="11"/>
  <c r="G140" i="11" s="1"/>
  <c r="V140" i="11"/>
  <c r="E140" i="11" s="1"/>
  <c r="X92" i="11"/>
  <c r="G92" i="11" s="1"/>
  <c r="V92" i="11"/>
  <c r="E92" i="11" s="1"/>
  <c r="W92" i="11"/>
  <c r="F92" i="11" s="1"/>
  <c r="W103" i="11"/>
  <c r="F103" i="11" s="1"/>
  <c r="V103" i="11"/>
  <c r="E103" i="11" s="1"/>
  <c r="X103" i="11"/>
  <c r="G103" i="11" s="1"/>
  <c r="W101" i="11"/>
  <c r="F101" i="11" s="1"/>
  <c r="X101" i="11"/>
  <c r="G101" i="11" s="1"/>
  <c r="V101" i="11"/>
  <c r="E101" i="11" s="1"/>
  <c r="W120" i="11"/>
  <c r="F120" i="11" s="1"/>
  <c r="X120" i="11"/>
  <c r="G120" i="11" s="1"/>
  <c r="V120" i="11"/>
  <c r="E120" i="11" s="1"/>
  <c r="W116" i="11"/>
  <c r="F116" i="11" s="1"/>
  <c r="X116" i="11"/>
  <c r="G116" i="11" s="1"/>
  <c r="V116" i="11"/>
  <c r="E116" i="11" s="1"/>
  <c r="V121" i="11"/>
  <c r="E121" i="11" s="1"/>
  <c r="X121" i="11"/>
  <c r="G121" i="11" s="1"/>
  <c r="W121" i="11"/>
  <c r="F121" i="11" s="1"/>
  <c r="W142" i="11"/>
  <c r="F142" i="11" s="1"/>
  <c r="X142" i="11"/>
  <c r="G142" i="11" s="1"/>
  <c r="V142" i="11"/>
  <c r="E142" i="11" s="1"/>
  <c r="V143" i="11"/>
  <c r="E143" i="11" s="1"/>
  <c r="W143" i="11"/>
  <c r="F143" i="11" s="1"/>
  <c r="X143" i="11"/>
  <c r="G143" i="11" s="1"/>
  <c r="W144" i="11"/>
  <c r="F144" i="11" s="1"/>
  <c r="V144" i="11"/>
  <c r="E144" i="11" s="1"/>
  <c r="X144" i="11"/>
  <c r="G144" i="11" s="1"/>
  <c r="W97" i="11"/>
  <c r="F97" i="11" s="1"/>
  <c r="X97" i="11"/>
  <c r="G97" i="11" s="1"/>
  <c r="V97" i="11"/>
  <c r="E97" i="11" s="1"/>
  <c r="W107" i="11"/>
  <c r="F107" i="11" s="1"/>
  <c r="V107" i="11"/>
  <c r="E107" i="11" s="1"/>
  <c r="X107" i="11"/>
  <c r="G107" i="11" s="1"/>
  <c r="W126" i="11"/>
  <c r="F126" i="11" s="1"/>
  <c r="V126" i="11"/>
  <c r="E126" i="11" s="1"/>
  <c r="X126" i="11"/>
  <c r="G126" i="11" s="1"/>
  <c r="X119" i="11"/>
  <c r="G119" i="11" s="1"/>
  <c r="V119" i="11"/>
  <c r="E119" i="11" s="1"/>
  <c r="W119" i="11"/>
  <c r="F119" i="11" s="1"/>
  <c r="X127" i="11"/>
  <c r="G127" i="11" s="1"/>
  <c r="V127" i="11"/>
  <c r="E127" i="11" s="1"/>
  <c r="W127" i="11"/>
  <c r="F127" i="11" s="1"/>
  <c r="W128" i="11"/>
  <c r="F128" i="11" s="1"/>
  <c r="X128" i="11"/>
  <c r="G128" i="11" s="1"/>
  <c r="V128" i="11"/>
  <c r="E128" i="11" s="1"/>
  <c r="V129" i="11"/>
  <c r="E129" i="11" s="1"/>
  <c r="X129" i="11"/>
  <c r="G129" i="11" s="1"/>
  <c r="W129" i="11"/>
  <c r="F129" i="11" s="1"/>
  <c r="X137" i="11"/>
  <c r="G137" i="11" s="1"/>
  <c r="V137" i="11"/>
  <c r="E137" i="11" s="1"/>
  <c r="W137" i="11"/>
  <c r="F137" i="11" s="1"/>
  <c r="V151" i="11"/>
  <c r="E151" i="11" s="1"/>
  <c r="W151" i="11"/>
  <c r="F151" i="11" s="1"/>
  <c r="X151" i="11"/>
  <c r="G151" i="11" s="1"/>
  <c r="V154" i="11"/>
  <c r="E154" i="11" s="1"/>
  <c r="X154" i="11"/>
  <c r="G154" i="11" s="1"/>
  <c r="W154" i="11"/>
  <c r="F154" i="11" s="1"/>
  <c r="V155" i="11"/>
  <c r="E155" i="11" s="1"/>
  <c r="X155" i="11"/>
  <c r="G155" i="11" s="1"/>
  <c r="W155" i="11"/>
  <c r="F155" i="11" s="1"/>
  <c r="W152" i="11"/>
  <c r="F152" i="11" s="1"/>
  <c r="V152" i="11"/>
  <c r="E152" i="11" s="1"/>
  <c r="X152" i="11"/>
  <c r="G152" i="11" s="1"/>
  <c r="W109" i="11"/>
  <c r="F109" i="11" s="1"/>
  <c r="X109" i="11"/>
  <c r="G109" i="11" s="1"/>
  <c r="V109" i="11"/>
  <c r="E109" i="11" s="1"/>
  <c r="W99" i="11"/>
  <c r="F99" i="11" s="1"/>
  <c r="V99" i="11"/>
  <c r="E99" i="11" s="1"/>
  <c r="X99" i="11"/>
  <c r="G99" i="11" s="1"/>
  <c r="W95" i="11"/>
  <c r="F95" i="11" s="1"/>
  <c r="V95" i="11"/>
  <c r="E95" i="11" s="1"/>
  <c r="X95" i="11"/>
  <c r="G95" i="11" s="1"/>
  <c r="X96" i="11"/>
  <c r="G96" i="11" s="1"/>
  <c r="V96" i="11"/>
  <c r="E96" i="11" s="1"/>
  <c r="W96" i="11"/>
  <c r="F96" i="11" s="1"/>
  <c r="V98" i="11"/>
  <c r="E98" i="11" s="1"/>
  <c r="X98" i="11"/>
  <c r="G98" i="11" s="1"/>
  <c r="W98" i="11"/>
  <c r="F98" i="11" s="1"/>
  <c r="X138" i="54"/>
  <c r="G138" i="54" s="1"/>
  <c r="W138" i="54"/>
  <c r="V138" i="54"/>
  <c r="E138" i="54" s="1"/>
  <c r="V139" i="54"/>
  <c r="E139" i="54" s="1"/>
  <c r="X139" i="54"/>
  <c r="G139" i="54" s="1"/>
  <c r="W139" i="54"/>
  <c r="W143" i="54"/>
  <c r="V143" i="54"/>
  <c r="E143" i="54" s="1"/>
  <c r="X143" i="54"/>
  <c r="G143" i="54" s="1"/>
  <c r="X142" i="54"/>
  <c r="G142" i="54" s="1"/>
  <c r="W142" i="54"/>
  <c r="V142" i="54"/>
  <c r="E142" i="54" s="1"/>
  <c r="X141" i="54"/>
  <c r="G141" i="54" s="1"/>
  <c r="W141" i="54"/>
  <c r="V141" i="54"/>
  <c r="E141" i="54" s="1"/>
  <c r="V150" i="54"/>
  <c r="E150" i="54" s="1"/>
  <c r="W150" i="54"/>
  <c r="F150" i="54" s="1"/>
  <c r="X150" i="54"/>
  <c r="G150" i="54" s="1"/>
  <c r="V116" i="54"/>
  <c r="E116" i="54" s="1"/>
  <c r="W116" i="54"/>
  <c r="F116" i="54" s="1"/>
  <c r="X116" i="54"/>
  <c r="G116" i="54" s="1"/>
  <c r="V127" i="54"/>
  <c r="E127" i="54" s="1"/>
  <c r="X127" i="54"/>
  <c r="G127" i="54" s="1"/>
  <c r="W127" i="54"/>
  <c r="F127" i="54" s="1"/>
  <c r="X119" i="54"/>
  <c r="G119" i="54" s="1"/>
  <c r="W119" i="54"/>
  <c r="F119" i="54" s="1"/>
  <c r="V119" i="54"/>
  <c r="E119" i="54" s="1"/>
  <c r="V120" i="54"/>
  <c r="E120" i="54" s="1"/>
  <c r="X120" i="54"/>
  <c r="G120" i="54" s="1"/>
  <c r="W120" i="54"/>
  <c r="F120" i="54" s="1"/>
  <c r="W121" i="54"/>
  <c r="F121" i="54" s="1"/>
  <c r="X121" i="54"/>
  <c r="G121" i="54" s="1"/>
  <c r="V121" i="54"/>
  <c r="E121" i="54" s="1"/>
  <c r="X91" i="54"/>
  <c r="G91" i="54" s="1"/>
  <c r="W91" i="54"/>
  <c r="V91" i="54"/>
  <c r="E91" i="54" s="1"/>
  <c r="W101" i="54"/>
  <c r="F101" i="54" s="1"/>
  <c r="V101" i="54"/>
  <c r="E101" i="54" s="1"/>
  <c r="X101" i="54"/>
  <c r="G101" i="54" s="1"/>
  <c r="W97" i="54"/>
  <c r="F97" i="54" s="1"/>
  <c r="V97" i="54"/>
  <c r="E97" i="54" s="1"/>
  <c r="X97" i="54"/>
  <c r="G97" i="54" s="1"/>
  <c r="X99" i="54"/>
  <c r="G99" i="54" s="1"/>
  <c r="V99" i="54"/>
  <c r="E99" i="54" s="1"/>
  <c r="W99" i="54"/>
  <c r="F99" i="54" s="1"/>
  <c r="X98" i="54"/>
  <c r="G98" i="54" s="1"/>
  <c r="W98" i="54"/>
  <c r="F98" i="54" s="1"/>
  <c r="V98" i="54"/>
  <c r="E98" i="54" s="1"/>
  <c r="W140" i="54"/>
  <c r="V140" i="54"/>
  <c r="E140" i="54" s="1"/>
  <c r="X140" i="54"/>
  <c r="G140" i="54" s="1"/>
  <c r="X148" i="54"/>
  <c r="G148" i="54" s="1"/>
  <c r="W148" i="54"/>
  <c r="F148" i="54" s="1"/>
  <c r="V148" i="54"/>
  <c r="E148" i="54" s="1"/>
  <c r="W147" i="54"/>
  <c r="F147" i="54" s="1"/>
  <c r="X147" i="54"/>
  <c r="G147" i="54" s="1"/>
  <c r="V147" i="54"/>
  <c r="E147" i="54" s="1"/>
  <c r="V145" i="54"/>
  <c r="E145" i="54" s="1"/>
  <c r="X145" i="54"/>
  <c r="G145" i="54" s="1"/>
  <c r="W145" i="54"/>
  <c r="V154" i="54"/>
  <c r="E154" i="54" s="1"/>
  <c r="X154" i="54"/>
  <c r="G154" i="54" s="1"/>
  <c r="W154" i="54"/>
  <c r="F154" i="54" s="1"/>
  <c r="X118" i="54"/>
  <c r="G118" i="54" s="1"/>
  <c r="V118" i="54"/>
  <c r="E118" i="54" s="1"/>
  <c r="W118" i="54"/>
  <c r="F118" i="54" s="1"/>
  <c r="X122" i="54"/>
  <c r="G122" i="54" s="1"/>
  <c r="W122" i="54"/>
  <c r="F122" i="54" s="1"/>
  <c r="V122" i="54"/>
  <c r="E122" i="54" s="1"/>
  <c r="V124" i="54"/>
  <c r="E124" i="54" s="1"/>
  <c r="X124" i="54"/>
  <c r="G124" i="54" s="1"/>
  <c r="W124" i="54"/>
  <c r="F124" i="54" s="1"/>
  <c r="X126" i="54"/>
  <c r="G126" i="54" s="1"/>
  <c r="W126" i="54"/>
  <c r="F126" i="54" s="1"/>
  <c r="V126" i="54"/>
  <c r="E126" i="54" s="1"/>
  <c r="W125" i="54"/>
  <c r="F125" i="54" s="1"/>
  <c r="V125" i="54"/>
  <c r="E125" i="54" s="1"/>
  <c r="X125" i="54"/>
  <c r="G125" i="54" s="1"/>
  <c r="X95" i="54"/>
  <c r="G95" i="54" s="1"/>
  <c r="W95" i="54"/>
  <c r="V95" i="54"/>
  <c r="E95" i="54" s="1"/>
  <c r="W105" i="54"/>
  <c r="F105" i="54" s="1"/>
  <c r="V105" i="54"/>
  <c r="E105" i="54" s="1"/>
  <c r="X105" i="54"/>
  <c r="G105" i="54" s="1"/>
  <c r="X103" i="54"/>
  <c r="G103" i="54" s="1"/>
  <c r="W103" i="54"/>
  <c r="F103" i="54" s="1"/>
  <c r="V103" i="54"/>
  <c r="E103" i="54" s="1"/>
  <c r="V104" i="54"/>
  <c r="E104" i="54" s="1"/>
  <c r="X104" i="54"/>
  <c r="G104" i="54" s="1"/>
  <c r="W104" i="54"/>
  <c r="F104" i="54" s="1"/>
  <c r="X102" i="54"/>
  <c r="G102" i="54" s="1"/>
  <c r="W102" i="54"/>
  <c r="F102" i="54" s="1"/>
  <c r="V102" i="54"/>
  <c r="E102" i="54" s="1"/>
  <c r="V146" i="54"/>
  <c r="E146" i="54" s="1"/>
  <c r="X146" i="54"/>
  <c r="G146" i="54" s="1"/>
  <c r="W146" i="54"/>
  <c r="X144" i="54"/>
  <c r="G144" i="54" s="1"/>
  <c r="V144" i="54"/>
  <c r="E144" i="54" s="1"/>
  <c r="W144" i="54"/>
  <c r="W155" i="54"/>
  <c r="F155" i="54" s="1"/>
  <c r="X155" i="54"/>
  <c r="G155" i="54" s="1"/>
  <c r="V155" i="54"/>
  <c r="E155" i="54" s="1"/>
  <c r="V149" i="54"/>
  <c r="E149" i="54" s="1"/>
  <c r="X149" i="54"/>
  <c r="G149" i="54" s="1"/>
  <c r="W149" i="54"/>
  <c r="F149" i="54" s="1"/>
  <c r="V128" i="54"/>
  <c r="E128" i="54" s="1"/>
  <c r="X128" i="54"/>
  <c r="G128" i="54" s="1"/>
  <c r="W128" i="54"/>
  <c r="F128" i="54" s="1"/>
  <c r="W132" i="54"/>
  <c r="F132" i="54" s="1"/>
  <c r="V132" i="54"/>
  <c r="E132" i="54" s="1"/>
  <c r="X132" i="54"/>
  <c r="G132" i="54" s="1"/>
  <c r="X130" i="54"/>
  <c r="G130" i="54" s="1"/>
  <c r="W130" i="54"/>
  <c r="F130" i="54" s="1"/>
  <c r="V130" i="54"/>
  <c r="E130" i="54" s="1"/>
  <c r="V131" i="54"/>
  <c r="E131" i="54" s="1"/>
  <c r="W131" i="54"/>
  <c r="F131" i="54" s="1"/>
  <c r="X131" i="54"/>
  <c r="G131" i="54" s="1"/>
  <c r="W129" i="54"/>
  <c r="F129" i="54" s="1"/>
  <c r="X129" i="54"/>
  <c r="G129" i="54" s="1"/>
  <c r="V129" i="54"/>
  <c r="E129" i="54" s="1"/>
  <c r="V96" i="54"/>
  <c r="E96" i="54" s="1"/>
  <c r="X96" i="54"/>
  <c r="G96" i="54" s="1"/>
  <c r="W96" i="54"/>
  <c r="F96" i="54" s="1"/>
  <c r="V100" i="54"/>
  <c r="E100" i="54" s="1"/>
  <c r="X100" i="54"/>
  <c r="G100" i="54" s="1"/>
  <c r="W100" i="54"/>
  <c r="F100" i="54" s="1"/>
  <c r="V108" i="54"/>
  <c r="E108" i="54" s="1"/>
  <c r="X108" i="54"/>
  <c r="G108" i="54" s="1"/>
  <c r="W108" i="54"/>
  <c r="F108" i="54" s="1"/>
  <c r="W109" i="54"/>
  <c r="F109" i="54" s="1"/>
  <c r="V109" i="54"/>
  <c r="E109" i="54" s="1"/>
  <c r="X109" i="54"/>
  <c r="G109" i="54" s="1"/>
  <c r="X106" i="54"/>
  <c r="G106" i="54" s="1"/>
  <c r="W106" i="54"/>
  <c r="F106" i="54" s="1"/>
  <c r="V106" i="54"/>
  <c r="E106" i="54" s="1"/>
  <c r="X156" i="54"/>
  <c r="G156" i="54" s="1"/>
  <c r="W156" i="54"/>
  <c r="F156" i="54" s="1"/>
  <c r="V156" i="54"/>
  <c r="E156" i="54" s="1"/>
  <c r="X152" i="54"/>
  <c r="G152" i="54" s="1"/>
  <c r="V152" i="54"/>
  <c r="E152" i="54" s="1"/>
  <c r="W152" i="54"/>
  <c r="F152" i="54" s="1"/>
  <c r="W151" i="54"/>
  <c r="F151" i="54" s="1"/>
  <c r="X151" i="54"/>
  <c r="G151" i="54" s="1"/>
  <c r="V151" i="54"/>
  <c r="E151" i="54" s="1"/>
  <c r="X137" i="54"/>
  <c r="G137" i="54" s="1"/>
  <c r="W137" i="54"/>
  <c r="V137" i="54"/>
  <c r="E137" i="54" s="1"/>
  <c r="X153" i="54"/>
  <c r="G153" i="54" s="1"/>
  <c r="W153" i="54"/>
  <c r="F153" i="54" s="1"/>
  <c r="V153" i="54"/>
  <c r="E153" i="54" s="1"/>
  <c r="W123" i="54"/>
  <c r="F123" i="54" s="1"/>
  <c r="V123" i="54"/>
  <c r="E123" i="54" s="1"/>
  <c r="X123" i="54"/>
  <c r="G123" i="54" s="1"/>
  <c r="X114" i="54"/>
  <c r="G114" i="54" s="1"/>
  <c r="W114" i="54"/>
  <c r="V114" i="54"/>
  <c r="E114" i="54" s="1"/>
  <c r="X115" i="54"/>
  <c r="G115" i="54" s="1"/>
  <c r="W115" i="54"/>
  <c r="F115" i="54" s="1"/>
  <c r="V115" i="54"/>
  <c r="E115" i="54" s="1"/>
  <c r="W117" i="54"/>
  <c r="F117" i="54" s="1"/>
  <c r="X117" i="54"/>
  <c r="G117" i="54" s="1"/>
  <c r="V117" i="54"/>
  <c r="E117" i="54" s="1"/>
  <c r="X133" i="54"/>
  <c r="G133" i="54" s="1"/>
  <c r="W133" i="54"/>
  <c r="F133" i="54" s="1"/>
  <c r="V133" i="54"/>
  <c r="E133" i="54" s="1"/>
  <c r="X107" i="54"/>
  <c r="G107" i="54" s="1"/>
  <c r="W107" i="54"/>
  <c r="F107" i="54" s="1"/>
  <c r="V107" i="54"/>
  <c r="E107" i="54" s="1"/>
  <c r="V92" i="54"/>
  <c r="E92" i="54" s="1"/>
  <c r="X92" i="54"/>
  <c r="G92" i="54" s="1"/>
  <c r="W92" i="54"/>
  <c r="W93" i="54"/>
  <c r="V93" i="54"/>
  <c r="E93" i="54" s="1"/>
  <c r="X93" i="54"/>
  <c r="G93" i="54" s="1"/>
  <c r="X94" i="54"/>
  <c r="G94" i="54" s="1"/>
  <c r="W94" i="54"/>
  <c r="V94" i="54"/>
  <c r="E94" i="54" s="1"/>
  <c r="X110" i="54"/>
  <c r="G110" i="54" s="1"/>
  <c r="W110" i="54"/>
  <c r="F110" i="54" s="1"/>
  <c r="V110" i="54"/>
  <c r="E110" i="54" s="1"/>
  <c r="G39" i="6"/>
  <c r="G38" i="6"/>
  <c r="F39" i="6"/>
  <c r="F38" i="6"/>
  <c r="F44" i="6"/>
  <c r="G44" i="6"/>
  <c r="E44" i="6"/>
  <c r="E39" i="6"/>
  <c r="E38" i="6"/>
  <c r="C140" i="72"/>
  <c r="BD137" i="47"/>
  <c r="K137" i="47" s="1"/>
  <c r="BC137" i="47"/>
  <c r="Z137" i="47"/>
  <c r="N137" i="47" s="1"/>
  <c r="BE137" i="47"/>
  <c r="L137" i="47" s="1"/>
  <c r="BB137" i="47"/>
  <c r="I137" i="47" s="1"/>
  <c r="J140" i="72" s="1"/>
  <c r="C153" i="72"/>
  <c r="BD150" i="47"/>
  <c r="K150" i="47" s="1"/>
  <c r="BC150" i="47"/>
  <c r="BB150" i="47"/>
  <c r="I150" i="47" s="1"/>
  <c r="J153" i="72" s="1"/>
  <c r="BE150" i="47"/>
  <c r="L150" i="47" s="1"/>
  <c r="Z150" i="47"/>
  <c r="N150" i="47" s="1"/>
  <c r="C147" i="72"/>
  <c r="BD144" i="47"/>
  <c r="K144" i="47" s="1"/>
  <c r="BC144" i="47"/>
  <c r="BB144" i="47"/>
  <c r="I144" i="47" s="1"/>
  <c r="J147" i="72" s="1"/>
  <c r="BE144" i="47"/>
  <c r="L144" i="47" s="1"/>
  <c r="Z144" i="47"/>
  <c r="N144" i="47" s="1"/>
  <c r="C127" i="72"/>
  <c r="BD124" i="47"/>
  <c r="K124" i="47" s="1"/>
  <c r="BC124" i="47"/>
  <c r="BE124" i="47"/>
  <c r="L124" i="47" s="1"/>
  <c r="Z124" i="47"/>
  <c r="N124" i="47" s="1"/>
  <c r="BB124" i="47"/>
  <c r="I124" i="47" s="1"/>
  <c r="J127" i="72" s="1"/>
  <c r="C126" i="72"/>
  <c r="BD123" i="47"/>
  <c r="K123" i="47" s="1"/>
  <c r="BC123" i="47"/>
  <c r="BB123" i="47"/>
  <c r="I123" i="47" s="1"/>
  <c r="J126" i="72" s="1"/>
  <c r="BE123" i="47"/>
  <c r="L123" i="47" s="1"/>
  <c r="Z123" i="47"/>
  <c r="N123" i="47" s="1"/>
  <c r="C132" i="72"/>
  <c r="BD129" i="47"/>
  <c r="K129" i="47" s="1"/>
  <c r="BC129" i="47"/>
  <c r="BB129" i="47"/>
  <c r="I129" i="47" s="1"/>
  <c r="J132" i="72" s="1"/>
  <c r="BE129" i="47"/>
  <c r="L129" i="47" s="1"/>
  <c r="Z129" i="47"/>
  <c r="N129" i="47" s="1"/>
  <c r="C98" i="72"/>
  <c r="BC95" i="47"/>
  <c r="BB95" i="47"/>
  <c r="I95" i="47" s="1"/>
  <c r="J98" i="72" s="1"/>
  <c r="BE95" i="47"/>
  <c r="L95" i="47" s="1"/>
  <c r="Z95" i="47"/>
  <c r="N95" i="47" s="1"/>
  <c r="BD95" i="47"/>
  <c r="K95" i="47" s="1"/>
  <c r="C109" i="72"/>
  <c r="BD106" i="47"/>
  <c r="K106" i="47" s="1"/>
  <c r="BC106" i="47"/>
  <c r="BB106" i="47"/>
  <c r="I106" i="47" s="1"/>
  <c r="J109" i="72" s="1"/>
  <c r="BE106" i="47"/>
  <c r="L106" i="47" s="1"/>
  <c r="Z106" i="47"/>
  <c r="N106" i="47" s="1"/>
  <c r="C141" i="72"/>
  <c r="BD138" i="47"/>
  <c r="K138" i="47" s="1"/>
  <c r="BC138" i="47"/>
  <c r="BB138" i="47"/>
  <c r="I138" i="47" s="1"/>
  <c r="J141" i="72" s="1"/>
  <c r="BE138" i="47"/>
  <c r="L138" i="47" s="1"/>
  <c r="Z138" i="47"/>
  <c r="N138" i="47" s="1"/>
  <c r="C117" i="72"/>
  <c r="BD114" i="47"/>
  <c r="K114" i="47" s="1"/>
  <c r="BC114" i="47"/>
  <c r="Z114" i="47"/>
  <c r="N114" i="47" s="1"/>
  <c r="BE114" i="47"/>
  <c r="L114" i="47" s="1"/>
  <c r="BB114" i="47"/>
  <c r="I114" i="47" s="1"/>
  <c r="J117" i="72" s="1"/>
  <c r="C130" i="72"/>
  <c r="BD127" i="47"/>
  <c r="K127" i="47" s="1"/>
  <c r="BC127" i="47"/>
  <c r="BB127" i="47"/>
  <c r="I127" i="47" s="1"/>
  <c r="J130" i="72" s="1"/>
  <c r="BE127" i="47"/>
  <c r="L127" i="47" s="1"/>
  <c r="Z127" i="47"/>
  <c r="N127" i="47" s="1"/>
  <c r="C136" i="72"/>
  <c r="BD133" i="47"/>
  <c r="K133" i="47" s="1"/>
  <c r="BC133" i="47"/>
  <c r="BB133" i="47"/>
  <c r="I133" i="47" s="1"/>
  <c r="J136" i="72" s="1"/>
  <c r="BE133" i="47"/>
  <c r="L133" i="47" s="1"/>
  <c r="Z133" i="47"/>
  <c r="N133" i="47" s="1"/>
  <c r="C102" i="72"/>
  <c r="BC99" i="47"/>
  <c r="BB99" i="47"/>
  <c r="I99" i="47" s="1"/>
  <c r="J102" i="72" s="1"/>
  <c r="Z99" i="47"/>
  <c r="N99" i="47" s="1"/>
  <c r="BE99" i="47"/>
  <c r="L99" i="47" s="1"/>
  <c r="BD99" i="47"/>
  <c r="K99" i="47" s="1"/>
  <c r="C97" i="72"/>
  <c r="BC94" i="47"/>
  <c r="BE94" i="47"/>
  <c r="L94" i="47" s="1"/>
  <c r="Z94" i="47"/>
  <c r="N94" i="47" s="1"/>
  <c r="BD94" i="47"/>
  <c r="K94" i="47" s="1"/>
  <c r="BB94" i="47"/>
  <c r="I94" i="47" s="1"/>
  <c r="J97" i="72" s="1"/>
  <c r="C113" i="72"/>
  <c r="BD110" i="47"/>
  <c r="K110" i="47" s="1"/>
  <c r="BC110" i="47"/>
  <c r="BB110" i="47"/>
  <c r="I110" i="47" s="1"/>
  <c r="J113" i="72" s="1"/>
  <c r="BE110" i="47"/>
  <c r="L110" i="47" s="1"/>
  <c r="Z110" i="47"/>
  <c r="N110" i="47" s="1"/>
  <c r="C148" i="72"/>
  <c r="BD145" i="47"/>
  <c r="K145" i="47" s="1"/>
  <c r="BC145" i="47"/>
  <c r="Z145" i="47"/>
  <c r="N145" i="47" s="1"/>
  <c r="BE145" i="47"/>
  <c r="L145" i="47" s="1"/>
  <c r="BB145" i="47"/>
  <c r="I145" i="47" s="1"/>
  <c r="J148" i="72" s="1"/>
  <c r="C145" i="72"/>
  <c r="BD142" i="47"/>
  <c r="K142" i="47" s="1"/>
  <c r="BC142" i="47"/>
  <c r="BB142" i="47"/>
  <c r="I142" i="47" s="1"/>
  <c r="J145" i="72" s="1"/>
  <c r="BE142" i="47"/>
  <c r="L142" i="47" s="1"/>
  <c r="Z142" i="47"/>
  <c r="N142" i="47" s="1"/>
  <c r="C142" i="72"/>
  <c r="BD139" i="47"/>
  <c r="K139" i="47" s="1"/>
  <c r="BC139" i="47"/>
  <c r="BE139" i="47"/>
  <c r="L139" i="47" s="1"/>
  <c r="Z139" i="47"/>
  <c r="N139" i="47" s="1"/>
  <c r="BB139" i="47"/>
  <c r="I139" i="47" s="1"/>
  <c r="J142" i="72" s="1"/>
  <c r="C158" i="72"/>
  <c r="BD155" i="47"/>
  <c r="K155" i="47" s="1"/>
  <c r="BC155" i="47"/>
  <c r="BE155" i="47"/>
  <c r="L155" i="47" s="1"/>
  <c r="Z155" i="47"/>
  <c r="N155" i="47" s="1"/>
  <c r="BB155" i="47"/>
  <c r="I155" i="47" s="1"/>
  <c r="J158" i="72" s="1"/>
  <c r="C155" i="72"/>
  <c r="BD152" i="47"/>
  <c r="K152" i="47" s="1"/>
  <c r="BC152" i="47"/>
  <c r="BB152" i="47"/>
  <c r="I152" i="47" s="1"/>
  <c r="J155" i="72" s="1"/>
  <c r="BE152" i="47"/>
  <c r="L152" i="47" s="1"/>
  <c r="Z152" i="47"/>
  <c r="N152" i="47" s="1"/>
  <c r="C123" i="72"/>
  <c r="BD120" i="47"/>
  <c r="K120" i="47" s="1"/>
  <c r="BC120" i="47"/>
  <c r="BE120" i="47"/>
  <c r="L120" i="47" s="1"/>
  <c r="Z120" i="47"/>
  <c r="N120" i="47" s="1"/>
  <c r="BB120" i="47"/>
  <c r="I120" i="47" s="1"/>
  <c r="J123" i="72" s="1"/>
  <c r="C121" i="72"/>
  <c r="BD118" i="47"/>
  <c r="K118" i="47" s="1"/>
  <c r="BC118" i="47"/>
  <c r="Z118" i="47"/>
  <c r="N118" i="47" s="1"/>
  <c r="BE118" i="47"/>
  <c r="L118" i="47" s="1"/>
  <c r="BB118" i="47"/>
  <c r="I118" i="47" s="1"/>
  <c r="J121" i="72" s="1"/>
  <c r="C118" i="72"/>
  <c r="BD115" i="47"/>
  <c r="K115" i="47" s="1"/>
  <c r="BC115" i="47"/>
  <c r="BB115" i="47"/>
  <c r="I115" i="47" s="1"/>
  <c r="J118" i="72" s="1"/>
  <c r="BE115" i="47"/>
  <c r="L115" i="47" s="1"/>
  <c r="Z115" i="47"/>
  <c r="N115" i="47" s="1"/>
  <c r="C134" i="72"/>
  <c r="BD131" i="47"/>
  <c r="K131" i="47" s="1"/>
  <c r="BC131" i="47"/>
  <c r="BB131" i="47"/>
  <c r="I131" i="47" s="1"/>
  <c r="J134" i="72" s="1"/>
  <c r="BE131" i="47"/>
  <c r="L131" i="47" s="1"/>
  <c r="Z131" i="47"/>
  <c r="N131" i="47" s="1"/>
  <c r="C124" i="72"/>
  <c r="BD121" i="47"/>
  <c r="K121" i="47" s="1"/>
  <c r="BC121" i="47"/>
  <c r="BB121" i="47"/>
  <c r="I121" i="47" s="1"/>
  <c r="J124" i="72" s="1"/>
  <c r="BE121" i="47"/>
  <c r="L121" i="47" s="1"/>
  <c r="Z121" i="47"/>
  <c r="N121" i="47" s="1"/>
  <c r="C96" i="72"/>
  <c r="BC93" i="47"/>
  <c r="BD93" i="47"/>
  <c r="K93" i="47" s="1"/>
  <c r="BE93" i="47"/>
  <c r="L93" i="47" s="1"/>
  <c r="BB93" i="47"/>
  <c r="I93" i="47" s="1"/>
  <c r="J96" i="72" s="1"/>
  <c r="Z93" i="47"/>
  <c r="N93" i="47" s="1"/>
  <c r="C108" i="72"/>
  <c r="BD105" i="47"/>
  <c r="K105" i="47" s="1"/>
  <c r="BC105" i="47"/>
  <c r="BE105" i="47"/>
  <c r="L105" i="47" s="1"/>
  <c r="Z105" i="47"/>
  <c r="N105" i="47" s="1"/>
  <c r="BB105" i="47"/>
  <c r="I105" i="47" s="1"/>
  <c r="J108" i="72" s="1"/>
  <c r="C106" i="72"/>
  <c r="BD103" i="47"/>
  <c r="K103" i="47" s="1"/>
  <c r="BC103" i="47"/>
  <c r="Z103" i="47"/>
  <c r="N103" i="47" s="1"/>
  <c r="BE103" i="47"/>
  <c r="L103" i="47" s="1"/>
  <c r="BB103" i="47"/>
  <c r="I103" i="47" s="1"/>
  <c r="J106" i="72" s="1"/>
  <c r="C103" i="72"/>
  <c r="BD100" i="47"/>
  <c r="K100" i="47" s="1"/>
  <c r="BC100" i="47"/>
  <c r="BB100" i="47"/>
  <c r="I100" i="47" s="1"/>
  <c r="J103" i="72" s="1"/>
  <c r="BE100" i="47"/>
  <c r="L100" i="47" s="1"/>
  <c r="Z100" i="47"/>
  <c r="N100" i="47" s="1"/>
  <c r="C101" i="72"/>
  <c r="BC98" i="47"/>
  <c r="BE98" i="47"/>
  <c r="L98" i="47" s="1"/>
  <c r="BD98" i="47"/>
  <c r="K98" i="47" s="1"/>
  <c r="Z98" i="47"/>
  <c r="N98" i="47" s="1"/>
  <c r="BB98" i="47"/>
  <c r="I98" i="47" s="1"/>
  <c r="J101" i="72" s="1"/>
  <c r="C156" i="72"/>
  <c r="BD153" i="47"/>
  <c r="K153" i="47" s="1"/>
  <c r="BC153" i="47"/>
  <c r="Z153" i="47"/>
  <c r="N153" i="47" s="1"/>
  <c r="BE153" i="47"/>
  <c r="L153" i="47" s="1"/>
  <c r="BB153" i="47"/>
  <c r="I153" i="47" s="1"/>
  <c r="J156" i="72" s="1"/>
  <c r="C150" i="72"/>
  <c r="BD147" i="47"/>
  <c r="K147" i="47" s="1"/>
  <c r="BC147" i="47"/>
  <c r="BE147" i="47"/>
  <c r="L147" i="47" s="1"/>
  <c r="Z147" i="47"/>
  <c r="N147" i="47" s="1"/>
  <c r="BB147" i="47"/>
  <c r="I147" i="47" s="1"/>
  <c r="J150" i="72" s="1"/>
  <c r="C129" i="72"/>
  <c r="BD126" i="47"/>
  <c r="K126" i="47" s="1"/>
  <c r="BC126" i="47"/>
  <c r="Z126" i="47"/>
  <c r="N126" i="47" s="1"/>
  <c r="BE126" i="47"/>
  <c r="L126" i="47" s="1"/>
  <c r="BB126" i="47"/>
  <c r="I126" i="47" s="1"/>
  <c r="J129" i="72" s="1"/>
  <c r="C135" i="72"/>
  <c r="BD132" i="47"/>
  <c r="K132" i="47" s="1"/>
  <c r="BC132" i="47"/>
  <c r="BE132" i="47"/>
  <c r="L132" i="47" s="1"/>
  <c r="Z132" i="47"/>
  <c r="N132" i="47" s="1"/>
  <c r="BB132" i="47"/>
  <c r="I132" i="47" s="1"/>
  <c r="J135" i="72" s="1"/>
  <c r="C100" i="72"/>
  <c r="BC97" i="47"/>
  <c r="BD97" i="47"/>
  <c r="K97" i="47" s="1"/>
  <c r="BE97" i="47"/>
  <c r="L97" i="47" s="1"/>
  <c r="Z97" i="47"/>
  <c r="N97" i="47" s="1"/>
  <c r="BB97" i="47"/>
  <c r="I97" i="47" s="1"/>
  <c r="J100" i="72" s="1"/>
  <c r="C95" i="72"/>
  <c r="BC92" i="47"/>
  <c r="BB92" i="47"/>
  <c r="I92" i="47" s="1"/>
  <c r="J95" i="72" s="1"/>
  <c r="BD92" i="47"/>
  <c r="K92" i="47" s="1"/>
  <c r="Z92" i="47"/>
  <c r="N92" i="47" s="1"/>
  <c r="BE92" i="47"/>
  <c r="L92" i="47" s="1"/>
  <c r="C111" i="72"/>
  <c r="BD108" i="47"/>
  <c r="K108" i="47" s="1"/>
  <c r="BC108" i="47"/>
  <c r="BB108" i="47"/>
  <c r="I108" i="47" s="1"/>
  <c r="J111" i="72" s="1"/>
  <c r="BE108" i="47"/>
  <c r="L108" i="47" s="1"/>
  <c r="Z108" i="47"/>
  <c r="N108" i="47" s="1"/>
  <c r="C144" i="72"/>
  <c r="BD141" i="47"/>
  <c r="K141" i="47" s="1"/>
  <c r="BC141" i="47"/>
  <c r="Z141" i="47"/>
  <c r="N141" i="47" s="1"/>
  <c r="BE141" i="47"/>
  <c r="L141" i="47" s="1"/>
  <c r="BB141" i="47"/>
  <c r="I141" i="47" s="1"/>
  <c r="J144" i="72" s="1"/>
  <c r="C157" i="72"/>
  <c r="BD154" i="47"/>
  <c r="K154" i="47" s="1"/>
  <c r="BC154" i="47"/>
  <c r="BB154" i="47"/>
  <c r="I154" i="47" s="1"/>
  <c r="J157" i="72" s="1"/>
  <c r="BE154" i="47"/>
  <c r="L154" i="47" s="1"/>
  <c r="Z154" i="47"/>
  <c r="N154" i="47" s="1"/>
  <c r="C154" i="72"/>
  <c r="BD151" i="47"/>
  <c r="K151" i="47" s="1"/>
  <c r="BC151" i="47"/>
  <c r="BE151" i="47"/>
  <c r="L151" i="47" s="1"/>
  <c r="Z151" i="47"/>
  <c r="N151" i="47" s="1"/>
  <c r="BB151" i="47"/>
  <c r="I151" i="47" s="1"/>
  <c r="J154" i="72" s="1"/>
  <c r="C151" i="72"/>
  <c r="BD148" i="47"/>
  <c r="K148" i="47" s="1"/>
  <c r="BC148" i="47"/>
  <c r="BB148" i="47"/>
  <c r="I148" i="47" s="1"/>
  <c r="J151" i="72" s="1"/>
  <c r="BE148" i="47"/>
  <c r="L148" i="47" s="1"/>
  <c r="Z148" i="47"/>
  <c r="N148" i="47" s="1"/>
  <c r="C133" i="72"/>
  <c r="BD130" i="47"/>
  <c r="K130" i="47" s="1"/>
  <c r="BC130" i="47"/>
  <c r="Z130" i="47"/>
  <c r="N130" i="47" s="1"/>
  <c r="BE130" i="47"/>
  <c r="L130" i="47" s="1"/>
  <c r="BB130" i="47"/>
  <c r="I130" i="47" s="1"/>
  <c r="J133" i="72" s="1"/>
  <c r="C120" i="72"/>
  <c r="BD117" i="47"/>
  <c r="K117" i="47" s="1"/>
  <c r="BC117" i="47"/>
  <c r="BB117" i="47"/>
  <c r="I117" i="47" s="1"/>
  <c r="J120" i="72" s="1"/>
  <c r="BE117" i="47"/>
  <c r="L117" i="47" s="1"/>
  <c r="Z117" i="47"/>
  <c r="N117" i="47" s="1"/>
  <c r="C104" i="72"/>
  <c r="BD101" i="47"/>
  <c r="K101" i="47" s="1"/>
  <c r="BC101" i="47"/>
  <c r="BE101" i="47"/>
  <c r="L101" i="47" s="1"/>
  <c r="Z101" i="47"/>
  <c r="N101" i="47" s="1"/>
  <c r="BB101" i="47"/>
  <c r="I101" i="47" s="1"/>
  <c r="J104" i="72" s="1"/>
  <c r="C99" i="72"/>
  <c r="BC96" i="47"/>
  <c r="BB96" i="47"/>
  <c r="I96" i="47" s="1"/>
  <c r="J99" i="72" s="1"/>
  <c r="BD96" i="47"/>
  <c r="K96" i="47" s="1"/>
  <c r="Z96" i="47"/>
  <c r="N96" i="47" s="1"/>
  <c r="BE96" i="47"/>
  <c r="L96" i="47" s="1"/>
  <c r="C152" i="72"/>
  <c r="BD149" i="47"/>
  <c r="K149" i="47" s="1"/>
  <c r="BC149" i="47"/>
  <c r="Z149" i="47"/>
  <c r="N149" i="47" s="1"/>
  <c r="BE149" i="47"/>
  <c r="L149" i="47" s="1"/>
  <c r="BB149" i="47"/>
  <c r="I149" i="47" s="1"/>
  <c r="J152" i="72" s="1"/>
  <c r="C149" i="72"/>
  <c r="BD146" i="47"/>
  <c r="K146" i="47" s="1"/>
  <c r="BC146" i="47"/>
  <c r="BB146" i="47"/>
  <c r="I146" i="47" s="1"/>
  <c r="J149" i="72" s="1"/>
  <c r="BE146" i="47"/>
  <c r="L146" i="47" s="1"/>
  <c r="Z146" i="47"/>
  <c r="N146" i="47" s="1"/>
  <c r="C146" i="72"/>
  <c r="BD143" i="47"/>
  <c r="K143" i="47" s="1"/>
  <c r="BC143" i="47"/>
  <c r="BE143" i="47"/>
  <c r="L143" i="47" s="1"/>
  <c r="Z143" i="47"/>
  <c r="N143" i="47" s="1"/>
  <c r="BB143" i="47"/>
  <c r="I143" i="47" s="1"/>
  <c r="J146" i="72" s="1"/>
  <c r="C143" i="72"/>
  <c r="BD140" i="47"/>
  <c r="K140" i="47" s="1"/>
  <c r="BC140" i="47"/>
  <c r="BB140" i="47"/>
  <c r="I140" i="47" s="1"/>
  <c r="J143" i="72" s="1"/>
  <c r="BE140" i="47"/>
  <c r="L140" i="47" s="1"/>
  <c r="Z140" i="47"/>
  <c r="N140" i="47" s="1"/>
  <c r="C159" i="72"/>
  <c r="BD156" i="47"/>
  <c r="K156" i="47" s="1"/>
  <c r="BC156" i="47"/>
  <c r="BB156" i="47"/>
  <c r="I156" i="47" s="1"/>
  <c r="J159" i="72" s="1"/>
  <c r="BE156" i="47"/>
  <c r="L156" i="47" s="1"/>
  <c r="Z156" i="47"/>
  <c r="N156" i="47" s="1"/>
  <c r="C119" i="72"/>
  <c r="BD116" i="47"/>
  <c r="K116" i="47" s="1"/>
  <c r="BC116" i="47"/>
  <c r="BE116" i="47"/>
  <c r="L116" i="47" s="1"/>
  <c r="Z116" i="47"/>
  <c r="N116" i="47" s="1"/>
  <c r="BB116" i="47"/>
  <c r="I116" i="47" s="1"/>
  <c r="J119" i="72" s="1"/>
  <c r="C125" i="72"/>
  <c r="BD122" i="47"/>
  <c r="K122" i="47" s="1"/>
  <c r="BC122" i="47"/>
  <c r="Z122" i="47"/>
  <c r="N122" i="47" s="1"/>
  <c r="BE122" i="47"/>
  <c r="L122" i="47" s="1"/>
  <c r="BB122" i="47"/>
  <c r="I122" i="47" s="1"/>
  <c r="J125" i="72" s="1"/>
  <c r="C122" i="72"/>
  <c r="BD119" i="47"/>
  <c r="K119" i="47" s="1"/>
  <c r="BC119" i="47"/>
  <c r="BB119" i="47"/>
  <c r="I119" i="47" s="1"/>
  <c r="J122" i="72" s="1"/>
  <c r="BE119" i="47"/>
  <c r="L119" i="47" s="1"/>
  <c r="Z119" i="47"/>
  <c r="N119" i="47" s="1"/>
  <c r="C131" i="72"/>
  <c r="BD128" i="47"/>
  <c r="K128" i="47" s="1"/>
  <c r="BC128" i="47"/>
  <c r="BE128" i="47"/>
  <c r="L128" i="47" s="1"/>
  <c r="Z128" i="47"/>
  <c r="N128" i="47" s="1"/>
  <c r="BB128" i="47"/>
  <c r="I128" i="47" s="1"/>
  <c r="J131" i="72" s="1"/>
  <c r="C128" i="72"/>
  <c r="BD125" i="47"/>
  <c r="K125" i="47" s="1"/>
  <c r="BC125" i="47"/>
  <c r="BB125" i="47"/>
  <c r="I125" i="47" s="1"/>
  <c r="J128" i="72" s="1"/>
  <c r="BE125" i="47"/>
  <c r="L125" i="47" s="1"/>
  <c r="Z125" i="47"/>
  <c r="N125" i="47" s="1"/>
  <c r="C112" i="72"/>
  <c r="BD109" i="47"/>
  <c r="K109" i="47" s="1"/>
  <c r="BC109" i="47"/>
  <c r="BE109" i="47"/>
  <c r="L109" i="47" s="1"/>
  <c r="Z109" i="47"/>
  <c r="N109" i="47" s="1"/>
  <c r="BB109" i="47"/>
  <c r="I109" i="47" s="1"/>
  <c r="J112" i="72" s="1"/>
  <c r="C94" i="72"/>
  <c r="BC91" i="47"/>
  <c r="BB91" i="47"/>
  <c r="I91" i="47" s="1"/>
  <c r="J94" i="72" s="1"/>
  <c r="Z91" i="47"/>
  <c r="N91" i="47" s="1"/>
  <c r="BE91" i="47"/>
  <c r="L91" i="47" s="1"/>
  <c r="BD91" i="47"/>
  <c r="K91" i="47" s="1"/>
  <c r="C110" i="72"/>
  <c r="BD107" i="47"/>
  <c r="K107" i="47" s="1"/>
  <c r="BC107" i="47"/>
  <c r="Z107" i="47"/>
  <c r="N107" i="47" s="1"/>
  <c r="BE107" i="47"/>
  <c r="L107" i="47" s="1"/>
  <c r="BB107" i="47"/>
  <c r="I107" i="47" s="1"/>
  <c r="J110" i="72" s="1"/>
  <c r="C107" i="72"/>
  <c r="BD104" i="47"/>
  <c r="K104" i="47" s="1"/>
  <c r="BC104" i="47"/>
  <c r="BB104" i="47"/>
  <c r="I104" i="47" s="1"/>
  <c r="J107" i="72" s="1"/>
  <c r="BE104" i="47"/>
  <c r="L104" i="47" s="1"/>
  <c r="Z104" i="47"/>
  <c r="N104" i="47" s="1"/>
  <c r="C105" i="72"/>
  <c r="BD102" i="47"/>
  <c r="K102" i="47" s="1"/>
  <c r="BC102" i="47"/>
  <c r="BB102" i="47"/>
  <c r="I102" i="47" s="1"/>
  <c r="J105" i="72" s="1"/>
  <c r="BE102" i="47"/>
  <c r="L102" i="47" s="1"/>
  <c r="Z102" i="47"/>
  <c r="N102" i="47" s="1"/>
  <c r="BE128" i="54"/>
  <c r="L128" i="54" s="1"/>
  <c r="BB128" i="54"/>
  <c r="I128" i="54" s="1"/>
  <c r="BD128" i="54"/>
  <c r="K128" i="54" s="1"/>
  <c r="BC128" i="54"/>
  <c r="J128" i="54" s="1"/>
  <c r="Z128" i="54"/>
  <c r="BE131" i="54"/>
  <c r="L131" i="54" s="1"/>
  <c r="BB131" i="54"/>
  <c r="I131" i="54" s="1"/>
  <c r="BD131" i="54"/>
  <c r="K131" i="54" s="1"/>
  <c r="BC131" i="54"/>
  <c r="J131" i="54" s="1"/>
  <c r="Z131" i="54"/>
  <c r="BE123" i="54"/>
  <c r="L123" i="54" s="1"/>
  <c r="BB123" i="54"/>
  <c r="I123" i="54" s="1"/>
  <c r="BD123" i="54"/>
  <c r="K123" i="54" s="1"/>
  <c r="BC123" i="54"/>
  <c r="J123" i="54" s="1"/>
  <c r="Z123" i="54"/>
  <c r="BE126" i="54"/>
  <c r="L126" i="54" s="1"/>
  <c r="BB126" i="54"/>
  <c r="I126" i="54" s="1"/>
  <c r="BC126" i="54"/>
  <c r="J126" i="54" s="1"/>
  <c r="Z126" i="54"/>
  <c r="BD126" i="54"/>
  <c r="K126" i="54" s="1"/>
  <c r="BE110" i="54"/>
  <c r="L110" i="54" s="1"/>
  <c r="BB110" i="54"/>
  <c r="I110" i="54" s="1"/>
  <c r="BD110" i="54"/>
  <c r="K110" i="54" s="1"/>
  <c r="BC110" i="54"/>
  <c r="J110" i="54" s="1"/>
  <c r="Z110" i="54"/>
  <c r="BE98" i="54"/>
  <c r="L98" i="54" s="1"/>
  <c r="BB98" i="54"/>
  <c r="I98" i="54" s="1"/>
  <c r="BD98" i="54"/>
  <c r="K98" i="54" s="1"/>
  <c r="BC98" i="54"/>
  <c r="J98" i="54" s="1"/>
  <c r="Z98" i="54"/>
  <c r="BE101" i="54"/>
  <c r="L101" i="54" s="1"/>
  <c r="BB101" i="54"/>
  <c r="I101" i="54" s="1"/>
  <c r="BD101" i="54"/>
  <c r="K101" i="54" s="1"/>
  <c r="BC101" i="54"/>
  <c r="J101" i="54" s="1"/>
  <c r="Z101" i="54"/>
  <c r="BE153" i="54"/>
  <c r="L153" i="54" s="1"/>
  <c r="BB153" i="54"/>
  <c r="I153" i="54" s="1"/>
  <c r="BC153" i="54"/>
  <c r="J153" i="54" s="1"/>
  <c r="BD153" i="54"/>
  <c r="K153" i="54" s="1"/>
  <c r="Z153" i="54"/>
  <c r="BE151" i="54"/>
  <c r="L151" i="54" s="1"/>
  <c r="BB151" i="54"/>
  <c r="I151" i="54" s="1"/>
  <c r="BD151" i="54"/>
  <c r="K151" i="54" s="1"/>
  <c r="Z151" i="54"/>
  <c r="BC151" i="54"/>
  <c r="J151" i="54" s="1"/>
  <c r="BE124" i="54"/>
  <c r="L124" i="54" s="1"/>
  <c r="BB124" i="54"/>
  <c r="I124" i="54" s="1"/>
  <c r="BD124" i="54"/>
  <c r="K124" i="54" s="1"/>
  <c r="Z124" i="54"/>
  <c r="BC124" i="54"/>
  <c r="J124" i="54" s="1"/>
  <c r="BE119" i="54"/>
  <c r="L119" i="54" s="1"/>
  <c r="BB119" i="54"/>
  <c r="I119" i="54" s="1"/>
  <c r="BD119" i="54"/>
  <c r="K119" i="54" s="1"/>
  <c r="BC119" i="54"/>
  <c r="J119" i="54" s="1"/>
  <c r="Z119" i="54"/>
  <c r="BE107" i="54"/>
  <c r="L107" i="54" s="1"/>
  <c r="BB107" i="54"/>
  <c r="I107" i="54" s="1"/>
  <c r="BC107" i="54"/>
  <c r="J107" i="54" s="1"/>
  <c r="Z107" i="54"/>
  <c r="BD107" i="54"/>
  <c r="K107" i="54" s="1"/>
  <c r="BE94" i="54"/>
  <c r="L94" i="54" s="1"/>
  <c r="BB94" i="54"/>
  <c r="I94" i="54" s="1"/>
  <c r="BD94" i="54"/>
  <c r="K94" i="54" s="1"/>
  <c r="BC94" i="54"/>
  <c r="J94" i="54" s="1"/>
  <c r="Z94" i="54"/>
  <c r="BE150" i="54"/>
  <c r="L150" i="54" s="1"/>
  <c r="BB150" i="54"/>
  <c r="I150" i="54" s="1"/>
  <c r="BD150" i="54"/>
  <c r="K150" i="54" s="1"/>
  <c r="BC150" i="54"/>
  <c r="J150" i="54" s="1"/>
  <c r="Z150" i="54"/>
  <c r="BE137" i="54"/>
  <c r="L137" i="54" s="1"/>
  <c r="BB137" i="54"/>
  <c r="I137" i="54" s="1"/>
  <c r="BC137" i="54"/>
  <c r="J137" i="54" s="1"/>
  <c r="Z137" i="54"/>
  <c r="BD137" i="54"/>
  <c r="K137" i="54" s="1"/>
  <c r="BE145" i="54"/>
  <c r="L145" i="54" s="1"/>
  <c r="BB145" i="54"/>
  <c r="I145" i="54" s="1"/>
  <c r="BC145" i="54"/>
  <c r="J145" i="54" s="1"/>
  <c r="Z145" i="54"/>
  <c r="BD145" i="54"/>
  <c r="K145" i="54" s="1"/>
  <c r="BE121" i="54"/>
  <c r="L121" i="54" s="1"/>
  <c r="BB121" i="54"/>
  <c r="I121" i="54" s="1"/>
  <c r="BD121" i="54"/>
  <c r="K121" i="54" s="1"/>
  <c r="BC121" i="54"/>
  <c r="J121" i="54" s="1"/>
  <c r="Z121" i="54"/>
  <c r="BE120" i="54"/>
  <c r="L120" i="54" s="1"/>
  <c r="BB120" i="54"/>
  <c r="I120" i="54" s="1"/>
  <c r="BD120" i="54"/>
  <c r="K120" i="54" s="1"/>
  <c r="BC120" i="54"/>
  <c r="J120" i="54" s="1"/>
  <c r="Z120" i="54"/>
  <c r="BE130" i="54"/>
  <c r="L130" i="54" s="1"/>
  <c r="BB130" i="54"/>
  <c r="I130" i="54" s="1"/>
  <c r="BC130" i="54"/>
  <c r="J130" i="54" s="1"/>
  <c r="BD130" i="54"/>
  <c r="K130" i="54" s="1"/>
  <c r="Z130" i="54"/>
  <c r="BE115" i="54"/>
  <c r="L115" i="54" s="1"/>
  <c r="BB115" i="54"/>
  <c r="I115" i="54" s="1"/>
  <c r="BD115" i="54"/>
  <c r="K115" i="54" s="1"/>
  <c r="BC115" i="54"/>
  <c r="J115" i="54" s="1"/>
  <c r="Z115" i="54"/>
  <c r="BE118" i="54"/>
  <c r="L118" i="54" s="1"/>
  <c r="BB118" i="54"/>
  <c r="I118" i="54" s="1"/>
  <c r="BC118" i="54"/>
  <c r="J118" i="54" s="1"/>
  <c r="Z118" i="54"/>
  <c r="BD118" i="54"/>
  <c r="K118" i="54" s="1"/>
  <c r="BE104" i="54"/>
  <c r="L104" i="54" s="1"/>
  <c r="BB104" i="54"/>
  <c r="I104" i="54" s="1"/>
  <c r="BD104" i="54"/>
  <c r="K104" i="54" s="1"/>
  <c r="BC104" i="54"/>
  <c r="J104" i="54" s="1"/>
  <c r="Z104" i="54"/>
  <c r="BE105" i="54"/>
  <c r="L105" i="54" s="1"/>
  <c r="BB105" i="54"/>
  <c r="I105" i="54" s="1"/>
  <c r="BD105" i="54"/>
  <c r="K105" i="54" s="1"/>
  <c r="Z105" i="54"/>
  <c r="BC105" i="54"/>
  <c r="J105" i="54" s="1"/>
  <c r="BE109" i="54"/>
  <c r="L109" i="54" s="1"/>
  <c r="BB109" i="54"/>
  <c r="I109" i="54" s="1"/>
  <c r="BD109" i="54"/>
  <c r="K109" i="54" s="1"/>
  <c r="BC109" i="54"/>
  <c r="J109" i="54" s="1"/>
  <c r="Z109" i="54"/>
  <c r="BE108" i="54"/>
  <c r="L108" i="54" s="1"/>
  <c r="BB108" i="54"/>
  <c r="I108" i="54" s="1"/>
  <c r="BD108" i="54"/>
  <c r="K108" i="54" s="1"/>
  <c r="BC108" i="54"/>
  <c r="J108" i="54" s="1"/>
  <c r="Z108" i="54"/>
  <c r="BE96" i="54"/>
  <c r="L96" i="54" s="1"/>
  <c r="BB96" i="54"/>
  <c r="I96" i="54" s="1"/>
  <c r="BD96" i="54"/>
  <c r="K96" i="54" s="1"/>
  <c r="BC96" i="54"/>
  <c r="J96" i="54" s="1"/>
  <c r="Z96" i="54"/>
  <c r="BE144" i="54"/>
  <c r="L144" i="54" s="1"/>
  <c r="BB144" i="54"/>
  <c r="I144" i="54" s="1"/>
  <c r="BD144" i="54"/>
  <c r="K144" i="54" s="1"/>
  <c r="BC144" i="54"/>
  <c r="J144" i="54" s="1"/>
  <c r="Z144" i="54"/>
  <c r="BE147" i="54"/>
  <c r="L147" i="54" s="1"/>
  <c r="BB147" i="54"/>
  <c r="I147" i="54" s="1"/>
  <c r="BD147" i="54"/>
  <c r="K147" i="54" s="1"/>
  <c r="BC147" i="54"/>
  <c r="J147" i="54" s="1"/>
  <c r="Z147" i="54"/>
  <c r="BE146" i="54"/>
  <c r="L146" i="54" s="1"/>
  <c r="BB146" i="54"/>
  <c r="I146" i="54" s="1"/>
  <c r="BD146" i="54"/>
  <c r="K146" i="54" s="1"/>
  <c r="BC146" i="54"/>
  <c r="J146" i="54" s="1"/>
  <c r="Z146" i="54"/>
  <c r="BE156" i="54"/>
  <c r="L156" i="54" s="1"/>
  <c r="BB156" i="54"/>
  <c r="I156" i="54" s="1"/>
  <c r="BD156" i="54"/>
  <c r="K156" i="54" s="1"/>
  <c r="BC156" i="54"/>
  <c r="J156" i="54" s="1"/>
  <c r="Z156" i="54"/>
  <c r="BE142" i="54"/>
  <c r="L142" i="54" s="1"/>
  <c r="BB142" i="54"/>
  <c r="I142" i="54" s="1"/>
  <c r="BD142" i="54"/>
  <c r="K142" i="54" s="1"/>
  <c r="BC142" i="54"/>
  <c r="J142" i="54" s="1"/>
  <c r="Z142" i="54"/>
  <c r="BE114" i="54"/>
  <c r="L114" i="54" s="1"/>
  <c r="BB114" i="54"/>
  <c r="I114" i="54" s="1"/>
  <c r="BC114" i="54"/>
  <c r="J114" i="54" s="1"/>
  <c r="BD114" i="54"/>
  <c r="K114" i="54" s="1"/>
  <c r="Z114" i="54"/>
  <c r="BE92" i="54"/>
  <c r="L92" i="54" s="1"/>
  <c r="BB92" i="54"/>
  <c r="I92" i="54" s="1"/>
  <c r="BD92" i="54"/>
  <c r="K92" i="54" s="1"/>
  <c r="BC92" i="54"/>
  <c r="J92" i="54" s="1"/>
  <c r="Z92" i="54"/>
  <c r="BE97" i="54"/>
  <c r="L97" i="54" s="1"/>
  <c r="BB97" i="54"/>
  <c r="I97" i="54" s="1"/>
  <c r="BC97" i="54"/>
  <c r="J97" i="54" s="1"/>
  <c r="BD97" i="54"/>
  <c r="K97" i="54" s="1"/>
  <c r="Z97" i="54"/>
  <c r="BE154" i="54"/>
  <c r="L154" i="54" s="1"/>
  <c r="BB154" i="54"/>
  <c r="I154" i="54" s="1"/>
  <c r="BD154" i="54"/>
  <c r="K154" i="54" s="1"/>
  <c r="BC154" i="54"/>
  <c r="J154" i="54" s="1"/>
  <c r="Z154" i="54"/>
  <c r="BE152" i="54"/>
  <c r="L152" i="54" s="1"/>
  <c r="BB152" i="54"/>
  <c r="I152" i="54" s="1"/>
  <c r="BD152" i="54"/>
  <c r="K152" i="54" s="1"/>
  <c r="BC152" i="54"/>
  <c r="J152" i="54" s="1"/>
  <c r="Z152" i="54"/>
  <c r="BE141" i="54"/>
  <c r="L141" i="54" s="1"/>
  <c r="BB141" i="54"/>
  <c r="I141" i="54" s="1"/>
  <c r="BC141" i="54"/>
  <c r="J141" i="54" s="1"/>
  <c r="BD141" i="54"/>
  <c r="K141" i="54" s="1"/>
  <c r="Z141" i="54"/>
  <c r="N141" i="54" s="1"/>
  <c r="BE125" i="54"/>
  <c r="L125" i="54" s="1"/>
  <c r="BB125" i="54"/>
  <c r="I125" i="54" s="1"/>
  <c r="BD125" i="54"/>
  <c r="K125" i="54" s="1"/>
  <c r="BC125" i="54"/>
  <c r="J125" i="54" s="1"/>
  <c r="Z125" i="54"/>
  <c r="N125" i="54" s="1"/>
  <c r="Q125" i="54" s="1"/>
  <c r="BE132" i="54"/>
  <c r="L132" i="54" s="1"/>
  <c r="BB132" i="54"/>
  <c r="I132" i="54" s="1"/>
  <c r="BD132" i="54"/>
  <c r="K132" i="54" s="1"/>
  <c r="Z132" i="54"/>
  <c r="BC132" i="54"/>
  <c r="J132" i="54" s="1"/>
  <c r="BE122" i="54"/>
  <c r="L122" i="54" s="1"/>
  <c r="BB122" i="54"/>
  <c r="I122" i="54" s="1"/>
  <c r="BC122" i="54"/>
  <c r="J122" i="54" s="1"/>
  <c r="BD122" i="54"/>
  <c r="K122" i="54" s="1"/>
  <c r="Z122" i="54"/>
  <c r="BE91" i="54"/>
  <c r="L91" i="54" s="1"/>
  <c r="BB91" i="54"/>
  <c r="I91" i="54" s="1"/>
  <c r="BC91" i="54"/>
  <c r="J91" i="54" s="1"/>
  <c r="BD91" i="54"/>
  <c r="K91" i="54" s="1"/>
  <c r="Z91" i="54"/>
  <c r="BE95" i="54"/>
  <c r="L95" i="54" s="1"/>
  <c r="BB95" i="54"/>
  <c r="I95" i="54" s="1"/>
  <c r="BC95" i="54"/>
  <c r="J95" i="54" s="1"/>
  <c r="Z95" i="54"/>
  <c r="BD95" i="54"/>
  <c r="K95" i="54" s="1"/>
  <c r="BE99" i="54"/>
  <c r="L99" i="54" s="1"/>
  <c r="BB99" i="54"/>
  <c r="I99" i="54" s="1"/>
  <c r="BC99" i="54"/>
  <c r="J99" i="54" s="1"/>
  <c r="Z99" i="54"/>
  <c r="BD99" i="54"/>
  <c r="K99" i="54" s="1"/>
  <c r="BE149" i="54"/>
  <c r="L149" i="54" s="1"/>
  <c r="BB149" i="54"/>
  <c r="I149" i="54" s="1"/>
  <c r="BC149" i="54"/>
  <c r="J149" i="54" s="1"/>
  <c r="BD149" i="54"/>
  <c r="K149" i="54" s="1"/>
  <c r="Z149" i="54"/>
  <c r="N149" i="54" s="1"/>
  <c r="P149" i="54" s="1"/>
  <c r="BE148" i="54"/>
  <c r="L148" i="54" s="1"/>
  <c r="BB148" i="54"/>
  <c r="I148" i="54" s="1"/>
  <c r="BD148" i="54"/>
  <c r="K148" i="54" s="1"/>
  <c r="BC148" i="54"/>
  <c r="J148" i="54" s="1"/>
  <c r="Z148" i="54"/>
  <c r="BE133" i="54"/>
  <c r="L133" i="54" s="1"/>
  <c r="BB133" i="54"/>
  <c r="I133" i="54" s="1"/>
  <c r="BD133" i="54"/>
  <c r="K133" i="54" s="1"/>
  <c r="BC133" i="54"/>
  <c r="J133" i="54" s="1"/>
  <c r="Z133" i="54"/>
  <c r="BE116" i="54"/>
  <c r="L116" i="54" s="1"/>
  <c r="BB116" i="54"/>
  <c r="I116" i="54" s="1"/>
  <c r="BD116" i="54"/>
  <c r="K116" i="54" s="1"/>
  <c r="Z116" i="54"/>
  <c r="BC116" i="54"/>
  <c r="J116" i="54" s="1"/>
  <c r="BE127" i="54"/>
  <c r="L127" i="54" s="1"/>
  <c r="BB127" i="54"/>
  <c r="I127" i="54" s="1"/>
  <c r="BD127" i="54"/>
  <c r="K127" i="54" s="1"/>
  <c r="BC127" i="54"/>
  <c r="J127" i="54" s="1"/>
  <c r="Z127" i="54"/>
  <c r="N127" i="54" s="1"/>
  <c r="P127" i="54" s="1"/>
  <c r="BE129" i="54"/>
  <c r="L129" i="54" s="1"/>
  <c r="BB129" i="54"/>
  <c r="I129" i="54" s="1"/>
  <c r="BD129" i="54"/>
  <c r="K129" i="54" s="1"/>
  <c r="BC129" i="54"/>
  <c r="J129" i="54" s="1"/>
  <c r="Z129" i="54"/>
  <c r="BE117" i="54"/>
  <c r="L117" i="54" s="1"/>
  <c r="BB117" i="54"/>
  <c r="I117" i="54" s="1"/>
  <c r="BD117" i="54"/>
  <c r="K117" i="54" s="1"/>
  <c r="BC117" i="54"/>
  <c r="J117" i="54" s="1"/>
  <c r="Z117" i="54"/>
  <c r="N117" i="54" s="1"/>
  <c r="T117" i="54" s="1"/>
  <c r="BE100" i="54"/>
  <c r="L100" i="54" s="1"/>
  <c r="BB100" i="54"/>
  <c r="I100" i="54" s="1"/>
  <c r="BD100" i="54"/>
  <c r="K100" i="54" s="1"/>
  <c r="BC100" i="54"/>
  <c r="J100" i="54" s="1"/>
  <c r="Z100" i="54"/>
  <c r="BE103" i="54"/>
  <c r="L103" i="54" s="1"/>
  <c r="BB103" i="54"/>
  <c r="I103" i="54" s="1"/>
  <c r="BC103" i="54"/>
  <c r="J103" i="54" s="1"/>
  <c r="BD103" i="54"/>
  <c r="K103" i="54" s="1"/>
  <c r="Z103" i="54"/>
  <c r="BE102" i="54"/>
  <c r="L102" i="54" s="1"/>
  <c r="BB102" i="54"/>
  <c r="I102" i="54" s="1"/>
  <c r="BD102" i="54"/>
  <c r="K102" i="54" s="1"/>
  <c r="BC102" i="54"/>
  <c r="J102" i="54" s="1"/>
  <c r="Z102" i="54"/>
  <c r="BE106" i="54"/>
  <c r="L106" i="54" s="1"/>
  <c r="BB106" i="54"/>
  <c r="I106" i="54" s="1"/>
  <c r="BD106" i="54"/>
  <c r="K106" i="54" s="1"/>
  <c r="BC106" i="54"/>
  <c r="J106" i="54" s="1"/>
  <c r="Z106" i="54"/>
  <c r="BE93" i="54"/>
  <c r="L93" i="54" s="1"/>
  <c r="BB93" i="54"/>
  <c r="I93" i="54" s="1"/>
  <c r="BC93" i="54"/>
  <c r="J93" i="54" s="1"/>
  <c r="Z93" i="54"/>
  <c r="BD93" i="54"/>
  <c r="K93" i="54" s="1"/>
  <c r="BE139" i="54"/>
  <c r="L139" i="54" s="1"/>
  <c r="BB139" i="54"/>
  <c r="I139" i="54" s="1"/>
  <c r="BD139" i="54"/>
  <c r="K139" i="54" s="1"/>
  <c r="BC139" i="54"/>
  <c r="J139" i="54" s="1"/>
  <c r="Z139" i="54"/>
  <c r="BE138" i="54"/>
  <c r="L138" i="54" s="1"/>
  <c r="BB138" i="54"/>
  <c r="I138" i="54" s="1"/>
  <c r="BD138" i="54"/>
  <c r="K138" i="54" s="1"/>
  <c r="BC138" i="54"/>
  <c r="J138" i="54" s="1"/>
  <c r="Z138" i="54"/>
  <c r="BE143" i="54"/>
  <c r="L143" i="54" s="1"/>
  <c r="BB143" i="54"/>
  <c r="I143" i="54" s="1"/>
  <c r="BD143" i="54"/>
  <c r="K143" i="54" s="1"/>
  <c r="Z143" i="54"/>
  <c r="BC143" i="54"/>
  <c r="J143" i="54" s="1"/>
  <c r="BE155" i="54"/>
  <c r="L155" i="54" s="1"/>
  <c r="BB155" i="54"/>
  <c r="I155" i="54" s="1"/>
  <c r="BD155" i="54"/>
  <c r="K155" i="54" s="1"/>
  <c r="BC155" i="54"/>
  <c r="J155" i="54" s="1"/>
  <c r="Z155" i="54"/>
  <c r="BE140" i="54"/>
  <c r="L140" i="54" s="1"/>
  <c r="BB140" i="54"/>
  <c r="I140" i="54" s="1"/>
  <c r="BD140" i="54"/>
  <c r="K140" i="54" s="1"/>
  <c r="BC140" i="54"/>
  <c r="J140" i="54" s="1"/>
  <c r="Z140" i="54"/>
  <c r="BC146" i="11"/>
  <c r="J146" i="11" s="1"/>
  <c r="BE146" i="11"/>
  <c r="L146" i="11" s="1"/>
  <c r="BD146" i="11"/>
  <c r="K146" i="11" s="1"/>
  <c r="Z146" i="11"/>
  <c r="N146" i="11" s="1"/>
  <c r="BB146" i="11"/>
  <c r="BC147" i="11"/>
  <c r="J147" i="11" s="1"/>
  <c r="BB147" i="11"/>
  <c r="BD147" i="11"/>
  <c r="K147" i="11" s="1"/>
  <c r="Z147" i="11"/>
  <c r="N147" i="11" s="1"/>
  <c r="BE147" i="11"/>
  <c r="L147" i="11" s="1"/>
  <c r="BC98" i="11"/>
  <c r="J98" i="11" s="1"/>
  <c r="BB98" i="11"/>
  <c r="BD98" i="11"/>
  <c r="K98" i="11" s="1"/>
  <c r="BE98" i="11"/>
  <c r="L98" i="11" s="1"/>
  <c r="Z98" i="11"/>
  <c r="N98" i="11" s="1"/>
  <c r="BC108" i="11"/>
  <c r="J108" i="11" s="1"/>
  <c r="BE108" i="11"/>
  <c r="L108" i="11" s="1"/>
  <c r="BD108" i="11"/>
  <c r="K108" i="11" s="1"/>
  <c r="Z108" i="11"/>
  <c r="N108" i="11" s="1"/>
  <c r="BB108" i="11"/>
  <c r="BC97" i="11"/>
  <c r="J97" i="11" s="1"/>
  <c r="BE97" i="11"/>
  <c r="L97" i="11" s="1"/>
  <c r="Z97" i="11"/>
  <c r="N97" i="11" s="1"/>
  <c r="BD97" i="11"/>
  <c r="K97" i="11" s="1"/>
  <c r="BB97" i="11"/>
  <c r="BC107" i="11"/>
  <c r="J107" i="11" s="1"/>
  <c r="BD107" i="11"/>
  <c r="K107" i="11" s="1"/>
  <c r="BB107" i="11"/>
  <c r="Z107" i="11"/>
  <c r="N107" i="11" s="1"/>
  <c r="BE107" i="11"/>
  <c r="L107" i="11" s="1"/>
  <c r="BC133" i="11"/>
  <c r="J133" i="11" s="1"/>
  <c r="BB133" i="11"/>
  <c r="BD133" i="11"/>
  <c r="K133" i="11" s="1"/>
  <c r="BE133" i="11"/>
  <c r="L133" i="11" s="1"/>
  <c r="Z133" i="11"/>
  <c r="N133" i="11" s="1"/>
  <c r="BC114" i="11"/>
  <c r="J114" i="11" s="1"/>
  <c r="BD114" i="11"/>
  <c r="K114" i="11" s="1"/>
  <c r="Z114" i="11"/>
  <c r="N114" i="11" s="1"/>
  <c r="BE114" i="11"/>
  <c r="L114" i="11" s="1"/>
  <c r="BB114" i="11"/>
  <c r="BC144" i="11"/>
  <c r="J144" i="11" s="1"/>
  <c r="BB144" i="11"/>
  <c r="BE144" i="11"/>
  <c r="L144" i="11" s="1"/>
  <c r="BD144" i="11"/>
  <c r="K144" i="11" s="1"/>
  <c r="Z144" i="11"/>
  <c r="N144" i="11" s="1"/>
  <c r="BC150" i="11"/>
  <c r="J150" i="11" s="1"/>
  <c r="BE150" i="11"/>
  <c r="L150" i="11" s="1"/>
  <c r="BD150" i="11"/>
  <c r="K150" i="11" s="1"/>
  <c r="BB150" i="11"/>
  <c r="Z150" i="11"/>
  <c r="N150" i="11" s="1"/>
  <c r="BC145" i="11"/>
  <c r="J145" i="11" s="1"/>
  <c r="BD145" i="11"/>
  <c r="K145" i="11" s="1"/>
  <c r="BB145" i="11"/>
  <c r="Z145" i="11"/>
  <c r="N145" i="11" s="1"/>
  <c r="BE145" i="11"/>
  <c r="L145" i="11" s="1"/>
  <c r="BC106" i="11"/>
  <c r="J106" i="11" s="1"/>
  <c r="BB106" i="11"/>
  <c r="BE106" i="11"/>
  <c r="L106" i="11" s="1"/>
  <c r="BD106" i="11"/>
  <c r="K106" i="11" s="1"/>
  <c r="Z106" i="11"/>
  <c r="N106" i="11" s="1"/>
  <c r="BC101" i="11"/>
  <c r="J101" i="11" s="1"/>
  <c r="BE101" i="11"/>
  <c r="L101" i="11" s="1"/>
  <c r="BD101" i="11"/>
  <c r="K101" i="11" s="1"/>
  <c r="BB101" i="11"/>
  <c r="Z101" i="11"/>
  <c r="N101" i="11" s="1"/>
  <c r="BC129" i="11"/>
  <c r="J129" i="11" s="1"/>
  <c r="BB129" i="11"/>
  <c r="BE129" i="11"/>
  <c r="L129" i="11" s="1"/>
  <c r="BD129" i="11"/>
  <c r="K129" i="11" s="1"/>
  <c r="Z129" i="11"/>
  <c r="N129" i="11" s="1"/>
  <c r="BC123" i="11"/>
  <c r="J123" i="11" s="1"/>
  <c r="BE123" i="11"/>
  <c r="L123" i="11" s="1"/>
  <c r="BB123" i="11"/>
  <c r="Z123" i="11"/>
  <c r="N123" i="11" s="1"/>
  <c r="BD123" i="11"/>
  <c r="K123" i="11" s="1"/>
  <c r="BC118" i="11"/>
  <c r="J118" i="11" s="1"/>
  <c r="BD118" i="11"/>
  <c r="K118" i="11" s="1"/>
  <c r="BE118" i="11"/>
  <c r="L118" i="11" s="1"/>
  <c r="BB118" i="11"/>
  <c r="Z118" i="11"/>
  <c r="N118" i="11" s="1"/>
  <c r="BC152" i="11"/>
  <c r="J152" i="11" s="1"/>
  <c r="BB152" i="11"/>
  <c r="BD152" i="11"/>
  <c r="K152" i="11" s="1"/>
  <c r="Z152" i="11"/>
  <c r="N152" i="11" s="1"/>
  <c r="BE152" i="11"/>
  <c r="L152" i="11" s="1"/>
  <c r="BC140" i="11"/>
  <c r="J140" i="11" s="1"/>
  <c r="BB140" i="11"/>
  <c r="BD140" i="11"/>
  <c r="K140" i="11" s="1"/>
  <c r="BE140" i="11"/>
  <c r="L140" i="11" s="1"/>
  <c r="Z140" i="11"/>
  <c r="N140" i="11" s="1"/>
  <c r="BC139" i="11"/>
  <c r="J139" i="11" s="1"/>
  <c r="BE139" i="11"/>
  <c r="L139" i="11" s="1"/>
  <c r="BD139" i="11"/>
  <c r="K139" i="11" s="1"/>
  <c r="BB139" i="11"/>
  <c r="Z139" i="11"/>
  <c r="N139" i="11" s="1"/>
  <c r="BC155" i="11"/>
  <c r="J155" i="11" s="1"/>
  <c r="BE155" i="11"/>
  <c r="L155" i="11" s="1"/>
  <c r="Z155" i="11"/>
  <c r="N155" i="11" s="1"/>
  <c r="BD155" i="11"/>
  <c r="K155" i="11" s="1"/>
  <c r="BB155" i="11"/>
  <c r="BC149" i="11"/>
  <c r="J149" i="11" s="1"/>
  <c r="BD149" i="11"/>
  <c r="K149" i="11" s="1"/>
  <c r="Z149" i="11"/>
  <c r="N149" i="11" s="1"/>
  <c r="BE149" i="11"/>
  <c r="L149" i="11" s="1"/>
  <c r="BB149" i="11"/>
  <c r="BC110" i="11"/>
  <c r="J110" i="11" s="1"/>
  <c r="BB110" i="11"/>
  <c r="BE110" i="11"/>
  <c r="L110" i="11" s="1"/>
  <c r="BD110" i="11"/>
  <c r="K110" i="11" s="1"/>
  <c r="Z110" i="11"/>
  <c r="N110" i="11" s="1"/>
  <c r="BC92" i="11"/>
  <c r="J92" i="11" s="1"/>
  <c r="BE92" i="11"/>
  <c r="L92" i="11" s="1"/>
  <c r="BD92" i="11"/>
  <c r="K92" i="11" s="1"/>
  <c r="BB92" i="11"/>
  <c r="Z92" i="11"/>
  <c r="N92" i="11" s="1"/>
  <c r="BC104" i="11"/>
  <c r="J104" i="11" s="1"/>
  <c r="BE104" i="11"/>
  <c r="L104" i="11" s="1"/>
  <c r="Z104" i="11"/>
  <c r="N104" i="11" s="1"/>
  <c r="BD104" i="11"/>
  <c r="K104" i="11" s="1"/>
  <c r="BB104" i="11"/>
  <c r="BC105" i="11"/>
  <c r="J105" i="11" s="1"/>
  <c r="BD105" i="11"/>
  <c r="K105" i="11" s="1"/>
  <c r="BB105" i="11"/>
  <c r="BE105" i="11"/>
  <c r="L105" i="11" s="1"/>
  <c r="Z105" i="11"/>
  <c r="N105" i="11" s="1"/>
  <c r="BC99" i="11"/>
  <c r="J99" i="11" s="1"/>
  <c r="BD99" i="11"/>
  <c r="K99" i="11" s="1"/>
  <c r="BE99" i="11"/>
  <c r="L99" i="11" s="1"/>
  <c r="BB99" i="11"/>
  <c r="Z99" i="11"/>
  <c r="N99" i="11" s="1"/>
  <c r="BC117" i="11"/>
  <c r="J117" i="11" s="1"/>
  <c r="BB117" i="11"/>
  <c r="BD117" i="11"/>
  <c r="K117" i="11" s="1"/>
  <c r="BE117" i="11"/>
  <c r="L117" i="11" s="1"/>
  <c r="Z117" i="11"/>
  <c r="N117" i="11" s="1"/>
  <c r="BC127" i="11"/>
  <c r="J127" i="11" s="1"/>
  <c r="BE127" i="11"/>
  <c r="L127" i="11" s="1"/>
  <c r="BD127" i="11"/>
  <c r="K127" i="11" s="1"/>
  <c r="Z127" i="11"/>
  <c r="N127" i="11" s="1"/>
  <c r="BB127" i="11"/>
  <c r="BC131" i="11"/>
  <c r="J131" i="11" s="1"/>
  <c r="BE131" i="11"/>
  <c r="L131" i="11" s="1"/>
  <c r="BD131" i="11"/>
  <c r="K131" i="11" s="1"/>
  <c r="BB131" i="11"/>
  <c r="Z131" i="11"/>
  <c r="N131" i="11" s="1"/>
  <c r="BC128" i="11"/>
  <c r="J128" i="11" s="1"/>
  <c r="BB128" i="11"/>
  <c r="Z128" i="11"/>
  <c r="N128" i="11" s="1"/>
  <c r="BE128" i="11"/>
  <c r="L128" i="11" s="1"/>
  <c r="BD128" i="11"/>
  <c r="K128" i="11" s="1"/>
  <c r="BC122" i="11"/>
  <c r="J122" i="11" s="1"/>
  <c r="BD122" i="11"/>
  <c r="K122" i="11" s="1"/>
  <c r="BE122" i="11"/>
  <c r="L122" i="11" s="1"/>
  <c r="BB122" i="11"/>
  <c r="Z122" i="11"/>
  <c r="N122" i="11" s="1"/>
  <c r="BC148" i="11"/>
  <c r="J148" i="11" s="1"/>
  <c r="BB148" i="11"/>
  <c r="BE148" i="11"/>
  <c r="L148" i="11" s="1"/>
  <c r="BD148" i="11"/>
  <c r="K148" i="11" s="1"/>
  <c r="Z148" i="11"/>
  <c r="N148" i="11" s="1"/>
  <c r="BC142" i="11"/>
  <c r="J142" i="11" s="1"/>
  <c r="BE142" i="11"/>
  <c r="L142" i="11" s="1"/>
  <c r="Z142" i="11"/>
  <c r="N142" i="11" s="1"/>
  <c r="BD142" i="11"/>
  <c r="K142" i="11" s="1"/>
  <c r="BB142" i="11"/>
  <c r="BC141" i="11"/>
  <c r="J141" i="11" s="1"/>
  <c r="BD141" i="11"/>
  <c r="K141" i="11" s="1"/>
  <c r="BE141" i="11"/>
  <c r="L141" i="11" s="1"/>
  <c r="BB141" i="11"/>
  <c r="Z141" i="11"/>
  <c r="N141" i="11" s="1"/>
  <c r="BC91" i="11"/>
  <c r="J91" i="11" s="1"/>
  <c r="BD91" i="11"/>
  <c r="K91" i="11" s="1"/>
  <c r="BB91" i="11"/>
  <c r="BE91" i="11"/>
  <c r="L91" i="11" s="1"/>
  <c r="Z91" i="11"/>
  <c r="N91" i="11" s="1"/>
  <c r="BC115" i="11"/>
  <c r="J115" i="11" s="1"/>
  <c r="BE115" i="11"/>
  <c r="L115" i="11" s="1"/>
  <c r="BD115" i="11"/>
  <c r="K115" i="11" s="1"/>
  <c r="BB115" i="11"/>
  <c r="Z115" i="11"/>
  <c r="N115" i="11" s="1"/>
  <c r="BC120" i="11"/>
  <c r="J120" i="11" s="1"/>
  <c r="BE120" i="11"/>
  <c r="L120" i="11" s="1"/>
  <c r="BD120" i="11"/>
  <c r="K120" i="11" s="1"/>
  <c r="Z120" i="11"/>
  <c r="N120" i="11" s="1"/>
  <c r="BB120" i="11"/>
  <c r="BC130" i="11"/>
  <c r="J130" i="11" s="1"/>
  <c r="BD130" i="11"/>
  <c r="K130" i="11" s="1"/>
  <c r="BB130" i="11"/>
  <c r="BE130" i="11"/>
  <c r="L130" i="11" s="1"/>
  <c r="Z130" i="11"/>
  <c r="N130" i="11" s="1"/>
  <c r="BC154" i="11"/>
  <c r="J154" i="11" s="1"/>
  <c r="BE154" i="11"/>
  <c r="L154" i="11" s="1"/>
  <c r="BB154" i="11"/>
  <c r="Z154" i="11"/>
  <c r="N154" i="11" s="1"/>
  <c r="BD154" i="11"/>
  <c r="K154" i="11" s="1"/>
  <c r="BC151" i="11"/>
  <c r="J151" i="11" s="1"/>
  <c r="Z151" i="11"/>
  <c r="N151" i="11" s="1"/>
  <c r="BE151" i="11"/>
  <c r="L151" i="11" s="1"/>
  <c r="BB151" i="11"/>
  <c r="BD151" i="11"/>
  <c r="K151" i="11" s="1"/>
  <c r="BC94" i="11"/>
  <c r="J94" i="11" s="1"/>
  <c r="BB94" i="11"/>
  <c r="BE94" i="11"/>
  <c r="L94" i="11" s="1"/>
  <c r="BD94" i="11"/>
  <c r="K94" i="11" s="1"/>
  <c r="Z94" i="11"/>
  <c r="N94" i="11" s="1"/>
  <c r="BC102" i="11"/>
  <c r="J102" i="11" s="1"/>
  <c r="BB102" i="11"/>
  <c r="BD102" i="11"/>
  <c r="K102" i="11" s="1"/>
  <c r="BE102" i="11"/>
  <c r="L102" i="11" s="1"/>
  <c r="Z102" i="11"/>
  <c r="N102" i="11" s="1"/>
  <c r="BC95" i="11"/>
  <c r="J95" i="11" s="1"/>
  <c r="BD95" i="11"/>
  <c r="K95" i="11" s="1"/>
  <c r="BB95" i="11"/>
  <c r="BE95" i="11"/>
  <c r="L95" i="11" s="1"/>
  <c r="Z95" i="11"/>
  <c r="N95" i="11" s="1"/>
  <c r="BC119" i="11"/>
  <c r="J119" i="11" s="1"/>
  <c r="BE119" i="11"/>
  <c r="L119" i="11" s="1"/>
  <c r="BB119" i="11"/>
  <c r="BD119" i="11"/>
  <c r="K119" i="11" s="1"/>
  <c r="Z119" i="11"/>
  <c r="N119" i="11" s="1"/>
  <c r="BC124" i="11"/>
  <c r="J124" i="11" s="1"/>
  <c r="BD124" i="11"/>
  <c r="K124" i="11" s="1"/>
  <c r="BB124" i="11"/>
  <c r="Z124" i="11"/>
  <c r="N124" i="11" s="1"/>
  <c r="BE124" i="11"/>
  <c r="L124" i="11" s="1"/>
  <c r="BC138" i="11"/>
  <c r="J138" i="11" s="1"/>
  <c r="BE138" i="11"/>
  <c r="L138" i="11" s="1"/>
  <c r="BB138" i="11"/>
  <c r="Z138" i="11"/>
  <c r="N138" i="11" s="1"/>
  <c r="BD138" i="11"/>
  <c r="K138" i="11" s="1"/>
  <c r="BD156" i="11"/>
  <c r="K156" i="11" s="1"/>
  <c r="BC156" i="11"/>
  <c r="J156" i="11" s="1"/>
  <c r="BB156" i="11"/>
  <c r="Z156" i="11"/>
  <c r="N156" i="11" s="1"/>
  <c r="BE156" i="11"/>
  <c r="L156" i="11" s="1"/>
  <c r="BC143" i="11"/>
  <c r="J143" i="11" s="1"/>
  <c r="BD143" i="11"/>
  <c r="K143" i="11" s="1"/>
  <c r="BB143" i="11"/>
  <c r="BE143" i="11"/>
  <c r="L143" i="11" s="1"/>
  <c r="Z143" i="11"/>
  <c r="N143" i="11" s="1"/>
  <c r="BC137" i="11"/>
  <c r="J137" i="11" s="1"/>
  <c r="BD137" i="11"/>
  <c r="K137" i="11" s="1"/>
  <c r="BE137" i="11"/>
  <c r="L137" i="11" s="1"/>
  <c r="BB137" i="11"/>
  <c r="Z137" i="11"/>
  <c r="N137" i="11" s="1"/>
  <c r="BC153" i="11"/>
  <c r="J153" i="11" s="1"/>
  <c r="BD153" i="11"/>
  <c r="K153" i="11" s="1"/>
  <c r="Z153" i="11"/>
  <c r="N153" i="11" s="1"/>
  <c r="BE153" i="11"/>
  <c r="L153" i="11" s="1"/>
  <c r="BB153" i="11"/>
  <c r="BC96" i="11"/>
  <c r="J96" i="11" s="1"/>
  <c r="BE96" i="11"/>
  <c r="L96" i="11" s="1"/>
  <c r="BD96" i="11"/>
  <c r="K96" i="11" s="1"/>
  <c r="BB96" i="11"/>
  <c r="Z96" i="11"/>
  <c r="N96" i="11" s="1"/>
  <c r="BC100" i="11"/>
  <c r="J100" i="11" s="1"/>
  <c r="BE100" i="11"/>
  <c r="L100" i="11" s="1"/>
  <c r="BB100" i="11"/>
  <c r="Z100" i="11"/>
  <c r="N100" i="11" s="1"/>
  <c r="BD100" i="11"/>
  <c r="K100" i="11" s="1"/>
  <c r="BC93" i="11"/>
  <c r="J93" i="11" s="1"/>
  <c r="BB93" i="11"/>
  <c r="BE93" i="11"/>
  <c r="L93" i="11" s="1"/>
  <c r="Z93" i="11"/>
  <c r="N93" i="11" s="1"/>
  <c r="BD93" i="11"/>
  <c r="K93" i="11" s="1"/>
  <c r="BC109" i="11"/>
  <c r="J109" i="11" s="1"/>
  <c r="BB109" i="11"/>
  <c r="BD109" i="11"/>
  <c r="K109" i="11" s="1"/>
  <c r="BE109" i="11"/>
  <c r="L109" i="11" s="1"/>
  <c r="Z109" i="11"/>
  <c r="N109" i="11" s="1"/>
  <c r="BC103" i="11"/>
  <c r="J103" i="11" s="1"/>
  <c r="BD103" i="11"/>
  <c r="K103" i="11" s="1"/>
  <c r="BE103" i="11"/>
  <c r="L103" i="11" s="1"/>
  <c r="BB103" i="11"/>
  <c r="Z103" i="11"/>
  <c r="N103" i="11" s="1"/>
  <c r="BC125" i="11"/>
  <c r="J125" i="11" s="1"/>
  <c r="BB125" i="11"/>
  <c r="BE125" i="11"/>
  <c r="L125" i="11" s="1"/>
  <c r="BD125" i="11"/>
  <c r="K125" i="11" s="1"/>
  <c r="Z125" i="11"/>
  <c r="N125" i="11" s="1"/>
  <c r="BC121" i="11"/>
  <c r="J121" i="11" s="1"/>
  <c r="BB121" i="11"/>
  <c r="BE121" i="11"/>
  <c r="L121" i="11" s="1"/>
  <c r="BD121" i="11"/>
  <c r="K121" i="11" s="1"/>
  <c r="Z121" i="11"/>
  <c r="N121" i="11" s="1"/>
  <c r="BC116" i="11"/>
  <c r="J116" i="11" s="1"/>
  <c r="BE116" i="11"/>
  <c r="L116" i="11" s="1"/>
  <c r="BB116" i="11"/>
  <c r="Z116" i="11"/>
  <c r="N116" i="11" s="1"/>
  <c r="BD116" i="11"/>
  <c r="K116" i="11" s="1"/>
  <c r="BC132" i="11"/>
  <c r="J132" i="11" s="1"/>
  <c r="BE132" i="11"/>
  <c r="L132" i="11" s="1"/>
  <c r="BD132" i="11"/>
  <c r="K132" i="11" s="1"/>
  <c r="Z132" i="11"/>
  <c r="N132" i="11" s="1"/>
  <c r="BB132" i="11"/>
  <c r="BC126" i="11"/>
  <c r="J126" i="11" s="1"/>
  <c r="BD126" i="11"/>
  <c r="K126" i="11" s="1"/>
  <c r="BB126" i="11"/>
  <c r="BE126" i="11"/>
  <c r="L126" i="11" s="1"/>
  <c r="Z126" i="11"/>
  <c r="N126" i="11" s="1"/>
  <c r="M178" i="63"/>
  <c r="M177" i="63"/>
  <c r="F171" i="63"/>
  <c r="C141" i="63"/>
  <c r="C159" i="63"/>
  <c r="C146" i="63"/>
  <c r="C140" i="63"/>
  <c r="C156" i="63"/>
  <c r="C99" i="63"/>
  <c r="C103" i="63"/>
  <c r="C96" i="63"/>
  <c r="C112" i="63"/>
  <c r="C106" i="63"/>
  <c r="C128" i="63"/>
  <c r="C124" i="63"/>
  <c r="C119" i="63"/>
  <c r="C135" i="63"/>
  <c r="C129" i="63"/>
  <c r="F357" i="63"/>
  <c r="H354" i="63"/>
  <c r="H352" i="63"/>
  <c r="H350" i="63"/>
  <c r="H355" i="63"/>
  <c r="J348" i="63"/>
  <c r="J349" i="63"/>
  <c r="J357" i="63"/>
  <c r="L351" i="63"/>
  <c r="L353" i="63"/>
  <c r="L354" i="63"/>
  <c r="L352" i="63"/>
  <c r="L350" i="63"/>
  <c r="L356" i="63"/>
  <c r="L355" i="63"/>
  <c r="G357" i="63"/>
  <c r="G348" i="63"/>
  <c r="G353" i="63"/>
  <c r="G352" i="63"/>
  <c r="G349" i="63"/>
  <c r="D349" i="63"/>
  <c r="A351" i="63"/>
  <c r="A357" i="63"/>
  <c r="A356" i="63"/>
  <c r="A349" i="63"/>
  <c r="A352" i="63"/>
  <c r="D351" i="63"/>
  <c r="A355" i="63"/>
  <c r="D348" i="63"/>
  <c r="M172" i="63"/>
  <c r="F175" i="63"/>
  <c r="M173" i="63"/>
  <c r="M171" i="63"/>
  <c r="F170" i="63"/>
  <c r="C151" i="63"/>
  <c r="C149" i="63"/>
  <c r="C145" i="63"/>
  <c r="C150" i="63"/>
  <c r="C144" i="63"/>
  <c r="C101" i="63"/>
  <c r="C111" i="63"/>
  <c r="C100" i="63"/>
  <c r="C94" i="63"/>
  <c r="C110" i="63"/>
  <c r="C136" i="63"/>
  <c r="C118" i="63"/>
  <c r="C123" i="63"/>
  <c r="C117" i="63"/>
  <c r="C133" i="63"/>
  <c r="H351" i="63"/>
  <c r="K357" i="63"/>
  <c r="H356" i="63"/>
  <c r="K348" i="63"/>
  <c r="K349" i="63"/>
  <c r="J351" i="63"/>
  <c r="J353" i="63"/>
  <c r="J354" i="63"/>
  <c r="J352" i="63"/>
  <c r="J350" i="63"/>
  <c r="J356" i="63"/>
  <c r="J355" i="63"/>
  <c r="F169" i="63"/>
  <c r="F173" i="63"/>
  <c r="C147" i="63"/>
  <c r="C157" i="63"/>
  <c r="C153" i="63"/>
  <c r="C154" i="63"/>
  <c r="C148" i="63"/>
  <c r="C97" i="63"/>
  <c r="C109" i="63"/>
  <c r="C105" i="63"/>
  <c r="C104" i="63"/>
  <c r="C98" i="63"/>
  <c r="C132" i="63"/>
  <c r="C122" i="63"/>
  <c r="C126" i="63"/>
  <c r="C127" i="63"/>
  <c r="C121" i="63"/>
  <c r="H348" i="63"/>
  <c r="H357" i="63"/>
  <c r="K351" i="63"/>
  <c r="K353" i="63"/>
  <c r="K354" i="63"/>
  <c r="K352" i="63"/>
  <c r="K350" i="63"/>
  <c r="K356" i="63"/>
  <c r="K355" i="63"/>
  <c r="G351" i="63"/>
  <c r="G355" i="63"/>
  <c r="G356" i="63"/>
  <c r="G350" i="63"/>
  <c r="G354" i="63"/>
  <c r="A348" i="63"/>
  <c r="D353" i="63"/>
  <c r="A350" i="63"/>
  <c r="D354" i="63"/>
  <c r="D350" i="63"/>
  <c r="A353" i="63"/>
  <c r="D356" i="63"/>
  <c r="D352" i="63"/>
  <c r="A354" i="63"/>
  <c r="D355" i="63"/>
  <c r="D357" i="63"/>
  <c r="M170" i="63"/>
  <c r="M176" i="63"/>
  <c r="M175" i="63"/>
  <c r="M169" i="63"/>
  <c r="F177" i="63"/>
  <c r="M174" i="63"/>
  <c r="C155" i="63"/>
  <c r="C143" i="63"/>
  <c r="C142" i="63"/>
  <c r="C158" i="63"/>
  <c r="C152" i="63"/>
  <c r="C113" i="63"/>
  <c r="C95" i="63"/>
  <c r="C107" i="63"/>
  <c r="C108" i="63"/>
  <c r="C102" i="63"/>
  <c r="C120" i="63"/>
  <c r="C130" i="63"/>
  <c r="C134" i="63"/>
  <c r="C131" i="63"/>
  <c r="C125" i="63"/>
  <c r="L357" i="63"/>
  <c r="H353" i="63"/>
  <c r="H349" i="63"/>
  <c r="L348" i="63"/>
  <c r="L349" i="63"/>
  <c r="N350" i="63"/>
  <c r="N356" i="63"/>
  <c r="N355" i="63"/>
  <c r="N349" i="63"/>
  <c r="N354" i="63"/>
  <c r="N351" i="63"/>
  <c r="AH348" i="11"/>
  <c r="AQ348" i="11" s="1"/>
  <c r="E354" i="63"/>
  <c r="AH349" i="11"/>
  <c r="AQ349" i="11" s="1"/>
  <c r="E355" i="63"/>
  <c r="AH350" i="11"/>
  <c r="AQ350" i="11" s="1"/>
  <c r="E356" i="63"/>
  <c r="N353" i="63"/>
  <c r="AH342" i="11"/>
  <c r="AQ342" i="11" s="1"/>
  <c r="E348" i="63"/>
  <c r="AH346" i="11"/>
  <c r="AQ346" i="11" s="1"/>
  <c r="E352" i="63"/>
  <c r="AH347" i="11"/>
  <c r="AQ347" i="11" s="1"/>
  <c r="E353" i="63"/>
  <c r="N357" i="63"/>
  <c r="AH351" i="11"/>
  <c r="AQ351" i="11" s="1"/>
  <c r="E357" i="63"/>
  <c r="AH344" i="11"/>
  <c r="AQ344" i="11" s="1"/>
  <c r="E350" i="63"/>
  <c r="N352" i="63"/>
  <c r="AH345" i="11"/>
  <c r="AQ345" i="11" s="1"/>
  <c r="E351" i="63"/>
  <c r="AH343" i="11"/>
  <c r="AQ343" i="11" s="1"/>
  <c r="E349" i="63"/>
  <c r="AE351" i="11"/>
  <c r="AF351" i="11" s="1"/>
  <c r="P351" i="11" s="1"/>
  <c r="Q351" i="11" s="1"/>
  <c r="AI351" i="11"/>
  <c r="AL351" i="11" s="1"/>
  <c r="AB137" i="47"/>
  <c r="AB153" i="47"/>
  <c r="AC153" i="47" s="1"/>
  <c r="AB150" i="47"/>
  <c r="AC150" i="47" s="1"/>
  <c r="AB147" i="47"/>
  <c r="AC147" i="47" s="1"/>
  <c r="AB144" i="47"/>
  <c r="AC144" i="47" s="1"/>
  <c r="AB141" i="47"/>
  <c r="AC141" i="47" s="1"/>
  <c r="AB138" i="47"/>
  <c r="AC138" i="47" s="1"/>
  <c r="AB154" i="47"/>
  <c r="AC154" i="47" s="1"/>
  <c r="AB151" i="47"/>
  <c r="AC151" i="47" s="1"/>
  <c r="AB148" i="47"/>
  <c r="AC148" i="47" s="1"/>
  <c r="AB145" i="47"/>
  <c r="AC145" i="47" s="1"/>
  <c r="AB142" i="47"/>
  <c r="AC142" i="47" s="1"/>
  <c r="AB139" i="47"/>
  <c r="AC139" i="47" s="1"/>
  <c r="AB155" i="47"/>
  <c r="AC155" i="47" s="1"/>
  <c r="AB152" i="47"/>
  <c r="AC152" i="47" s="1"/>
  <c r="AB149" i="47"/>
  <c r="AC149" i="47" s="1"/>
  <c r="AB146" i="47"/>
  <c r="AC146" i="47" s="1"/>
  <c r="AB143" i="47"/>
  <c r="AC143" i="47" s="1"/>
  <c r="AB140" i="47"/>
  <c r="AC140" i="47" s="1"/>
  <c r="AB156" i="47"/>
  <c r="AC156" i="47" s="1"/>
  <c r="AB124" i="47"/>
  <c r="AC124" i="47" s="1"/>
  <c r="AB123" i="47"/>
  <c r="AC123" i="47" s="1"/>
  <c r="AB132" i="47"/>
  <c r="AC132" i="47" s="1"/>
  <c r="AB129" i="47"/>
  <c r="AC129" i="47" s="1"/>
  <c r="AB114" i="47"/>
  <c r="AB130" i="47"/>
  <c r="AC130" i="47" s="1"/>
  <c r="AB127" i="47"/>
  <c r="AC127" i="47" s="1"/>
  <c r="AB117" i="47"/>
  <c r="AC117" i="47" s="1"/>
  <c r="AB133" i="47"/>
  <c r="AC133" i="47" s="1"/>
  <c r="AB126" i="47"/>
  <c r="AC126" i="47" s="1"/>
  <c r="AB120" i="47"/>
  <c r="AC120" i="47" s="1"/>
  <c r="AB118" i="47"/>
  <c r="AC118" i="47" s="1"/>
  <c r="AB115" i="47"/>
  <c r="AB131" i="47"/>
  <c r="AC131" i="47" s="1"/>
  <c r="AB121" i="47"/>
  <c r="AC121" i="47" s="1"/>
  <c r="AB116" i="47"/>
  <c r="AC116" i="47" s="1"/>
  <c r="AB122" i="47"/>
  <c r="AC122" i="47" s="1"/>
  <c r="AB119" i="47"/>
  <c r="AC119" i="47" s="1"/>
  <c r="AB128" i="47"/>
  <c r="AC128" i="47" s="1"/>
  <c r="AB125" i="47"/>
  <c r="AC125" i="47" s="1"/>
  <c r="AB105" i="47"/>
  <c r="AC105" i="47" s="1"/>
  <c r="AB97" i="47"/>
  <c r="AC97" i="47" s="1"/>
  <c r="AB95" i="47"/>
  <c r="AC95" i="47" s="1"/>
  <c r="AB92" i="47"/>
  <c r="AB108" i="47"/>
  <c r="AC108" i="47" s="1"/>
  <c r="AB106" i="47"/>
  <c r="AC106" i="47" s="1"/>
  <c r="AB101" i="47"/>
  <c r="AC101" i="47" s="1"/>
  <c r="AB99" i="47"/>
  <c r="AC99" i="47" s="1"/>
  <c r="AB96" i="47"/>
  <c r="AC96" i="47" s="1"/>
  <c r="AB94" i="47"/>
  <c r="AC94" i="47" s="1"/>
  <c r="AB110" i="47"/>
  <c r="AC110" i="47" s="1"/>
  <c r="AB93" i="47"/>
  <c r="AB103" i="47"/>
  <c r="AC103" i="47" s="1"/>
  <c r="AB100" i="47"/>
  <c r="AC100" i="47" s="1"/>
  <c r="AB98" i="47"/>
  <c r="AC98" i="47" s="1"/>
  <c r="AB109" i="47"/>
  <c r="AC109" i="47" s="1"/>
  <c r="AB91" i="47"/>
  <c r="AB107" i="47"/>
  <c r="AC107" i="47" s="1"/>
  <c r="AB104" i="47"/>
  <c r="AC104" i="47" s="1"/>
  <c r="AB102" i="47"/>
  <c r="AC102" i="47" s="1"/>
  <c r="AB140" i="11"/>
  <c r="AB148" i="11"/>
  <c r="AB146" i="11"/>
  <c r="AB142" i="11"/>
  <c r="AB147" i="11"/>
  <c r="AB141" i="11"/>
  <c r="AB144" i="11"/>
  <c r="AB154" i="11"/>
  <c r="AB150" i="11"/>
  <c r="AB151" i="11"/>
  <c r="AB145" i="11"/>
  <c r="AB152" i="11"/>
  <c r="AB139" i="11"/>
  <c r="AB155" i="11"/>
  <c r="AB149" i="11"/>
  <c r="AB156" i="11"/>
  <c r="AB143" i="11"/>
  <c r="AB153" i="11"/>
  <c r="AB122" i="11"/>
  <c r="AB133" i="11"/>
  <c r="AB120" i="11"/>
  <c r="AB130" i="11"/>
  <c r="AB129" i="11"/>
  <c r="AB119" i="11"/>
  <c r="AB123" i="11"/>
  <c r="AB124" i="11"/>
  <c r="AB118" i="11"/>
  <c r="AB117" i="11"/>
  <c r="AB127" i="11"/>
  <c r="AB131" i="11"/>
  <c r="AB128" i="11"/>
  <c r="AB125" i="11"/>
  <c r="AB121" i="11"/>
  <c r="AB132" i="11"/>
  <c r="AB126" i="11"/>
  <c r="AB110" i="11"/>
  <c r="AB98" i="11"/>
  <c r="AB108" i="11"/>
  <c r="AB97" i="11"/>
  <c r="AB107" i="11"/>
  <c r="AB94" i="11"/>
  <c r="AB106" i="11"/>
  <c r="AB102" i="11"/>
  <c r="AB101" i="11"/>
  <c r="AB95" i="11"/>
  <c r="AB104" i="11"/>
  <c r="AB105" i="11"/>
  <c r="AB99" i="11"/>
  <c r="AB96" i="11"/>
  <c r="AB100" i="11"/>
  <c r="AB109" i="11"/>
  <c r="AB103" i="11"/>
  <c r="AB155" i="54"/>
  <c r="AC155" i="54" s="1"/>
  <c r="AB154" i="54"/>
  <c r="AC154" i="54" s="1"/>
  <c r="AB152" i="54"/>
  <c r="AC152" i="54" s="1"/>
  <c r="AB151" i="54"/>
  <c r="AC151" i="54" s="1"/>
  <c r="AB150" i="54"/>
  <c r="AC150" i="54" s="1"/>
  <c r="AB148" i="54"/>
  <c r="AC148" i="54" s="1"/>
  <c r="AB145" i="54"/>
  <c r="AC145" i="54" s="1"/>
  <c r="AB153" i="54"/>
  <c r="AC153" i="54" s="1"/>
  <c r="AB149" i="54"/>
  <c r="AC149" i="54" s="1"/>
  <c r="AB147" i="54"/>
  <c r="AC147" i="54" s="1"/>
  <c r="AB146" i="54"/>
  <c r="AC146" i="54" s="1"/>
  <c r="AB156" i="54"/>
  <c r="AC156" i="54" s="1"/>
  <c r="AB128" i="54"/>
  <c r="AC128" i="54" s="1"/>
  <c r="AB131" i="54"/>
  <c r="AC131" i="54" s="1"/>
  <c r="AB126" i="54"/>
  <c r="AC126" i="54" s="1"/>
  <c r="AB125" i="54"/>
  <c r="AC125" i="54" s="1"/>
  <c r="AB124" i="54"/>
  <c r="AC124" i="54" s="1"/>
  <c r="AB132" i="54"/>
  <c r="AC132" i="54" s="1"/>
  <c r="AB130" i="54"/>
  <c r="AC130" i="54" s="1"/>
  <c r="AB133" i="54"/>
  <c r="AC133" i="54" s="1"/>
  <c r="AB127" i="54"/>
  <c r="AC127" i="54" s="1"/>
  <c r="AB129" i="54"/>
  <c r="AC129" i="54" s="1"/>
  <c r="AB104" i="54"/>
  <c r="AC104" i="54" s="1"/>
  <c r="AB109" i="54"/>
  <c r="AC109" i="54" s="1"/>
  <c r="AB96" i="54"/>
  <c r="AC96" i="54" s="1"/>
  <c r="AB103" i="54"/>
  <c r="AC103" i="54" s="1"/>
  <c r="AB110" i="54"/>
  <c r="AC110" i="54" s="1"/>
  <c r="AB98" i="54"/>
  <c r="AC98" i="54" s="1"/>
  <c r="AB97" i="54"/>
  <c r="AC97" i="54" s="1"/>
  <c r="AB101" i="54"/>
  <c r="AC101" i="54" s="1"/>
  <c r="AB107" i="54"/>
  <c r="AC107" i="54" s="1"/>
  <c r="AB95" i="54"/>
  <c r="AC95" i="54" s="1"/>
  <c r="AB99" i="54"/>
  <c r="AC99" i="54" s="1"/>
  <c r="AB105" i="54"/>
  <c r="AC105" i="54" s="1"/>
  <c r="AB108" i="54"/>
  <c r="AC108" i="54" s="1"/>
  <c r="AB100" i="54"/>
  <c r="AC100" i="54" s="1"/>
  <c r="AB102" i="54"/>
  <c r="AC102" i="54" s="1"/>
  <c r="AB106" i="54"/>
  <c r="AC106" i="54" s="1"/>
  <c r="D116" i="47"/>
  <c r="D104" i="47"/>
  <c r="C327" i="47"/>
  <c r="D144" i="47"/>
  <c r="D154" i="47"/>
  <c r="C325" i="47"/>
  <c r="D126" i="47"/>
  <c r="C287" i="47"/>
  <c r="C273" i="47"/>
  <c r="A94" i="47"/>
  <c r="C291" i="47"/>
  <c r="C276" i="47"/>
  <c r="D151" i="47"/>
  <c r="A106" i="47"/>
  <c r="D153" i="47"/>
  <c r="C303" i="47"/>
  <c r="C309" i="47"/>
  <c r="C301" i="47"/>
  <c r="A107" i="47"/>
  <c r="C271" i="47"/>
  <c r="A99" i="47"/>
  <c r="A96" i="47"/>
  <c r="A101" i="47"/>
  <c r="A133" i="47"/>
  <c r="D99" i="47"/>
  <c r="C332" i="47"/>
  <c r="A142" i="47"/>
  <c r="C292" i="47"/>
  <c r="A156" i="47"/>
  <c r="A91" i="47"/>
  <c r="C302" i="47"/>
  <c r="A143" i="47"/>
  <c r="A93" i="47"/>
  <c r="A98" i="47"/>
  <c r="A118" i="47"/>
  <c r="C308" i="47"/>
  <c r="D115" i="47"/>
  <c r="D145" i="47"/>
  <c r="D139" i="47"/>
  <c r="C270" i="47"/>
  <c r="C275" i="47"/>
  <c r="C329" i="47"/>
  <c r="A120" i="47"/>
  <c r="C295" i="47"/>
  <c r="A102" i="47"/>
  <c r="A105" i="47"/>
  <c r="A145" i="47"/>
  <c r="D156" i="47"/>
  <c r="D152" i="47"/>
  <c r="D100" i="47"/>
  <c r="C319" i="47"/>
  <c r="D93" i="47"/>
  <c r="D142" i="47"/>
  <c r="C286" i="47"/>
  <c r="C298" i="47"/>
  <c r="A155" i="47"/>
  <c r="C297" i="47"/>
  <c r="C316" i="47"/>
  <c r="C277" i="47"/>
  <c r="C282" i="47"/>
  <c r="D118" i="47"/>
  <c r="D155" i="47"/>
  <c r="C314" i="47"/>
  <c r="A132" i="47"/>
  <c r="D147" i="47"/>
  <c r="C284" i="47"/>
  <c r="C268" i="47"/>
  <c r="C333" i="47"/>
  <c r="D143" i="47"/>
  <c r="D107" i="47"/>
  <c r="A109" i="47"/>
  <c r="C300" i="47"/>
  <c r="C330" i="47"/>
  <c r="C281" i="47"/>
  <c r="A147" i="47"/>
  <c r="C272" i="47"/>
  <c r="A125" i="47"/>
  <c r="C296" i="47"/>
  <c r="C269" i="47"/>
  <c r="A137" i="47"/>
  <c r="C305" i="47"/>
  <c r="D125" i="47"/>
  <c r="D128" i="47"/>
  <c r="D102" i="47"/>
  <c r="D91" i="47"/>
  <c r="D122" i="47"/>
  <c r="A122" i="47"/>
  <c r="C279" i="47"/>
  <c r="C320" i="47"/>
  <c r="D109" i="47"/>
  <c r="A123" i="47"/>
  <c r="C299" i="47"/>
  <c r="A144" i="47"/>
  <c r="A104" i="47"/>
  <c r="A119" i="47"/>
  <c r="A97" i="47"/>
  <c r="A92" i="47"/>
  <c r="A116" i="47"/>
  <c r="A128" i="47"/>
  <c r="D137" i="47"/>
  <c r="D106" i="47"/>
  <c r="D119" i="47"/>
  <c r="D129" i="47"/>
  <c r="C318" i="47"/>
  <c r="C310" i="47"/>
  <c r="A110" i="47"/>
  <c r="C315" i="47"/>
  <c r="C294" i="47"/>
  <c r="C304" i="47"/>
  <c r="C307" i="47"/>
  <c r="D127" i="47"/>
  <c r="D130" i="47"/>
  <c r="D133" i="47"/>
  <c r="D117" i="47"/>
  <c r="A114" i="47"/>
  <c r="D141" i="47"/>
  <c r="D138" i="47"/>
  <c r="A153" i="47"/>
  <c r="A150" i="47"/>
  <c r="D150" i="47"/>
  <c r="C324" i="47"/>
  <c r="C321" i="47"/>
  <c r="D92" i="47"/>
  <c r="D123" i="47"/>
  <c r="D132" i="47"/>
  <c r="D97" i="47"/>
  <c r="C278" i="47"/>
  <c r="A124" i="47"/>
  <c r="A126" i="47"/>
  <c r="A152" i="47"/>
  <c r="A141" i="47"/>
  <c r="A117" i="47"/>
  <c r="A115" i="47"/>
  <c r="A139" i="47"/>
  <c r="A95" i="47"/>
  <c r="A100" i="47"/>
  <c r="A131" i="47"/>
  <c r="C328" i="47"/>
  <c r="C274" i="47"/>
  <c r="A129" i="47"/>
  <c r="A127" i="47"/>
  <c r="C322" i="47"/>
  <c r="C283" i="47"/>
  <c r="D131" i="47"/>
  <c r="D96" i="47"/>
  <c r="D114" i="47"/>
  <c r="D124" i="47"/>
  <c r="D105" i="47"/>
  <c r="D95" i="47"/>
  <c r="D120" i="47"/>
  <c r="D101" i="47"/>
  <c r="D98" i="47"/>
  <c r="D110" i="47"/>
  <c r="D94" i="47"/>
  <c r="A154" i="47"/>
  <c r="D146" i="47"/>
  <c r="C326" i="47"/>
  <c r="C323" i="47"/>
  <c r="D149" i="47"/>
  <c r="C317" i="47"/>
  <c r="D140" i="47"/>
  <c r="D148" i="47"/>
  <c r="C331" i="47"/>
  <c r="A148" i="47"/>
  <c r="C285" i="47"/>
  <c r="D108" i="47"/>
  <c r="C280" i="47"/>
  <c r="D103" i="47"/>
  <c r="A140" i="47"/>
  <c r="A146" i="47"/>
  <c r="C306" i="47"/>
  <c r="C293" i="47"/>
  <c r="A130" i="47"/>
  <c r="A138" i="47"/>
  <c r="D121" i="47"/>
  <c r="A121" i="47"/>
  <c r="A108" i="47"/>
  <c r="A149" i="47"/>
  <c r="A151" i="47"/>
  <c r="A103" i="47"/>
  <c r="D133" i="54"/>
  <c r="A133" i="54"/>
  <c r="A116" i="54"/>
  <c r="D116" i="54"/>
  <c r="D127" i="54"/>
  <c r="A127" i="54"/>
  <c r="D129" i="54"/>
  <c r="A129" i="54"/>
  <c r="D117" i="54"/>
  <c r="A117" i="54"/>
  <c r="A100" i="54"/>
  <c r="D100" i="54"/>
  <c r="D103" i="54"/>
  <c r="A103" i="54"/>
  <c r="D102" i="54"/>
  <c r="A102" i="54"/>
  <c r="A106" i="54"/>
  <c r="D106" i="54"/>
  <c r="A93" i="54"/>
  <c r="D93" i="54"/>
  <c r="A150" i="54"/>
  <c r="D150" i="54"/>
  <c r="D149" i="54"/>
  <c r="A149" i="54"/>
  <c r="D148" i="54"/>
  <c r="A148" i="54"/>
  <c r="A137" i="54"/>
  <c r="A136" i="54" s="1"/>
  <c r="D137" i="54"/>
  <c r="A145" i="54"/>
  <c r="D145" i="54"/>
  <c r="D128" i="54"/>
  <c r="A128" i="54"/>
  <c r="D131" i="54"/>
  <c r="A131" i="54"/>
  <c r="D114" i="54"/>
  <c r="A114" i="54"/>
  <c r="A113" i="54" s="1"/>
  <c r="A134" i="54" s="1"/>
  <c r="D123" i="54"/>
  <c r="A123" i="54"/>
  <c r="A126" i="54"/>
  <c r="D126" i="54"/>
  <c r="A110" i="54"/>
  <c r="D110" i="54"/>
  <c r="D92" i="54"/>
  <c r="A92" i="54"/>
  <c r="A98" i="54"/>
  <c r="D98" i="54"/>
  <c r="D97" i="54"/>
  <c r="A97" i="54"/>
  <c r="A101" i="54"/>
  <c r="D101" i="54"/>
  <c r="D144" i="54"/>
  <c r="A144" i="54"/>
  <c r="A147" i="54"/>
  <c r="D147" i="54"/>
  <c r="D146" i="54"/>
  <c r="A146" i="54"/>
  <c r="A156" i="54"/>
  <c r="D156" i="54"/>
  <c r="A142" i="54"/>
  <c r="D142" i="54"/>
  <c r="D125" i="54"/>
  <c r="A125" i="54"/>
  <c r="D124" i="54"/>
  <c r="A124" i="54"/>
  <c r="D132" i="54"/>
  <c r="A132" i="54"/>
  <c r="D119" i="54"/>
  <c r="A119" i="54"/>
  <c r="A122" i="54"/>
  <c r="D122" i="54"/>
  <c r="D107" i="54"/>
  <c r="A107" i="54"/>
  <c r="A91" i="54"/>
  <c r="A90" i="54" s="1"/>
  <c r="D91" i="54"/>
  <c r="D95" i="54"/>
  <c r="A95" i="54"/>
  <c r="D94" i="54"/>
  <c r="A94" i="54"/>
  <c r="D99" i="54"/>
  <c r="A99" i="54"/>
  <c r="D139" i="54"/>
  <c r="A139" i="54"/>
  <c r="A138" i="54"/>
  <c r="D138" i="54"/>
  <c r="D143" i="54"/>
  <c r="A143" i="54"/>
  <c r="D155" i="54"/>
  <c r="A155" i="54"/>
  <c r="A140" i="54"/>
  <c r="D140" i="54"/>
  <c r="A121" i="54"/>
  <c r="D121" i="54"/>
  <c r="D120" i="54"/>
  <c r="A120" i="54"/>
  <c r="A130" i="54"/>
  <c r="D130" i="54"/>
  <c r="A115" i="54"/>
  <c r="D115" i="54"/>
  <c r="D118" i="54"/>
  <c r="A118" i="54"/>
  <c r="A104" i="54"/>
  <c r="D104" i="54"/>
  <c r="D105" i="54"/>
  <c r="A105" i="54"/>
  <c r="A109" i="54"/>
  <c r="D109" i="54"/>
  <c r="A108" i="54"/>
  <c r="D108" i="54"/>
  <c r="A96" i="54"/>
  <c r="D96" i="54"/>
  <c r="A154" i="54"/>
  <c r="D154" i="54"/>
  <c r="D153" i="54"/>
  <c r="A153" i="54"/>
  <c r="D152" i="54"/>
  <c r="A152" i="54"/>
  <c r="D141" i="54"/>
  <c r="A141" i="54"/>
  <c r="D151" i="54"/>
  <c r="A151" i="54"/>
  <c r="AI346" i="11"/>
  <c r="AJ346" i="11" s="1"/>
  <c r="AK346" i="11" s="1"/>
  <c r="AE346" i="11"/>
  <c r="AF346" i="11" s="1"/>
  <c r="AE347" i="11"/>
  <c r="AF347" i="11" s="1"/>
  <c r="AI347" i="11"/>
  <c r="AE348" i="11"/>
  <c r="AF348" i="11" s="1"/>
  <c r="AI348" i="11"/>
  <c r="AI350" i="11"/>
  <c r="AE350" i="11"/>
  <c r="AF350" i="11" s="1"/>
  <c r="P350" i="11" s="1"/>
  <c r="AI345" i="11"/>
  <c r="AE345" i="11"/>
  <c r="AF345" i="11" s="1"/>
  <c r="AI349" i="11"/>
  <c r="AE349" i="11"/>
  <c r="AF349" i="11" s="1"/>
  <c r="AI344" i="11"/>
  <c r="AE344" i="11"/>
  <c r="AF344" i="11" s="1"/>
  <c r="T351" i="11" l="1"/>
  <c r="R351" i="11"/>
  <c r="Q350" i="11"/>
  <c r="R350" i="11" s="1"/>
  <c r="F94" i="54"/>
  <c r="F95" i="54"/>
  <c r="F93" i="54"/>
  <c r="F92" i="54"/>
  <c r="O151" i="54"/>
  <c r="O116" i="54"/>
  <c r="O124" i="54"/>
  <c r="T103" i="11"/>
  <c r="F146" i="54"/>
  <c r="F145" i="54"/>
  <c r="F144" i="54"/>
  <c r="F142" i="54"/>
  <c r="F143" i="54"/>
  <c r="F141" i="54"/>
  <c r="F139" i="54"/>
  <c r="F138" i="54"/>
  <c r="F140" i="54"/>
  <c r="T107" i="11"/>
  <c r="T107" i="47"/>
  <c r="F114" i="54"/>
  <c r="F91" i="54"/>
  <c r="F137" i="54"/>
  <c r="T95" i="11"/>
  <c r="F130" i="47"/>
  <c r="F133" i="72" s="1"/>
  <c r="F152" i="47"/>
  <c r="F155" i="72" s="1"/>
  <c r="F99" i="47"/>
  <c r="F102" i="72" s="1"/>
  <c r="F123" i="47"/>
  <c r="F126" i="72" s="1"/>
  <c r="F126" i="47"/>
  <c r="F129" i="72" s="1"/>
  <c r="F144" i="47"/>
  <c r="F147" i="72" s="1"/>
  <c r="F117" i="47"/>
  <c r="F120" i="72" s="1"/>
  <c r="F150" i="47"/>
  <c r="F153" i="72" s="1"/>
  <c r="F133" i="47"/>
  <c r="F136" i="72" s="1"/>
  <c r="F118" i="47"/>
  <c r="F121" i="72" s="1"/>
  <c r="F141" i="47"/>
  <c r="F144" i="72" s="1"/>
  <c r="F154" i="47"/>
  <c r="F157" i="72" s="1"/>
  <c r="F124" i="47"/>
  <c r="F127" i="72" s="1"/>
  <c r="F93" i="47"/>
  <c r="F96" i="72" s="1"/>
  <c r="F153" i="47"/>
  <c r="F156" i="72" s="1"/>
  <c r="F129" i="47"/>
  <c r="F132" i="72" s="1"/>
  <c r="F103" i="47"/>
  <c r="F106" i="72" s="1"/>
  <c r="F109" i="47"/>
  <c r="F112" i="72" s="1"/>
  <c r="F110" i="47"/>
  <c r="F113" i="72" s="1"/>
  <c r="F115" i="47"/>
  <c r="F118" i="72" s="1"/>
  <c r="F156" i="47"/>
  <c r="F159" i="72" s="1"/>
  <c r="F105" i="47"/>
  <c r="F108" i="72" s="1"/>
  <c r="F127" i="47"/>
  <c r="F130" i="72" s="1"/>
  <c r="F96" i="47"/>
  <c r="F99" i="72" s="1"/>
  <c r="F95" i="47"/>
  <c r="F98" i="72" s="1"/>
  <c r="F125" i="47"/>
  <c r="F128" i="72" s="1"/>
  <c r="F147" i="47"/>
  <c r="F150" i="72" s="1"/>
  <c r="F142" i="47"/>
  <c r="F145" i="72" s="1"/>
  <c r="F92" i="47"/>
  <c r="F95" i="72" s="1"/>
  <c r="F94" i="47"/>
  <c r="F97" i="72" s="1"/>
  <c r="F119" i="47"/>
  <c r="F122" i="72" s="1"/>
  <c r="F120" i="47"/>
  <c r="F123" i="72" s="1"/>
  <c r="F104" i="47"/>
  <c r="F107" i="72" s="1"/>
  <c r="F155" i="47"/>
  <c r="F158" i="72" s="1"/>
  <c r="F145" i="47"/>
  <c r="F148" i="72" s="1"/>
  <c r="F102" i="47"/>
  <c r="F105" i="72" s="1"/>
  <c r="F139" i="47"/>
  <c r="F142" i="72" s="1"/>
  <c r="F122" i="47"/>
  <c r="F125" i="72" s="1"/>
  <c r="F107" i="47"/>
  <c r="F110" i="72" s="1"/>
  <c r="F106" i="47"/>
  <c r="F109" i="72" s="1"/>
  <c r="F131" i="47"/>
  <c r="F134" i="72" s="1"/>
  <c r="F116" i="47"/>
  <c r="F119" i="72" s="1"/>
  <c r="F140" i="47"/>
  <c r="F143" i="72" s="1"/>
  <c r="F100" i="47"/>
  <c r="F103" i="72" s="1"/>
  <c r="F101" i="47"/>
  <c r="F104" i="72" s="1"/>
  <c r="F132" i="47"/>
  <c r="F135" i="72" s="1"/>
  <c r="F151" i="47"/>
  <c r="F154" i="72" s="1"/>
  <c r="F146" i="47"/>
  <c r="F149" i="72" s="1"/>
  <c r="F98" i="47"/>
  <c r="F101" i="72" s="1"/>
  <c r="F97" i="47"/>
  <c r="F100" i="72" s="1"/>
  <c r="F128" i="47"/>
  <c r="F131" i="72" s="1"/>
  <c r="F148" i="47"/>
  <c r="F151" i="72" s="1"/>
  <c r="F149" i="47"/>
  <c r="F152" i="72" s="1"/>
  <c r="F143" i="47"/>
  <c r="F146" i="72" s="1"/>
  <c r="F108" i="47"/>
  <c r="F111" i="72" s="1"/>
  <c r="F91" i="47"/>
  <c r="F94" i="72" s="1"/>
  <c r="F121" i="47"/>
  <c r="F124" i="72" s="1"/>
  <c r="O105" i="54"/>
  <c r="P99" i="11"/>
  <c r="T154" i="47"/>
  <c r="O132" i="54"/>
  <c r="Y285" i="47"/>
  <c r="H285" i="47" s="1"/>
  <c r="I290" i="72" s="1"/>
  <c r="M285" i="47"/>
  <c r="Y326" i="47"/>
  <c r="H326" i="47" s="1"/>
  <c r="I331" i="72" s="1"/>
  <c r="M326" i="47"/>
  <c r="Y324" i="47"/>
  <c r="H324" i="47" s="1"/>
  <c r="I329" i="72" s="1"/>
  <c r="M324" i="47"/>
  <c r="Y304" i="47"/>
  <c r="H304" i="47" s="1"/>
  <c r="I309" i="72" s="1"/>
  <c r="M304" i="47"/>
  <c r="Y310" i="47"/>
  <c r="H310" i="47" s="1"/>
  <c r="I315" i="72" s="1"/>
  <c r="M310" i="47"/>
  <c r="Y320" i="47"/>
  <c r="H320" i="47" s="1"/>
  <c r="I325" i="72" s="1"/>
  <c r="M320" i="47"/>
  <c r="Y305" i="47"/>
  <c r="H305" i="47" s="1"/>
  <c r="I310" i="72" s="1"/>
  <c r="M305" i="47"/>
  <c r="Y330" i="47"/>
  <c r="H330" i="47" s="1"/>
  <c r="I335" i="72" s="1"/>
  <c r="M330" i="47"/>
  <c r="Y297" i="47"/>
  <c r="H297" i="47" s="1"/>
  <c r="I302" i="72" s="1"/>
  <c r="M297" i="47"/>
  <c r="Y275" i="47"/>
  <c r="H275" i="47" s="1"/>
  <c r="I280" i="72" s="1"/>
  <c r="M275" i="47"/>
  <c r="Y309" i="47"/>
  <c r="H309" i="47" s="1"/>
  <c r="I314" i="72" s="1"/>
  <c r="M309" i="47"/>
  <c r="Y273" i="47"/>
  <c r="H273" i="47" s="1"/>
  <c r="I278" i="72" s="1"/>
  <c r="M273" i="47"/>
  <c r="J91" i="47"/>
  <c r="O91" i="47" s="1"/>
  <c r="J96" i="47"/>
  <c r="O96" i="47" s="1"/>
  <c r="J97" i="47"/>
  <c r="O97" i="47" s="1"/>
  <c r="J99" i="47"/>
  <c r="O99" i="47" s="1"/>
  <c r="J95" i="47"/>
  <c r="O95" i="47" s="1"/>
  <c r="R100" i="47"/>
  <c r="T100" i="47"/>
  <c r="P100" i="47"/>
  <c r="O103" i="72" s="1"/>
  <c r="S100" i="47"/>
  <c r="Q100" i="47"/>
  <c r="P103" i="72" s="1"/>
  <c r="T102" i="47"/>
  <c r="R102" i="47"/>
  <c r="Q102" i="47"/>
  <c r="P105" i="72" s="1"/>
  <c r="S102" i="47"/>
  <c r="P102" i="47"/>
  <c r="O105" i="72" s="1"/>
  <c r="S105" i="47"/>
  <c r="P105" i="47"/>
  <c r="O108" i="72" s="1"/>
  <c r="T105" i="47"/>
  <c r="Q105" i="47"/>
  <c r="P108" i="72" s="1"/>
  <c r="R105" i="47"/>
  <c r="T133" i="47"/>
  <c r="Q133" i="47"/>
  <c r="P136" i="72" s="1"/>
  <c r="R133" i="47"/>
  <c r="S133" i="47"/>
  <c r="P133" i="47"/>
  <c r="O136" i="72" s="1"/>
  <c r="Q130" i="47"/>
  <c r="P133" i="72" s="1"/>
  <c r="R130" i="47"/>
  <c r="S130" i="47"/>
  <c r="P130" i="47"/>
  <c r="O133" i="72" s="1"/>
  <c r="T130" i="47"/>
  <c r="T152" i="47"/>
  <c r="R152" i="47"/>
  <c r="S152" i="47"/>
  <c r="Q152" i="47"/>
  <c r="P155" i="72" s="1"/>
  <c r="P152" i="47"/>
  <c r="O155" i="72" s="1"/>
  <c r="Q146" i="47"/>
  <c r="P149" i="72" s="1"/>
  <c r="R146" i="47"/>
  <c r="S146" i="47"/>
  <c r="P146" i="47"/>
  <c r="O149" i="72" s="1"/>
  <c r="T146" i="47"/>
  <c r="S139" i="47"/>
  <c r="T98" i="47"/>
  <c r="S98" i="47"/>
  <c r="Q98" i="47"/>
  <c r="P101" i="72" s="1"/>
  <c r="P98" i="47"/>
  <c r="O101" i="72" s="1"/>
  <c r="R98" i="47"/>
  <c r="Q95" i="47"/>
  <c r="P98" i="72" s="1"/>
  <c r="R95" i="47"/>
  <c r="S95" i="47"/>
  <c r="P95" i="47"/>
  <c r="O98" i="72" s="1"/>
  <c r="T95" i="47"/>
  <c r="R123" i="47"/>
  <c r="S123" i="47"/>
  <c r="T123" i="47"/>
  <c r="Q123" i="47"/>
  <c r="P126" i="72" s="1"/>
  <c r="P123" i="47"/>
  <c r="O126" i="72" s="1"/>
  <c r="Q126" i="47"/>
  <c r="P129" i="72" s="1"/>
  <c r="R126" i="47"/>
  <c r="S126" i="47"/>
  <c r="P126" i="47"/>
  <c r="O129" i="72" s="1"/>
  <c r="T126" i="47"/>
  <c r="Q124" i="47"/>
  <c r="P127" i="72" s="1"/>
  <c r="S124" i="47"/>
  <c r="R124" i="47"/>
  <c r="P124" i="47"/>
  <c r="O127" i="72" s="1"/>
  <c r="T124" i="47"/>
  <c r="R147" i="47"/>
  <c r="S147" i="47"/>
  <c r="T147" i="47"/>
  <c r="P147" i="47"/>
  <c r="O150" i="72" s="1"/>
  <c r="Q147" i="47"/>
  <c r="P150" i="72" s="1"/>
  <c r="Q149" i="47"/>
  <c r="P152" i="72" s="1"/>
  <c r="R149" i="47"/>
  <c r="S149" i="47"/>
  <c r="P149" i="47"/>
  <c r="O152" i="72" s="1"/>
  <c r="T149" i="47"/>
  <c r="S92" i="47"/>
  <c r="S91" i="47"/>
  <c r="R119" i="47"/>
  <c r="S119" i="47"/>
  <c r="T119" i="47"/>
  <c r="Q119" i="47"/>
  <c r="P122" i="72" s="1"/>
  <c r="P119" i="47"/>
  <c r="O122" i="72" s="1"/>
  <c r="T121" i="47"/>
  <c r="P121" i="47"/>
  <c r="O124" i="72" s="1"/>
  <c r="R121" i="47"/>
  <c r="S121" i="47"/>
  <c r="Q121" i="47"/>
  <c r="P124" i="72" s="1"/>
  <c r="T129" i="47"/>
  <c r="Q129" i="47"/>
  <c r="P132" i="72" s="1"/>
  <c r="R129" i="47"/>
  <c r="S129" i="47"/>
  <c r="P129" i="47"/>
  <c r="O132" i="72" s="1"/>
  <c r="Q154" i="47"/>
  <c r="P157" i="72" s="1"/>
  <c r="R154" i="47"/>
  <c r="S154" i="47"/>
  <c r="P154" i="47"/>
  <c r="O157" i="72" s="1"/>
  <c r="S140" i="47"/>
  <c r="S109" i="47"/>
  <c r="P109" i="47"/>
  <c r="O112" i="72" s="1"/>
  <c r="T109" i="47"/>
  <c r="Q109" i="47"/>
  <c r="P112" i="72" s="1"/>
  <c r="R109" i="47"/>
  <c r="T106" i="47"/>
  <c r="P106" i="47"/>
  <c r="O109" i="72" s="1"/>
  <c r="R106" i="47"/>
  <c r="Q106" i="47"/>
  <c r="P109" i="72" s="1"/>
  <c r="S106" i="47"/>
  <c r="R131" i="47"/>
  <c r="S131" i="47"/>
  <c r="T131" i="47"/>
  <c r="Q131" i="47"/>
  <c r="P134" i="72" s="1"/>
  <c r="P131" i="47"/>
  <c r="O134" i="72" s="1"/>
  <c r="T117" i="47"/>
  <c r="R117" i="47"/>
  <c r="S117" i="47"/>
  <c r="Q117" i="47"/>
  <c r="P120" i="72" s="1"/>
  <c r="P117" i="47"/>
  <c r="O120" i="72" s="1"/>
  <c r="Q114" i="47"/>
  <c r="R114" i="47"/>
  <c r="S114" i="47"/>
  <c r="P114" i="47"/>
  <c r="T114" i="47"/>
  <c r="R155" i="47"/>
  <c r="T155" i="47"/>
  <c r="S155" i="47"/>
  <c r="P155" i="47"/>
  <c r="O158" i="72" s="1"/>
  <c r="Q155" i="47"/>
  <c r="P158" i="72" s="1"/>
  <c r="Q153" i="47"/>
  <c r="P156" i="72" s="1"/>
  <c r="R153" i="47"/>
  <c r="S153" i="47"/>
  <c r="P153" i="47"/>
  <c r="O156" i="72" s="1"/>
  <c r="T153" i="47"/>
  <c r="Y293" i="47"/>
  <c r="H293" i="47" s="1"/>
  <c r="I298" i="72" s="1"/>
  <c r="M293" i="47"/>
  <c r="Y317" i="47"/>
  <c r="H317" i="47" s="1"/>
  <c r="I322" i="72" s="1"/>
  <c r="M317" i="47"/>
  <c r="Y294" i="47"/>
  <c r="H294" i="47" s="1"/>
  <c r="I299" i="72" s="1"/>
  <c r="M294" i="47"/>
  <c r="Y318" i="47"/>
  <c r="H318" i="47" s="1"/>
  <c r="I323" i="72" s="1"/>
  <c r="M318" i="47"/>
  <c r="Y299" i="47"/>
  <c r="H299" i="47" s="1"/>
  <c r="I304" i="72" s="1"/>
  <c r="M299" i="47"/>
  <c r="Y279" i="47"/>
  <c r="H279" i="47" s="1"/>
  <c r="I284" i="72" s="1"/>
  <c r="M279" i="47"/>
  <c r="Y272" i="47"/>
  <c r="H272" i="47" s="1"/>
  <c r="I277" i="72" s="1"/>
  <c r="M272" i="47"/>
  <c r="Y300" i="47"/>
  <c r="H300" i="47" s="1"/>
  <c r="I305" i="72" s="1"/>
  <c r="M300" i="47"/>
  <c r="Y333" i="47"/>
  <c r="H333" i="47" s="1"/>
  <c r="I338" i="72" s="1"/>
  <c r="M333" i="47"/>
  <c r="Y282" i="47"/>
  <c r="H282" i="47" s="1"/>
  <c r="I287" i="72" s="1"/>
  <c r="M282" i="47"/>
  <c r="Y295" i="47"/>
  <c r="H295" i="47" s="1"/>
  <c r="I300" i="72" s="1"/>
  <c r="M295" i="47"/>
  <c r="Y270" i="47"/>
  <c r="H270" i="47" s="1"/>
  <c r="I275" i="72" s="1"/>
  <c r="M270" i="47"/>
  <c r="Y308" i="47"/>
  <c r="H308" i="47" s="1"/>
  <c r="I313" i="72" s="1"/>
  <c r="M308" i="47"/>
  <c r="Y292" i="47"/>
  <c r="H292" i="47" s="1"/>
  <c r="I297" i="72" s="1"/>
  <c r="M292" i="47"/>
  <c r="Y271" i="47"/>
  <c r="H271" i="47" s="1"/>
  <c r="I276" i="72" s="1"/>
  <c r="M271" i="47"/>
  <c r="Y303" i="47"/>
  <c r="H303" i="47" s="1"/>
  <c r="I308" i="72" s="1"/>
  <c r="M303" i="47"/>
  <c r="Y276" i="47"/>
  <c r="H276" i="47" s="1"/>
  <c r="I281" i="72" s="1"/>
  <c r="M276" i="47"/>
  <c r="Y287" i="47"/>
  <c r="H287" i="47" s="1"/>
  <c r="I292" i="72" s="1"/>
  <c r="M287" i="47"/>
  <c r="J102" i="47"/>
  <c r="O102" i="47" s="1"/>
  <c r="J107" i="47"/>
  <c r="O107" i="47" s="1"/>
  <c r="J109" i="47"/>
  <c r="O109" i="47" s="1"/>
  <c r="J128" i="47"/>
  <c r="O128" i="47" s="1"/>
  <c r="J122" i="47"/>
  <c r="O122" i="47" s="1"/>
  <c r="J156" i="47"/>
  <c r="O156" i="47" s="1"/>
  <c r="J143" i="47"/>
  <c r="O143" i="47" s="1"/>
  <c r="J149" i="47"/>
  <c r="O149" i="47" s="1"/>
  <c r="J101" i="47"/>
  <c r="O101" i="47" s="1"/>
  <c r="J130" i="47"/>
  <c r="O130" i="47" s="1"/>
  <c r="J151" i="47"/>
  <c r="O151" i="47" s="1"/>
  <c r="J141" i="47"/>
  <c r="O141" i="47" s="1"/>
  <c r="J132" i="47"/>
  <c r="O132" i="47" s="1"/>
  <c r="J147" i="47"/>
  <c r="O147" i="47" s="1"/>
  <c r="J103" i="47"/>
  <c r="O103" i="47" s="1"/>
  <c r="J131" i="47"/>
  <c r="O131" i="47" s="1"/>
  <c r="J118" i="47"/>
  <c r="O118" i="47" s="1"/>
  <c r="J152" i="47"/>
  <c r="O152" i="47" s="1"/>
  <c r="J139" i="47"/>
  <c r="O139" i="47" s="1"/>
  <c r="J145" i="47"/>
  <c r="O145" i="47" s="1"/>
  <c r="J133" i="47"/>
  <c r="K136" i="72" s="1"/>
  <c r="J114" i="47"/>
  <c r="O114" i="47" s="1"/>
  <c r="J106" i="47"/>
  <c r="O106" i="47" s="1"/>
  <c r="J129" i="47"/>
  <c r="K132" i="72" s="1"/>
  <c r="J124" i="47"/>
  <c r="O124" i="47" s="1"/>
  <c r="J150" i="47"/>
  <c r="O150" i="47" s="1"/>
  <c r="Y306" i="47"/>
  <c r="H306" i="47" s="1"/>
  <c r="I311" i="72" s="1"/>
  <c r="M306" i="47"/>
  <c r="Y280" i="47"/>
  <c r="H280" i="47" s="1"/>
  <c r="I285" i="72" s="1"/>
  <c r="M280" i="47"/>
  <c r="Y331" i="47"/>
  <c r="H331" i="47" s="1"/>
  <c r="I336" i="72" s="1"/>
  <c r="M331" i="47"/>
  <c r="Y283" i="47"/>
  <c r="H283" i="47" s="1"/>
  <c r="I288" i="72" s="1"/>
  <c r="M283" i="47"/>
  <c r="Y274" i="47"/>
  <c r="H274" i="47" s="1"/>
  <c r="I279" i="72" s="1"/>
  <c r="M274" i="47"/>
  <c r="Y278" i="47"/>
  <c r="H278" i="47" s="1"/>
  <c r="I283" i="72" s="1"/>
  <c r="M278" i="47"/>
  <c r="Y315" i="47"/>
  <c r="H315" i="47" s="1"/>
  <c r="I320" i="72" s="1"/>
  <c r="M315" i="47"/>
  <c r="S315" i="47" s="1"/>
  <c r="Y269" i="47"/>
  <c r="H269" i="47" s="1"/>
  <c r="I274" i="72" s="1"/>
  <c r="M269" i="47"/>
  <c r="Y268" i="47"/>
  <c r="H268" i="47" s="1"/>
  <c r="I273" i="72" s="1"/>
  <c r="M268" i="47"/>
  <c r="Y314" i="47"/>
  <c r="H314" i="47" s="1"/>
  <c r="I319" i="72" s="1"/>
  <c r="M314" i="47"/>
  <c r="S314" i="47" s="1"/>
  <c r="Y277" i="47"/>
  <c r="H277" i="47" s="1"/>
  <c r="I282" i="72" s="1"/>
  <c r="M277" i="47"/>
  <c r="Y298" i="47"/>
  <c r="H298" i="47" s="1"/>
  <c r="I303" i="72" s="1"/>
  <c r="M298" i="47"/>
  <c r="Y319" i="47"/>
  <c r="H319" i="47" s="1"/>
  <c r="I324" i="72" s="1"/>
  <c r="M319" i="47"/>
  <c r="Y302" i="47"/>
  <c r="H302" i="47" s="1"/>
  <c r="I307" i="72" s="1"/>
  <c r="M302" i="47"/>
  <c r="Y291" i="47"/>
  <c r="H291" i="47" s="1"/>
  <c r="I296" i="72" s="1"/>
  <c r="M291" i="47"/>
  <c r="Y327" i="47"/>
  <c r="H327" i="47" s="1"/>
  <c r="I332" i="72" s="1"/>
  <c r="M327" i="47"/>
  <c r="J92" i="47"/>
  <c r="O92" i="47" s="1"/>
  <c r="J98" i="47"/>
  <c r="O98" i="47" s="1"/>
  <c r="J93" i="47"/>
  <c r="O93" i="47" s="1"/>
  <c r="J94" i="47"/>
  <c r="O94" i="47" s="1"/>
  <c r="Q103" i="47"/>
  <c r="P106" i="72" s="1"/>
  <c r="R103" i="47"/>
  <c r="S103" i="47"/>
  <c r="T103" i="47"/>
  <c r="P103" i="47"/>
  <c r="O106" i="72" s="1"/>
  <c r="S101" i="47"/>
  <c r="P101" i="47"/>
  <c r="O104" i="72" s="1"/>
  <c r="T101" i="47"/>
  <c r="Q101" i="47"/>
  <c r="P104" i="72" s="1"/>
  <c r="R101" i="47"/>
  <c r="R127" i="47"/>
  <c r="S127" i="47"/>
  <c r="T127" i="47"/>
  <c r="Q127" i="47"/>
  <c r="P130" i="72" s="1"/>
  <c r="P127" i="47"/>
  <c r="O130" i="72" s="1"/>
  <c r="Q132" i="47"/>
  <c r="P135" i="72" s="1"/>
  <c r="S132" i="47"/>
  <c r="R132" i="47"/>
  <c r="P132" i="47"/>
  <c r="O135" i="72" s="1"/>
  <c r="T132" i="47"/>
  <c r="Q118" i="47"/>
  <c r="P121" i="72" s="1"/>
  <c r="R118" i="47"/>
  <c r="S118" i="47"/>
  <c r="P118" i="47"/>
  <c r="O121" i="72" s="1"/>
  <c r="T118" i="47"/>
  <c r="R151" i="47"/>
  <c r="P151" i="47"/>
  <c r="O154" i="72" s="1"/>
  <c r="T151" i="47"/>
  <c r="S151" i="47"/>
  <c r="Q151" i="47"/>
  <c r="P154" i="72" s="1"/>
  <c r="S141" i="47"/>
  <c r="R96" i="47"/>
  <c r="T96" i="47"/>
  <c r="P96" i="47"/>
  <c r="O99" i="72" s="1"/>
  <c r="S96" i="47"/>
  <c r="Q96" i="47"/>
  <c r="P99" i="72" s="1"/>
  <c r="S97" i="47"/>
  <c r="P97" i="47"/>
  <c r="O100" i="72" s="1"/>
  <c r="T97" i="47"/>
  <c r="R97" i="47"/>
  <c r="Q97" i="47"/>
  <c r="P100" i="72" s="1"/>
  <c r="Q99" i="47"/>
  <c r="P102" i="72" s="1"/>
  <c r="R99" i="47"/>
  <c r="S99" i="47"/>
  <c r="P99" i="47"/>
  <c r="O102" i="72" s="1"/>
  <c r="T99" i="47"/>
  <c r="Q128" i="47"/>
  <c r="P131" i="72" s="1"/>
  <c r="T128" i="47"/>
  <c r="S128" i="47"/>
  <c r="R128" i="47"/>
  <c r="P128" i="47"/>
  <c r="O131" i="72" s="1"/>
  <c r="T125" i="47"/>
  <c r="R125" i="47"/>
  <c r="S125" i="47"/>
  <c r="P125" i="47"/>
  <c r="O128" i="72" s="1"/>
  <c r="Q125" i="47"/>
  <c r="P128" i="72" s="1"/>
  <c r="T148" i="47"/>
  <c r="Q148" i="47"/>
  <c r="P151" i="72" s="1"/>
  <c r="S148" i="47"/>
  <c r="P148" i="47"/>
  <c r="O151" i="72" s="1"/>
  <c r="R148" i="47"/>
  <c r="Q142" i="47"/>
  <c r="P145" i="72" s="1"/>
  <c r="S142" i="47"/>
  <c r="R142" i="47"/>
  <c r="T142" i="47"/>
  <c r="P142" i="47"/>
  <c r="O145" i="72" s="1"/>
  <c r="R143" i="47"/>
  <c r="T143" i="47"/>
  <c r="P143" i="47"/>
  <c r="O146" i="72" s="1"/>
  <c r="S143" i="47"/>
  <c r="Q143" i="47"/>
  <c r="P146" i="72" s="1"/>
  <c r="R108" i="47"/>
  <c r="T108" i="47"/>
  <c r="P108" i="47"/>
  <c r="O111" i="72" s="1"/>
  <c r="S108" i="47"/>
  <c r="Q108" i="47"/>
  <c r="P111" i="72" s="1"/>
  <c r="S93" i="47"/>
  <c r="P93" i="47"/>
  <c r="O96" i="72" s="1"/>
  <c r="T93" i="47"/>
  <c r="Q93" i="47"/>
  <c r="R93" i="47"/>
  <c r="T94" i="47"/>
  <c r="S94" i="47"/>
  <c r="Q94" i="47"/>
  <c r="P97" i="72" s="1"/>
  <c r="R94" i="47"/>
  <c r="P94" i="47"/>
  <c r="O97" i="72" s="1"/>
  <c r="Q122" i="47"/>
  <c r="P125" i="72" s="1"/>
  <c r="R122" i="47"/>
  <c r="S122" i="47"/>
  <c r="P122" i="47"/>
  <c r="O125" i="72" s="1"/>
  <c r="T122" i="47"/>
  <c r="Q120" i="47"/>
  <c r="P123" i="72" s="1"/>
  <c r="R120" i="47"/>
  <c r="P120" i="47"/>
  <c r="O123" i="72" s="1"/>
  <c r="T120" i="47"/>
  <c r="S120" i="47"/>
  <c r="T144" i="47"/>
  <c r="Q144" i="47"/>
  <c r="P147" i="72" s="1"/>
  <c r="P144" i="47"/>
  <c r="O147" i="72" s="1"/>
  <c r="R144" i="47"/>
  <c r="S144" i="47"/>
  <c r="R104" i="47"/>
  <c r="T104" i="47"/>
  <c r="P104" i="47"/>
  <c r="O107" i="72" s="1"/>
  <c r="S104" i="47"/>
  <c r="Q104" i="47"/>
  <c r="P107" i="72" s="1"/>
  <c r="Q107" i="47"/>
  <c r="P110" i="72" s="1"/>
  <c r="R107" i="47"/>
  <c r="S107" i="47"/>
  <c r="P107" i="47"/>
  <c r="O110" i="72" s="1"/>
  <c r="T110" i="47"/>
  <c r="R110" i="47"/>
  <c r="P110" i="47"/>
  <c r="O113" i="72" s="1"/>
  <c r="S110" i="47"/>
  <c r="Q110" i="47"/>
  <c r="P113" i="72" s="1"/>
  <c r="R115" i="47"/>
  <c r="S115" i="47"/>
  <c r="T115" i="47"/>
  <c r="Q115" i="47"/>
  <c r="P115" i="47"/>
  <c r="Q116" i="47"/>
  <c r="P119" i="72" s="1"/>
  <c r="T116" i="47"/>
  <c r="S116" i="47"/>
  <c r="R116" i="47"/>
  <c r="P116" i="47"/>
  <c r="O119" i="72" s="1"/>
  <c r="T156" i="47"/>
  <c r="R156" i="47"/>
  <c r="P156" i="47"/>
  <c r="O159" i="72" s="1"/>
  <c r="Q156" i="47"/>
  <c r="P159" i="72" s="1"/>
  <c r="S156" i="47"/>
  <c r="Q150" i="47"/>
  <c r="P153" i="72" s="1"/>
  <c r="S150" i="47"/>
  <c r="R150" i="47"/>
  <c r="P150" i="47"/>
  <c r="O153" i="72" s="1"/>
  <c r="T150" i="47"/>
  <c r="Q145" i="47"/>
  <c r="P148" i="72" s="1"/>
  <c r="R145" i="47"/>
  <c r="T145" i="47"/>
  <c r="S145" i="47"/>
  <c r="P145" i="47"/>
  <c r="O148" i="72" s="1"/>
  <c r="Y323" i="47"/>
  <c r="H323" i="47" s="1"/>
  <c r="I328" i="72" s="1"/>
  <c r="M323" i="47"/>
  <c r="Y322" i="47"/>
  <c r="H322" i="47" s="1"/>
  <c r="I327" i="72" s="1"/>
  <c r="M322" i="47"/>
  <c r="Y328" i="47"/>
  <c r="H328" i="47" s="1"/>
  <c r="I333" i="72" s="1"/>
  <c r="M328" i="47"/>
  <c r="Y321" i="47"/>
  <c r="H321" i="47" s="1"/>
  <c r="I326" i="72" s="1"/>
  <c r="M321" i="47"/>
  <c r="Y307" i="47"/>
  <c r="H307" i="47" s="1"/>
  <c r="I312" i="72" s="1"/>
  <c r="M307" i="47"/>
  <c r="Y296" i="47"/>
  <c r="H296" i="47" s="1"/>
  <c r="I301" i="72" s="1"/>
  <c r="M296" i="47"/>
  <c r="Y281" i="47"/>
  <c r="H281" i="47" s="1"/>
  <c r="I286" i="72" s="1"/>
  <c r="M281" i="47"/>
  <c r="Y284" i="47"/>
  <c r="H284" i="47" s="1"/>
  <c r="I289" i="72" s="1"/>
  <c r="M284" i="47"/>
  <c r="Y316" i="47"/>
  <c r="H316" i="47" s="1"/>
  <c r="I321" i="72" s="1"/>
  <c r="M316" i="47"/>
  <c r="Y286" i="47"/>
  <c r="H286" i="47" s="1"/>
  <c r="I291" i="72" s="1"/>
  <c r="M286" i="47"/>
  <c r="Y329" i="47"/>
  <c r="H329" i="47" s="1"/>
  <c r="I334" i="72" s="1"/>
  <c r="M329" i="47"/>
  <c r="Y332" i="47"/>
  <c r="H332" i="47" s="1"/>
  <c r="I337" i="72" s="1"/>
  <c r="M332" i="47"/>
  <c r="Y301" i="47"/>
  <c r="H301" i="47" s="1"/>
  <c r="I306" i="72" s="1"/>
  <c r="M301" i="47"/>
  <c r="Y325" i="47"/>
  <c r="H325" i="47" s="1"/>
  <c r="I330" i="72" s="1"/>
  <c r="M325" i="47"/>
  <c r="J104" i="47"/>
  <c r="O104" i="47" s="1"/>
  <c r="J125" i="47"/>
  <c r="O125" i="47" s="1"/>
  <c r="J119" i="47"/>
  <c r="O119" i="47" s="1"/>
  <c r="J116" i="47"/>
  <c r="O116" i="47" s="1"/>
  <c r="J140" i="47"/>
  <c r="O140" i="47" s="1"/>
  <c r="J146" i="47"/>
  <c r="O146" i="47" s="1"/>
  <c r="J117" i="47"/>
  <c r="O117" i="47" s="1"/>
  <c r="J148" i="47"/>
  <c r="O148" i="47" s="1"/>
  <c r="J154" i="47"/>
  <c r="O154" i="47" s="1"/>
  <c r="J108" i="47"/>
  <c r="O108" i="47" s="1"/>
  <c r="J126" i="47"/>
  <c r="O126" i="47" s="1"/>
  <c r="J153" i="47"/>
  <c r="O153" i="47" s="1"/>
  <c r="J100" i="47"/>
  <c r="O100" i="47" s="1"/>
  <c r="J105" i="47"/>
  <c r="O105" i="47" s="1"/>
  <c r="J121" i="47"/>
  <c r="O121" i="47" s="1"/>
  <c r="J115" i="47"/>
  <c r="O115" i="47" s="1"/>
  <c r="J120" i="47"/>
  <c r="O120" i="47" s="1"/>
  <c r="J155" i="47"/>
  <c r="O155" i="47" s="1"/>
  <c r="J142" i="47"/>
  <c r="O142" i="47" s="1"/>
  <c r="J110" i="47"/>
  <c r="O110" i="47" s="1"/>
  <c r="J127" i="47"/>
  <c r="O127" i="47" s="1"/>
  <c r="J138" i="47"/>
  <c r="O138" i="47" s="1"/>
  <c r="J123" i="47"/>
  <c r="O123" i="47" s="1"/>
  <c r="J144" i="47"/>
  <c r="O144" i="47" s="1"/>
  <c r="J137" i="47"/>
  <c r="O137" i="47" s="1"/>
  <c r="O141" i="11"/>
  <c r="O99" i="11"/>
  <c r="O110" i="11"/>
  <c r="O129" i="11"/>
  <c r="O132" i="11"/>
  <c r="O139" i="11"/>
  <c r="O123" i="11"/>
  <c r="O102" i="11"/>
  <c r="O130" i="11"/>
  <c r="O128" i="11"/>
  <c r="O140" i="11"/>
  <c r="O149" i="11"/>
  <c r="O96" i="11"/>
  <c r="O92" i="11"/>
  <c r="O109" i="11"/>
  <c r="O153" i="11"/>
  <c r="O105" i="11"/>
  <c r="O154" i="11"/>
  <c r="O103" i="11"/>
  <c r="O95" i="11"/>
  <c r="O91" i="11"/>
  <c r="O122" i="11"/>
  <c r="O117" i="11"/>
  <c r="O133" i="11"/>
  <c r="O98" i="11"/>
  <c r="O126" i="11"/>
  <c r="O125" i="11"/>
  <c r="O100" i="11"/>
  <c r="O143" i="11"/>
  <c r="O156" i="11"/>
  <c r="O119" i="11"/>
  <c r="O151" i="11"/>
  <c r="O115" i="11"/>
  <c r="O148" i="11"/>
  <c r="O127" i="11"/>
  <c r="O104" i="11"/>
  <c r="O155" i="11"/>
  <c r="O118" i="11"/>
  <c r="O106" i="11"/>
  <c r="O114" i="11"/>
  <c r="O108" i="11"/>
  <c r="T110" i="11"/>
  <c r="Q110" i="11"/>
  <c r="S110" i="11"/>
  <c r="R110" i="11"/>
  <c r="P110" i="11"/>
  <c r="S91" i="11"/>
  <c r="R104" i="11"/>
  <c r="T104" i="11"/>
  <c r="S104" i="11"/>
  <c r="P104" i="11"/>
  <c r="Q104" i="11"/>
  <c r="R150" i="11"/>
  <c r="S150" i="11"/>
  <c r="P150" i="11"/>
  <c r="T150" i="11"/>
  <c r="Q150" i="11"/>
  <c r="Q141" i="11"/>
  <c r="S141" i="11"/>
  <c r="R141" i="11"/>
  <c r="T141" i="11"/>
  <c r="P141" i="11"/>
  <c r="T125" i="11"/>
  <c r="R125" i="11"/>
  <c r="S125" i="11"/>
  <c r="Q125" i="11"/>
  <c r="P125" i="11"/>
  <c r="Q122" i="11"/>
  <c r="S122" i="11"/>
  <c r="R122" i="11"/>
  <c r="P122" i="11"/>
  <c r="T122" i="11"/>
  <c r="R115" i="11"/>
  <c r="T115" i="11"/>
  <c r="S115" i="11"/>
  <c r="P115" i="11"/>
  <c r="Q115" i="11"/>
  <c r="S101" i="11"/>
  <c r="T101" i="11"/>
  <c r="P101" i="11"/>
  <c r="R101" i="11"/>
  <c r="Q101" i="11"/>
  <c r="Q103" i="11"/>
  <c r="S103" i="11"/>
  <c r="R103" i="11"/>
  <c r="P103" i="11"/>
  <c r="T156" i="11"/>
  <c r="P156" i="11"/>
  <c r="R156" i="11"/>
  <c r="Q156" i="11"/>
  <c r="S156" i="11"/>
  <c r="S139" i="11"/>
  <c r="T139" i="11"/>
  <c r="P139" i="11"/>
  <c r="Q139" i="11"/>
  <c r="R139" i="11"/>
  <c r="S147" i="11"/>
  <c r="T147" i="11"/>
  <c r="P147" i="11"/>
  <c r="Q147" i="11"/>
  <c r="R147" i="11"/>
  <c r="T117" i="11"/>
  <c r="Q117" i="11"/>
  <c r="R117" i="11"/>
  <c r="P117" i="11"/>
  <c r="S117" i="11"/>
  <c r="Q130" i="11"/>
  <c r="S130" i="11"/>
  <c r="R130" i="11"/>
  <c r="T130" i="11"/>
  <c r="P130" i="11"/>
  <c r="T98" i="11"/>
  <c r="R98" i="11"/>
  <c r="P98" i="11"/>
  <c r="S98" i="11"/>
  <c r="Q98" i="11"/>
  <c r="S155" i="11"/>
  <c r="T155" i="11"/>
  <c r="P155" i="11"/>
  <c r="Q155" i="11"/>
  <c r="R155" i="11"/>
  <c r="O145" i="11"/>
  <c r="Q95" i="11"/>
  <c r="S95" i="11"/>
  <c r="R95" i="11"/>
  <c r="P95" i="11"/>
  <c r="T129" i="11"/>
  <c r="Q129" i="11"/>
  <c r="R129" i="11"/>
  <c r="S129" i="11"/>
  <c r="P129" i="11"/>
  <c r="T106" i="11"/>
  <c r="R106" i="11"/>
  <c r="S106" i="11"/>
  <c r="P106" i="11"/>
  <c r="Q106" i="11"/>
  <c r="S105" i="11"/>
  <c r="T105" i="11"/>
  <c r="P105" i="11"/>
  <c r="R105" i="11"/>
  <c r="Q105" i="11"/>
  <c r="S93" i="11"/>
  <c r="T93" i="11"/>
  <c r="P93" i="11"/>
  <c r="R93" i="11"/>
  <c r="Q93" i="11"/>
  <c r="Q145" i="11"/>
  <c r="S145" i="11"/>
  <c r="R145" i="11"/>
  <c r="P145" i="11"/>
  <c r="T145" i="11"/>
  <c r="Q153" i="11"/>
  <c r="S153" i="11"/>
  <c r="R153" i="11"/>
  <c r="P153" i="11"/>
  <c r="T153" i="11"/>
  <c r="T121" i="11"/>
  <c r="S121" i="11"/>
  <c r="Q121" i="11"/>
  <c r="P121" i="11"/>
  <c r="R121" i="11"/>
  <c r="S116" i="11"/>
  <c r="T116" i="11"/>
  <c r="P116" i="11"/>
  <c r="R116" i="11"/>
  <c r="Q116" i="11"/>
  <c r="S120" i="11"/>
  <c r="T120" i="11"/>
  <c r="P120" i="11"/>
  <c r="Q120" i="11"/>
  <c r="R120" i="11"/>
  <c r="S109" i="11"/>
  <c r="T109" i="11"/>
  <c r="P109" i="11"/>
  <c r="R109" i="11"/>
  <c r="Q109" i="11"/>
  <c r="S151" i="11"/>
  <c r="T151" i="11"/>
  <c r="P151" i="11"/>
  <c r="R151" i="11"/>
  <c r="Q151" i="11"/>
  <c r="R119" i="11"/>
  <c r="T119" i="11"/>
  <c r="S119" i="11"/>
  <c r="P119" i="11"/>
  <c r="Q119" i="11"/>
  <c r="O116" i="11"/>
  <c r="O138" i="11"/>
  <c r="O150" i="11"/>
  <c r="O107" i="11"/>
  <c r="O147" i="11"/>
  <c r="T94" i="11"/>
  <c r="Q94" i="11"/>
  <c r="S94" i="11"/>
  <c r="R94" i="11"/>
  <c r="P94" i="11"/>
  <c r="R108" i="11"/>
  <c r="S108" i="11"/>
  <c r="P108" i="11"/>
  <c r="T108" i="11"/>
  <c r="Q108" i="11"/>
  <c r="T148" i="11"/>
  <c r="S148" i="11"/>
  <c r="R148" i="11"/>
  <c r="P148" i="11"/>
  <c r="Q148" i="11"/>
  <c r="Q149" i="11"/>
  <c r="S149" i="11"/>
  <c r="R149" i="11"/>
  <c r="P149" i="11"/>
  <c r="T149" i="11"/>
  <c r="R146" i="11"/>
  <c r="S146" i="11"/>
  <c r="P146" i="11"/>
  <c r="T146" i="11"/>
  <c r="Q146" i="11"/>
  <c r="R123" i="11"/>
  <c r="T123" i="11"/>
  <c r="S123" i="11"/>
  <c r="P123" i="11"/>
  <c r="Q123" i="11"/>
  <c r="S124" i="11"/>
  <c r="T124" i="11"/>
  <c r="P124" i="11"/>
  <c r="R124" i="11"/>
  <c r="Q124" i="11"/>
  <c r="T102" i="11"/>
  <c r="S102" i="11"/>
  <c r="P102" i="11"/>
  <c r="R102" i="11"/>
  <c r="Q102" i="11"/>
  <c r="R100" i="11"/>
  <c r="T100" i="11"/>
  <c r="S100" i="11"/>
  <c r="P100" i="11"/>
  <c r="Q100" i="11"/>
  <c r="R92" i="11"/>
  <c r="T92" i="11"/>
  <c r="S92" i="11"/>
  <c r="P92" i="11"/>
  <c r="Q92" i="11"/>
  <c r="T140" i="11"/>
  <c r="P140" i="11"/>
  <c r="R140" i="11"/>
  <c r="Q140" i="11"/>
  <c r="S140" i="11"/>
  <c r="T133" i="11"/>
  <c r="R133" i="11"/>
  <c r="P133" i="11"/>
  <c r="Q133" i="11"/>
  <c r="S133" i="11"/>
  <c r="S132" i="11"/>
  <c r="T132" i="11"/>
  <c r="P132" i="11"/>
  <c r="R132" i="11"/>
  <c r="Q132" i="11"/>
  <c r="R131" i="11"/>
  <c r="T131" i="11"/>
  <c r="S131" i="11"/>
  <c r="P131" i="11"/>
  <c r="Q131" i="11"/>
  <c r="Q99" i="11"/>
  <c r="S99" i="11"/>
  <c r="R99" i="11"/>
  <c r="T99" i="11"/>
  <c r="O121" i="11"/>
  <c r="O93" i="11"/>
  <c r="O137" i="11"/>
  <c r="O124" i="11"/>
  <c r="O94" i="11"/>
  <c r="O120" i="11"/>
  <c r="O142" i="11"/>
  <c r="O131" i="11"/>
  <c r="O152" i="11"/>
  <c r="O101" i="11"/>
  <c r="O144" i="11"/>
  <c r="O97" i="11"/>
  <c r="O146" i="11"/>
  <c r="R154" i="11"/>
  <c r="S154" i="11"/>
  <c r="P154" i="11"/>
  <c r="T154" i="11"/>
  <c r="Q154" i="11"/>
  <c r="R127" i="11"/>
  <c r="T127" i="11"/>
  <c r="S127" i="11"/>
  <c r="P127" i="11"/>
  <c r="Q127" i="11"/>
  <c r="Q107" i="11"/>
  <c r="S107" i="11"/>
  <c r="R107" i="11"/>
  <c r="P107" i="11"/>
  <c r="S97" i="11"/>
  <c r="T97" i="11"/>
  <c r="P97" i="11"/>
  <c r="R97" i="11"/>
  <c r="Q97" i="11"/>
  <c r="T144" i="11"/>
  <c r="Q144" i="11"/>
  <c r="P144" i="11"/>
  <c r="R144" i="11"/>
  <c r="S144" i="11"/>
  <c r="S143" i="11"/>
  <c r="T143" i="11"/>
  <c r="P143" i="11"/>
  <c r="Q143" i="11"/>
  <c r="R143" i="11"/>
  <c r="R142" i="11"/>
  <c r="S142" i="11"/>
  <c r="P142" i="11"/>
  <c r="T142" i="11"/>
  <c r="Q142" i="11"/>
  <c r="Q118" i="11"/>
  <c r="S118" i="11"/>
  <c r="R118" i="11"/>
  <c r="P118" i="11"/>
  <c r="T118" i="11"/>
  <c r="Q114" i="11"/>
  <c r="R114" i="11" s="1"/>
  <c r="S114" i="11"/>
  <c r="P114" i="11"/>
  <c r="R96" i="11"/>
  <c r="T96" i="11"/>
  <c r="S96" i="11"/>
  <c r="P96" i="11"/>
  <c r="Q96" i="11"/>
  <c r="T152" i="11"/>
  <c r="S152" i="11"/>
  <c r="R152" i="11"/>
  <c r="Q152" i="11"/>
  <c r="P152" i="11"/>
  <c r="S128" i="11"/>
  <c r="T128" i="11"/>
  <c r="P128" i="11"/>
  <c r="Q128" i="11"/>
  <c r="R128" i="11"/>
  <c r="Q126" i="11"/>
  <c r="S126" i="11"/>
  <c r="R126" i="11"/>
  <c r="P126" i="11"/>
  <c r="T126" i="11"/>
  <c r="O114" i="54"/>
  <c r="O91" i="54"/>
  <c r="O110" i="54"/>
  <c r="O128" i="54"/>
  <c r="O143" i="54"/>
  <c r="O101" i="54"/>
  <c r="O93" i="54"/>
  <c r="O106" i="54"/>
  <c r="O117" i="54"/>
  <c r="O133" i="54"/>
  <c r="O99" i="54"/>
  <c r="O125" i="54"/>
  <c r="O156" i="54"/>
  <c r="O96" i="54"/>
  <c r="O104" i="54"/>
  <c r="O130" i="54"/>
  <c r="O120" i="54"/>
  <c r="O137" i="54"/>
  <c r="O150" i="54"/>
  <c r="O131" i="54"/>
  <c r="O119" i="54"/>
  <c r="O123" i="54"/>
  <c r="O95" i="54"/>
  <c r="O97" i="54"/>
  <c r="O94" i="54"/>
  <c r="O98" i="54"/>
  <c r="O138" i="54"/>
  <c r="O102" i="54"/>
  <c r="O129" i="54"/>
  <c r="O148" i="54"/>
  <c r="O92" i="54"/>
  <c r="O146" i="54"/>
  <c r="O108" i="54"/>
  <c r="O121" i="54"/>
  <c r="N122" i="54"/>
  <c r="N147" i="54"/>
  <c r="N109" i="54"/>
  <c r="N118" i="54"/>
  <c r="O155" i="54"/>
  <c r="N93" i="54"/>
  <c r="AH93" i="54" s="1"/>
  <c r="AQ93" i="54" s="1"/>
  <c r="N106" i="54"/>
  <c r="AH106" i="54" s="1"/>
  <c r="AQ106" i="54" s="1"/>
  <c r="O103" i="54"/>
  <c r="O100" i="54"/>
  <c r="N116" i="54"/>
  <c r="AH116" i="54" s="1"/>
  <c r="AQ116" i="54" s="1"/>
  <c r="N133" i="54"/>
  <c r="AH133" i="54" s="1"/>
  <c r="AQ133" i="54" s="1"/>
  <c r="O149" i="54"/>
  <c r="N99" i="54"/>
  <c r="O122" i="54"/>
  <c r="N132" i="54"/>
  <c r="AH132" i="54" s="1"/>
  <c r="AQ132" i="54" s="1"/>
  <c r="O154" i="54"/>
  <c r="N97" i="54"/>
  <c r="O142" i="54"/>
  <c r="N156" i="54"/>
  <c r="O144" i="54"/>
  <c r="N96" i="54"/>
  <c r="AH96" i="54" s="1"/>
  <c r="AQ96" i="54" s="1"/>
  <c r="N105" i="54"/>
  <c r="AH105" i="54" s="1"/>
  <c r="AQ105" i="54" s="1"/>
  <c r="N104" i="54"/>
  <c r="AH104" i="54" s="1"/>
  <c r="AQ104" i="54" s="1"/>
  <c r="N120" i="54"/>
  <c r="AH120" i="54" s="1"/>
  <c r="AQ120" i="54" s="1"/>
  <c r="O145" i="54"/>
  <c r="N137" i="54"/>
  <c r="AH137" i="54" s="1"/>
  <c r="AQ137" i="54" s="1"/>
  <c r="N150" i="54"/>
  <c r="O107" i="54"/>
  <c r="O153" i="54"/>
  <c r="N98" i="54"/>
  <c r="O126" i="54"/>
  <c r="N131" i="54"/>
  <c r="AH131" i="54" s="1"/>
  <c r="AQ131" i="54" s="1"/>
  <c r="T125" i="54"/>
  <c r="Q149" i="54"/>
  <c r="N139" i="54"/>
  <c r="AH139" i="54" s="1"/>
  <c r="AQ139" i="54" s="1"/>
  <c r="N114" i="54"/>
  <c r="AH114" i="54" s="1"/>
  <c r="AQ114" i="54" s="1"/>
  <c r="N115" i="54"/>
  <c r="N151" i="54"/>
  <c r="N143" i="54"/>
  <c r="N138" i="54"/>
  <c r="N102" i="54"/>
  <c r="N129" i="54"/>
  <c r="N148" i="54"/>
  <c r="N95" i="54"/>
  <c r="N91" i="54"/>
  <c r="AH91" i="54" s="1"/>
  <c r="AQ91" i="54" s="1"/>
  <c r="N92" i="54"/>
  <c r="N146" i="54"/>
  <c r="N108" i="54"/>
  <c r="N121" i="54"/>
  <c r="N94" i="54"/>
  <c r="N124" i="54"/>
  <c r="N110" i="54"/>
  <c r="N128" i="54"/>
  <c r="Q117" i="54"/>
  <c r="P125" i="54"/>
  <c r="N153" i="54"/>
  <c r="AH153" i="54" s="1"/>
  <c r="AQ153" i="54" s="1"/>
  <c r="Q127" i="54"/>
  <c r="T127" i="54"/>
  <c r="T149" i="54"/>
  <c r="N140" i="54"/>
  <c r="N103" i="54"/>
  <c r="N152" i="54"/>
  <c r="O140" i="54"/>
  <c r="N155" i="54"/>
  <c r="AH155" i="54" s="1"/>
  <c r="AQ155" i="54" s="1"/>
  <c r="O139" i="54"/>
  <c r="N100" i="54"/>
  <c r="O127" i="54"/>
  <c r="O141" i="54"/>
  <c r="O152" i="54"/>
  <c r="N154" i="54"/>
  <c r="AH154" i="54" s="1"/>
  <c r="AQ154" i="54" s="1"/>
  <c r="N142" i="54"/>
  <c r="AH142" i="54" s="1"/>
  <c r="AQ142" i="54" s="1"/>
  <c r="O147" i="54"/>
  <c r="N144" i="54"/>
  <c r="O109" i="54"/>
  <c r="O118" i="54"/>
  <c r="O115" i="54"/>
  <c r="N130" i="54"/>
  <c r="AH130" i="54" s="1"/>
  <c r="AQ130" i="54" s="1"/>
  <c r="N145" i="54"/>
  <c r="AH145" i="54" s="1"/>
  <c r="AQ145" i="54" s="1"/>
  <c r="N107" i="54"/>
  <c r="AH107" i="54" s="1"/>
  <c r="AQ107" i="54" s="1"/>
  <c r="N119" i="54"/>
  <c r="AH119" i="54" s="1"/>
  <c r="AQ119" i="54" s="1"/>
  <c r="N101" i="54"/>
  <c r="AH101" i="54" s="1"/>
  <c r="AQ101" i="54" s="1"/>
  <c r="N126" i="54"/>
  <c r="AH126" i="54" s="1"/>
  <c r="AQ126" i="54" s="1"/>
  <c r="N123" i="54"/>
  <c r="AH123" i="54" s="1"/>
  <c r="AQ123" i="54" s="1"/>
  <c r="P117" i="54"/>
  <c r="X299" i="47"/>
  <c r="G299" i="47" s="1"/>
  <c r="H304" i="72" s="1"/>
  <c r="W299" i="47"/>
  <c r="X300" i="47"/>
  <c r="G300" i="47" s="1"/>
  <c r="H305" i="72" s="1"/>
  <c r="W300" i="47"/>
  <c r="X282" i="47"/>
  <c r="G282" i="47" s="1"/>
  <c r="H287" i="72" s="1"/>
  <c r="W282" i="47"/>
  <c r="X308" i="47"/>
  <c r="G308" i="47" s="1"/>
  <c r="H313" i="72" s="1"/>
  <c r="W308" i="47"/>
  <c r="X276" i="47"/>
  <c r="G276" i="47" s="1"/>
  <c r="H281" i="72" s="1"/>
  <c r="W276" i="47"/>
  <c r="W306" i="47"/>
  <c r="X306" i="47"/>
  <c r="G306" i="47" s="1"/>
  <c r="H311" i="72" s="1"/>
  <c r="X280" i="47"/>
  <c r="G280" i="47" s="1"/>
  <c r="H285" i="72" s="1"/>
  <c r="W280" i="47"/>
  <c r="W331" i="47"/>
  <c r="X331" i="47"/>
  <c r="G331" i="47" s="1"/>
  <c r="H336" i="72" s="1"/>
  <c r="X283" i="47"/>
  <c r="G283" i="47" s="1"/>
  <c r="H288" i="72" s="1"/>
  <c r="W283" i="47"/>
  <c r="X274" i="47"/>
  <c r="G274" i="47" s="1"/>
  <c r="H279" i="72" s="1"/>
  <c r="W274" i="47"/>
  <c r="X278" i="47"/>
  <c r="G278" i="47" s="1"/>
  <c r="H283" i="72" s="1"/>
  <c r="W278" i="47"/>
  <c r="W315" i="47"/>
  <c r="F315" i="47" s="1"/>
  <c r="X315" i="47"/>
  <c r="G315" i="47" s="1"/>
  <c r="H320" i="72" s="1"/>
  <c r="W269" i="47"/>
  <c r="X269" i="47"/>
  <c r="G269" i="47" s="1"/>
  <c r="H274" i="72" s="1"/>
  <c r="X268" i="47"/>
  <c r="G268" i="47" s="1"/>
  <c r="H273" i="72" s="1"/>
  <c r="W268" i="47"/>
  <c r="X314" i="47"/>
  <c r="G314" i="47" s="1"/>
  <c r="H319" i="72" s="1"/>
  <c r="W314" i="47"/>
  <c r="F314" i="47" s="1"/>
  <c r="W277" i="47"/>
  <c r="X277" i="47"/>
  <c r="G277" i="47" s="1"/>
  <c r="H282" i="72" s="1"/>
  <c r="W298" i="47"/>
  <c r="X298" i="47"/>
  <c r="G298" i="47" s="1"/>
  <c r="H303" i="72" s="1"/>
  <c r="X319" i="47"/>
  <c r="G319" i="47" s="1"/>
  <c r="H324" i="72" s="1"/>
  <c r="W319" i="47"/>
  <c r="X302" i="47"/>
  <c r="G302" i="47" s="1"/>
  <c r="H307" i="72" s="1"/>
  <c r="W302" i="47"/>
  <c r="X291" i="47"/>
  <c r="G291" i="47" s="1"/>
  <c r="H296" i="72" s="1"/>
  <c r="W291" i="47"/>
  <c r="F291" i="47" s="1"/>
  <c r="W325" i="47"/>
  <c r="X325" i="47"/>
  <c r="G325" i="47" s="1"/>
  <c r="H330" i="72" s="1"/>
  <c r="X293" i="47"/>
  <c r="G293" i="47" s="1"/>
  <c r="H298" i="72" s="1"/>
  <c r="W293" i="47"/>
  <c r="W317" i="47"/>
  <c r="X317" i="47"/>
  <c r="G317" i="47" s="1"/>
  <c r="H322" i="72" s="1"/>
  <c r="W333" i="47"/>
  <c r="X333" i="47"/>
  <c r="G333" i="47" s="1"/>
  <c r="H338" i="72" s="1"/>
  <c r="X270" i="47"/>
  <c r="G270" i="47" s="1"/>
  <c r="H275" i="72" s="1"/>
  <c r="W270" i="47"/>
  <c r="X292" i="47"/>
  <c r="G292" i="47" s="1"/>
  <c r="H297" i="72" s="1"/>
  <c r="W292" i="47"/>
  <c r="X303" i="47"/>
  <c r="G303" i="47" s="1"/>
  <c r="H308" i="72" s="1"/>
  <c r="W303" i="47"/>
  <c r="X327" i="47"/>
  <c r="G327" i="47" s="1"/>
  <c r="H332" i="72" s="1"/>
  <c r="W327" i="47"/>
  <c r="X321" i="47"/>
  <c r="G321" i="47" s="1"/>
  <c r="H326" i="72" s="1"/>
  <c r="W321" i="47"/>
  <c r="W296" i="47"/>
  <c r="X296" i="47"/>
  <c r="G296" i="47" s="1"/>
  <c r="H301" i="72" s="1"/>
  <c r="X281" i="47"/>
  <c r="G281" i="47" s="1"/>
  <c r="H286" i="72" s="1"/>
  <c r="W281" i="47"/>
  <c r="X286" i="47"/>
  <c r="G286" i="47" s="1"/>
  <c r="H291" i="72" s="1"/>
  <c r="W286" i="47"/>
  <c r="X329" i="47"/>
  <c r="G329" i="47" s="1"/>
  <c r="H334" i="72" s="1"/>
  <c r="W329" i="47"/>
  <c r="X332" i="47"/>
  <c r="G332" i="47" s="1"/>
  <c r="H337" i="72" s="1"/>
  <c r="W332" i="47"/>
  <c r="X301" i="47"/>
  <c r="G301" i="47" s="1"/>
  <c r="H306" i="72" s="1"/>
  <c r="W301" i="47"/>
  <c r="X294" i="47"/>
  <c r="G294" i="47" s="1"/>
  <c r="H299" i="72" s="1"/>
  <c r="W294" i="47"/>
  <c r="X318" i="47"/>
  <c r="G318" i="47" s="1"/>
  <c r="H323" i="72" s="1"/>
  <c r="W318" i="47"/>
  <c r="W279" i="47"/>
  <c r="X279" i="47"/>
  <c r="G279" i="47" s="1"/>
  <c r="H284" i="72" s="1"/>
  <c r="X272" i="47"/>
  <c r="G272" i="47" s="1"/>
  <c r="H277" i="72" s="1"/>
  <c r="W272" i="47"/>
  <c r="X295" i="47"/>
  <c r="G295" i="47" s="1"/>
  <c r="H300" i="72" s="1"/>
  <c r="W295" i="47"/>
  <c r="W271" i="47"/>
  <c r="X271" i="47"/>
  <c r="G271" i="47" s="1"/>
  <c r="H276" i="72" s="1"/>
  <c r="W287" i="47"/>
  <c r="X287" i="47"/>
  <c r="G287" i="47" s="1"/>
  <c r="H292" i="72" s="1"/>
  <c r="W323" i="47"/>
  <c r="X323" i="47"/>
  <c r="G323" i="47" s="1"/>
  <c r="H328" i="72" s="1"/>
  <c r="X322" i="47"/>
  <c r="G322" i="47" s="1"/>
  <c r="H327" i="72" s="1"/>
  <c r="W322" i="47"/>
  <c r="X328" i="47"/>
  <c r="G328" i="47" s="1"/>
  <c r="H333" i="72" s="1"/>
  <c r="W328" i="47"/>
  <c r="X307" i="47"/>
  <c r="G307" i="47" s="1"/>
  <c r="H312" i="72" s="1"/>
  <c r="W307" i="47"/>
  <c r="X284" i="47"/>
  <c r="G284" i="47" s="1"/>
  <c r="H289" i="72" s="1"/>
  <c r="W284" i="47"/>
  <c r="X316" i="47"/>
  <c r="G316" i="47" s="1"/>
  <c r="H321" i="72" s="1"/>
  <c r="W316" i="47"/>
  <c r="W285" i="47"/>
  <c r="X285" i="47"/>
  <c r="G285" i="47" s="1"/>
  <c r="H290" i="72" s="1"/>
  <c r="X326" i="47"/>
  <c r="G326" i="47" s="1"/>
  <c r="H331" i="72" s="1"/>
  <c r="W326" i="47"/>
  <c r="X324" i="47"/>
  <c r="G324" i="47" s="1"/>
  <c r="H329" i="72" s="1"/>
  <c r="W324" i="47"/>
  <c r="W304" i="47"/>
  <c r="X304" i="47"/>
  <c r="G304" i="47" s="1"/>
  <c r="H309" i="72" s="1"/>
  <c r="X310" i="47"/>
  <c r="G310" i="47" s="1"/>
  <c r="H315" i="72" s="1"/>
  <c r="W310" i="47"/>
  <c r="X320" i="47"/>
  <c r="G320" i="47" s="1"/>
  <c r="H325" i="72" s="1"/>
  <c r="W320" i="47"/>
  <c r="X305" i="47"/>
  <c r="G305" i="47" s="1"/>
  <c r="H310" i="72" s="1"/>
  <c r="W305" i="47"/>
  <c r="X330" i="47"/>
  <c r="G330" i="47" s="1"/>
  <c r="H335" i="72" s="1"/>
  <c r="W330" i="47"/>
  <c r="X297" i="47"/>
  <c r="G297" i="47" s="1"/>
  <c r="H302" i="72" s="1"/>
  <c r="W297" i="47"/>
  <c r="X275" i="47"/>
  <c r="G275" i="47" s="1"/>
  <c r="H280" i="72" s="1"/>
  <c r="W275" i="47"/>
  <c r="X309" i="47"/>
  <c r="G309" i="47" s="1"/>
  <c r="H314" i="72" s="1"/>
  <c r="W309" i="47"/>
  <c r="X273" i="47"/>
  <c r="G273" i="47" s="1"/>
  <c r="H278" i="72" s="1"/>
  <c r="W273" i="47"/>
  <c r="F140" i="72"/>
  <c r="F141" i="72"/>
  <c r="L107" i="72"/>
  <c r="L110" i="72"/>
  <c r="L112" i="72"/>
  <c r="L128" i="72"/>
  <c r="L131" i="72"/>
  <c r="L122" i="72"/>
  <c r="L125" i="72"/>
  <c r="L143" i="72"/>
  <c r="L146" i="72"/>
  <c r="L149" i="72"/>
  <c r="L152" i="72"/>
  <c r="L104" i="72"/>
  <c r="L120" i="72"/>
  <c r="L133" i="72"/>
  <c r="L151" i="72"/>
  <c r="L154" i="72"/>
  <c r="L157" i="72"/>
  <c r="L144" i="72"/>
  <c r="L111" i="72"/>
  <c r="L95" i="72"/>
  <c r="L135" i="72"/>
  <c r="L150" i="72"/>
  <c r="L103" i="72"/>
  <c r="L106" i="72"/>
  <c r="L96" i="72"/>
  <c r="L124" i="72"/>
  <c r="L118" i="72"/>
  <c r="L121" i="72"/>
  <c r="L142" i="72"/>
  <c r="L145" i="72"/>
  <c r="L148" i="72"/>
  <c r="L113" i="72"/>
  <c r="L130" i="72"/>
  <c r="L117" i="72"/>
  <c r="L141" i="72"/>
  <c r="L126" i="72"/>
  <c r="L127" i="72"/>
  <c r="L147" i="72"/>
  <c r="L105" i="72"/>
  <c r="L94" i="72"/>
  <c r="L119" i="72"/>
  <c r="L159" i="72"/>
  <c r="L99" i="72"/>
  <c r="L100" i="72"/>
  <c r="L129" i="72"/>
  <c r="L156" i="72"/>
  <c r="L101" i="72"/>
  <c r="L108" i="72"/>
  <c r="L134" i="72"/>
  <c r="L123" i="72"/>
  <c r="L155" i="72"/>
  <c r="L158" i="72"/>
  <c r="L97" i="72"/>
  <c r="L102" i="72"/>
  <c r="L136" i="72"/>
  <c r="L109" i="72"/>
  <c r="L98" i="72"/>
  <c r="L132" i="72"/>
  <c r="L153" i="72"/>
  <c r="L140" i="72"/>
  <c r="N118" i="72"/>
  <c r="N144" i="72"/>
  <c r="N130" i="72"/>
  <c r="N141" i="72"/>
  <c r="N126" i="72"/>
  <c r="N156" i="72"/>
  <c r="N107" i="72"/>
  <c r="N125" i="72"/>
  <c r="N96" i="72"/>
  <c r="N142" i="72"/>
  <c r="N113" i="72"/>
  <c r="N133" i="72"/>
  <c r="N154" i="72"/>
  <c r="N100" i="72"/>
  <c r="N150" i="72"/>
  <c r="N119" i="72"/>
  <c r="N124" i="72"/>
  <c r="N145" i="72"/>
  <c r="N97" i="72"/>
  <c r="N136" i="72"/>
  <c r="N157" i="72"/>
  <c r="N127" i="72"/>
  <c r="N152" i="72"/>
  <c r="N108" i="72"/>
  <c r="N158" i="72"/>
  <c r="N102" i="72"/>
  <c r="N98" i="72"/>
  <c r="N112" i="72"/>
  <c r="N143" i="72"/>
  <c r="N101" i="72"/>
  <c r="N121" i="72"/>
  <c r="N104" i="72"/>
  <c r="N129" i="72"/>
  <c r="N140" i="72"/>
  <c r="N128" i="72"/>
  <c r="N146" i="72"/>
  <c r="N103" i="72"/>
  <c r="N123" i="72"/>
  <c r="N117" i="72"/>
  <c r="N111" i="72"/>
  <c r="N132" i="72"/>
  <c r="N153" i="72"/>
  <c r="N110" i="72"/>
  <c r="N131" i="72"/>
  <c r="N149" i="72"/>
  <c r="N106" i="72"/>
  <c r="N134" i="72"/>
  <c r="N155" i="72"/>
  <c r="N148" i="72"/>
  <c r="N99" i="72"/>
  <c r="N120" i="72"/>
  <c r="N135" i="72"/>
  <c r="N147" i="72"/>
  <c r="N94" i="72"/>
  <c r="N122" i="72"/>
  <c r="N159" i="72"/>
  <c r="C285" i="72"/>
  <c r="BE280" i="47"/>
  <c r="L280" i="47" s="1"/>
  <c r="BB280" i="47"/>
  <c r="I280" i="47" s="1"/>
  <c r="J285" i="72" s="1"/>
  <c r="BC280" i="47"/>
  <c r="BD280" i="47"/>
  <c r="K280" i="47" s="1"/>
  <c r="Z280" i="47"/>
  <c r="N280" i="47" s="1"/>
  <c r="C336" i="72"/>
  <c r="BE331" i="47"/>
  <c r="L331" i="47" s="1"/>
  <c r="BB331" i="47"/>
  <c r="I331" i="47" s="1"/>
  <c r="J336" i="72" s="1"/>
  <c r="BD331" i="47"/>
  <c r="K331" i="47" s="1"/>
  <c r="BC331" i="47"/>
  <c r="Z331" i="47"/>
  <c r="N331" i="47" s="1"/>
  <c r="C279" i="72"/>
  <c r="BE274" i="47"/>
  <c r="L274" i="47" s="1"/>
  <c r="BB274" i="47"/>
  <c r="I274" i="47" s="1"/>
  <c r="J279" i="72" s="1"/>
  <c r="BC274" i="47"/>
  <c r="BD274" i="47"/>
  <c r="K274" i="47" s="1"/>
  <c r="Z274" i="47"/>
  <c r="N274" i="47" s="1"/>
  <c r="C283" i="72"/>
  <c r="BE278" i="47"/>
  <c r="L278" i="47" s="1"/>
  <c r="BB278" i="47"/>
  <c r="I278" i="47" s="1"/>
  <c r="J283" i="72" s="1"/>
  <c r="BC278" i="47"/>
  <c r="Z278" i="47"/>
  <c r="N278" i="47" s="1"/>
  <c r="BD278" i="47"/>
  <c r="K278" i="47" s="1"/>
  <c r="C273" i="72"/>
  <c r="BB268" i="47"/>
  <c r="I268" i="47" s="1"/>
  <c r="J273" i="72" s="1"/>
  <c r="BC268" i="47"/>
  <c r="BD268" i="47"/>
  <c r="K268" i="47" s="1"/>
  <c r="BE268" i="47"/>
  <c r="L268" i="47" s="1"/>
  <c r="Z268" i="47"/>
  <c r="N268" i="47" s="1"/>
  <c r="C282" i="72"/>
  <c r="BE277" i="47"/>
  <c r="L277" i="47" s="1"/>
  <c r="BB277" i="47"/>
  <c r="I277" i="47" s="1"/>
  <c r="J282" i="72" s="1"/>
  <c r="BC277" i="47"/>
  <c r="BD277" i="47"/>
  <c r="K277" i="47" s="1"/>
  <c r="Z277" i="47"/>
  <c r="N277" i="47" s="1"/>
  <c r="C324" i="72"/>
  <c r="BE319" i="47"/>
  <c r="L319" i="47" s="1"/>
  <c r="BB319" i="47"/>
  <c r="I319" i="47" s="1"/>
  <c r="J324" i="72" s="1"/>
  <c r="BD319" i="47"/>
  <c r="K319" i="47" s="1"/>
  <c r="BC319" i="47"/>
  <c r="Z319" i="47"/>
  <c r="N319" i="47" s="1"/>
  <c r="C328" i="72"/>
  <c r="BE323" i="47"/>
  <c r="L323" i="47" s="1"/>
  <c r="BB323" i="47"/>
  <c r="I323" i="47" s="1"/>
  <c r="J328" i="72" s="1"/>
  <c r="BD323" i="47"/>
  <c r="K323" i="47" s="1"/>
  <c r="BC323" i="47"/>
  <c r="Z323" i="47"/>
  <c r="N323" i="47" s="1"/>
  <c r="C327" i="72"/>
  <c r="BE322" i="47"/>
  <c r="L322" i="47" s="1"/>
  <c r="BB322" i="47"/>
  <c r="I322" i="47" s="1"/>
  <c r="J327" i="72" s="1"/>
  <c r="BD322" i="47"/>
  <c r="K322" i="47" s="1"/>
  <c r="BC322" i="47"/>
  <c r="Z322" i="47"/>
  <c r="N322" i="47" s="1"/>
  <c r="C333" i="72"/>
  <c r="BE328" i="47"/>
  <c r="L328" i="47" s="1"/>
  <c r="BB328" i="47"/>
  <c r="I328" i="47" s="1"/>
  <c r="J333" i="72" s="1"/>
  <c r="BC328" i="47"/>
  <c r="BD328" i="47"/>
  <c r="K328" i="47" s="1"/>
  <c r="Z328" i="47"/>
  <c r="N328" i="47" s="1"/>
  <c r="C326" i="72"/>
  <c r="BE321" i="47"/>
  <c r="L321" i="47" s="1"/>
  <c r="BB321" i="47"/>
  <c r="I321" i="47" s="1"/>
  <c r="J326" i="72" s="1"/>
  <c r="BD321" i="47"/>
  <c r="K321" i="47" s="1"/>
  <c r="BC321" i="47"/>
  <c r="Z321" i="47"/>
  <c r="N321" i="47" s="1"/>
  <c r="C301" i="72"/>
  <c r="BE296" i="47"/>
  <c r="L296" i="47" s="1"/>
  <c r="BB296" i="47"/>
  <c r="I296" i="47" s="1"/>
  <c r="J301" i="72" s="1"/>
  <c r="BC296" i="47"/>
  <c r="BD296" i="47"/>
  <c r="K296" i="47" s="1"/>
  <c r="Z296" i="47"/>
  <c r="N296" i="47" s="1"/>
  <c r="C286" i="72"/>
  <c r="BE281" i="47"/>
  <c r="L281" i="47" s="1"/>
  <c r="BB281" i="47"/>
  <c r="I281" i="47" s="1"/>
  <c r="J286" i="72" s="1"/>
  <c r="BC281" i="47"/>
  <c r="BD281" i="47"/>
  <c r="K281" i="47" s="1"/>
  <c r="Z281" i="47"/>
  <c r="N281" i="47" s="1"/>
  <c r="C289" i="72"/>
  <c r="BE284" i="47"/>
  <c r="L284" i="47" s="1"/>
  <c r="BB284" i="47"/>
  <c r="I284" i="47" s="1"/>
  <c r="J289" i="72" s="1"/>
  <c r="BD284" i="47"/>
  <c r="K284" i="47" s="1"/>
  <c r="BC284" i="47"/>
  <c r="Z284" i="47"/>
  <c r="N284" i="47" s="1"/>
  <c r="BE325" i="47"/>
  <c r="L325" i="47" s="1"/>
  <c r="BB325" i="47"/>
  <c r="I325" i="47" s="1"/>
  <c r="J330" i="72" s="1"/>
  <c r="BD325" i="47"/>
  <c r="K325" i="47" s="1"/>
  <c r="BC325" i="47"/>
  <c r="Z325" i="47"/>
  <c r="N325" i="47" s="1"/>
  <c r="C298" i="72"/>
  <c r="BE293" i="47"/>
  <c r="L293" i="47" s="1"/>
  <c r="BB293" i="47"/>
  <c r="I293" i="47" s="1"/>
  <c r="J298" i="72" s="1"/>
  <c r="BC293" i="47"/>
  <c r="BD293" i="47"/>
  <c r="K293" i="47" s="1"/>
  <c r="Z293" i="47"/>
  <c r="N293" i="47" s="1"/>
  <c r="C322" i="72"/>
  <c r="BE317" i="47"/>
  <c r="L317" i="47" s="1"/>
  <c r="BB317" i="47"/>
  <c r="I317" i="47" s="1"/>
  <c r="J322" i="72" s="1"/>
  <c r="BD317" i="47"/>
  <c r="K317" i="47" s="1"/>
  <c r="BC317" i="47"/>
  <c r="Z317" i="47"/>
  <c r="N317" i="47" s="1"/>
  <c r="C299" i="72"/>
  <c r="BE294" i="47"/>
  <c r="L294" i="47" s="1"/>
  <c r="BB294" i="47"/>
  <c r="I294" i="47" s="1"/>
  <c r="J299" i="72" s="1"/>
  <c r="BC294" i="47"/>
  <c r="BD294" i="47"/>
  <c r="K294" i="47" s="1"/>
  <c r="Z294" i="47"/>
  <c r="N294" i="47" s="1"/>
  <c r="C323" i="72"/>
  <c r="BE318" i="47"/>
  <c r="L318" i="47" s="1"/>
  <c r="BB318" i="47"/>
  <c r="I318" i="47" s="1"/>
  <c r="J323" i="72" s="1"/>
  <c r="BD318" i="47"/>
  <c r="K318" i="47" s="1"/>
  <c r="BC318" i="47"/>
  <c r="Z318" i="47"/>
  <c r="N318" i="47" s="1"/>
  <c r="C304" i="72"/>
  <c r="BE299" i="47"/>
  <c r="L299" i="47" s="1"/>
  <c r="BB299" i="47"/>
  <c r="I299" i="47" s="1"/>
  <c r="J304" i="72" s="1"/>
  <c r="BC299" i="47"/>
  <c r="BD299" i="47"/>
  <c r="K299" i="47" s="1"/>
  <c r="Z299" i="47"/>
  <c r="N299" i="47" s="1"/>
  <c r="C284" i="72"/>
  <c r="BE279" i="47"/>
  <c r="L279" i="47" s="1"/>
  <c r="BB279" i="47"/>
  <c r="I279" i="47" s="1"/>
  <c r="J284" i="72" s="1"/>
  <c r="BC279" i="47"/>
  <c r="BD279" i="47"/>
  <c r="K279" i="47" s="1"/>
  <c r="Z279" i="47"/>
  <c r="N279" i="47" s="1"/>
  <c r="C277" i="72"/>
  <c r="BB272" i="47"/>
  <c r="I272" i="47" s="1"/>
  <c r="J277" i="72" s="1"/>
  <c r="BC272" i="47"/>
  <c r="BD272" i="47"/>
  <c r="K272" i="47" s="1"/>
  <c r="BE272" i="47"/>
  <c r="L272" i="47" s="1"/>
  <c r="Z272" i="47"/>
  <c r="N272" i="47" s="1"/>
  <c r="C305" i="72"/>
  <c r="BE300" i="47"/>
  <c r="L300" i="47" s="1"/>
  <c r="BB300" i="47"/>
  <c r="I300" i="47" s="1"/>
  <c r="J305" i="72" s="1"/>
  <c r="BC300" i="47"/>
  <c r="BD300" i="47"/>
  <c r="K300" i="47" s="1"/>
  <c r="Z300" i="47"/>
  <c r="N300" i="47" s="1"/>
  <c r="C338" i="72"/>
  <c r="BE333" i="47"/>
  <c r="L333" i="47" s="1"/>
  <c r="BB333" i="47"/>
  <c r="I333" i="47" s="1"/>
  <c r="J338" i="72" s="1"/>
  <c r="BD333" i="47"/>
  <c r="K333" i="47" s="1"/>
  <c r="BC333" i="47"/>
  <c r="Z333" i="47"/>
  <c r="N333" i="47" s="1"/>
  <c r="C287" i="72"/>
  <c r="BE282" i="47"/>
  <c r="L282" i="47" s="1"/>
  <c r="BB282" i="47"/>
  <c r="I282" i="47" s="1"/>
  <c r="J287" i="72" s="1"/>
  <c r="BC282" i="47"/>
  <c r="BD282" i="47"/>
  <c r="K282" i="47" s="1"/>
  <c r="Z282" i="47"/>
  <c r="N282" i="47" s="1"/>
  <c r="C300" i="72"/>
  <c r="BE295" i="47"/>
  <c r="L295" i="47" s="1"/>
  <c r="BB295" i="47"/>
  <c r="I295" i="47" s="1"/>
  <c r="J300" i="72" s="1"/>
  <c r="BD295" i="47"/>
  <c r="K295" i="47" s="1"/>
  <c r="BC295" i="47"/>
  <c r="Z295" i="47"/>
  <c r="N295" i="47" s="1"/>
  <c r="C275" i="72"/>
  <c r="BB270" i="47"/>
  <c r="I270" i="47" s="1"/>
  <c r="J275" i="72" s="1"/>
  <c r="BE270" i="47"/>
  <c r="L270" i="47" s="1"/>
  <c r="BC270" i="47"/>
  <c r="Z270" i="47"/>
  <c r="N270" i="47" s="1"/>
  <c r="BD270" i="47"/>
  <c r="K270" i="47" s="1"/>
  <c r="C313" i="72"/>
  <c r="BE308" i="47"/>
  <c r="L308" i="47" s="1"/>
  <c r="BB308" i="47"/>
  <c r="I308" i="47" s="1"/>
  <c r="J313" i="72" s="1"/>
  <c r="BC308" i="47"/>
  <c r="BD308" i="47"/>
  <c r="K308" i="47" s="1"/>
  <c r="Z308" i="47"/>
  <c r="N308" i="47" s="1"/>
  <c r="C297" i="72"/>
  <c r="BE292" i="47"/>
  <c r="L292" i="47" s="1"/>
  <c r="BB292" i="47"/>
  <c r="I292" i="47" s="1"/>
  <c r="J297" i="72" s="1"/>
  <c r="BC292" i="47"/>
  <c r="BD292" i="47"/>
  <c r="K292" i="47" s="1"/>
  <c r="Z292" i="47"/>
  <c r="N292" i="47" s="1"/>
  <c r="C276" i="72"/>
  <c r="BB271" i="47"/>
  <c r="I271" i="47" s="1"/>
  <c r="J276" i="72" s="1"/>
  <c r="BC271" i="47"/>
  <c r="BE271" i="47"/>
  <c r="L271" i="47" s="1"/>
  <c r="BD271" i="47"/>
  <c r="K271" i="47" s="1"/>
  <c r="Z271" i="47"/>
  <c r="N271" i="47" s="1"/>
  <c r="C308" i="72"/>
  <c r="BE303" i="47"/>
  <c r="L303" i="47" s="1"/>
  <c r="BB303" i="47"/>
  <c r="I303" i="47" s="1"/>
  <c r="J308" i="72" s="1"/>
  <c r="BD303" i="47"/>
  <c r="K303" i="47" s="1"/>
  <c r="Z303" i="47"/>
  <c r="BC303" i="47"/>
  <c r="C281" i="72"/>
  <c r="BE276" i="47"/>
  <c r="L276" i="47" s="1"/>
  <c r="BB276" i="47"/>
  <c r="I276" i="47" s="1"/>
  <c r="J281" i="72" s="1"/>
  <c r="BD276" i="47"/>
  <c r="K276" i="47" s="1"/>
  <c r="BC276" i="47"/>
  <c r="Z276" i="47"/>
  <c r="N276" i="47" s="1"/>
  <c r="C292" i="72"/>
  <c r="BE287" i="47"/>
  <c r="L287" i="47" s="1"/>
  <c r="BB287" i="47"/>
  <c r="I287" i="47" s="1"/>
  <c r="J292" i="72" s="1"/>
  <c r="BC287" i="47"/>
  <c r="BD287" i="47"/>
  <c r="K287" i="47" s="1"/>
  <c r="Z287" i="47"/>
  <c r="N287" i="47" s="1"/>
  <c r="C311" i="72"/>
  <c r="BE306" i="47"/>
  <c r="L306" i="47" s="1"/>
  <c r="BB306" i="47"/>
  <c r="I306" i="47" s="1"/>
  <c r="J311" i="72" s="1"/>
  <c r="BC306" i="47"/>
  <c r="BD306" i="47"/>
  <c r="K306" i="47" s="1"/>
  <c r="Z306" i="47"/>
  <c r="C288" i="72"/>
  <c r="BE283" i="47"/>
  <c r="L283" i="47" s="1"/>
  <c r="BB283" i="47"/>
  <c r="I283" i="47" s="1"/>
  <c r="J288" i="72" s="1"/>
  <c r="BC283" i="47"/>
  <c r="Z283" i="47"/>
  <c r="N283" i="47" s="1"/>
  <c r="BD283" i="47"/>
  <c r="K283" i="47" s="1"/>
  <c r="C320" i="72"/>
  <c r="BE315" i="47"/>
  <c r="L315" i="47" s="1"/>
  <c r="BB315" i="47"/>
  <c r="I315" i="47" s="1"/>
  <c r="J320" i="72" s="1"/>
  <c r="BD315" i="47"/>
  <c r="K315" i="47" s="1"/>
  <c r="BC315" i="47"/>
  <c r="Z315" i="47"/>
  <c r="C274" i="72"/>
  <c r="BB269" i="47"/>
  <c r="I269" i="47" s="1"/>
  <c r="J274" i="72" s="1"/>
  <c r="BD269" i="47"/>
  <c r="K269" i="47" s="1"/>
  <c r="BE269" i="47"/>
  <c r="L269" i="47" s="1"/>
  <c r="BC269" i="47"/>
  <c r="Z269" i="47"/>
  <c r="N269" i="47" s="1"/>
  <c r="C319" i="72"/>
  <c r="BE314" i="47"/>
  <c r="L314" i="47" s="1"/>
  <c r="BB314" i="47"/>
  <c r="I314" i="47" s="1"/>
  <c r="J319" i="72" s="1"/>
  <c r="BD314" i="47"/>
  <c r="K314" i="47" s="1"/>
  <c r="BC314" i="47"/>
  <c r="Z314" i="47"/>
  <c r="N314" i="47" s="1"/>
  <c r="C303" i="72"/>
  <c r="BE298" i="47"/>
  <c r="L298" i="47" s="1"/>
  <c r="BB298" i="47"/>
  <c r="I298" i="47" s="1"/>
  <c r="J303" i="72" s="1"/>
  <c r="BC298" i="47"/>
  <c r="BD298" i="47"/>
  <c r="K298" i="47" s="1"/>
  <c r="Z298" i="47"/>
  <c r="N298" i="47" s="1"/>
  <c r="C307" i="72"/>
  <c r="BE302" i="47"/>
  <c r="L302" i="47" s="1"/>
  <c r="BB302" i="47"/>
  <c r="I302" i="47" s="1"/>
  <c r="J307" i="72" s="1"/>
  <c r="BC302" i="47"/>
  <c r="Z302" i="47"/>
  <c r="N302" i="47" s="1"/>
  <c r="BD302" i="47"/>
  <c r="K302" i="47" s="1"/>
  <c r="C296" i="72"/>
  <c r="BE291" i="47"/>
  <c r="L291" i="47" s="1"/>
  <c r="BB291" i="47"/>
  <c r="I291" i="47" s="1"/>
  <c r="J296" i="72" s="1"/>
  <c r="BC291" i="47"/>
  <c r="BD291" i="47"/>
  <c r="K291" i="47" s="1"/>
  <c r="Z291" i="47"/>
  <c r="N291" i="47" s="1"/>
  <c r="C332" i="72"/>
  <c r="BE327" i="47"/>
  <c r="L327" i="47" s="1"/>
  <c r="BB327" i="47"/>
  <c r="I327" i="47" s="1"/>
  <c r="J332" i="72" s="1"/>
  <c r="BD327" i="47"/>
  <c r="K327" i="47" s="1"/>
  <c r="BC327" i="47"/>
  <c r="Z327" i="47"/>
  <c r="N327" i="47" s="1"/>
  <c r="C312" i="72"/>
  <c r="BE307" i="47"/>
  <c r="L307" i="47" s="1"/>
  <c r="BB307" i="47"/>
  <c r="I307" i="47" s="1"/>
  <c r="J312" i="72" s="1"/>
  <c r="BC307" i="47"/>
  <c r="BD307" i="47"/>
  <c r="K307" i="47" s="1"/>
  <c r="Z307" i="47"/>
  <c r="C321" i="72"/>
  <c r="BE316" i="47"/>
  <c r="L316" i="47" s="1"/>
  <c r="BB316" i="47"/>
  <c r="I316" i="47" s="1"/>
  <c r="J321" i="72" s="1"/>
  <c r="BC316" i="47"/>
  <c r="BD316" i="47"/>
  <c r="K316" i="47" s="1"/>
  <c r="Z316" i="47"/>
  <c r="N316" i="47" s="1"/>
  <c r="C291" i="72"/>
  <c r="BE286" i="47"/>
  <c r="L286" i="47" s="1"/>
  <c r="BB286" i="47"/>
  <c r="I286" i="47" s="1"/>
  <c r="J291" i="72" s="1"/>
  <c r="BD286" i="47"/>
  <c r="K286" i="47" s="1"/>
  <c r="BC286" i="47"/>
  <c r="Z286" i="47"/>
  <c r="N286" i="47" s="1"/>
  <c r="C334" i="72"/>
  <c r="BE329" i="47"/>
  <c r="L329" i="47" s="1"/>
  <c r="BB329" i="47"/>
  <c r="I329" i="47" s="1"/>
  <c r="J334" i="72" s="1"/>
  <c r="BD329" i="47"/>
  <c r="K329" i="47" s="1"/>
  <c r="BC329" i="47"/>
  <c r="Z329" i="47"/>
  <c r="N329" i="47" s="1"/>
  <c r="C337" i="72"/>
  <c r="BE332" i="47"/>
  <c r="L332" i="47" s="1"/>
  <c r="BB332" i="47"/>
  <c r="I332" i="47" s="1"/>
  <c r="J337" i="72" s="1"/>
  <c r="BC332" i="47"/>
  <c r="BD332" i="47"/>
  <c r="K332" i="47" s="1"/>
  <c r="Z332" i="47"/>
  <c r="N332" i="47" s="1"/>
  <c r="C306" i="72"/>
  <c r="BE301" i="47"/>
  <c r="L301" i="47" s="1"/>
  <c r="BB301" i="47"/>
  <c r="I301" i="47" s="1"/>
  <c r="J306" i="72" s="1"/>
  <c r="BC301" i="47"/>
  <c r="BD301" i="47"/>
  <c r="K301" i="47" s="1"/>
  <c r="Z301" i="47"/>
  <c r="N301" i="47" s="1"/>
  <c r="C290" i="72"/>
  <c r="BE285" i="47"/>
  <c r="L285" i="47" s="1"/>
  <c r="BB285" i="47"/>
  <c r="I285" i="47" s="1"/>
  <c r="J290" i="72" s="1"/>
  <c r="BC285" i="47"/>
  <c r="BD285" i="47"/>
  <c r="K285" i="47" s="1"/>
  <c r="Z285" i="47"/>
  <c r="N285" i="47" s="1"/>
  <c r="C331" i="72"/>
  <c r="BE326" i="47"/>
  <c r="L326" i="47" s="1"/>
  <c r="BB326" i="47"/>
  <c r="I326" i="47" s="1"/>
  <c r="J331" i="72" s="1"/>
  <c r="BD326" i="47"/>
  <c r="K326" i="47" s="1"/>
  <c r="BC326" i="47"/>
  <c r="Z326" i="47"/>
  <c r="N326" i="47" s="1"/>
  <c r="C329" i="72"/>
  <c r="BE324" i="47"/>
  <c r="L324" i="47" s="1"/>
  <c r="BB324" i="47"/>
  <c r="I324" i="47" s="1"/>
  <c r="J329" i="72" s="1"/>
  <c r="BC324" i="47"/>
  <c r="Z324" i="47"/>
  <c r="N324" i="47" s="1"/>
  <c r="BD324" i="47"/>
  <c r="K324" i="47" s="1"/>
  <c r="C309" i="72"/>
  <c r="BE304" i="47"/>
  <c r="L304" i="47" s="1"/>
  <c r="BB304" i="47"/>
  <c r="I304" i="47" s="1"/>
  <c r="J309" i="72" s="1"/>
  <c r="BC304" i="47"/>
  <c r="BD304" i="47"/>
  <c r="K304" i="47" s="1"/>
  <c r="Z304" i="47"/>
  <c r="N304" i="47" s="1"/>
  <c r="C315" i="72"/>
  <c r="BE310" i="47"/>
  <c r="L310" i="47" s="1"/>
  <c r="BB310" i="47"/>
  <c r="I310" i="47" s="1"/>
  <c r="J315" i="72" s="1"/>
  <c r="BC310" i="47"/>
  <c r="BD310" i="47"/>
  <c r="K310" i="47" s="1"/>
  <c r="Z310" i="47"/>
  <c r="N310" i="47" s="1"/>
  <c r="C325" i="72"/>
  <c r="BE320" i="47"/>
  <c r="L320" i="47" s="1"/>
  <c r="BB320" i="47"/>
  <c r="I320" i="47" s="1"/>
  <c r="J325" i="72" s="1"/>
  <c r="BC320" i="47"/>
  <c r="BD320" i="47"/>
  <c r="K320" i="47" s="1"/>
  <c r="Z320" i="47"/>
  <c r="N320" i="47" s="1"/>
  <c r="C310" i="72"/>
  <c r="BE305" i="47"/>
  <c r="L305" i="47" s="1"/>
  <c r="BB305" i="47"/>
  <c r="I305" i="47" s="1"/>
  <c r="J310" i="72" s="1"/>
  <c r="BD305" i="47"/>
  <c r="K305" i="47" s="1"/>
  <c r="BC305" i="47"/>
  <c r="Z305" i="47"/>
  <c r="N305" i="47" s="1"/>
  <c r="C335" i="72"/>
  <c r="BE330" i="47"/>
  <c r="L330" i="47" s="1"/>
  <c r="BB330" i="47"/>
  <c r="I330" i="47" s="1"/>
  <c r="J335" i="72" s="1"/>
  <c r="BD330" i="47"/>
  <c r="K330" i="47" s="1"/>
  <c r="BC330" i="47"/>
  <c r="Z330" i="47"/>
  <c r="N330" i="47" s="1"/>
  <c r="C302" i="72"/>
  <c r="BE297" i="47"/>
  <c r="L297" i="47" s="1"/>
  <c r="BB297" i="47"/>
  <c r="I297" i="47" s="1"/>
  <c r="J302" i="72" s="1"/>
  <c r="BD297" i="47"/>
  <c r="K297" i="47" s="1"/>
  <c r="Z297" i="47"/>
  <c r="N297" i="47" s="1"/>
  <c r="BC297" i="47"/>
  <c r="C280" i="72"/>
  <c r="BE275" i="47"/>
  <c r="L275" i="47" s="1"/>
  <c r="BB275" i="47"/>
  <c r="I275" i="47" s="1"/>
  <c r="J280" i="72" s="1"/>
  <c r="BC275" i="47"/>
  <c r="BD275" i="47"/>
  <c r="K275" i="47" s="1"/>
  <c r="Z275" i="47"/>
  <c r="N275" i="47" s="1"/>
  <c r="C314" i="72"/>
  <c r="BE309" i="47"/>
  <c r="L309" i="47" s="1"/>
  <c r="BB309" i="47"/>
  <c r="I309" i="47" s="1"/>
  <c r="J314" i="72" s="1"/>
  <c r="BC309" i="47"/>
  <c r="BD309" i="47"/>
  <c r="K309" i="47" s="1"/>
  <c r="Z309" i="47"/>
  <c r="C278" i="72"/>
  <c r="BE273" i="47"/>
  <c r="L273" i="47" s="1"/>
  <c r="BB273" i="47"/>
  <c r="I273" i="47" s="1"/>
  <c r="J278" i="72" s="1"/>
  <c r="BC273" i="47"/>
  <c r="BD273" i="47"/>
  <c r="K273" i="47" s="1"/>
  <c r="Z273" i="47"/>
  <c r="D272" i="47"/>
  <c r="D277" i="72" s="1"/>
  <c r="D98" i="72"/>
  <c r="D309" i="47"/>
  <c r="D314" i="72" s="1"/>
  <c r="D135" i="72"/>
  <c r="D315" i="47"/>
  <c r="D320" i="72" s="1"/>
  <c r="D141" i="72"/>
  <c r="D283" i="47"/>
  <c r="D288" i="72" s="1"/>
  <c r="D109" i="72"/>
  <c r="D320" i="47"/>
  <c r="D325" i="72" s="1"/>
  <c r="D146" i="72"/>
  <c r="D295" i="47"/>
  <c r="D300" i="72" s="1"/>
  <c r="D121" i="72"/>
  <c r="D319" i="47"/>
  <c r="D324" i="72" s="1"/>
  <c r="D145" i="72"/>
  <c r="D292" i="47"/>
  <c r="D297" i="72" s="1"/>
  <c r="D118" i="72"/>
  <c r="E279" i="47"/>
  <c r="G284" i="72" s="1"/>
  <c r="G105" i="72"/>
  <c r="AH91" i="47"/>
  <c r="AQ91" i="47" s="1"/>
  <c r="E94" i="72"/>
  <c r="E286" i="47"/>
  <c r="G291" i="72" s="1"/>
  <c r="G112" i="72"/>
  <c r="E277" i="47"/>
  <c r="G282" i="72" s="1"/>
  <c r="G103" i="72"/>
  <c r="AH103" i="47"/>
  <c r="AQ103" i="47" s="1"/>
  <c r="E106" i="72"/>
  <c r="E270" i="47"/>
  <c r="G275" i="72" s="1"/>
  <c r="G96" i="72"/>
  <c r="AH96" i="47"/>
  <c r="AQ96" i="47" s="1"/>
  <c r="E99" i="72"/>
  <c r="E302" i="47"/>
  <c r="G307" i="72" s="1"/>
  <c r="G128" i="72"/>
  <c r="E292" i="47"/>
  <c r="G297" i="72" s="1"/>
  <c r="G118" i="72"/>
  <c r="E294" i="47"/>
  <c r="G299" i="72" s="1"/>
  <c r="G120" i="72"/>
  <c r="AH114" i="47"/>
  <c r="AQ114" i="47" s="1"/>
  <c r="E117" i="72"/>
  <c r="E306" i="47"/>
  <c r="G311" i="72" s="1"/>
  <c r="G132" i="72"/>
  <c r="AH156" i="47"/>
  <c r="AQ156" i="47" s="1"/>
  <c r="E159" i="72"/>
  <c r="AH143" i="47"/>
  <c r="AQ143" i="47" s="1"/>
  <c r="E146" i="72"/>
  <c r="E323" i="47"/>
  <c r="G328" i="72" s="1"/>
  <c r="G149" i="72"/>
  <c r="AH149" i="47"/>
  <c r="AQ149" i="47" s="1"/>
  <c r="E152" i="72"/>
  <c r="E329" i="47"/>
  <c r="G334" i="72" s="1"/>
  <c r="G155" i="72"/>
  <c r="AH155" i="47"/>
  <c r="AQ155" i="47" s="1"/>
  <c r="E158" i="72"/>
  <c r="E318" i="47"/>
  <c r="G323" i="72" s="1"/>
  <c r="G144" i="72"/>
  <c r="AH144" i="47"/>
  <c r="AQ144" i="47" s="1"/>
  <c r="E147" i="72"/>
  <c r="E324" i="47"/>
  <c r="G329" i="72" s="1"/>
  <c r="G150" i="72"/>
  <c r="D280" i="47"/>
  <c r="D285" i="72" s="1"/>
  <c r="D106" i="72"/>
  <c r="D275" i="47"/>
  <c r="D280" i="72" s="1"/>
  <c r="D101" i="72"/>
  <c r="D308" i="47"/>
  <c r="D313" i="72" s="1"/>
  <c r="D134" i="72"/>
  <c r="D327" i="47"/>
  <c r="D332" i="72" s="1"/>
  <c r="D153" i="72"/>
  <c r="D307" i="47"/>
  <c r="D312" i="72" s="1"/>
  <c r="D133" i="72"/>
  <c r="D279" i="47"/>
  <c r="D284" i="72" s="1"/>
  <c r="D105" i="72"/>
  <c r="D293" i="47"/>
  <c r="D298" i="72" s="1"/>
  <c r="D119" i="72"/>
  <c r="AH109" i="47"/>
  <c r="AQ109" i="47" s="1"/>
  <c r="E112" i="72"/>
  <c r="E287" i="47"/>
  <c r="G292" i="72" s="1"/>
  <c r="G113" i="72"/>
  <c r="AH101" i="47"/>
  <c r="AQ101" i="47" s="1"/>
  <c r="E104" i="72"/>
  <c r="E272" i="47"/>
  <c r="G277" i="72" s="1"/>
  <c r="G98" i="72"/>
  <c r="AH121" i="47"/>
  <c r="AQ121" i="47" s="1"/>
  <c r="E124" i="72"/>
  <c r="AH131" i="47"/>
  <c r="AQ131" i="47" s="1"/>
  <c r="E134" i="72"/>
  <c r="AH118" i="47"/>
  <c r="AQ118" i="47" s="1"/>
  <c r="E121" i="72"/>
  <c r="E297" i="47"/>
  <c r="G302" i="72" s="1"/>
  <c r="G123" i="72"/>
  <c r="AH117" i="47"/>
  <c r="AQ117" i="47" s="1"/>
  <c r="E120" i="72"/>
  <c r="E307" i="47"/>
  <c r="G312" i="72" s="1"/>
  <c r="G133" i="72"/>
  <c r="AH140" i="47"/>
  <c r="AQ140" i="47" s="1"/>
  <c r="E143" i="72"/>
  <c r="E320" i="47"/>
  <c r="G325" i="72" s="1"/>
  <c r="G146" i="72"/>
  <c r="AH150" i="47"/>
  <c r="AQ150" i="47" s="1"/>
  <c r="E153" i="72"/>
  <c r="E330" i="47"/>
  <c r="G335" i="72" s="1"/>
  <c r="G156" i="72"/>
  <c r="D298" i="47"/>
  <c r="D303" i="72" s="1"/>
  <c r="D124" i="72"/>
  <c r="D326" i="47"/>
  <c r="D331" i="72" s="1"/>
  <c r="D152" i="72"/>
  <c r="D278" i="47"/>
  <c r="D283" i="72" s="1"/>
  <c r="D104" i="72"/>
  <c r="D301" i="47"/>
  <c r="D306" i="72" s="1"/>
  <c r="D127" i="72"/>
  <c r="D269" i="47"/>
  <c r="D274" i="72" s="1"/>
  <c r="D95" i="72"/>
  <c r="D304" i="47"/>
  <c r="D309" i="72" s="1"/>
  <c r="D130" i="72"/>
  <c r="D306" i="47"/>
  <c r="D311" i="72" s="1"/>
  <c r="D132" i="72"/>
  <c r="D305" i="47"/>
  <c r="D310" i="72" s="1"/>
  <c r="D131" i="72"/>
  <c r="D316" i="47"/>
  <c r="D321" i="72" s="1"/>
  <c r="D142" i="72"/>
  <c r="D330" i="47"/>
  <c r="D335" i="72" s="1"/>
  <c r="D156" i="72"/>
  <c r="D303" i="47"/>
  <c r="D308" i="72" s="1"/>
  <c r="D129" i="72"/>
  <c r="N151" i="72"/>
  <c r="D331" i="47"/>
  <c r="D336" i="72" s="1"/>
  <c r="D157" i="72"/>
  <c r="N95" i="72"/>
  <c r="N105" i="72"/>
  <c r="AH102" i="47"/>
  <c r="AQ102" i="47" s="1"/>
  <c r="E105" i="72"/>
  <c r="E284" i="47"/>
  <c r="G289" i="72" s="1"/>
  <c r="G110" i="72"/>
  <c r="AH98" i="47"/>
  <c r="AQ98" i="47" s="1"/>
  <c r="E101" i="72"/>
  <c r="AH93" i="47"/>
  <c r="AQ93" i="47" s="1"/>
  <c r="E96" i="72"/>
  <c r="AH110" i="47"/>
  <c r="AQ110" i="47" s="1"/>
  <c r="E113" i="72"/>
  <c r="E271" i="47"/>
  <c r="G276" i="72" s="1"/>
  <c r="G97" i="72"/>
  <c r="E273" i="47"/>
  <c r="G278" i="72" s="1"/>
  <c r="G99" i="72"/>
  <c r="E276" i="47"/>
  <c r="G281" i="72" s="1"/>
  <c r="G102" i="72"/>
  <c r="E283" i="47"/>
  <c r="G288" i="72" s="1"/>
  <c r="G109" i="72"/>
  <c r="E285" i="47"/>
  <c r="G290" i="72" s="1"/>
  <c r="G111" i="72"/>
  <c r="AH92" i="47"/>
  <c r="AQ92" i="47" s="1"/>
  <c r="E95" i="72"/>
  <c r="AH95" i="47"/>
  <c r="AQ95" i="47" s="1"/>
  <c r="E98" i="72"/>
  <c r="AH97" i="47"/>
  <c r="AQ97" i="47" s="1"/>
  <c r="E100" i="72"/>
  <c r="E274" i="47"/>
  <c r="G279" i="72" s="1"/>
  <c r="G100" i="72"/>
  <c r="AH105" i="47"/>
  <c r="AQ105" i="47" s="1"/>
  <c r="E108" i="72"/>
  <c r="E305" i="47"/>
  <c r="G310" i="72" s="1"/>
  <c r="G131" i="72"/>
  <c r="E299" i="47"/>
  <c r="G304" i="72" s="1"/>
  <c r="G125" i="72"/>
  <c r="AH115" i="47"/>
  <c r="AQ115" i="47" s="1"/>
  <c r="E118" i="72"/>
  <c r="E291" i="47"/>
  <c r="G296" i="72" s="1"/>
  <c r="G117" i="72"/>
  <c r="AH129" i="47"/>
  <c r="AQ129" i="47" s="1"/>
  <c r="E132" i="72"/>
  <c r="AH124" i="47"/>
  <c r="AQ124" i="47" s="1"/>
  <c r="E127" i="72"/>
  <c r="E301" i="47"/>
  <c r="G306" i="72" s="1"/>
  <c r="G127" i="72"/>
  <c r="AH146" i="47"/>
  <c r="AQ146" i="47" s="1"/>
  <c r="E149" i="72"/>
  <c r="E326" i="47"/>
  <c r="G331" i="72" s="1"/>
  <c r="G152" i="72"/>
  <c r="AH152" i="47"/>
  <c r="AQ152" i="47" s="1"/>
  <c r="E155" i="72"/>
  <c r="E332" i="47"/>
  <c r="G337" i="72" s="1"/>
  <c r="G158" i="72"/>
  <c r="AH148" i="47"/>
  <c r="AQ148" i="47" s="1"/>
  <c r="E151" i="72"/>
  <c r="E328" i="47"/>
  <c r="G333" i="72" s="1"/>
  <c r="G154" i="72"/>
  <c r="E315" i="47"/>
  <c r="G320" i="72" s="1"/>
  <c r="G141" i="72"/>
  <c r="AH141" i="47"/>
  <c r="AQ141" i="47" s="1"/>
  <c r="E144" i="72"/>
  <c r="E321" i="47"/>
  <c r="G326" i="72" s="1"/>
  <c r="G147" i="72"/>
  <c r="AH147" i="47"/>
  <c r="AQ147" i="47" s="1"/>
  <c r="E150" i="72"/>
  <c r="E327" i="47"/>
  <c r="G332" i="72" s="1"/>
  <c r="G153" i="72"/>
  <c r="AH153" i="47"/>
  <c r="AQ153" i="47" s="1"/>
  <c r="E156" i="72"/>
  <c r="E314" i="47"/>
  <c r="G319" i="72" s="1"/>
  <c r="G140" i="72"/>
  <c r="D317" i="47"/>
  <c r="D322" i="72" s="1"/>
  <c r="D143" i="72"/>
  <c r="D287" i="47"/>
  <c r="D292" i="72" s="1"/>
  <c r="D113" i="72"/>
  <c r="D273" i="47"/>
  <c r="D278" i="72" s="1"/>
  <c r="D99" i="72"/>
  <c r="D310" i="47"/>
  <c r="D315" i="72" s="1"/>
  <c r="D136" i="72"/>
  <c r="D268" i="47"/>
  <c r="D273" i="72" s="1"/>
  <c r="D94" i="72"/>
  <c r="D324" i="47"/>
  <c r="D329" i="72" s="1"/>
  <c r="D150" i="72"/>
  <c r="D329" i="47"/>
  <c r="D334" i="72" s="1"/>
  <c r="D155" i="72"/>
  <c r="D276" i="47"/>
  <c r="D281" i="72" s="1"/>
  <c r="D102" i="72"/>
  <c r="D328" i="47"/>
  <c r="D333" i="72" s="1"/>
  <c r="D154" i="72"/>
  <c r="N109" i="72"/>
  <c r="D281" i="47"/>
  <c r="D286" i="72" s="1"/>
  <c r="D107" i="72"/>
  <c r="E278" i="47"/>
  <c r="G283" i="72" s="1"/>
  <c r="G104" i="72"/>
  <c r="AH106" i="47"/>
  <c r="AQ106" i="47" s="1"/>
  <c r="E109" i="72"/>
  <c r="E269" i="47"/>
  <c r="G274" i="72" s="1"/>
  <c r="G95" i="72"/>
  <c r="AH125" i="47"/>
  <c r="AQ125" i="47" s="1"/>
  <c r="E128" i="72"/>
  <c r="AH122" i="47"/>
  <c r="AQ122" i="47" s="1"/>
  <c r="E125" i="72"/>
  <c r="E295" i="47"/>
  <c r="G300" i="72" s="1"/>
  <c r="G121" i="72"/>
  <c r="AH133" i="47"/>
  <c r="AQ133" i="47" s="1"/>
  <c r="E136" i="72"/>
  <c r="AH127" i="47"/>
  <c r="AQ127" i="47" s="1"/>
  <c r="E130" i="72"/>
  <c r="AH132" i="47"/>
  <c r="AQ132" i="47" s="1"/>
  <c r="E135" i="72"/>
  <c r="E317" i="47"/>
  <c r="G322" i="72" s="1"/>
  <c r="G143" i="72"/>
  <c r="AH142" i="47"/>
  <c r="AQ142" i="47" s="1"/>
  <c r="E145" i="72"/>
  <c r="E322" i="47"/>
  <c r="G327" i="72" s="1"/>
  <c r="G148" i="72"/>
  <c r="AH138" i="47"/>
  <c r="AQ138" i="47" s="1"/>
  <c r="E141" i="72"/>
  <c r="D323" i="47"/>
  <c r="D328" i="72" s="1"/>
  <c r="D149" i="72"/>
  <c r="D282" i="47"/>
  <c r="D287" i="72" s="1"/>
  <c r="D108" i="72"/>
  <c r="D300" i="47"/>
  <c r="D305" i="72" s="1"/>
  <c r="D126" i="72"/>
  <c r="D318" i="47"/>
  <c r="D323" i="72" s="1"/>
  <c r="D144" i="72"/>
  <c r="D314" i="47"/>
  <c r="D319" i="72" s="1"/>
  <c r="D140" i="72"/>
  <c r="D270" i="47"/>
  <c r="D275" i="72" s="1"/>
  <c r="D96" i="72"/>
  <c r="D333" i="47"/>
  <c r="D338" i="72" s="1"/>
  <c r="D159" i="72"/>
  <c r="E281" i="47"/>
  <c r="G286" i="72" s="1"/>
  <c r="G107" i="72"/>
  <c r="E275" i="47"/>
  <c r="G280" i="72" s="1"/>
  <c r="G101" i="72"/>
  <c r="AH100" i="47"/>
  <c r="AQ100" i="47" s="1"/>
  <c r="E103" i="72"/>
  <c r="AH99" i="47"/>
  <c r="AQ99" i="47" s="1"/>
  <c r="E102" i="72"/>
  <c r="AH108" i="47"/>
  <c r="AQ108" i="47" s="1"/>
  <c r="E111" i="72"/>
  <c r="AH128" i="47"/>
  <c r="AQ128" i="47" s="1"/>
  <c r="E131" i="72"/>
  <c r="E296" i="47"/>
  <c r="G301" i="72" s="1"/>
  <c r="G122" i="72"/>
  <c r="E298" i="47"/>
  <c r="G303" i="72" s="1"/>
  <c r="G124" i="72"/>
  <c r="E309" i="47"/>
  <c r="G314" i="72" s="1"/>
  <c r="G135" i="72"/>
  <c r="E300" i="47"/>
  <c r="G305" i="72" s="1"/>
  <c r="G126" i="72"/>
  <c r="AH139" i="47"/>
  <c r="AQ139" i="47" s="1"/>
  <c r="E142" i="72"/>
  <c r="E319" i="47"/>
  <c r="G324" i="72" s="1"/>
  <c r="G145" i="72"/>
  <c r="AH145" i="47"/>
  <c r="AQ145" i="47" s="1"/>
  <c r="E148" i="72"/>
  <c r="E325" i="47"/>
  <c r="G330" i="72" s="1"/>
  <c r="G151" i="72"/>
  <c r="AH151" i="47"/>
  <c r="AQ151" i="47" s="1"/>
  <c r="E154" i="72"/>
  <c r="E331" i="47"/>
  <c r="G336" i="72" s="1"/>
  <c r="G157" i="72"/>
  <c r="D285" i="47"/>
  <c r="D290" i="72" s="1"/>
  <c r="D111" i="72"/>
  <c r="D325" i="47"/>
  <c r="D330" i="72" s="1"/>
  <c r="D151" i="72"/>
  <c r="D271" i="47"/>
  <c r="D276" i="72" s="1"/>
  <c r="D97" i="72"/>
  <c r="D297" i="47"/>
  <c r="D302" i="72" s="1"/>
  <c r="D123" i="72"/>
  <c r="D291" i="47"/>
  <c r="D296" i="72" s="1"/>
  <c r="D117" i="72"/>
  <c r="D274" i="47"/>
  <c r="D279" i="72" s="1"/>
  <c r="D100" i="72"/>
  <c r="D294" i="47"/>
  <c r="D299" i="72" s="1"/>
  <c r="D120" i="72"/>
  <c r="D296" i="47"/>
  <c r="D301" i="72" s="1"/>
  <c r="D122" i="72"/>
  <c r="D286" i="47"/>
  <c r="D291" i="72" s="1"/>
  <c r="D112" i="72"/>
  <c r="D299" i="47"/>
  <c r="D304" i="72" s="1"/>
  <c r="D125" i="72"/>
  <c r="D302" i="47"/>
  <c r="D307" i="72" s="1"/>
  <c r="D128" i="72"/>
  <c r="D284" i="47"/>
  <c r="D289" i="72" s="1"/>
  <c r="D110" i="72"/>
  <c r="D332" i="47"/>
  <c r="D337" i="72" s="1"/>
  <c r="D158" i="72"/>
  <c r="D277" i="47"/>
  <c r="D282" i="72" s="1"/>
  <c r="D103" i="72"/>
  <c r="D322" i="47"/>
  <c r="D327" i="72" s="1"/>
  <c r="D148" i="72"/>
  <c r="C330" i="72"/>
  <c r="D321" i="47"/>
  <c r="D326" i="72" s="1"/>
  <c r="D147" i="72"/>
  <c r="AH104" i="47"/>
  <c r="AQ104" i="47" s="1"/>
  <c r="E107" i="72"/>
  <c r="AH107" i="47"/>
  <c r="AQ107" i="47" s="1"/>
  <c r="E110" i="72"/>
  <c r="E268" i="47"/>
  <c r="G273" i="72" s="1"/>
  <c r="G94" i="72"/>
  <c r="E280" i="47"/>
  <c r="G285" i="72" s="1"/>
  <c r="G106" i="72"/>
  <c r="AH94" i="47"/>
  <c r="AQ94" i="47" s="1"/>
  <c r="E97" i="72"/>
  <c r="E282" i="47"/>
  <c r="G287" i="72" s="1"/>
  <c r="G108" i="72"/>
  <c r="AH119" i="47"/>
  <c r="AQ119" i="47" s="1"/>
  <c r="E122" i="72"/>
  <c r="E293" i="47"/>
  <c r="G298" i="72" s="1"/>
  <c r="G119" i="72"/>
  <c r="AH116" i="47"/>
  <c r="AQ116" i="47" s="1"/>
  <c r="E119" i="72"/>
  <c r="E308" i="47"/>
  <c r="G313" i="72" s="1"/>
  <c r="G134" i="72"/>
  <c r="AH120" i="47"/>
  <c r="AQ120" i="47" s="1"/>
  <c r="E123" i="72"/>
  <c r="E303" i="47"/>
  <c r="G308" i="72" s="1"/>
  <c r="G129" i="72"/>
  <c r="AH126" i="47"/>
  <c r="AQ126" i="47" s="1"/>
  <c r="E129" i="72"/>
  <c r="E310" i="47"/>
  <c r="G315" i="72" s="1"/>
  <c r="G136" i="72"/>
  <c r="E304" i="47"/>
  <c r="G309" i="72" s="1"/>
  <c r="G130" i="72"/>
  <c r="AH130" i="47"/>
  <c r="AQ130" i="47" s="1"/>
  <c r="E133" i="72"/>
  <c r="AH123" i="47"/>
  <c r="AQ123" i="47" s="1"/>
  <c r="E126" i="72"/>
  <c r="E333" i="47"/>
  <c r="G338" i="72" s="1"/>
  <c r="G159" i="72"/>
  <c r="E316" i="47"/>
  <c r="G321" i="72" s="1"/>
  <c r="G142" i="72"/>
  <c r="AH154" i="47"/>
  <c r="AQ154" i="47" s="1"/>
  <c r="E157" i="72"/>
  <c r="AH137" i="47"/>
  <c r="AQ137" i="47" s="1"/>
  <c r="E140" i="72"/>
  <c r="A285" i="47"/>
  <c r="A290" i="72" s="1"/>
  <c r="A111" i="72"/>
  <c r="A307" i="47"/>
  <c r="A312" i="72" s="1"/>
  <c r="A133" i="72"/>
  <c r="A317" i="47"/>
  <c r="A322" i="72" s="1"/>
  <c r="A143" i="72"/>
  <c r="A304" i="47"/>
  <c r="A309" i="72" s="1"/>
  <c r="A130" i="72"/>
  <c r="A308" i="47"/>
  <c r="A313" i="72" s="1"/>
  <c r="A134" i="72"/>
  <c r="A292" i="47"/>
  <c r="A297" i="72" s="1"/>
  <c r="A118" i="72"/>
  <c r="A303" i="47"/>
  <c r="A308" i="72" s="1"/>
  <c r="A129" i="72"/>
  <c r="A269" i="47"/>
  <c r="A274" i="72" s="1"/>
  <c r="A95" i="72"/>
  <c r="A321" i="47"/>
  <c r="A326" i="72" s="1"/>
  <c r="A147" i="72"/>
  <c r="A302" i="47"/>
  <c r="A307" i="72" s="1"/>
  <c r="A128" i="72"/>
  <c r="A279" i="47"/>
  <c r="A284" i="72" s="1"/>
  <c r="A105" i="72"/>
  <c r="A270" i="47"/>
  <c r="A275" i="72" s="1"/>
  <c r="A96" i="72"/>
  <c r="A333" i="47"/>
  <c r="A338" i="72" s="1"/>
  <c r="A159" i="72"/>
  <c r="A276" i="47"/>
  <c r="A281" i="72" s="1"/>
  <c r="A102" i="72"/>
  <c r="A280" i="47"/>
  <c r="A285" i="72" s="1"/>
  <c r="A106" i="72"/>
  <c r="A298" i="47"/>
  <c r="A303" i="72" s="1"/>
  <c r="A124" i="72"/>
  <c r="A325" i="47"/>
  <c r="A330" i="72" s="1"/>
  <c r="A151" i="72"/>
  <c r="A306" i="47"/>
  <c r="A311" i="72" s="1"/>
  <c r="A132" i="72"/>
  <c r="A277" i="47"/>
  <c r="A282" i="72" s="1"/>
  <c r="A103" i="72"/>
  <c r="A294" i="47"/>
  <c r="A299" i="72" s="1"/>
  <c r="A120" i="72"/>
  <c r="A301" i="47"/>
  <c r="A306" i="72" s="1"/>
  <c r="A127" i="72"/>
  <c r="A274" i="47"/>
  <c r="A279" i="72" s="1"/>
  <c r="A100" i="72"/>
  <c r="A314" i="47"/>
  <c r="A319" i="72" s="1"/>
  <c r="A140" i="72"/>
  <c r="A309" i="47"/>
  <c r="A314" i="72" s="1"/>
  <c r="A135" i="72"/>
  <c r="A332" i="47"/>
  <c r="A337" i="72" s="1"/>
  <c r="A158" i="72"/>
  <c r="A320" i="47"/>
  <c r="A325" i="72" s="1"/>
  <c r="A146" i="72"/>
  <c r="A310" i="47"/>
  <c r="A315" i="72" s="1"/>
  <c r="A136" i="72"/>
  <c r="A328" i="47"/>
  <c r="A333" i="72" s="1"/>
  <c r="A154" i="72"/>
  <c r="A331" i="47"/>
  <c r="A336" i="72" s="1"/>
  <c r="A157" i="72"/>
  <c r="A272" i="47"/>
  <c r="A277" i="72" s="1"/>
  <c r="A98" i="72"/>
  <c r="A318" i="47"/>
  <c r="A323" i="72" s="1"/>
  <c r="A144" i="72"/>
  <c r="A327" i="47"/>
  <c r="A332" i="72" s="1"/>
  <c r="A153" i="72"/>
  <c r="A291" i="47"/>
  <c r="A296" i="72" s="1"/>
  <c r="A117" i="72"/>
  <c r="A305" i="47"/>
  <c r="A310" i="72" s="1"/>
  <c r="A131" i="72"/>
  <c r="A296" i="47"/>
  <c r="A301" i="72" s="1"/>
  <c r="A122" i="72"/>
  <c r="A300" i="47"/>
  <c r="A305" i="72" s="1"/>
  <c r="A126" i="72"/>
  <c r="A299" i="47"/>
  <c r="A304" i="72" s="1"/>
  <c r="A125" i="72"/>
  <c r="A324" i="47"/>
  <c r="A329" i="72" s="1"/>
  <c r="A150" i="72"/>
  <c r="A286" i="47"/>
  <c r="A291" i="72" s="1"/>
  <c r="A112" i="72"/>
  <c r="A322" i="47"/>
  <c r="A327" i="72" s="1"/>
  <c r="A148" i="72"/>
  <c r="A297" i="47"/>
  <c r="A302" i="72" s="1"/>
  <c r="A123" i="72"/>
  <c r="A295" i="47"/>
  <c r="A300" i="72" s="1"/>
  <c r="A121" i="72"/>
  <c r="A319" i="47"/>
  <c r="A324" i="72" s="1"/>
  <c r="A145" i="72"/>
  <c r="A278" i="47"/>
  <c r="A283" i="72" s="1"/>
  <c r="A104" i="72"/>
  <c r="A284" i="47"/>
  <c r="A289" i="72" s="1"/>
  <c r="A110" i="72"/>
  <c r="A326" i="47"/>
  <c r="A331" i="72" s="1"/>
  <c r="A152" i="72"/>
  <c r="A315" i="47"/>
  <c r="A320" i="72" s="1"/>
  <c r="A141" i="72"/>
  <c r="A323" i="47"/>
  <c r="A328" i="72" s="1"/>
  <c r="A149" i="72"/>
  <c r="A316" i="47"/>
  <c r="A321" i="72" s="1"/>
  <c r="A142" i="72"/>
  <c r="A329" i="47"/>
  <c r="A334" i="72" s="1"/>
  <c r="A155" i="72"/>
  <c r="A330" i="47"/>
  <c r="A335" i="72" s="1"/>
  <c r="A156" i="72"/>
  <c r="A287" i="47"/>
  <c r="A292" i="72" s="1"/>
  <c r="A113" i="72"/>
  <c r="A293" i="47"/>
  <c r="A298" i="72" s="1"/>
  <c r="A119" i="72"/>
  <c r="A281" i="47"/>
  <c r="A286" i="72" s="1"/>
  <c r="A107" i="72"/>
  <c r="A282" i="47"/>
  <c r="A287" i="72" s="1"/>
  <c r="A108" i="72"/>
  <c r="A275" i="47"/>
  <c r="A280" i="72" s="1"/>
  <c r="A101" i="72"/>
  <c r="A268" i="47"/>
  <c r="A273" i="72" s="1"/>
  <c r="A94" i="72"/>
  <c r="A273" i="47"/>
  <c r="A278" i="72" s="1"/>
  <c r="A99" i="72"/>
  <c r="A283" i="47"/>
  <c r="A288" i="72" s="1"/>
  <c r="A109" i="72"/>
  <c r="A271" i="47"/>
  <c r="A276" i="72" s="1"/>
  <c r="A97" i="72"/>
  <c r="M353" i="63"/>
  <c r="F348" i="63"/>
  <c r="F352" i="63"/>
  <c r="M348" i="63"/>
  <c r="O357" i="63"/>
  <c r="M350" i="63"/>
  <c r="O356" i="63"/>
  <c r="M352" i="63"/>
  <c r="F351" i="63"/>
  <c r="P357" i="63"/>
  <c r="M349" i="63"/>
  <c r="M351" i="63"/>
  <c r="F355" i="63"/>
  <c r="M356" i="63"/>
  <c r="M355" i="63"/>
  <c r="F356" i="63"/>
  <c r="M354" i="63"/>
  <c r="F349" i="63"/>
  <c r="M357" i="63"/>
  <c r="AI144" i="47"/>
  <c r="AL144" i="47" s="1"/>
  <c r="AE127" i="47"/>
  <c r="AF127" i="47" s="1"/>
  <c r="AI138" i="47"/>
  <c r="AJ138" i="47" s="1"/>
  <c r="AK138" i="47" s="1"/>
  <c r="AI131" i="47"/>
  <c r="AJ131" i="47" s="1"/>
  <c r="AK131" i="47" s="1"/>
  <c r="AE96" i="47"/>
  <c r="AF96" i="47" s="1"/>
  <c r="AI97" i="47"/>
  <c r="AJ97" i="47" s="1"/>
  <c r="AE147" i="47"/>
  <c r="AF147" i="47" s="1"/>
  <c r="AI125" i="47"/>
  <c r="AJ125" i="47" s="1"/>
  <c r="AK125" i="47" s="1"/>
  <c r="AE116" i="47"/>
  <c r="AF116" i="47" s="1"/>
  <c r="AE143" i="47"/>
  <c r="AF143" i="47" s="1"/>
  <c r="AE103" i="47"/>
  <c r="AF103" i="47" s="1"/>
  <c r="AE119" i="47"/>
  <c r="AF119" i="47" s="1"/>
  <c r="AI155" i="47"/>
  <c r="AL155" i="47" s="1"/>
  <c r="AI95" i="47"/>
  <c r="AJ95" i="47" s="1"/>
  <c r="AK95" i="47" s="1"/>
  <c r="AE140" i="47"/>
  <c r="AF140" i="47" s="1"/>
  <c r="P140" i="47" s="1"/>
  <c r="AE100" i="47"/>
  <c r="AF100" i="47" s="1"/>
  <c r="AI120" i="47"/>
  <c r="AL120" i="47" s="1"/>
  <c r="AI94" i="47"/>
  <c r="AL94" i="47" s="1"/>
  <c r="AI154" i="47"/>
  <c r="AL154" i="47" s="1"/>
  <c r="AE108" i="47"/>
  <c r="AF108" i="47" s="1"/>
  <c r="AI129" i="47"/>
  <c r="AJ129" i="47" s="1"/>
  <c r="AK129" i="47" s="1"/>
  <c r="AJ351" i="11"/>
  <c r="AK351" i="11" s="1"/>
  <c r="AE131" i="47"/>
  <c r="AF131" i="47" s="1"/>
  <c r="AB331" i="47"/>
  <c r="AC331" i="47" s="1"/>
  <c r="AB320" i="47"/>
  <c r="AC320" i="47" s="1"/>
  <c r="AB330" i="47"/>
  <c r="AC330" i="47" s="1"/>
  <c r="AB316" i="47"/>
  <c r="AC316" i="47" s="1"/>
  <c r="AB319" i="47"/>
  <c r="AC319" i="47" s="1"/>
  <c r="AB329" i="47"/>
  <c r="AC329" i="47" s="1"/>
  <c r="AB317" i="47"/>
  <c r="AC317" i="47" s="1"/>
  <c r="AB323" i="47"/>
  <c r="AC323" i="47" s="1"/>
  <c r="AB326" i="47"/>
  <c r="AC326" i="47" s="1"/>
  <c r="AB321" i="47"/>
  <c r="AC321" i="47" s="1"/>
  <c r="AB318" i="47"/>
  <c r="AC318" i="47" s="1"/>
  <c r="AB332" i="47"/>
  <c r="AC332" i="47" s="1"/>
  <c r="AB322" i="47"/>
  <c r="AC322" i="47" s="1"/>
  <c r="AB328" i="47"/>
  <c r="AC328" i="47" s="1"/>
  <c r="AB324" i="47"/>
  <c r="AC324" i="47" s="1"/>
  <c r="AB315" i="47"/>
  <c r="AC315" i="47" s="1"/>
  <c r="AB333" i="47"/>
  <c r="AC333" i="47" s="1"/>
  <c r="AB314" i="47"/>
  <c r="AB325" i="47"/>
  <c r="AC325" i="47" s="1"/>
  <c r="AB327" i="47"/>
  <c r="AC327" i="47" s="1"/>
  <c r="AB306" i="47"/>
  <c r="AC306" i="47" s="1"/>
  <c r="AB310" i="47"/>
  <c r="AC310" i="47" s="1"/>
  <c r="AB308" i="47"/>
  <c r="AC308" i="47" s="1"/>
  <c r="AB307" i="47"/>
  <c r="AC307" i="47" s="1"/>
  <c r="AB297" i="47"/>
  <c r="AC297" i="47" s="1"/>
  <c r="AB304" i="47"/>
  <c r="AC304" i="47" s="1"/>
  <c r="AB299" i="47"/>
  <c r="AC299" i="47" s="1"/>
  <c r="AB305" i="47"/>
  <c r="AC305" i="47" s="1"/>
  <c r="AB309" i="47"/>
  <c r="AC309" i="47" s="1"/>
  <c r="AB302" i="47"/>
  <c r="AC302" i="47" s="1"/>
  <c r="AB296" i="47"/>
  <c r="AC296" i="47" s="1"/>
  <c r="AB295" i="47"/>
  <c r="AC295" i="47" s="1"/>
  <c r="AB301" i="47"/>
  <c r="AC301" i="47" s="1"/>
  <c r="AB291" i="47"/>
  <c r="AB293" i="47"/>
  <c r="AC293" i="47" s="1"/>
  <c r="AB294" i="47"/>
  <c r="AC294" i="47" s="1"/>
  <c r="AB300" i="47"/>
  <c r="AC300" i="47" s="1"/>
  <c r="AB298" i="47"/>
  <c r="AC298" i="47" s="1"/>
  <c r="AB292" i="47"/>
  <c r="AB303" i="47"/>
  <c r="AC303" i="47" s="1"/>
  <c r="AB280" i="47"/>
  <c r="AC280" i="47" s="1"/>
  <c r="AB283" i="47"/>
  <c r="AC283" i="47" s="1"/>
  <c r="AB274" i="47"/>
  <c r="AC274" i="47" s="1"/>
  <c r="AB278" i="47"/>
  <c r="AC278" i="47" s="1"/>
  <c r="AB281" i="47"/>
  <c r="AC281" i="47" s="1"/>
  <c r="AB273" i="47"/>
  <c r="AC273" i="47" s="1"/>
  <c r="AB279" i="47"/>
  <c r="AC279" i="47" s="1"/>
  <c r="AB268" i="47"/>
  <c r="AB282" i="47"/>
  <c r="AC282" i="47" s="1"/>
  <c r="AB276" i="47"/>
  <c r="AC276" i="47" s="1"/>
  <c r="AB285" i="47"/>
  <c r="AC285" i="47" s="1"/>
  <c r="AB272" i="47"/>
  <c r="AC272" i="47" s="1"/>
  <c r="AB284" i="47"/>
  <c r="AC284" i="47" s="1"/>
  <c r="AB277" i="47"/>
  <c r="AC277" i="47" s="1"/>
  <c r="AB275" i="47"/>
  <c r="AC275" i="47" s="1"/>
  <c r="AB269" i="47"/>
  <c r="AB286" i="47"/>
  <c r="AC286" i="47" s="1"/>
  <c r="AB270" i="47"/>
  <c r="AB271" i="47"/>
  <c r="AC271" i="47" s="1"/>
  <c r="AB287" i="47"/>
  <c r="AC287" i="47" s="1"/>
  <c r="AI156" i="47"/>
  <c r="AJ156" i="47" s="1"/>
  <c r="F117" i="72"/>
  <c r="AE141" i="47"/>
  <c r="AF141" i="47" s="1"/>
  <c r="P141" i="47" s="1"/>
  <c r="AI152" i="47"/>
  <c r="AL152" i="47" s="1"/>
  <c r="AI121" i="47"/>
  <c r="AJ121" i="47" s="1"/>
  <c r="AK121" i="47" s="1"/>
  <c r="AE121" i="47"/>
  <c r="AF121" i="47" s="1"/>
  <c r="AE152" i="47"/>
  <c r="AF152" i="47" s="1"/>
  <c r="AE133" i="47"/>
  <c r="AF133" i="47" s="1"/>
  <c r="AE156" i="47"/>
  <c r="AF156" i="47" s="1"/>
  <c r="AI133" i="47"/>
  <c r="AL133" i="47" s="1"/>
  <c r="AI141" i="47"/>
  <c r="AJ141" i="47" s="1"/>
  <c r="AK141" i="47" s="1"/>
  <c r="AI98" i="47"/>
  <c r="AJ98" i="47" s="1"/>
  <c r="AK98" i="47" s="1"/>
  <c r="AI110" i="47"/>
  <c r="AJ110" i="47" s="1"/>
  <c r="AE95" i="47"/>
  <c r="AF95" i="47" s="1"/>
  <c r="AE98" i="47"/>
  <c r="AF98" i="47" s="1"/>
  <c r="AI145" i="47"/>
  <c r="AJ145" i="47" s="1"/>
  <c r="AE110" i="47"/>
  <c r="AF110" i="47" s="1"/>
  <c r="AE145" i="47"/>
  <c r="AF145" i="47" s="1"/>
  <c r="AE106" i="47"/>
  <c r="AF106" i="47" s="1"/>
  <c r="AI106" i="47"/>
  <c r="AL106" i="47" s="1"/>
  <c r="AE144" i="47"/>
  <c r="AF144" i="47" s="1"/>
  <c r="AI101" i="47"/>
  <c r="AL101" i="47" s="1"/>
  <c r="AE101" i="47"/>
  <c r="AF101" i="47" s="1"/>
  <c r="AI132" i="47"/>
  <c r="AL132" i="47" s="1"/>
  <c r="AI127" i="47"/>
  <c r="AJ127" i="47" s="1"/>
  <c r="AE122" i="47"/>
  <c r="AF122" i="47" s="1"/>
  <c r="AE132" i="47"/>
  <c r="AF132" i="47" s="1"/>
  <c r="AI119" i="47"/>
  <c r="AJ119" i="47" s="1"/>
  <c r="AE151" i="47"/>
  <c r="AF151" i="47" s="1"/>
  <c r="AI100" i="47"/>
  <c r="AL100" i="47" s="1"/>
  <c r="AI117" i="47"/>
  <c r="AL117" i="47" s="1"/>
  <c r="AE150" i="47"/>
  <c r="AF150" i="47" s="1"/>
  <c r="A90" i="47"/>
  <c r="A267" i="47" s="1"/>
  <c r="AI107" i="47"/>
  <c r="AJ107" i="47" s="1"/>
  <c r="AE107" i="47"/>
  <c r="AF107" i="47" s="1"/>
  <c r="AI116" i="47"/>
  <c r="AL116" i="47" s="1"/>
  <c r="AE105" i="47"/>
  <c r="AF105" i="47" s="1"/>
  <c r="AI142" i="47"/>
  <c r="AL142" i="47" s="1"/>
  <c r="AE99" i="47"/>
  <c r="AF99" i="47" s="1"/>
  <c r="AI105" i="47"/>
  <c r="AJ105" i="47" s="1"/>
  <c r="AK105" i="47" s="1"/>
  <c r="AE142" i="47"/>
  <c r="AF142" i="47" s="1"/>
  <c r="AI151" i="47"/>
  <c r="AL151" i="47" s="1"/>
  <c r="AI118" i="47"/>
  <c r="AL118" i="47" s="1"/>
  <c r="AE155" i="47"/>
  <c r="AF155" i="47" s="1"/>
  <c r="AE120" i="47"/>
  <c r="AF120" i="47" s="1"/>
  <c r="AE149" i="47"/>
  <c r="AF149" i="47" s="1"/>
  <c r="AE97" i="47"/>
  <c r="AF97" i="47" s="1"/>
  <c r="AI147" i="47"/>
  <c r="AL147" i="47" s="1"/>
  <c r="AI99" i="47"/>
  <c r="AJ99" i="47" s="1"/>
  <c r="AK99" i="47" s="1"/>
  <c r="AE153" i="47"/>
  <c r="AF153" i="47" s="1"/>
  <c r="AE125" i="47"/>
  <c r="AF125" i="47" s="1"/>
  <c r="AE118" i="47"/>
  <c r="AF118" i="47" s="1"/>
  <c r="AE104" i="47"/>
  <c r="AF104" i="47" s="1"/>
  <c r="AI103" i="47"/>
  <c r="AJ103" i="47" s="1"/>
  <c r="AK103" i="47" s="1"/>
  <c r="A136" i="47"/>
  <c r="AI109" i="47"/>
  <c r="AL109" i="47" s="1"/>
  <c r="AI130" i="47"/>
  <c r="AJ130" i="47" s="1"/>
  <c r="A113" i="47"/>
  <c r="A290" i="47" s="1"/>
  <c r="AI104" i="47"/>
  <c r="AL104" i="47" s="1"/>
  <c r="AI149" i="47"/>
  <c r="AL149" i="47" s="1"/>
  <c r="AI123" i="47"/>
  <c r="AJ123" i="47" s="1"/>
  <c r="AK123" i="47" s="1"/>
  <c r="AE117" i="47"/>
  <c r="AF117" i="47" s="1"/>
  <c r="AI102" i="47"/>
  <c r="AJ102" i="47" s="1"/>
  <c r="AE109" i="47"/>
  <c r="AF109" i="47" s="1"/>
  <c r="AE129" i="47"/>
  <c r="AF129" i="47" s="1"/>
  <c r="AE102" i="47"/>
  <c r="AF102" i="47" s="1"/>
  <c r="AI150" i="47"/>
  <c r="AL150" i="47" s="1"/>
  <c r="AI122" i="47"/>
  <c r="AJ122" i="47" s="1"/>
  <c r="AE128" i="47"/>
  <c r="AF128" i="47" s="1"/>
  <c r="AI128" i="47"/>
  <c r="AL128" i="47" s="1"/>
  <c r="AE126" i="47"/>
  <c r="AF126" i="47" s="1"/>
  <c r="AI124" i="47"/>
  <c r="AJ124" i="47" s="1"/>
  <c r="AK124" i="47" s="1"/>
  <c r="AE130" i="47"/>
  <c r="AF130" i="47" s="1"/>
  <c r="AI126" i="47"/>
  <c r="AJ126" i="47" s="1"/>
  <c r="AE94" i="47"/>
  <c r="AF94" i="47" s="1"/>
  <c r="AI96" i="47"/>
  <c r="AJ96" i="47" s="1"/>
  <c r="AK96" i="47" s="1"/>
  <c r="AE124" i="47"/>
  <c r="AF124" i="47" s="1"/>
  <c r="AI143" i="47"/>
  <c r="AJ143" i="47" s="1"/>
  <c r="AK143" i="47" s="1"/>
  <c r="AI153" i="47"/>
  <c r="AJ153" i="47" s="1"/>
  <c r="AI139" i="47"/>
  <c r="AL139" i="47" s="1"/>
  <c r="AE139" i="47"/>
  <c r="AF139" i="47" s="1"/>
  <c r="P139" i="47" s="1"/>
  <c r="O142" i="72" s="1"/>
  <c r="AI146" i="47"/>
  <c r="AJ146" i="47" s="1"/>
  <c r="AI108" i="47"/>
  <c r="AL108" i="47" s="1"/>
  <c r="AE123" i="47"/>
  <c r="AF123" i="47" s="1"/>
  <c r="AE154" i="47"/>
  <c r="AF154" i="47" s="1"/>
  <c r="AE138" i="47"/>
  <c r="AF138" i="47" s="1"/>
  <c r="P138" i="47" s="1"/>
  <c r="AI148" i="47"/>
  <c r="AJ148" i="47" s="1"/>
  <c r="AK148" i="47" s="1"/>
  <c r="AE148" i="47"/>
  <c r="AF148" i="47" s="1"/>
  <c r="AE146" i="47"/>
  <c r="AF146" i="47" s="1"/>
  <c r="AI140" i="47"/>
  <c r="AL140" i="47" s="1"/>
  <c r="AI151" i="54"/>
  <c r="AE151" i="54"/>
  <c r="AF151" i="54" s="1"/>
  <c r="AI154" i="54"/>
  <c r="AE154" i="54"/>
  <c r="AF154" i="54" s="1"/>
  <c r="AE155" i="54"/>
  <c r="AF155" i="54" s="1"/>
  <c r="AI155" i="54"/>
  <c r="AE99" i="54"/>
  <c r="AF99" i="54" s="1"/>
  <c r="AI99" i="54"/>
  <c r="AE95" i="54"/>
  <c r="AF95" i="54" s="1"/>
  <c r="AI95" i="54"/>
  <c r="AE146" i="54"/>
  <c r="AF146" i="54" s="1"/>
  <c r="AI146" i="54"/>
  <c r="AI148" i="54"/>
  <c r="AE148" i="54"/>
  <c r="AF148" i="54" s="1"/>
  <c r="AH149" i="54"/>
  <c r="AQ149" i="54" s="1"/>
  <c r="AE150" i="54"/>
  <c r="AF150" i="54" s="1"/>
  <c r="AI150" i="54"/>
  <c r="AI100" i="54"/>
  <c r="AE100" i="54"/>
  <c r="AF100" i="54" s="1"/>
  <c r="AH141" i="54"/>
  <c r="AQ141" i="54" s="1"/>
  <c r="AH125" i="54"/>
  <c r="AQ125" i="54" s="1"/>
  <c r="AE101" i="54"/>
  <c r="AF101" i="54" s="1"/>
  <c r="AI101" i="54"/>
  <c r="AI98" i="54"/>
  <c r="AE98" i="54"/>
  <c r="AF98" i="54" s="1"/>
  <c r="AI128" i="54"/>
  <c r="AE128" i="54"/>
  <c r="AF128" i="54" s="1"/>
  <c r="AE102" i="54"/>
  <c r="AF102" i="54" s="1"/>
  <c r="AI102" i="54"/>
  <c r="AE103" i="54"/>
  <c r="AF103" i="54" s="1"/>
  <c r="AI103" i="54"/>
  <c r="AH117" i="54"/>
  <c r="AQ117" i="54" s="1"/>
  <c r="AI152" i="54"/>
  <c r="AE152" i="54"/>
  <c r="AF152" i="54" s="1"/>
  <c r="AE96" i="54"/>
  <c r="AF96" i="54" s="1"/>
  <c r="AI96" i="54"/>
  <c r="AE105" i="54"/>
  <c r="AF105" i="54" s="1"/>
  <c r="AI105" i="54"/>
  <c r="AI130" i="54"/>
  <c r="AE130" i="54"/>
  <c r="AF130" i="54" s="1"/>
  <c r="AI107" i="54"/>
  <c r="AE107" i="54"/>
  <c r="AF107" i="54" s="1"/>
  <c r="AI132" i="54"/>
  <c r="AE132" i="54"/>
  <c r="AF132" i="54" s="1"/>
  <c r="AE125" i="54"/>
  <c r="AF125" i="54" s="1"/>
  <c r="AI125" i="54"/>
  <c r="AE97" i="54"/>
  <c r="AF97" i="54" s="1"/>
  <c r="AI97" i="54"/>
  <c r="AI126" i="54"/>
  <c r="AE126" i="54"/>
  <c r="AF126" i="54" s="1"/>
  <c r="AI106" i="54"/>
  <c r="AE106" i="54"/>
  <c r="AF106" i="54" s="1"/>
  <c r="AH127" i="54"/>
  <c r="AQ127" i="54" s="1"/>
  <c r="AI127" i="54"/>
  <c r="AE127" i="54"/>
  <c r="AF127" i="54" s="1"/>
  <c r="AE153" i="54"/>
  <c r="AF153" i="54" s="1"/>
  <c r="AI153" i="54"/>
  <c r="AI108" i="54"/>
  <c r="AE108" i="54"/>
  <c r="AF108" i="54" s="1"/>
  <c r="AE109" i="54"/>
  <c r="AF109" i="54" s="1"/>
  <c r="AI109" i="54"/>
  <c r="AE104" i="54"/>
  <c r="AF104" i="54" s="1"/>
  <c r="AI104" i="54"/>
  <c r="A111" i="54"/>
  <c r="AE124" i="54"/>
  <c r="AF124" i="54" s="1"/>
  <c r="AI124" i="54"/>
  <c r="AE156" i="54"/>
  <c r="AF156" i="54" s="1"/>
  <c r="AI156" i="54"/>
  <c r="AI147" i="54"/>
  <c r="AE147" i="54"/>
  <c r="AF147" i="54" s="1"/>
  <c r="AE110" i="54"/>
  <c r="AF110" i="54" s="1"/>
  <c r="AI110" i="54"/>
  <c r="AI131" i="54"/>
  <c r="AE131" i="54"/>
  <c r="AF131" i="54" s="1"/>
  <c r="AE145" i="54"/>
  <c r="AF145" i="54" s="1"/>
  <c r="AI145" i="54"/>
  <c r="A157" i="54"/>
  <c r="AE149" i="54"/>
  <c r="AF149" i="54" s="1"/>
  <c r="AI149" i="54"/>
  <c r="AE129" i="54"/>
  <c r="AF129" i="54" s="1"/>
  <c r="AI129" i="54"/>
  <c r="AI133" i="54"/>
  <c r="AE133" i="54"/>
  <c r="AF133" i="54" s="1"/>
  <c r="AL346" i="11"/>
  <c r="AO346" i="11" s="1"/>
  <c r="AJ344" i="11"/>
  <c r="AL344" i="11"/>
  <c r="AJ349" i="11"/>
  <c r="AL349" i="11"/>
  <c r="AL350" i="11"/>
  <c r="AJ350" i="11"/>
  <c r="AL348" i="11"/>
  <c r="AJ348" i="11"/>
  <c r="AK348" i="11" s="1"/>
  <c r="AL345" i="11"/>
  <c r="AJ345" i="11"/>
  <c r="AK345" i="11" s="1"/>
  <c r="AJ347" i="11"/>
  <c r="AK347" i="11" s="1"/>
  <c r="AL347" i="11"/>
  <c r="BP27" i="35"/>
  <c r="BN27" i="35"/>
  <c r="T350" i="11" l="1"/>
  <c r="O144" i="72"/>
  <c r="Q141" i="47"/>
  <c r="O143" i="72"/>
  <c r="Q140" i="47"/>
  <c r="Q139" i="47"/>
  <c r="T114" i="11"/>
  <c r="F309" i="47"/>
  <c r="F314" i="72" s="1"/>
  <c r="F310" i="47"/>
  <c r="F315" i="72" s="1"/>
  <c r="F329" i="47"/>
  <c r="F334" i="72" s="1"/>
  <c r="F302" i="47"/>
  <c r="F307" i="72" s="1"/>
  <c r="F278" i="47"/>
  <c r="F283" i="72" s="1"/>
  <c r="F282" i="47"/>
  <c r="F287" i="72" s="1"/>
  <c r="F305" i="47"/>
  <c r="F310" i="72" s="1"/>
  <c r="F301" i="47"/>
  <c r="F306" i="72" s="1"/>
  <c r="F303" i="47"/>
  <c r="F308" i="72" s="1"/>
  <c r="F283" i="47"/>
  <c r="F288" i="72" s="1"/>
  <c r="F299" i="47"/>
  <c r="F304" i="72" s="1"/>
  <c r="F285" i="47"/>
  <c r="F290" i="72" s="1"/>
  <c r="F323" i="47"/>
  <c r="F328" i="72" s="1"/>
  <c r="F271" i="47"/>
  <c r="F276" i="72" s="1"/>
  <c r="F317" i="47"/>
  <c r="F322" i="72" s="1"/>
  <c r="F325" i="47"/>
  <c r="F330" i="72" s="1"/>
  <c r="F298" i="47"/>
  <c r="F303" i="72" s="1"/>
  <c r="F269" i="47"/>
  <c r="F274" i="72" s="1"/>
  <c r="F297" i="47"/>
  <c r="F302" i="72" s="1"/>
  <c r="F324" i="47"/>
  <c r="F329" i="72" s="1"/>
  <c r="F284" i="47"/>
  <c r="F289" i="72" s="1"/>
  <c r="F272" i="47"/>
  <c r="F277" i="72" s="1"/>
  <c r="F281" i="47"/>
  <c r="F286" i="72" s="1"/>
  <c r="F276" i="47"/>
  <c r="F281" i="72" s="1"/>
  <c r="F273" i="47"/>
  <c r="F278" i="72" s="1"/>
  <c r="F275" i="47"/>
  <c r="F280" i="72" s="1"/>
  <c r="F330" i="47"/>
  <c r="F335" i="72" s="1"/>
  <c r="F320" i="47"/>
  <c r="F325" i="72" s="1"/>
  <c r="F326" i="47"/>
  <c r="F331" i="72" s="1"/>
  <c r="F316" i="47"/>
  <c r="F321" i="72" s="1"/>
  <c r="F307" i="47"/>
  <c r="F312" i="72" s="1"/>
  <c r="F322" i="47"/>
  <c r="F327" i="72" s="1"/>
  <c r="F295" i="47"/>
  <c r="F300" i="72" s="1"/>
  <c r="F294" i="47"/>
  <c r="F299" i="72" s="1"/>
  <c r="F332" i="47"/>
  <c r="F337" i="72" s="1"/>
  <c r="F286" i="47"/>
  <c r="F291" i="72" s="1"/>
  <c r="F327" i="47"/>
  <c r="F332" i="72" s="1"/>
  <c r="F292" i="47"/>
  <c r="F297" i="72" s="1"/>
  <c r="F293" i="47"/>
  <c r="F298" i="72" s="1"/>
  <c r="F319" i="47"/>
  <c r="F324" i="72" s="1"/>
  <c r="F268" i="47"/>
  <c r="F273" i="72" s="1"/>
  <c r="F274" i="47"/>
  <c r="F279" i="72" s="1"/>
  <c r="F308" i="47"/>
  <c r="F313" i="72" s="1"/>
  <c r="F300" i="47"/>
  <c r="F305" i="72" s="1"/>
  <c r="F328" i="47"/>
  <c r="F333" i="72" s="1"/>
  <c r="F318" i="47"/>
  <c r="F323" i="72" s="1"/>
  <c r="F321" i="47"/>
  <c r="F326" i="72" s="1"/>
  <c r="F270" i="47"/>
  <c r="F275" i="72" s="1"/>
  <c r="F280" i="47"/>
  <c r="F285" i="72" s="1"/>
  <c r="F304" i="47"/>
  <c r="F309" i="72" s="1"/>
  <c r="F287" i="47"/>
  <c r="F292" i="72" s="1"/>
  <c r="F279" i="47"/>
  <c r="F284" i="72" s="1"/>
  <c r="F296" i="47"/>
  <c r="F301" i="72" s="1"/>
  <c r="F333" i="47"/>
  <c r="F338" i="72" s="1"/>
  <c r="F277" i="47"/>
  <c r="F282" i="72" s="1"/>
  <c r="F331" i="47"/>
  <c r="F336" i="72" s="1"/>
  <c r="F306" i="47"/>
  <c r="F311" i="72" s="1"/>
  <c r="K98" i="72"/>
  <c r="Q138" i="47"/>
  <c r="R138" i="47" s="1"/>
  <c r="O133" i="47"/>
  <c r="M136" i="72" s="1"/>
  <c r="K135" i="72"/>
  <c r="O129" i="47"/>
  <c r="M132" i="72" s="1"/>
  <c r="K154" i="72"/>
  <c r="K106" i="72"/>
  <c r="K110" i="72"/>
  <c r="K150" i="72"/>
  <c r="K144" i="72"/>
  <c r="K133" i="72"/>
  <c r="K112" i="72"/>
  <c r="K105" i="72"/>
  <c r="K102" i="72"/>
  <c r="K94" i="72"/>
  <c r="K100" i="72"/>
  <c r="K140" i="72"/>
  <c r="K126" i="72"/>
  <c r="K145" i="72"/>
  <c r="K123" i="72"/>
  <c r="K124" i="72"/>
  <c r="K103" i="72"/>
  <c r="K129" i="72"/>
  <c r="K157" i="72"/>
  <c r="K120" i="72"/>
  <c r="K143" i="72"/>
  <c r="K122" i="72"/>
  <c r="K107" i="72"/>
  <c r="K147" i="72"/>
  <c r="K113" i="72"/>
  <c r="K158" i="72"/>
  <c r="K118" i="72"/>
  <c r="K108" i="72"/>
  <c r="K156" i="72"/>
  <c r="K111" i="72"/>
  <c r="K151" i="72"/>
  <c r="K149" i="72"/>
  <c r="K119" i="72"/>
  <c r="K128" i="72"/>
  <c r="K97" i="72"/>
  <c r="J330" i="47"/>
  <c r="O330" i="47" s="1"/>
  <c r="J326" i="47"/>
  <c r="O326" i="47" s="1"/>
  <c r="J329" i="47"/>
  <c r="O329" i="47" s="1"/>
  <c r="J327" i="47"/>
  <c r="O327" i="47" s="1"/>
  <c r="J314" i="47"/>
  <c r="O314" i="47" s="1"/>
  <c r="J315" i="47"/>
  <c r="O315" i="47" s="1"/>
  <c r="J276" i="47"/>
  <c r="O276" i="47" s="1"/>
  <c r="J295" i="47"/>
  <c r="O295" i="47" s="1"/>
  <c r="J333" i="47"/>
  <c r="O333" i="47" s="1"/>
  <c r="J296" i="47"/>
  <c r="O296" i="47" s="1"/>
  <c r="J328" i="47"/>
  <c r="O328" i="47" s="1"/>
  <c r="J277" i="47"/>
  <c r="O277" i="47" s="1"/>
  <c r="J278" i="47"/>
  <c r="O278" i="47" s="1"/>
  <c r="K130" i="72"/>
  <c r="Q301" i="47"/>
  <c r="P306" i="72" s="1"/>
  <c r="S301" i="47"/>
  <c r="R301" i="47"/>
  <c r="P301" i="47"/>
  <c r="O306" i="72" s="1"/>
  <c r="T301" i="47"/>
  <c r="T329" i="47"/>
  <c r="Q329" i="47"/>
  <c r="P334" i="72" s="1"/>
  <c r="R329" i="47"/>
  <c r="P329" i="47"/>
  <c r="O334" i="72" s="1"/>
  <c r="S329" i="47"/>
  <c r="S316" i="47"/>
  <c r="R281" i="47"/>
  <c r="S281" i="47"/>
  <c r="T281" i="47"/>
  <c r="Q281" i="47"/>
  <c r="P286" i="72" s="1"/>
  <c r="P281" i="47"/>
  <c r="O286" i="72" s="1"/>
  <c r="R307" i="47"/>
  <c r="S307" i="47"/>
  <c r="S328" i="47"/>
  <c r="P328" i="47"/>
  <c r="O333" i="72" s="1"/>
  <c r="T328" i="47"/>
  <c r="Q328" i="47"/>
  <c r="P333" i="72" s="1"/>
  <c r="R328" i="47"/>
  <c r="R323" i="47"/>
  <c r="P323" i="47"/>
  <c r="O328" i="72" s="1"/>
  <c r="T323" i="47"/>
  <c r="S323" i="47"/>
  <c r="Q323" i="47"/>
  <c r="P328" i="72" s="1"/>
  <c r="K101" i="72"/>
  <c r="K153" i="72"/>
  <c r="K117" i="72"/>
  <c r="K148" i="72"/>
  <c r="K155" i="72"/>
  <c r="K134" i="72"/>
  <c r="K104" i="72"/>
  <c r="K146" i="72"/>
  <c r="K125" i="72"/>
  <c r="Q276" i="47"/>
  <c r="P281" i="72" s="1"/>
  <c r="R276" i="47"/>
  <c r="P276" i="47"/>
  <c r="O281" i="72" s="1"/>
  <c r="T276" i="47"/>
  <c r="S276" i="47"/>
  <c r="T271" i="47"/>
  <c r="S271" i="47"/>
  <c r="R271" i="47"/>
  <c r="P271" i="47"/>
  <c r="O276" i="72" s="1"/>
  <c r="Q271" i="47"/>
  <c r="P276" i="72" s="1"/>
  <c r="R308" i="47"/>
  <c r="Q308" i="47"/>
  <c r="P313" i="72" s="1"/>
  <c r="S308" i="47"/>
  <c r="P308" i="47"/>
  <c r="O313" i="72" s="1"/>
  <c r="T308" i="47"/>
  <c r="Q295" i="47"/>
  <c r="P300" i="72" s="1"/>
  <c r="S295" i="47"/>
  <c r="R295" i="47"/>
  <c r="P295" i="47"/>
  <c r="O300" i="72" s="1"/>
  <c r="T295" i="47"/>
  <c r="T333" i="47"/>
  <c r="S333" i="47"/>
  <c r="R333" i="47"/>
  <c r="Q333" i="47"/>
  <c r="P338" i="72" s="1"/>
  <c r="P333" i="47"/>
  <c r="O338" i="72" s="1"/>
  <c r="Q272" i="47"/>
  <c r="P277" i="72" s="1"/>
  <c r="R272" i="47"/>
  <c r="P272" i="47"/>
  <c r="O277" i="72" s="1"/>
  <c r="T272" i="47"/>
  <c r="S272" i="47"/>
  <c r="Q299" i="47"/>
  <c r="P304" i="72" s="1"/>
  <c r="P299" i="47"/>
  <c r="O304" i="72" s="1"/>
  <c r="T299" i="47"/>
  <c r="R299" i="47"/>
  <c r="S299" i="47"/>
  <c r="R294" i="47"/>
  <c r="T294" i="47"/>
  <c r="P294" i="47"/>
  <c r="O299" i="72" s="1"/>
  <c r="S294" i="47"/>
  <c r="Q294" i="47"/>
  <c r="P299" i="72" s="1"/>
  <c r="Q293" i="47"/>
  <c r="P298" i="72" s="1"/>
  <c r="S293" i="47"/>
  <c r="R293" i="47"/>
  <c r="P293" i="47"/>
  <c r="O298" i="72" s="1"/>
  <c r="T293" i="47"/>
  <c r="K99" i="72"/>
  <c r="R273" i="47"/>
  <c r="S273" i="47"/>
  <c r="T275" i="47"/>
  <c r="R275" i="47"/>
  <c r="P275" i="47"/>
  <c r="O280" i="72" s="1"/>
  <c r="Q275" i="47"/>
  <c r="P280" i="72" s="1"/>
  <c r="S275" i="47"/>
  <c r="Q330" i="47"/>
  <c r="P335" i="72" s="1"/>
  <c r="R330" i="47"/>
  <c r="S330" i="47"/>
  <c r="P330" i="47"/>
  <c r="O335" i="72" s="1"/>
  <c r="T330" i="47"/>
  <c r="S320" i="47"/>
  <c r="P320" i="47"/>
  <c r="O325" i="72" s="1"/>
  <c r="T320" i="47"/>
  <c r="R320" i="47"/>
  <c r="Q320" i="47"/>
  <c r="P325" i="72" s="1"/>
  <c r="R304" i="47"/>
  <c r="S304" i="47"/>
  <c r="T304" i="47"/>
  <c r="Q304" i="47"/>
  <c r="P309" i="72" s="1"/>
  <c r="P304" i="47"/>
  <c r="O309" i="72" s="1"/>
  <c r="Q326" i="47"/>
  <c r="P331" i="72" s="1"/>
  <c r="R326" i="47"/>
  <c r="S326" i="47"/>
  <c r="T326" i="47"/>
  <c r="P326" i="47"/>
  <c r="O331" i="72" s="1"/>
  <c r="J273" i="47"/>
  <c r="O273" i="47" s="1"/>
  <c r="N309" i="47"/>
  <c r="E314" i="72" s="1"/>
  <c r="J275" i="47"/>
  <c r="K280" i="72" s="1"/>
  <c r="J297" i="47"/>
  <c r="O297" i="47" s="1"/>
  <c r="J320" i="47"/>
  <c r="O320" i="47" s="1"/>
  <c r="J304" i="47"/>
  <c r="O304" i="47" s="1"/>
  <c r="J301" i="47"/>
  <c r="O301" i="47" s="1"/>
  <c r="J316" i="47"/>
  <c r="O316" i="47" s="1"/>
  <c r="N307" i="47"/>
  <c r="E312" i="72" s="1"/>
  <c r="J302" i="47"/>
  <c r="K307" i="72" s="1"/>
  <c r="J306" i="47"/>
  <c r="K311" i="72" s="1"/>
  <c r="J303" i="47"/>
  <c r="O303" i="47" s="1"/>
  <c r="J308" i="47"/>
  <c r="O308" i="47" s="1"/>
  <c r="J299" i="47"/>
  <c r="O299" i="47" s="1"/>
  <c r="J294" i="47"/>
  <c r="K299" i="72" s="1"/>
  <c r="J293" i="47"/>
  <c r="O293" i="47" s="1"/>
  <c r="J321" i="47"/>
  <c r="O321" i="47" s="1"/>
  <c r="J322" i="47"/>
  <c r="O322" i="47" s="1"/>
  <c r="J319" i="47"/>
  <c r="O319" i="47" s="1"/>
  <c r="Q291" i="47"/>
  <c r="R291" i="47"/>
  <c r="P291" i="47"/>
  <c r="S291" i="47"/>
  <c r="T291" i="47"/>
  <c r="R319" i="47"/>
  <c r="P319" i="47"/>
  <c r="O324" i="72" s="1"/>
  <c r="T319" i="47"/>
  <c r="S319" i="47"/>
  <c r="Q319" i="47"/>
  <c r="P324" i="72" s="1"/>
  <c r="R277" i="47"/>
  <c r="S277" i="47"/>
  <c r="T277" i="47"/>
  <c r="P277" i="47"/>
  <c r="O282" i="72" s="1"/>
  <c r="Q277" i="47"/>
  <c r="P282" i="72" s="1"/>
  <c r="S268" i="47"/>
  <c r="Q274" i="47"/>
  <c r="P279" i="72" s="1"/>
  <c r="S274" i="47"/>
  <c r="T274" i="47"/>
  <c r="R274" i="47"/>
  <c r="P274" i="47"/>
  <c r="O279" i="72" s="1"/>
  <c r="R331" i="47"/>
  <c r="P331" i="47"/>
  <c r="O336" i="72" s="1"/>
  <c r="T331" i="47"/>
  <c r="S331" i="47"/>
  <c r="Q331" i="47"/>
  <c r="P336" i="72" s="1"/>
  <c r="R306" i="47"/>
  <c r="S306" i="47"/>
  <c r="J305" i="47"/>
  <c r="O305" i="47" s="1"/>
  <c r="J286" i="47"/>
  <c r="O286" i="47" s="1"/>
  <c r="J269" i="47"/>
  <c r="O269" i="47" s="1"/>
  <c r="N303" i="47"/>
  <c r="E308" i="72" s="1"/>
  <c r="J271" i="47"/>
  <c r="O271" i="47" s="1"/>
  <c r="J272" i="47"/>
  <c r="O272" i="47" s="1"/>
  <c r="J318" i="47"/>
  <c r="O318" i="47" s="1"/>
  <c r="J317" i="47"/>
  <c r="O317" i="47" s="1"/>
  <c r="J325" i="47"/>
  <c r="O325" i="47" s="1"/>
  <c r="J281" i="47"/>
  <c r="O281" i="47" s="1"/>
  <c r="J274" i="47"/>
  <c r="O274" i="47" s="1"/>
  <c r="J280" i="47"/>
  <c r="O280" i="47" s="1"/>
  <c r="K141" i="72"/>
  <c r="T325" i="47"/>
  <c r="P325" i="47"/>
  <c r="O330" i="72" s="1"/>
  <c r="S325" i="47"/>
  <c r="R325" i="47"/>
  <c r="Q325" i="47"/>
  <c r="P330" i="72" s="1"/>
  <c r="S332" i="47"/>
  <c r="P332" i="47"/>
  <c r="O337" i="72" s="1"/>
  <c r="T332" i="47"/>
  <c r="Q332" i="47"/>
  <c r="P337" i="72" s="1"/>
  <c r="R332" i="47"/>
  <c r="Q286" i="47"/>
  <c r="P291" i="72" s="1"/>
  <c r="T286" i="47"/>
  <c r="R286" i="47"/>
  <c r="S286" i="47"/>
  <c r="P286" i="47"/>
  <c r="O291" i="72" s="1"/>
  <c r="Q284" i="47"/>
  <c r="P289" i="72" s="1"/>
  <c r="R284" i="47"/>
  <c r="P284" i="47"/>
  <c r="O289" i="72" s="1"/>
  <c r="T284" i="47"/>
  <c r="S284" i="47"/>
  <c r="Q296" i="47"/>
  <c r="P301" i="72" s="1"/>
  <c r="R296" i="47"/>
  <c r="P296" i="47"/>
  <c r="O301" i="72" s="1"/>
  <c r="S296" i="47"/>
  <c r="T296" i="47"/>
  <c r="T321" i="47"/>
  <c r="P321" i="47"/>
  <c r="O326" i="72" s="1"/>
  <c r="S321" i="47"/>
  <c r="Q321" i="47"/>
  <c r="P326" i="72" s="1"/>
  <c r="R321" i="47"/>
  <c r="Q322" i="47"/>
  <c r="P327" i="72" s="1"/>
  <c r="R322" i="47"/>
  <c r="S322" i="47"/>
  <c r="P322" i="47"/>
  <c r="O327" i="72" s="1"/>
  <c r="T322" i="47"/>
  <c r="K96" i="72"/>
  <c r="K95" i="72"/>
  <c r="K127" i="72"/>
  <c r="K109" i="72"/>
  <c r="K142" i="72"/>
  <c r="K121" i="72"/>
  <c r="K152" i="72"/>
  <c r="K159" i="72"/>
  <c r="K131" i="72"/>
  <c r="T287" i="47"/>
  <c r="S287" i="47"/>
  <c r="Q287" i="47"/>
  <c r="P292" i="72" s="1"/>
  <c r="R287" i="47"/>
  <c r="P287" i="47"/>
  <c r="O292" i="72" s="1"/>
  <c r="S303" i="47"/>
  <c r="R303" i="47"/>
  <c r="Q292" i="47"/>
  <c r="R292" i="47"/>
  <c r="S292" i="47"/>
  <c r="P292" i="47"/>
  <c r="T292" i="47"/>
  <c r="Q270" i="47"/>
  <c r="S270" i="47"/>
  <c r="R270" i="47"/>
  <c r="P270" i="47"/>
  <c r="O275" i="72" s="1"/>
  <c r="T270" i="47"/>
  <c r="Q282" i="47"/>
  <c r="P287" i="72" s="1"/>
  <c r="S282" i="47"/>
  <c r="P282" i="47"/>
  <c r="O287" i="72" s="1"/>
  <c r="T282" i="47"/>
  <c r="R282" i="47"/>
  <c r="Q300" i="47"/>
  <c r="P305" i="72" s="1"/>
  <c r="R300" i="47"/>
  <c r="P300" i="47"/>
  <c r="O305" i="72" s="1"/>
  <c r="T300" i="47"/>
  <c r="S300" i="47"/>
  <c r="T279" i="47"/>
  <c r="Q279" i="47"/>
  <c r="P284" i="72" s="1"/>
  <c r="S279" i="47"/>
  <c r="R279" i="47"/>
  <c r="P279" i="47"/>
  <c r="O284" i="72" s="1"/>
  <c r="S318" i="47"/>
  <c r="S317" i="47"/>
  <c r="S309" i="47"/>
  <c r="R309" i="47"/>
  <c r="Q297" i="47"/>
  <c r="P302" i="72" s="1"/>
  <c r="R297" i="47"/>
  <c r="S297" i="47"/>
  <c r="T297" i="47"/>
  <c r="P297" i="47"/>
  <c r="O302" i="72" s="1"/>
  <c r="Q305" i="47"/>
  <c r="P310" i="72" s="1"/>
  <c r="R305" i="47"/>
  <c r="S305" i="47"/>
  <c r="P305" i="47"/>
  <c r="O310" i="72" s="1"/>
  <c r="T305" i="47"/>
  <c r="R310" i="47"/>
  <c r="T310" i="47"/>
  <c r="P310" i="47"/>
  <c r="O315" i="72" s="1"/>
  <c r="S310" i="47"/>
  <c r="Q310" i="47"/>
  <c r="P315" i="72" s="1"/>
  <c r="S324" i="47"/>
  <c r="P324" i="47"/>
  <c r="O329" i="72" s="1"/>
  <c r="T324" i="47"/>
  <c r="R324" i="47"/>
  <c r="Q324" i="47"/>
  <c r="P329" i="72" s="1"/>
  <c r="R285" i="47"/>
  <c r="S285" i="47"/>
  <c r="T285" i="47"/>
  <c r="P285" i="47"/>
  <c r="O290" i="72" s="1"/>
  <c r="Q285" i="47"/>
  <c r="P290" i="72" s="1"/>
  <c r="N273" i="47"/>
  <c r="Q273" i="47" s="1"/>
  <c r="P278" i="72" s="1"/>
  <c r="J309" i="47"/>
  <c r="O309" i="47" s="1"/>
  <c r="J310" i="47"/>
  <c r="O310" i="47" s="1"/>
  <c r="J324" i="47"/>
  <c r="O324" i="47" s="1"/>
  <c r="J285" i="47"/>
  <c r="O285" i="47" s="1"/>
  <c r="J332" i="47"/>
  <c r="O332" i="47" s="1"/>
  <c r="J307" i="47"/>
  <c r="O307" i="47" s="1"/>
  <c r="J291" i="47"/>
  <c r="O291" i="47" s="1"/>
  <c r="J298" i="47"/>
  <c r="O298" i="47" s="1"/>
  <c r="N315" i="47"/>
  <c r="E320" i="72" s="1"/>
  <c r="J283" i="47"/>
  <c r="K288" i="72" s="1"/>
  <c r="N306" i="47"/>
  <c r="P306" i="47" s="1"/>
  <c r="O311" i="72" s="1"/>
  <c r="J287" i="47"/>
  <c r="O287" i="47" s="1"/>
  <c r="J292" i="47"/>
  <c r="O292" i="47" s="1"/>
  <c r="J270" i="47"/>
  <c r="O270" i="47" s="1"/>
  <c r="J282" i="47"/>
  <c r="O282" i="47" s="1"/>
  <c r="J300" i="47"/>
  <c r="O300" i="47" s="1"/>
  <c r="J279" i="47"/>
  <c r="O279" i="47" s="1"/>
  <c r="J284" i="47"/>
  <c r="O284" i="47" s="1"/>
  <c r="J323" i="47"/>
  <c r="O323" i="47" s="1"/>
  <c r="J268" i="47"/>
  <c r="O268" i="47" s="1"/>
  <c r="J331" i="47"/>
  <c r="O331" i="47" s="1"/>
  <c r="R327" i="47"/>
  <c r="P327" i="47"/>
  <c r="O332" i="72" s="1"/>
  <c r="T327" i="47"/>
  <c r="S327" i="47"/>
  <c r="Q327" i="47"/>
  <c r="P332" i="72" s="1"/>
  <c r="R302" i="47"/>
  <c r="P302" i="47"/>
  <c r="O307" i="72" s="1"/>
  <c r="T302" i="47"/>
  <c r="S302" i="47"/>
  <c r="Q302" i="47"/>
  <c r="P307" i="72" s="1"/>
  <c r="R298" i="47"/>
  <c r="S298" i="47"/>
  <c r="P298" i="47"/>
  <c r="O303" i="72" s="1"/>
  <c r="T298" i="47"/>
  <c r="Q298" i="47"/>
  <c r="P303" i="72" s="1"/>
  <c r="S269" i="47"/>
  <c r="Q278" i="47"/>
  <c r="P283" i="72" s="1"/>
  <c r="R278" i="47"/>
  <c r="T278" i="47"/>
  <c r="S278" i="47"/>
  <c r="P278" i="47"/>
  <c r="O283" i="72" s="1"/>
  <c r="T283" i="47"/>
  <c r="Q283" i="47"/>
  <c r="P288" i="72" s="1"/>
  <c r="P283" i="47"/>
  <c r="O288" i="72" s="1"/>
  <c r="R283" i="47"/>
  <c r="S283" i="47"/>
  <c r="Q280" i="47"/>
  <c r="P285" i="72" s="1"/>
  <c r="R280" i="47"/>
  <c r="P280" i="47"/>
  <c r="O285" i="72" s="1"/>
  <c r="T280" i="47"/>
  <c r="S280" i="47"/>
  <c r="T100" i="54"/>
  <c r="Q100" i="54"/>
  <c r="P100" i="54"/>
  <c r="Q103" i="54"/>
  <c r="T103" i="54"/>
  <c r="P103" i="54"/>
  <c r="T128" i="54"/>
  <c r="P128" i="54"/>
  <c r="Q128" i="54"/>
  <c r="Q124" i="54"/>
  <c r="T124" i="54"/>
  <c r="P124" i="54"/>
  <c r="T121" i="54"/>
  <c r="Q121" i="54"/>
  <c r="P121" i="54"/>
  <c r="P146" i="54"/>
  <c r="Q146" i="54"/>
  <c r="R146" i="54" s="1"/>
  <c r="P102" i="54"/>
  <c r="T102" i="54"/>
  <c r="Q102" i="54"/>
  <c r="T152" i="54"/>
  <c r="Q152" i="54"/>
  <c r="P152" i="54"/>
  <c r="T110" i="54"/>
  <c r="P110" i="54"/>
  <c r="Q110" i="54"/>
  <c r="P108" i="54"/>
  <c r="Q108" i="54"/>
  <c r="T108" i="54"/>
  <c r="P95" i="54"/>
  <c r="Q95" i="54"/>
  <c r="R95" i="54" s="1"/>
  <c r="Q129" i="54"/>
  <c r="T129" i="54"/>
  <c r="P129" i="54"/>
  <c r="P151" i="54"/>
  <c r="Q151" i="54"/>
  <c r="T151" i="54"/>
  <c r="P156" i="54"/>
  <c r="Q156" i="54"/>
  <c r="T156" i="54"/>
  <c r="P97" i="54"/>
  <c r="Q97" i="54"/>
  <c r="T97" i="54"/>
  <c r="P118" i="54"/>
  <c r="Q118" i="54"/>
  <c r="T118" i="54"/>
  <c r="P147" i="54"/>
  <c r="T147" i="54"/>
  <c r="Q147" i="54"/>
  <c r="P126" i="54"/>
  <c r="Q126" i="54"/>
  <c r="T126" i="54"/>
  <c r="P119" i="54"/>
  <c r="T119" i="54"/>
  <c r="Q119" i="54"/>
  <c r="P145" i="54"/>
  <c r="Q145" i="54" s="1"/>
  <c r="R145" i="54" s="1"/>
  <c r="AH144" i="54"/>
  <c r="AQ144" i="54" s="1"/>
  <c r="Q154" i="54"/>
  <c r="P154" i="54"/>
  <c r="T154" i="54"/>
  <c r="P155" i="54"/>
  <c r="T155" i="54"/>
  <c r="Q155" i="54"/>
  <c r="AH152" i="54"/>
  <c r="AQ152" i="54" s="1"/>
  <c r="AH140" i="54"/>
  <c r="AQ140" i="54" s="1"/>
  <c r="P153" i="54"/>
  <c r="T153" i="54"/>
  <c r="Q153" i="54"/>
  <c r="AH110" i="54"/>
  <c r="AQ110" i="54" s="1"/>
  <c r="AH94" i="54"/>
  <c r="AQ94" i="54" s="1"/>
  <c r="AH108" i="54"/>
  <c r="AQ108" i="54" s="1"/>
  <c r="AH92" i="54"/>
  <c r="AQ92" i="54" s="1"/>
  <c r="AH95" i="54"/>
  <c r="AQ95" i="54" s="1"/>
  <c r="AH129" i="54"/>
  <c r="AQ129" i="54" s="1"/>
  <c r="AH138" i="54"/>
  <c r="AQ138" i="54" s="1"/>
  <c r="AH151" i="54"/>
  <c r="AQ151" i="54" s="1"/>
  <c r="Q104" i="54"/>
  <c r="T104" i="54"/>
  <c r="P104" i="54"/>
  <c r="Q96" i="54"/>
  <c r="P96" i="54"/>
  <c r="T96" i="54"/>
  <c r="AH156" i="54"/>
  <c r="AQ156" i="54" s="1"/>
  <c r="AH97" i="54"/>
  <c r="AQ97" i="54" s="1"/>
  <c r="T133" i="54"/>
  <c r="Q133" i="54"/>
  <c r="P133" i="54"/>
  <c r="AH118" i="54"/>
  <c r="AQ118" i="54" s="1"/>
  <c r="AH147" i="54"/>
  <c r="AQ147" i="54" s="1"/>
  <c r="P115" i="54"/>
  <c r="T115" i="54"/>
  <c r="Q115" i="54"/>
  <c r="T98" i="54"/>
  <c r="P98" i="54"/>
  <c r="Q98" i="54"/>
  <c r="T150" i="54"/>
  <c r="Q150" i="54"/>
  <c r="P150" i="54"/>
  <c r="T99" i="54"/>
  <c r="P99" i="54"/>
  <c r="Q99" i="54"/>
  <c r="P109" i="54"/>
  <c r="Q109" i="54"/>
  <c r="T109" i="54"/>
  <c r="P122" i="54"/>
  <c r="Q122" i="54"/>
  <c r="T122" i="54"/>
  <c r="P148" i="54"/>
  <c r="T148" i="54"/>
  <c r="Q148" i="54"/>
  <c r="P123" i="54"/>
  <c r="T123" i="54"/>
  <c r="Q123" i="54"/>
  <c r="Q101" i="54"/>
  <c r="T101" i="54"/>
  <c r="P101" i="54"/>
  <c r="P107" i="54"/>
  <c r="T107" i="54"/>
  <c r="Q107" i="54"/>
  <c r="T130" i="54"/>
  <c r="P130" i="54"/>
  <c r="Q130" i="54"/>
  <c r="AH100" i="54"/>
  <c r="AQ100" i="54" s="1"/>
  <c r="AH103" i="54"/>
  <c r="AQ103" i="54" s="1"/>
  <c r="AH128" i="54"/>
  <c r="AQ128" i="54" s="1"/>
  <c r="AH124" i="54"/>
  <c r="AQ124" i="54" s="1"/>
  <c r="AH121" i="54"/>
  <c r="AQ121" i="54" s="1"/>
  <c r="AH146" i="54"/>
  <c r="AQ146" i="54" s="1"/>
  <c r="AH148" i="54"/>
  <c r="AQ148" i="54" s="1"/>
  <c r="AH102" i="54"/>
  <c r="AQ102" i="54" s="1"/>
  <c r="AH143" i="54"/>
  <c r="AQ143" i="54" s="1"/>
  <c r="AH115" i="54"/>
  <c r="AQ115" i="54" s="1"/>
  <c r="P131" i="54"/>
  <c r="Q131" i="54"/>
  <c r="T131" i="54"/>
  <c r="AH98" i="54"/>
  <c r="AQ98" i="54" s="1"/>
  <c r="AH150" i="54"/>
  <c r="AQ150" i="54" s="1"/>
  <c r="P120" i="54"/>
  <c r="T120" i="54"/>
  <c r="Q120" i="54"/>
  <c r="T105" i="54"/>
  <c r="P105" i="54"/>
  <c r="Q105" i="54"/>
  <c r="P132" i="54"/>
  <c r="Q132" i="54"/>
  <c r="T132" i="54"/>
  <c r="AH99" i="54"/>
  <c r="AQ99" i="54" s="1"/>
  <c r="T116" i="54"/>
  <c r="Q116" i="54"/>
  <c r="P116" i="54"/>
  <c r="P106" i="54"/>
  <c r="Q106" i="54"/>
  <c r="T106" i="54"/>
  <c r="AH109" i="54"/>
  <c r="AQ109" i="54" s="1"/>
  <c r="AH122" i="54"/>
  <c r="AQ122" i="54" s="1"/>
  <c r="F320" i="72"/>
  <c r="F319" i="72"/>
  <c r="P356" i="63"/>
  <c r="M106" i="72"/>
  <c r="M134" i="72"/>
  <c r="M129" i="72"/>
  <c r="M97" i="72"/>
  <c r="M130" i="72"/>
  <c r="M127" i="72"/>
  <c r="M135" i="72"/>
  <c r="M142" i="72"/>
  <c r="M98" i="72"/>
  <c r="M159" i="72"/>
  <c r="M112" i="72"/>
  <c r="M103" i="72"/>
  <c r="M118" i="72"/>
  <c r="M151" i="72"/>
  <c r="M105" i="72"/>
  <c r="M122" i="72"/>
  <c r="M133" i="72"/>
  <c r="M113" i="72"/>
  <c r="M143" i="72"/>
  <c r="M156" i="72"/>
  <c r="M123" i="72"/>
  <c r="M94" i="72"/>
  <c r="M158" i="72"/>
  <c r="M100" i="72"/>
  <c r="M126" i="72"/>
  <c r="M128" i="72"/>
  <c r="M109" i="72"/>
  <c r="M140" i="72"/>
  <c r="M144" i="72"/>
  <c r="M117" i="72"/>
  <c r="M141" i="72"/>
  <c r="M152" i="72"/>
  <c r="M157" i="72"/>
  <c r="M119" i="72"/>
  <c r="M153" i="72"/>
  <c r="M131" i="72"/>
  <c r="M125" i="72"/>
  <c r="M96" i="72"/>
  <c r="M107" i="72"/>
  <c r="M101" i="72"/>
  <c r="M146" i="72"/>
  <c r="M99" i="72"/>
  <c r="M155" i="72"/>
  <c r="M120" i="72"/>
  <c r="M148" i="72"/>
  <c r="M111" i="72"/>
  <c r="M104" i="72"/>
  <c r="M102" i="72"/>
  <c r="M149" i="72"/>
  <c r="M150" i="72"/>
  <c r="M95" i="72"/>
  <c r="M121" i="72"/>
  <c r="M108" i="72"/>
  <c r="M124" i="72"/>
  <c r="M147" i="72"/>
  <c r="M154" i="72"/>
  <c r="M145" i="72"/>
  <c r="M110" i="72"/>
  <c r="L275" i="72"/>
  <c r="L277" i="72"/>
  <c r="L289" i="72"/>
  <c r="L286" i="72"/>
  <c r="L301" i="72"/>
  <c r="L326" i="72"/>
  <c r="L333" i="72"/>
  <c r="L327" i="72"/>
  <c r="L328" i="72"/>
  <c r="L324" i="72"/>
  <c r="L282" i="72"/>
  <c r="L283" i="72"/>
  <c r="L279" i="72"/>
  <c r="L336" i="72"/>
  <c r="L285" i="72"/>
  <c r="L278" i="72"/>
  <c r="L314" i="72"/>
  <c r="L280" i="72"/>
  <c r="L302" i="72"/>
  <c r="L335" i="72"/>
  <c r="L310" i="72"/>
  <c r="L325" i="72"/>
  <c r="L315" i="72"/>
  <c r="L309" i="72"/>
  <c r="L329" i="72"/>
  <c r="L331" i="72"/>
  <c r="L290" i="72"/>
  <c r="L306" i="72"/>
  <c r="L337" i="72"/>
  <c r="L334" i="72"/>
  <c r="L291" i="72"/>
  <c r="L321" i="72"/>
  <c r="L312" i="72"/>
  <c r="L332" i="72"/>
  <c r="L296" i="72"/>
  <c r="L307" i="72"/>
  <c r="L303" i="72"/>
  <c r="L319" i="72"/>
  <c r="L274" i="72"/>
  <c r="L320" i="72"/>
  <c r="L288" i="72"/>
  <c r="L311" i="72"/>
  <c r="L292" i="72"/>
  <c r="L281" i="72"/>
  <c r="L308" i="72"/>
  <c r="L276" i="72"/>
  <c r="L297" i="72"/>
  <c r="L313" i="72"/>
  <c r="L300" i="72"/>
  <c r="L287" i="72"/>
  <c r="L338" i="72"/>
  <c r="L305" i="72"/>
  <c r="L284" i="72"/>
  <c r="L304" i="72"/>
  <c r="L323" i="72"/>
  <c r="L299" i="72"/>
  <c r="L322" i="72"/>
  <c r="L298" i="72"/>
  <c r="L330" i="72"/>
  <c r="L273" i="72"/>
  <c r="N322" i="72"/>
  <c r="N336" i="72"/>
  <c r="N283" i="72"/>
  <c r="N323" i="72"/>
  <c r="N320" i="72"/>
  <c r="N276" i="72"/>
  <c r="N292" i="72"/>
  <c r="N308" i="72"/>
  <c r="N312" i="72"/>
  <c r="N286" i="72"/>
  <c r="N291" i="72"/>
  <c r="N329" i="72"/>
  <c r="N279" i="72"/>
  <c r="N302" i="72"/>
  <c r="N313" i="72"/>
  <c r="N300" i="72"/>
  <c r="N335" i="72"/>
  <c r="N314" i="72"/>
  <c r="N296" i="72"/>
  <c r="N274" i="72"/>
  <c r="N306" i="72"/>
  <c r="N309" i="72"/>
  <c r="N330" i="72"/>
  <c r="N327" i="72"/>
  <c r="N333" i="72"/>
  <c r="N304" i="72"/>
  <c r="N290" i="72"/>
  <c r="N275" i="72"/>
  <c r="N321" i="72"/>
  <c r="N337" i="72"/>
  <c r="N307" i="72"/>
  <c r="N284" i="72"/>
  <c r="N332" i="72"/>
  <c r="N281" i="72"/>
  <c r="N334" i="72"/>
  <c r="N285" i="72"/>
  <c r="N331" i="72"/>
  <c r="N319" i="72"/>
  <c r="N280" i="72"/>
  <c r="N277" i="72"/>
  <c r="N299" i="72"/>
  <c r="N338" i="72"/>
  <c r="N301" i="72"/>
  <c r="N311" i="72"/>
  <c r="N325" i="72"/>
  <c r="N324" i="72"/>
  <c r="N288" i="72"/>
  <c r="N326" i="72"/>
  <c r="N305" i="72"/>
  <c r="N328" i="72"/>
  <c r="N310" i="72"/>
  <c r="N282" i="72"/>
  <c r="N297" i="72"/>
  <c r="N287" i="72"/>
  <c r="N289" i="72"/>
  <c r="N278" i="72"/>
  <c r="N273" i="72"/>
  <c r="N298" i="72"/>
  <c r="N315" i="72"/>
  <c r="AI325" i="47"/>
  <c r="AL325" i="47" s="1"/>
  <c r="AE325" i="47"/>
  <c r="AF325" i="47" s="1"/>
  <c r="N303" i="72"/>
  <c r="AH286" i="47"/>
  <c r="AQ286" i="47" s="1"/>
  <c r="E291" i="72"/>
  <c r="AH269" i="47"/>
  <c r="AQ269" i="47" s="1"/>
  <c r="E274" i="72"/>
  <c r="AH285" i="47"/>
  <c r="AQ285" i="47" s="1"/>
  <c r="E290" i="72"/>
  <c r="AH276" i="47"/>
  <c r="AQ276" i="47" s="1"/>
  <c r="E281" i="72"/>
  <c r="AH282" i="47"/>
  <c r="AQ282" i="47" s="1"/>
  <c r="E287" i="72"/>
  <c r="AH324" i="47"/>
  <c r="AQ324" i="47" s="1"/>
  <c r="E329" i="72"/>
  <c r="AH275" i="47"/>
  <c r="AQ275" i="47" s="1"/>
  <c r="E280" i="72"/>
  <c r="AH279" i="47"/>
  <c r="AQ279" i="47" s="1"/>
  <c r="E284" i="72"/>
  <c r="AH281" i="47"/>
  <c r="AQ281" i="47" s="1"/>
  <c r="E286" i="72"/>
  <c r="AH278" i="47"/>
  <c r="AQ278" i="47" s="1"/>
  <c r="E283" i="72"/>
  <c r="AH274" i="47"/>
  <c r="AQ274" i="47" s="1"/>
  <c r="E279" i="72"/>
  <c r="AH283" i="47"/>
  <c r="AQ283" i="47" s="1"/>
  <c r="E288" i="72"/>
  <c r="AH280" i="47"/>
  <c r="AQ280" i="47" s="1"/>
  <c r="E285" i="72"/>
  <c r="AH292" i="47"/>
  <c r="AQ292" i="47" s="1"/>
  <c r="E297" i="72"/>
  <c r="AH300" i="47"/>
  <c r="AQ300" i="47" s="1"/>
  <c r="E305" i="72"/>
  <c r="AH293" i="47"/>
  <c r="AQ293" i="47" s="1"/>
  <c r="E298" i="72"/>
  <c r="AH302" i="47"/>
  <c r="AQ302" i="47" s="1"/>
  <c r="E307" i="72"/>
  <c r="AH305" i="47"/>
  <c r="AQ305" i="47" s="1"/>
  <c r="E310" i="72"/>
  <c r="AH304" i="47"/>
  <c r="AQ304" i="47" s="1"/>
  <c r="E309" i="72"/>
  <c r="AH328" i="47"/>
  <c r="AQ328" i="47" s="1"/>
  <c r="E333" i="72"/>
  <c r="AH322" i="47"/>
  <c r="AQ322" i="47" s="1"/>
  <c r="E327" i="72"/>
  <c r="AH332" i="47"/>
  <c r="AQ332" i="47" s="1"/>
  <c r="E337" i="72"/>
  <c r="AH318" i="47"/>
  <c r="AQ318" i="47" s="1"/>
  <c r="E323" i="72"/>
  <c r="AH321" i="47"/>
  <c r="AQ321" i="47" s="1"/>
  <c r="E326" i="72"/>
  <c r="AH326" i="47"/>
  <c r="AQ326" i="47" s="1"/>
  <c r="E331" i="72"/>
  <c r="AH323" i="47"/>
  <c r="AQ323" i="47" s="1"/>
  <c r="E328" i="72"/>
  <c r="AH317" i="47"/>
  <c r="AQ317" i="47" s="1"/>
  <c r="E322" i="72"/>
  <c r="AH329" i="47"/>
  <c r="AQ329" i="47" s="1"/>
  <c r="E334" i="72"/>
  <c r="AH287" i="47"/>
  <c r="AQ287" i="47" s="1"/>
  <c r="E292" i="72"/>
  <c r="AH271" i="47"/>
  <c r="AQ271" i="47" s="1"/>
  <c r="E276" i="72"/>
  <c r="AH270" i="47"/>
  <c r="AQ270" i="47" s="1"/>
  <c r="E275" i="72"/>
  <c r="AH298" i="47"/>
  <c r="AQ298" i="47" s="1"/>
  <c r="E303" i="72"/>
  <c r="AH294" i="47"/>
  <c r="AQ294" i="47" s="1"/>
  <c r="E299" i="72"/>
  <c r="AH299" i="47"/>
  <c r="AQ299" i="47" s="1"/>
  <c r="E304" i="72"/>
  <c r="AH327" i="47"/>
  <c r="AQ327" i="47" s="1"/>
  <c r="E332" i="72"/>
  <c r="AH325" i="47"/>
  <c r="AQ325" i="47" s="1"/>
  <c r="E330" i="72"/>
  <c r="AH314" i="47"/>
  <c r="AQ314" i="47" s="1"/>
  <c r="E319" i="72"/>
  <c r="AH333" i="47"/>
  <c r="AQ333" i="47" s="1"/>
  <c r="E338" i="72"/>
  <c r="AH268" i="47"/>
  <c r="AQ268" i="47" s="1"/>
  <c r="E273" i="72"/>
  <c r="AH297" i="47"/>
  <c r="AQ297" i="47" s="1"/>
  <c r="E302" i="72"/>
  <c r="AH277" i="47"/>
  <c r="AQ277" i="47" s="1"/>
  <c r="E282" i="72"/>
  <c r="AH284" i="47"/>
  <c r="AQ284" i="47" s="1"/>
  <c r="E289" i="72"/>
  <c r="AH272" i="47"/>
  <c r="AQ272" i="47" s="1"/>
  <c r="E277" i="72"/>
  <c r="AH291" i="47"/>
  <c r="AQ291" i="47" s="1"/>
  <c r="E296" i="72"/>
  <c r="AH301" i="47"/>
  <c r="AQ301" i="47" s="1"/>
  <c r="E306" i="72"/>
  <c r="AH295" i="47"/>
  <c r="AQ295" i="47" s="1"/>
  <c r="E300" i="72"/>
  <c r="AH296" i="47"/>
  <c r="AQ296" i="47" s="1"/>
  <c r="E301" i="72"/>
  <c r="AH308" i="47"/>
  <c r="AQ308" i="47" s="1"/>
  <c r="E313" i="72"/>
  <c r="AH310" i="47"/>
  <c r="AQ310" i="47" s="1"/>
  <c r="E315" i="72"/>
  <c r="AH319" i="47"/>
  <c r="AQ319" i="47" s="1"/>
  <c r="E324" i="72"/>
  <c r="AH316" i="47"/>
  <c r="AQ316" i="47" s="1"/>
  <c r="E321" i="72"/>
  <c r="AH330" i="47"/>
  <c r="AQ330" i="47" s="1"/>
  <c r="E335" i="72"/>
  <c r="AH320" i="47"/>
  <c r="AQ320" i="47" s="1"/>
  <c r="E325" i="72"/>
  <c r="AH331" i="47"/>
  <c r="AQ331" i="47" s="1"/>
  <c r="E336" i="72"/>
  <c r="AL125" i="47"/>
  <c r="AO125" i="47" s="1"/>
  <c r="AJ144" i="47"/>
  <c r="AK144" i="47" s="1"/>
  <c r="AO144" i="47" s="1"/>
  <c r="AL138" i="47"/>
  <c r="AV138" i="47" s="1"/>
  <c r="AW138" i="47" s="1"/>
  <c r="AX138" i="47" s="1"/>
  <c r="AJ120" i="47"/>
  <c r="AK120" i="47" s="1"/>
  <c r="AV120" i="47" s="1"/>
  <c r="AW120" i="47" s="1"/>
  <c r="AX120" i="47" s="1"/>
  <c r="AL95" i="47"/>
  <c r="AO95" i="47" s="1"/>
  <c r="AL131" i="47"/>
  <c r="AO131" i="47" s="1"/>
  <c r="AJ155" i="47"/>
  <c r="AM155" i="47" s="1"/>
  <c r="AN155" i="47" s="1"/>
  <c r="AJ94" i="47"/>
  <c r="AM94" i="47" s="1"/>
  <c r="AN94" i="47" s="1"/>
  <c r="AL97" i="47"/>
  <c r="AM97" i="47" s="1"/>
  <c r="AN97" i="47" s="1"/>
  <c r="AJ154" i="47"/>
  <c r="AK154" i="47" s="1"/>
  <c r="AV154" i="47" s="1"/>
  <c r="AW154" i="47" s="1"/>
  <c r="AX154" i="47" s="1"/>
  <c r="AL129" i="47"/>
  <c r="AM129" i="47" s="1"/>
  <c r="AN129" i="47" s="1"/>
  <c r="AI273" i="47"/>
  <c r="AL273" i="47" s="1"/>
  <c r="AI272" i="47"/>
  <c r="AJ272" i="47" s="1"/>
  <c r="AE317" i="47"/>
  <c r="AF317" i="47" s="1"/>
  <c r="P317" i="47" s="1"/>
  <c r="O322" i="72" s="1"/>
  <c r="AI280" i="47"/>
  <c r="AJ280" i="47" s="1"/>
  <c r="AE321" i="47"/>
  <c r="AF321" i="47" s="1"/>
  <c r="AE322" i="47"/>
  <c r="AF322" i="47" s="1"/>
  <c r="AI326" i="47"/>
  <c r="AL326" i="47" s="1"/>
  <c r="AI299" i="47"/>
  <c r="AL299" i="47" s="1"/>
  <c r="AI285" i="47"/>
  <c r="AJ285" i="47" s="1"/>
  <c r="AK285" i="47" s="1"/>
  <c r="AI308" i="47"/>
  <c r="AJ308" i="47" s="1"/>
  <c r="AK308" i="47" s="1"/>
  <c r="AI319" i="47"/>
  <c r="AL319" i="47" s="1"/>
  <c r="AE330" i="47"/>
  <c r="AF330" i="47" s="1"/>
  <c r="AI271" i="47"/>
  <c r="AL271" i="47" s="1"/>
  <c r="AE301" i="47"/>
  <c r="AF301" i="47" s="1"/>
  <c r="AI324" i="47"/>
  <c r="AL324" i="47" s="1"/>
  <c r="AE278" i="47"/>
  <c r="AF278" i="47" s="1"/>
  <c r="AE323" i="47"/>
  <c r="AF323" i="47" s="1"/>
  <c r="AI294" i="47"/>
  <c r="AJ294" i="47" s="1"/>
  <c r="AK294" i="47" s="1"/>
  <c r="AI310" i="47"/>
  <c r="AL310" i="47" s="1"/>
  <c r="AE283" i="47"/>
  <c r="AF283" i="47" s="1"/>
  <c r="AE307" i="47"/>
  <c r="AF307" i="47" s="1"/>
  <c r="AE281" i="47"/>
  <c r="AF281" i="47" s="1"/>
  <c r="AI297" i="47"/>
  <c r="AL297" i="47" s="1"/>
  <c r="AI277" i="47"/>
  <c r="AJ277" i="47" s="1"/>
  <c r="AE279" i="47"/>
  <c r="AF279" i="47" s="1"/>
  <c r="AI303" i="47"/>
  <c r="AL303" i="47" s="1"/>
  <c r="AE329" i="47"/>
  <c r="AF329" i="47" s="1"/>
  <c r="AM351" i="11"/>
  <c r="AN351" i="11" s="1"/>
  <c r="AE294" i="47"/>
  <c r="AF294" i="47" s="1"/>
  <c r="AI329" i="47"/>
  <c r="AJ329" i="47" s="1"/>
  <c r="AL121" i="47"/>
  <c r="AM121" i="47" s="1"/>
  <c r="AN121" i="47" s="1"/>
  <c r="AJ152" i="47"/>
  <c r="AK152" i="47" s="1"/>
  <c r="AV152" i="47" s="1"/>
  <c r="AW152" i="47" s="1"/>
  <c r="AX152" i="47" s="1"/>
  <c r="AI275" i="47"/>
  <c r="AJ275" i="47" s="1"/>
  <c r="AI304" i="47"/>
  <c r="AJ304" i="47" s="1"/>
  <c r="AI333" i="47"/>
  <c r="AL333" i="47" s="1"/>
  <c r="AI276" i="47"/>
  <c r="AJ276" i="47" s="1"/>
  <c r="AE303" i="47"/>
  <c r="AF303" i="47" s="1"/>
  <c r="AE310" i="47"/>
  <c r="AF310" i="47" s="1"/>
  <c r="A134" i="47"/>
  <c r="A311" i="47" s="1"/>
  <c r="AL156" i="47"/>
  <c r="AM156" i="47" s="1"/>
  <c r="AN156" i="47" s="1"/>
  <c r="AE324" i="47"/>
  <c r="AF324" i="47" s="1"/>
  <c r="AI327" i="47"/>
  <c r="AJ327" i="47" s="1"/>
  <c r="AE333" i="47"/>
  <c r="AF333" i="47" s="1"/>
  <c r="AE293" i="47"/>
  <c r="AF293" i="47" s="1"/>
  <c r="AE304" i="47"/>
  <c r="AF304" i="47" s="1"/>
  <c r="AI301" i="47"/>
  <c r="AL301" i="47" s="1"/>
  <c r="AI293" i="47"/>
  <c r="AL293" i="47" s="1"/>
  <c r="AE275" i="47"/>
  <c r="AF275" i="47" s="1"/>
  <c r="AE272" i="47"/>
  <c r="AF272" i="47" s="1"/>
  <c r="AE276" i="47"/>
  <c r="AF276" i="47" s="1"/>
  <c r="AL110" i="47"/>
  <c r="AM110" i="47" s="1"/>
  <c r="AN110" i="47" s="1"/>
  <c r="AL141" i="47"/>
  <c r="AM141" i="47" s="1"/>
  <c r="AN141" i="47" s="1"/>
  <c r="AE327" i="47"/>
  <c r="AF327" i="47" s="1"/>
  <c r="AJ133" i="47"/>
  <c r="AK133" i="47" s="1"/>
  <c r="AO133" i="47" s="1"/>
  <c r="AL98" i="47"/>
  <c r="AO98" i="47" s="1"/>
  <c r="AL145" i="47"/>
  <c r="AM145" i="47" s="1"/>
  <c r="AN145" i="47" s="1"/>
  <c r="F296" i="72"/>
  <c r="AE287" i="47"/>
  <c r="AF287" i="47" s="1"/>
  <c r="AJ106" i="47"/>
  <c r="AM106" i="47" s="1"/>
  <c r="AN106" i="47" s="1"/>
  <c r="AI287" i="47"/>
  <c r="AL287" i="47" s="1"/>
  <c r="AJ101" i="47"/>
  <c r="AM101" i="47" s="1"/>
  <c r="AN101" i="47" s="1"/>
  <c r="AJ132" i="47"/>
  <c r="AK132" i="47" s="1"/>
  <c r="AO132" i="47" s="1"/>
  <c r="AL119" i="47"/>
  <c r="AM119" i="47" s="1"/>
  <c r="AN119" i="47" s="1"/>
  <c r="AI309" i="47"/>
  <c r="AL309" i="47" s="1"/>
  <c r="AI330" i="47"/>
  <c r="AL330" i="47" s="1"/>
  <c r="AE332" i="47"/>
  <c r="AF332" i="47" s="1"/>
  <c r="AE273" i="47"/>
  <c r="AF273" i="47" s="1"/>
  <c r="AI279" i="47"/>
  <c r="AL279" i="47" s="1"/>
  <c r="AE271" i="47"/>
  <c r="AF271" i="47" s="1"/>
  <c r="AE309" i="47"/>
  <c r="AF309" i="47" s="1"/>
  <c r="AL127" i="47"/>
  <c r="AM127" i="47" s="1"/>
  <c r="AN127" i="47" s="1"/>
  <c r="AI332" i="47"/>
  <c r="AL332" i="47" s="1"/>
  <c r="AL107" i="47"/>
  <c r="AM107" i="47" s="1"/>
  <c r="AN107" i="47" s="1"/>
  <c r="AJ142" i="47"/>
  <c r="AK142" i="47" s="1"/>
  <c r="AV142" i="47" s="1"/>
  <c r="AW142" i="47" s="1"/>
  <c r="AX142" i="47" s="1"/>
  <c r="AL99" i="47"/>
  <c r="AM99" i="47" s="1"/>
  <c r="AN99" i="47" s="1"/>
  <c r="AI315" i="47"/>
  <c r="AJ315" i="47" s="1"/>
  <c r="AK315" i="47" s="1"/>
  <c r="AI302" i="47"/>
  <c r="AL302" i="47" s="1"/>
  <c r="AJ151" i="47"/>
  <c r="AK151" i="47" s="1"/>
  <c r="AV151" i="47" s="1"/>
  <c r="AW151" i="47" s="1"/>
  <c r="AX151" i="47" s="1"/>
  <c r="AE284" i="47"/>
  <c r="AF284" i="47" s="1"/>
  <c r="AE302" i="47"/>
  <c r="AF302" i="47" s="1"/>
  <c r="AJ117" i="47"/>
  <c r="AK117" i="47" s="1"/>
  <c r="AO117" i="47" s="1"/>
  <c r="AJ100" i="47"/>
  <c r="AM100" i="47" s="1"/>
  <c r="AN100" i="47" s="1"/>
  <c r="A111" i="47"/>
  <c r="A288" i="47" s="1"/>
  <c r="AE286" i="47"/>
  <c r="AF286" i="47" s="1"/>
  <c r="AI295" i="47"/>
  <c r="AJ295" i="47" s="1"/>
  <c r="AK295" i="47" s="1"/>
  <c r="AI306" i="47"/>
  <c r="AL306" i="47" s="1"/>
  <c r="AI284" i="47"/>
  <c r="AL284" i="47" s="1"/>
  <c r="AL105" i="47"/>
  <c r="AV105" i="47" s="1"/>
  <c r="AW105" i="47" s="1"/>
  <c r="AX105" i="47" s="1"/>
  <c r="AJ118" i="47"/>
  <c r="AK118" i="47" s="1"/>
  <c r="AJ116" i="47"/>
  <c r="AM116" i="47" s="1"/>
  <c r="AN116" i="47" s="1"/>
  <c r="AI316" i="47"/>
  <c r="AJ316" i="47" s="1"/>
  <c r="AE295" i="47"/>
  <c r="AF295" i="47" s="1"/>
  <c r="AE298" i="47"/>
  <c r="AF298" i="47" s="1"/>
  <c r="AI305" i="47"/>
  <c r="AL305" i="47" s="1"/>
  <c r="AE316" i="47"/>
  <c r="AF316" i="47" s="1"/>
  <c r="P316" i="47" s="1"/>
  <c r="O321" i="72" s="1"/>
  <c r="AJ147" i="47"/>
  <c r="AK147" i="47" s="1"/>
  <c r="AV147" i="47" s="1"/>
  <c r="AW147" i="47" s="1"/>
  <c r="AX147" i="47" s="1"/>
  <c r="AE308" i="47"/>
  <c r="AF308" i="47" s="1"/>
  <c r="AI286" i="47"/>
  <c r="AJ286" i="47" s="1"/>
  <c r="AE319" i="47"/>
  <c r="AF319" i="47" s="1"/>
  <c r="AJ150" i="47"/>
  <c r="AM150" i="47" s="1"/>
  <c r="AN150" i="47" s="1"/>
  <c r="AI282" i="47"/>
  <c r="AJ282" i="47" s="1"/>
  <c r="AJ104" i="47"/>
  <c r="AK104" i="47" s="1"/>
  <c r="AE282" i="47"/>
  <c r="AF282" i="47" s="1"/>
  <c r="AE315" i="47"/>
  <c r="AF315" i="47" s="1"/>
  <c r="AI320" i="47"/>
  <c r="AL320" i="47" s="1"/>
  <c r="AI323" i="47"/>
  <c r="AL323" i="47" s="1"/>
  <c r="AL103" i="47"/>
  <c r="AM103" i="47" s="1"/>
  <c r="AN103" i="47" s="1"/>
  <c r="AJ149" i="47"/>
  <c r="AK149" i="47" s="1"/>
  <c r="AE305" i="47"/>
  <c r="AF305" i="47" s="1"/>
  <c r="AL124" i="47"/>
  <c r="AV124" i="47" s="1"/>
  <c r="AW124" i="47" s="1"/>
  <c r="AX124" i="47" s="1"/>
  <c r="AE300" i="47"/>
  <c r="AF300" i="47" s="1"/>
  <c r="AL130" i="47"/>
  <c r="AM130" i="47" s="1"/>
  <c r="AN130" i="47" s="1"/>
  <c r="AJ109" i="47"/>
  <c r="AM109" i="47" s="1"/>
  <c r="AN109" i="47" s="1"/>
  <c r="AL123" i="47"/>
  <c r="AV123" i="47" s="1"/>
  <c r="AW123" i="47" s="1"/>
  <c r="AX123" i="47" s="1"/>
  <c r="AE285" i="47"/>
  <c r="AF285" i="47" s="1"/>
  <c r="AI298" i="47"/>
  <c r="AL298" i="47" s="1"/>
  <c r="AE277" i="47"/>
  <c r="AF277" i="47" s="1"/>
  <c r="AI300" i="47"/>
  <c r="AJ300" i="47" s="1"/>
  <c r="AE306" i="47"/>
  <c r="AF306" i="47" s="1"/>
  <c r="AE299" i="47"/>
  <c r="AF299" i="47" s="1"/>
  <c r="AI307" i="47"/>
  <c r="AJ307" i="47" s="1"/>
  <c r="AL102" i="47"/>
  <c r="AM102" i="47" s="1"/>
  <c r="AN102" i="47" s="1"/>
  <c r="A313" i="47"/>
  <c r="AE297" i="47"/>
  <c r="AF297" i="47" s="1"/>
  <c r="AL126" i="47"/>
  <c r="AM126" i="47" s="1"/>
  <c r="AN126" i="47" s="1"/>
  <c r="A157" i="47"/>
  <c r="A334" i="47" s="1"/>
  <c r="AI331" i="47"/>
  <c r="AL331" i="47" s="1"/>
  <c r="AE318" i="47"/>
  <c r="AF318" i="47" s="1"/>
  <c r="P318" i="47" s="1"/>
  <c r="O323" i="72" s="1"/>
  <c r="AJ128" i="47"/>
  <c r="AK128" i="47" s="1"/>
  <c r="AO128" i="47" s="1"/>
  <c r="AJ139" i="47"/>
  <c r="AK139" i="47" s="1"/>
  <c r="AV139" i="47" s="1"/>
  <c r="AW139" i="47" s="1"/>
  <c r="AX139" i="47" s="1"/>
  <c r="AE320" i="47"/>
  <c r="AF320" i="47" s="1"/>
  <c r="AI322" i="47"/>
  <c r="AJ322" i="47" s="1"/>
  <c r="AI318" i="47"/>
  <c r="AJ318" i="47" s="1"/>
  <c r="AL153" i="47"/>
  <c r="AM153" i="47" s="1"/>
  <c r="AN153" i="47" s="1"/>
  <c r="AL143" i="47"/>
  <c r="AV143" i="47" s="1"/>
  <c r="AW143" i="47" s="1"/>
  <c r="AX143" i="47" s="1"/>
  <c r="AI321" i="47"/>
  <c r="AJ321" i="47" s="1"/>
  <c r="AI283" i="47"/>
  <c r="AJ283" i="47" s="1"/>
  <c r="AI281" i="47"/>
  <c r="AJ281" i="47" s="1"/>
  <c r="AK281" i="47" s="1"/>
  <c r="AE331" i="47"/>
  <c r="AF331" i="47" s="1"/>
  <c r="AE296" i="47"/>
  <c r="AF296" i="47" s="1"/>
  <c r="AE326" i="47"/>
  <c r="AF326" i="47" s="1"/>
  <c r="AL146" i="47"/>
  <c r="AM146" i="47" s="1"/>
  <c r="AN146" i="47" s="1"/>
  <c r="AI296" i="47"/>
  <c r="AJ296" i="47" s="1"/>
  <c r="AK296" i="47" s="1"/>
  <c r="AI278" i="47"/>
  <c r="AJ278" i="47" s="1"/>
  <c r="AK278" i="47" s="1"/>
  <c r="AI328" i="47"/>
  <c r="AL328" i="47" s="1"/>
  <c r="AL122" i="47"/>
  <c r="AM122" i="47" s="1"/>
  <c r="AN122" i="47" s="1"/>
  <c r="AL96" i="47"/>
  <c r="AV96" i="47" s="1"/>
  <c r="AW96" i="47" s="1"/>
  <c r="AX96" i="47" s="1"/>
  <c r="AE328" i="47"/>
  <c r="AF328" i="47" s="1"/>
  <c r="AI274" i="47"/>
  <c r="AL274" i="47" s="1"/>
  <c r="AL148" i="47"/>
  <c r="AM148" i="47" s="1"/>
  <c r="AN148" i="47" s="1"/>
  <c r="AJ108" i="47"/>
  <c r="AM108" i="47" s="1"/>
  <c r="AN108" i="47" s="1"/>
  <c r="AE274" i="47"/>
  <c r="AF274" i="47" s="1"/>
  <c r="AE280" i="47"/>
  <c r="AF280" i="47" s="1"/>
  <c r="AJ140" i="47"/>
  <c r="AK140" i="47" s="1"/>
  <c r="AO140" i="47" s="1"/>
  <c r="AI317" i="47"/>
  <c r="AJ317" i="47" s="1"/>
  <c r="AJ145" i="54"/>
  <c r="AL145" i="54"/>
  <c r="AL109" i="54"/>
  <c r="AJ109" i="54"/>
  <c r="AL106" i="54"/>
  <c r="AJ106" i="54"/>
  <c r="AL126" i="54"/>
  <c r="AJ126" i="54"/>
  <c r="AJ97" i="54"/>
  <c r="AL97" i="54"/>
  <c r="AL132" i="54"/>
  <c r="AJ132" i="54"/>
  <c r="AJ105" i="54"/>
  <c r="AK105" i="54" s="1"/>
  <c r="AL105" i="54"/>
  <c r="AL152" i="54"/>
  <c r="AJ152" i="54"/>
  <c r="AJ148" i="54"/>
  <c r="AL148" i="54"/>
  <c r="AJ99" i="54"/>
  <c r="AL99" i="54"/>
  <c r="AL155" i="54"/>
  <c r="AJ155" i="54"/>
  <c r="AL131" i="54"/>
  <c r="AJ131" i="54"/>
  <c r="AL110" i="54"/>
  <c r="AJ110" i="54"/>
  <c r="AJ156" i="54"/>
  <c r="AK156" i="54" s="1"/>
  <c r="AL156" i="54"/>
  <c r="AJ108" i="54"/>
  <c r="AL108" i="54"/>
  <c r="AL153" i="54"/>
  <c r="AJ153" i="54"/>
  <c r="AK153" i="54" s="1"/>
  <c r="AJ100" i="54"/>
  <c r="AL100" i="54"/>
  <c r="AJ146" i="54"/>
  <c r="AL146" i="54"/>
  <c r="AJ129" i="54"/>
  <c r="AL129" i="54"/>
  <c r="AL149" i="54"/>
  <c r="AJ149" i="54"/>
  <c r="AL104" i="54"/>
  <c r="AJ104" i="54"/>
  <c r="AK104" i="54" s="1"/>
  <c r="AJ125" i="54"/>
  <c r="AL125" i="54"/>
  <c r="AL96" i="54"/>
  <c r="AJ96" i="54"/>
  <c r="AL128" i="54"/>
  <c r="AJ128" i="54"/>
  <c r="AL150" i="54"/>
  <c r="AJ150" i="54"/>
  <c r="AJ154" i="54"/>
  <c r="AK154" i="54" s="1"/>
  <c r="AL154" i="54"/>
  <c r="AJ151" i="54"/>
  <c r="AK151" i="54" s="1"/>
  <c r="AL151" i="54"/>
  <c r="AL133" i="54"/>
  <c r="AJ133" i="54"/>
  <c r="AL147" i="54"/>
  <c r="AJ147" i="54"/>
  <c r="AJ124" i="54"/>
  <c r="AK124" i="54" s="1"/>
  <c r="AL124" i="54"/>
  <c r="AJ127" i="54"/>
  <c r="AK127" i="54" s="1"/>
  <c r="AL127" i="54"/>
  <c r="AL107" i="54"/>
  <c r="AJ107" i="54"/>
  <c r="AJ130" i="54"/>
  <c r="AL130" i="54"/>
  <c r="AJ103" i="54"/>
  <c r="AK103" i="54" s="1"/>
  <c r="AL103" i="54"/>
  <c r="AJ102" i="54"/>
  <c r="AL102" i="54"/>
  <c r="AJ98" i="54"/>
  <c r="AL98" i="54"/>
  <c r="AJ101" i="54"/>
  <c r="AL101" i="54"/>
  <c r="AJ95" i="54"/>
  <c r="AK95" i="54" s="1"/>
  <c r="AL95" i="54"/>
  <c r="AK97" i="47"/>
  <c r="AK153" i="47"/>
  <c r="AK145" i="47"/>
  <c r="AK102" i="47"/>
  <c r="AK119" i="47"/>
  <c r="AK110" i="47"/>
  <c r="AK156" i="47"/>
  <c r="AK107" i="47"/>
  <c r="AK130" i="47"/>
  <c r="AK122" i="47"/>
  <c r="AK127" i="47"/>
  <c r="AK126" i="47"/>
  <c r="AK146" i="47"/>
  <c r="AV346" i="11"/>
  <c r="AW346" i="11" s="1"/>
  <c r="AX346" i="11" s="1"/>
  <c r="AM346" i="11"/>
  <c r="AN346" i="11" s="1"/>
  <c r="AP346" i="11" s="1"/>
  <c r="AM344" i="11"/>
  <c r="AN344" i="11" s="1"/>
  <c r="AM348" i="11"/>
  <c r="AN348" i="11" s="1"/>
  <c r="AM350" i="11"/>
  <c r="AN350" i="11" s="1"/>
  <c r="AV345" i="11"/>
  <c r="AW345" i="11" s="1"/>
  <c r="AX345" i="11" s="1"/>
  <c r="AO345" i="11"/>
  <c r="AV348" i="11"/>
  <c r="AW348" i="11" s="1"/>
  <c r="AX348" i="11" s="1"/>
  <c r="AO348" i="11"/>
  <c r="AO347" i="11"/>
  <c r="AV347" i="11"/>
  <c r="AW347" i="11" s="1"/>
  <c r="AX347" i="11" s="1"/>
  <c r="AM345" i="11"/>
  <c r="AN345" i="11" s="1"/>
  <c r="AO351" i="11"/>
  <c r="AV351" i="11"/>
  <c r="AW351" i="11" s="1"/>
  <c r="AX351" i="11" s="1"/>
  <c r="AM349" i="11"/>
  <c r="AN349" i="11" s="1"/>
  <c r="AK344" i="11"/>
  <c r="AK350" i="11"/>
  <c r="AM347" i="11"/>
  <c r="AN347" i="11" s="1"/>
  <c r="AK349" i="11"/>
  <c r="Q318" i="47" l="1"/>
  <c r="P323" i="72" s="1"/>
  <c r="P144" i="72"/>
  <c r="T141" i="47"/>
  <c r="R141" i="47"/>
  <c r="P143" i="72"/>
  <c r="T140" i="47"/>
  <c r="R140" i="47"/>
  <c r="Q317" i="47"/>
  <c r="Q316" i="47"/>
  <c r="P142" i="72"/>
  <c r="T139" i="47"/>
  <c r="R139" i="47"/>
  <c r="T95" i="54"/>
  <c r="P303" i="47"/>
  <c r="O308" i="72" s="1"/>
  <c r="AH307" i="47"/>
  <c r="AQ307" i="47" s="1"/>
  <c r="T146" i="54"/>
  <c r="T145" i="54"/>
  <c r="T138" i="47"/>
  <c r="AH309" i="47"/>
  <c r="AQ309" i="47" s="1"/>
  <c r="AH303" i="47"/>
  <c r="AQ303" i="47" s="1"/>
  <c r="AH315" i="47"/>
  <c r="AQ315" i="47" s="1"/>
  <c r="AH306" i="47"/>
  <c r="AQ306" i="47" s="1"/>
  <c r="K304" i="72"/>
  <c r="Q309" i="47"/>
  <c r="P314" i="72" s="1"/>
  <c r="O306" i="47"/>
  <c r="M311" i="72" s="1"/>
  <c r="O275" i="47"/>
  <c r="M280" i="72" s="1"/>
  <c r="T309" i="47"/>
  <c r="T303" i="47"/>
  <c r="Q303" i="47"/>
  <c r="P308" i="72" s="1"/>
  <c r="AH273" i="47"/>
  <c r="AQ273" i="47" s="1"/>
  <c r="P315" i="47"/>
  <c r="Q315" i="47" s="1"/>
  <c r="R315" i="47" s="1"/>
  <c r="O294" i="47"/>
  <c r="M299" i="72" s="1"/>
  <c r="O302" i="47"/>
  <c r="M307" i="72" s="1"/>
  <c r="P309" i="47"/>
  <c r="O314" i="72" s="1"/>
  <c r="K274" i="72"/>
  <c r="K309" i="72"/>
  <c r="K276" i="72"/>
  <c r="K310" i="72"/>
  <c r="K326" i="72"/>
  <c r="K308" i="72"/>
  <c r="K278" i="72"/>
  <c r="K320" i="72"/>
  <c r="K332" i="72"/>
  <c r="K331" i="72"/>
  <c r="K284" i="72"/>
  <c r="K287" i="72"/>
  <c r="K297" i="72"/>
  <c r="K312" i="72"/>
  <c r="K290" i="72"/>
  <c r="K315" i="72"/>
  <c r="K302" i="72"/>
  <c r="K319" i="72"/>
  <c r="K334" i="72"/>
  <c r="K335" i="72"/>
  <c r="K305" i="72"/>
  <c r="K275" i="72"/>
  <c r="K292" i="72"/>
  <c r="K296" i="72"/>
  <c r="K337" i="72"/>
  <c r="K329" i="72"/>
  <c r="K323" i="72"/>
  <c r="T306" i="47"/>
  <c r="K327" i="72"/>
  <c r="K298" i="72"/>
  <c r="K325" i="72"/>
  <c r="T273" i="47"/>
  <c r="T307" i="47"/>
  <c r="Q307" i="47"/>
  <c r="P312" i="72" s="1"/>
  <c r="K273" i="72"/>
  <c r="K289" i="72"/>
  <c r="E311" i="72"/>
  <c r="E278" i="72"/>
  <c r="K279" i="72"/>
  <c r="K330" i="72"/>
  <c r="K321" i="72"/>
  <c r="P307" i="47"/>
  <c r="O312" i="72" s="1"/>
  <c r="K282" i="72"/>
  <c r="K301" i="72"/>
  <c r="K300" i="72"/>
  <c r="Q306" i="47"/>
  <c r="P311" i="72" s="1"/>
  <c r="K324" i="72"/>
  <c r="O283" i="47"/>
  <c r="M288" i="72" s="1"/>
  <c r="P273" i="47"/>
  <c r="O278" i="72" s="1"/>
  <c r="K336" i="72"/>
  <c r="K328" i="72"/>
  <c r="K303" i="72"/>
  <c r="K314" i="72"/>
  <c r="K285" i="72"/>
  <c r="K286" i="72"/>
  <c r="K322" i="72"/>
  <c r="K277" i="72"/>
  <c r="K291" i="72"/>
  <c r="K313" i="72"/>
  <c r="K306" i="72"/>
  <c r="K283" i="72"/>
  <c r="K333" i="72"/>
  <c r="K338" i="72"/>
  <c r="K281" i="72"/>
  <c r="M273" i="72"/>
  <c r="M314" i="72"/>
  <c r="M323" i="72"/>
  <c r="M277" i="72"/>
  <c r="M327" i="72"/>
  <c r="M334" i="72"/>
  <c r="M287" i="72"/>
  <c r="M320" i="72"/>
  <c r="M284" i="72"/>
  <c r="M291" i="72"/>
  <c r="M338" i="72"/>
  <c r="M312" i="72"/>
  <c r="M289" i="72"/>
  <c r="M310" i="72"/>
  <c r="M290" i="72"/>
  <c r="M337" i="72"/>
  <c r="M292" i="72"/>
  <c r="M301" i="72"/>
  <c r="M298" i="72"/>
  <c r="M326" i="72"/>
  <c r="M331" i="72"/>
  <c r="M321" i="72"/>
  <c r="M306" i="72"/>
  <c r="M276" i="72"/>
  <c r="M278" i="72"/>
  <c r="M281" i="72"/>
  <c r="M304" i="72"/>
  <c r="M319" i="72"/>
  <c r="M336" i="72"/>
  <c r="M309" i="72"/>
  <c r="M305" i="72"/>
  <c r="M286" i="72"/>
  <c r="M325" i="72"/>
  <c r="M313" i="72"/>
  <c r="M335" i="72"/>
  <c r="M324" i="72"/>
  <c r="M332" i="72"/>
  <c r="M283" i="72"/>
  <c r="M274" i="72"/>
  <c r="M285" i="72"/>
  <c r="M328" i="72"/>
  <c r="M315" i="72"/>
  <c r="M329" i="72"/>
  <c r="M279" i="72"/>
  <c r="M297" i="72"/>
  <c r="M275" i="72"/>
  <c r="M303" i="72"/>
  <c r="M302" i="72"/>
  <c r="M282" i="72"/>
  <c r="M308" i="72"/>
  <c r="M300" i="72"/>
  <c r="M296" i="72"/>
  <c r="M322" i="72"/>
  <c r="M333" i="72"/>
  <c r="M330" i="72"/>
  <c r="AJ325" i="47"/>
  <c r="AM325" i="47" s="1"/>
  <c r="AN325" i="47" s="1"/>
  <c r="AV125" i="47"/>
  <c r="AW125" i="47" s="1"/>
  <c r="AX125" i="47" s="1"/>
  <c r="AM144" i="47"/>
  <c r="AN144" i="47" s="1"/>
  <c r="AP144" i="47" s="1"/>
  <c r="AY144" i="47" s="1"/>
  <c r="AV144" i="47"/>
  <c r="AW144" i="47" s="1"/>
  <c r="AX144" i="47" s="1"/>
  <c r="AM125" i="47"/>
  <c r="AN125" i="47" s="1"/>
  <c r="AP125" i="47" s="1"/>
  <c r="AR125" i="47" s="1"/>
  <c r="AM138" i="47"/>
  <c r="AN138" i="47" s="1"/>
  <c r="AO138" i="47"/>
  <c r="AJ271" i="47"/>
  <c r="AK271" i="47" s="1"/>
  <c r="AO271" i="47" s="1"/>
  <c r="AM120" i="47"/>
  <c r="AN120" i="47" s="1"/>
  <c r="AO120" i="47"/>
  <c r="AK94" i="47"/>
  <c r="AO94" i="47" s="1"/>
  <c r="AP94" i="47" s="1"/>
  <c r="AV95" i="47"/>
  <c r="AW95" i="47" s="1"/>
  <c r="AX95" i="47" s="1"/>
  <c r="AO129" i="47"/>
  <c r="AP129" i="47" s="1"/>
  <c r="AY129" i="47" s="1"/>
  <c r="AM95" i="47"/>
  <c r="AN95" i="47" s="1"/>
  <c r="AP95" i="47" s="1"/>
  <c r="AT95" i="47" s="1"/>
  <c r="AL272" i="47"/>
  <c r="AM272" i="47" s="1"/>
  <c r="AN272" i="47" s="1"/>
  <c r="AL280" i="47"/>
  <c r="AM280" i="47" s="1"/>
  <c r="AN280" i="47" s="1"/>
  <c r="AM131" i="47"/>
  <c r="AN131" i="47" s="1"/>
  <c r="AP131" i="47" s="1"/>
  <c r="AV131" i="47"/>
  <c r="AW131" i="47" s="1"/>
  <c r="AX131" i="47" s="1"/>
  <c r="AJ299" i="47"/>
  <c r="AK299" i="47" s="1"/>
  <c r="AK155" i="47"/>
  <c r="AV155" i="47" s="1"/>
  <c r="AW155" i="47" s="1"/>
  <c r="AX155" i="47" s="1"/>
  <c r="AL294" i="47"/>
  <c r="AO294" i="47" s="1"/>
  <c r="AL308" i="47"/>
  <c r="AO308" i="47" s="1"/>
  <c r="AV129" i="47"/>
  <c r="AW129" i="47" s="1"/>
  <c r="AX129" i="47" s="1"/>
  <c r="AJ273" i="47"/>
  <c r="AK273" i="47" s="1"/>
  <c r="AM154" i="47"/>
  <c r="AN154" i="47" s="1"/>
  <c r="AL275" i="47"/>
  <c r="AM275" i="47" s="1"/>
  <c r="AN275" i="47" s="1"/>
  <c r="AO154" i="47"/>
  <c r="AJ303" i="47"/>
  <c r="AK303" i="47" s="1"/>
  <c r="AO303" i="47" s="1"/>
  <c r="AJ297" i="47"/>
  <c r="AK297" i="47" s="1"/>
  <c r="AJ310" i="47"/>
  <c r="AK310" i="47" s="1"/>
  <c r="AO310" i="47" s="1"/>
  <c r="AJ326" i="47"/>
  <c r="AM326" i="47" s="1"/>
  <c r="AN326" i="47" s="1"/>
  <c r="AJ324" i="47"/>
  <c r="AK324" i="47" s="1"/>
  <c r="AV324" i="47" s="1"/>
  <c r="AW324" i="47" s="1"/>
  <c r="AX324" i="47" s="1"/>
  <c r="AP351" i="11"/>
  <c r="AT351" i="11" s="1"/>
  <c r="AV121" i="47"/>
  <c r="AW121" i="47" s="1"/>
  <c r="AX121" i="47" s="1"/>
  <c r="AJ319" i="47"/>
  <c r="AK319" i="47" s="1"/>
  <c r="AV319" i="47" s="1"/>
  <c r="AW319" i="47" s="1"/>
  <c r="AX319" i="47" s="1"/>
  <c r="AL285" i="47"/>
  <c r="AV285" i="47" s="1"/>
  <c r="AW285" i="47" s="1"/>
  <c r="AX285" i="47" s="1"/>
  <c r="AL277" i="47"/>
  <c r="AM277" i="47" s="1"/>
  <c r="AN277" i="47" s="1"/>
  <c r="AL329" i="47"/>
  <c r="AM329" i="47" s="1"/>
  <c r="AN329" i="47" s="1"/>
  <c r="AM152" i="47"/>
  <c r="AN152" i="47" s="1"/>
  <c r="AO152" i="47"/>
  <c r="AL276" i="47"/>
  <c r="AM276" i="47" s="1"/>
  <c r="AN276" i="47" s="1"/>
  <c r="AV133" i="47"/>
  <c r="AW133" i="47" s="1"/>
  <c r="AX133" i="47" s="1"/>
  <c r="AL304" i="47"/>
  <c r="AM304" i="47" s="1"/>
  <c r="AN304" i="47" s="1"/>
  <c r="AO141" i="47"/>
  <c r="AP141" i="47" s="1"/>
  <c r="AT141" i="47" s="1"/>
  <c r="AO121" i="47"/>
  <c r="AP121" i="47" s="1"/>
  <c r="AY121" i="47" s="1"/>
  <c r="AJ333" i="47"/>
  <c r="AK333" i="47" s="1"/>
  <c r="AL327" i="47"/>
  <c r="AM327" i="47" s="1"/>
  <c r="AN327" i="47" s="1"/>
  <c r="AJ287" i="47"/>
  <c r="AM287" i="47" s="1"/>
  <c r="AN287" i="47" s="1"/>
  <c r="AJ293" i="47"/>
  <c r="AK293" i="47" s="1"/>
  <c r="AV98" i="47"/>
  <c r="AW98" i="47" s="1"/>
  <c r="AX98" i="47" s="1"/>
  <c r="AJ301" i="47"/>
  <c r="AK301" i="47" s="1"/>
  <c r="AV141" i="47"/>
  <c r="AW141" i="47" s="1"/>
  <c r="AX141" i="47" s="1"/>
  <c r="AM133" i="47"/>
  <c r="AN133" i="47" s="1"/>
  <c r="AP133" i="47" s="1"/>
  <c r="AT133" i="47" s="1"/>
  <c r="AM98" i="47"/>
  <c r="AN98" i="47" s="1"/>
  <c r="AP98" i="47" s="1"/>
  <c r="AY98" i="47" s="1"/>
  <c r="AK106" i="47"/>
  <c r="AV106" i="47" s="1"/>
  <c r="AW106" i="47" s="1"/>
  <c r="AX106" i="47" s="1"/>
  <c r="AJ309" i="47"/>
  <c r="AK309" i="47" s="1"/>
  <c r="AV132" i="47"/>
  <c r="AW132" i="47" s="1"/>
  <c r="AX132" i="47" s="1"/>
  <c r="AK101" i="47"/>
  <c r="AO101" i="47" s="1"/>
  <c r="AP101" i="47" s="1"/>
  <c r="AJ323" i="47"/>
  <c r="AK323" i="47" s="1"/>
  <c r="AV323" i="47" s="1"/>
  <c r="AW323" i="47" s="1"/>
  <c r="AX323" i="47" s="1"/>
  <c r="AM132" i="47"/>
  <c r="AN132" i="47" s="1"/>
  <c r="AP132" i="47" s="1"/>
  <c r="AR132" i="47" s="1"/>
  <c r="AV99" i="47"/>
  <c r="AW99" i="47" s="1"/>
  <c r="AX99" i="47" s="1"/>
  <c r="AJ279" i="47"/>
  <c r="AM279" i="47" s="1"/>
  <c r="AN279" i="47" s="1"/>
  <c r="AJ330" i="47"/>
  <c r="AK330" i="47" s="1"/>
  <c r="AV330" i="47" s="1"/>
  <c r="AW330" i="47" s="1"/>
  <c r="AX330" i="47" s="1"/>
  <c r="AO99" i="47"/>
  <c r="AP99" i="47" s="1"/>
  <c r="AT99" i="47" s="1"/>
  <c r="AL295" i="47"/>
  <c r="AM295" i="47" s="1"/>
  <c r="AN295" i="47" s="1"/>
  <c r="AJ302" i="47"/>
  <c r="AK302" i="47" s="1"/>
  <c r="AK116" i="47"/>
  <c r="AO116" i="47" s="1"/>
  <c r="AP116" i="47" s="1"/>
  <c r="AJ328" i="47"/>
  <c r="AM328" i="47" s="1"/>
  <c r="AN328" i="47" s="1"/>
  <c r="AM142" i="47"/>
  <c r="AN142" i="47" s="1"/>
  <c r="AL315" i="47"/>
  <c r="AV315" i="47" s="1"/>
  <c r="AW315" i="47" s="1"/>
  <c r="AX315" i="47" s="1"/>
  <c r="AO142" i="47"/>
  <c r="AJ298" i="47"/>
  <c r="AK298" i="47" s="1"/>
  <c r="AV298" i="47" s="1"/>
  <c r="AW298" i="47" s="1"/>
  <c r="AX298" i="47" s="1"/>
  <c r="AM124" i="47"/>
  <c r="AN124" i="47" s="1"/>
  <c r="AL321" i="47"/>
  <c r="AM321" i="47" s="1"/>
  <c r="AN321" i="47" s="1"/>
  <c r="AL282" i="47"/>
  <c r="AM282" i="47" s="1"/>
  <c r="AN282" i="47" s="1"/>
  <c r="AM118" i="47"/>
  <c r="AN118" i="47" s="1"/>
  <c r="AJ306" i="47"/>
  <c r="AK306" i="47" s="1"/>
  <c r="AV103" i="47"/>
  <c r="AW103" i="47" s="1"/>
  <c r="AX103" i="47" s="1"/>
  <c r="AJ332" i="47"/>
  <c r="AK332" i="47" s="1"/>
  <c r="AO332" i="47" s="1"/>
  <c r="AM149" i="47"/>
  <c r="AN149" i="47" s="1"/>
  <c r="AL278" i="47"/>
  <c r="AO278" i="47" s="1"/>
  <c r="AK109" i="47"/>
  <c r="AO109" i="47" s="1"/>
  <c r="AP109" i="47" s="1"/>
  <c r="AM117" i="47"/>
  <c r="AN117" i="47" s="1"/>
  <c r="AP117" i="47" s="1"/>
  <c r="AR117" i="47" s="1"/>
  <c r="AJ305" i="47"/>
  <c r="AK305" i="47" s="1"/>
  <c r="AV305" i="47" s="1"/>
  <c r="AW305" i="47" s="1"/>
  <c r="AX305" i="47" s="1"/>
  <c r="AV117" i="47"/>
  <c r="AW117" i="47" s="1"/>
  <c r="AX117" i="47" s="1"/>
  <c r="AM151" i="47"/>
  <c r="AN151" i="47" s="1"/>
  <c r="AM139" i="47"/>
  <c r="AN139" i="47" s="1"/>
  <c r="AM105" i="47"/>
  <c r="AN105" i="47" s="1"/>
  <c r="AL316" i="47"/>
  <c r="AM316" i="47" s="1"/>
  <c r="AN316" i="47" s="1"/>
  <c r="AO151" i="47"/>
  <c r="AK100" i="47"/>
  <c r="AO100" i="47" s="1"/>
  <c r="AP100" i="47" s="1"/>
  <c r="AL286" i="47"/>
  <c r="AM286" i="47" s="1"/>
  <c r="AN286" i="47" s="1"/>
  <c r="AO105" i="47"/>
  <c r="AL300" i="47"/>
  <c r="AM300" i="47" s="1"/>
  <c r="AN300" i="47" s="1"/>
  <c r="AJ284" i="47"/>
  <c r="AK284" i="47" s="1"/>
  <c r="AK150" i="47"/>
  <c r="AO150" i="47" s="1"/>
  <c r="AP150" i="47" s="1"/>
  <c r="AO147" i="47"/>
  <c r="AM147" i="47"/>
  <c r="AN147" i="47" s="1"/>
  <c r="AJ320" i="47"/>
  <c r="AM320" i="47" s="1"/>
  <c r="AN320" i="47" s="1"/>
  <c r="AO123" i="47"/>
  <c r="AL318" i="47"/>
  <c r="AM318" i="47" s="1"/>
  <c r="AN318" i="47" s="1"/>
  <c r="AM123" i="47"/>
  <c r="AN123" i="47" s="1"/>
  <c r="AV128" i="47"/>
  <c r="AW128" i="47" s="1"/>
  <c r="AX128" i="47" s="1"/>
  <c r="AM128" i="47"/>
  <c r="AN128" i="47" s="1"/>
  <c r="AP128" i="47" s="1"/>
  <c r="AT128" i="47" s="1"/>
  <c r="AO103" i="47"/>
  <c r="AP103" i="47" s="1"/>
  <c r="AV140" i="47"/>
  <c r="AW140" i="47" s="1"/>
  <c r="AX140" i="47" s="1"/>
  <c r="AK108" i="47"/>
  <c r="AV108" i="47" s="1"/>
  <c r="AW108" i="47" s="1"/>
  <c r="AX108" i="47" s="1"/>
  <c r="AL307" i="47"/>
  <c r="AM307" i="47" s="1"/>
  <c r="AN307" i="47" s="1"/>
  <c r="AO124" i="47"/>
  <c r="AM104" i="47"/>
  <c r="AN104" i="47" s="1"/>
  <c r="AL283" i="47"/>
  <c r="AM283" i="47" s="1"/>
  <c r="AN283" i="47" s="1"/>
  <c r="AL322" i="47"/>
  <c r="AM322" i="47" s="1"/>
  <c r="AN322" i="47" s="1"/>
  <c r="AL317" i="47"/>
  <c r="AM317" i="47" s="1"/>
  <c r="AN317" i="47" s="1"/>
  <c r="AM140" i="47"/>
  <c r="AN140" i="47" s="1"/>
  <c r="AP140" i="47" s="1"/>
  <c r="AY140" i="47" s="1"/>
  <c r="AO139" i="47"/>
  <c r="AM143" i="47"/>
  <c r="AN143" i="47" s="1"/>
  <c r="AV148" i="47"/>
  <c r="AW148" i="47" s="1"/>
  <c r="AX148" i="47" s="1"/>
  <c r="AO143" i="47"/>
  <c r="AO96" i="47"/>
  <c r="AM96" i="47"/>
  <c r="AN96" i="47" s="1"/>
  <c r="AJ331" i="47"/>
  <c r="AM331" i="47" s="1"/>
  <c r="AN331" i="47" s="1"/>
  <c r="AL281" i="47"/>
  <c r="AO281" i="47" s="1"/>
  <c r="AJ274" i="47"/>
  <c r="AK274" i="47" s="1"/>
  <c r="AO274" i="47" s="1"/>
  <c r="AO148" i="47"/>
  <c r="AP148" i="47" s="1"/>
  <c r="AL296" i="47"/>
  <c r="AM296" i="47" s="1"/>
  <c r="AN296" i="47" s="1"/>
  <c r="AM147" i="54"/>
  <c r="AN147" i="54" s="1"/>
  <c r="AM133" i="54"/>
  <c r="AN133" i="54" s="1"/>
  <c r="AM106" i="54"/>
  <c r="AN106" i="54" s="1"/>
  <c r="AM107" i="54"/>
  <c r="AN107" i="54" s="1"/>
  <c r="AM128" i="54"/>
  <c r="AN128" i="54" s="1"/>
  <c r="AM150" i="54"/>
  <c r="AN150" i="54" s="1"/>
  <c r="AM132" i="54"/>
  <c r="AN132" i="54" s="1"/>
  <c r="AM125" i="54"/>
  <c r="AN125" i="54" s="1"/>
  <c r="AM149" i="54"/>
  <c r="AN149" i="54" s="1"/>
  <c r="AM153" i="54"/>
  <c r="AN153" i="54" s="1"/>
  <c r="AV105" i="54"/>
  <c r="AW105" i="54" s="1"/>
  <c r="AX105" i="54" s="1"/>
  <c r="AO105" i="54"/>
  <c r="AK98" i="54"/>
  <c r="AM98" i="54"/>
  <c r="AN98" i="54" s="1"/>
  <c r="AK102" i="54"/>
  <c r="AM102" i="54"/>
  <c r="AN102" i="54" s="1"/>
  <c r="AO104" i="54"/>
  <c r="AV104" i="54"/>
  <c r="AW104" i="54" s="1"/>
  <c r="AX104" i="54" s="1"/>
  <c r="AK146" i="54"/>
  <c r="AM146" i="54"/>
  <c r="AN146" i="54" s="1"/>
  <c r="AK100" i="54"/>
  <c r="AM100" i="54"/>
  <c r="AN100" i="54" s="1"/>
  <c r="AM156" i="54"/>
  <c r="AN156" i="54" s="1"/>
  <c r="AK99" i="54"/>
  <c r="AM99" i="54"/>
  <c r="AN99" i="54" s="1"/>
  <c r="AM95" i="54"/>
  <c r="AN95" i="54" s="1"/>
  <c r="AK101" i="54"/>
  <c r="AM101" i="54"/>
  <c r="AN101" i="54" s="1"/>
  <c r="AM103" i="54"/>
  <c r="AN103" i="54" s="1"/>
  <c r="AK130" i="54"/>
  <c r="AM130" i="54"/>
  <c r="AN130" i="54" s="1"/>
  <c r="AM127" i="54"/>
  <c r="AN127" i="54" s="1"/>
  <c r="AM124" i="54"/>
  <c r="AN124" i="54" s="1"/>
  <c r="AM151" i="54"/>
  <c r="AN151" i="54" s="1"/>
  <c r="AM154" i="54"/>
  <c r="AN154" i="54" s="1"/>
  <c r="AK129" i="54"/>
  <c r="AM129" i="54"/>
  <c r="AN129" i="54" s="1"/>
  <c r="AK108" i="54"/>
  <c r="AM108" i="54"/>
  <c r="AN108" i="54" s="1"/>
  <c r="AK132" i="54"/>
  <c r="AK106" i="54"/>
  <c r="AK125" i="54"/>
  <c r="AM104" i="54"/>
  <c r="AN104" i="54" s="1"/>
  <c r="AO156" i="54"/>
  <c r="AV156" i="54"/>
  <c r="AW156" i="54" s="1"/>
  <c r="AX156" i="54" s="1"/>
  <c r="AK152" i="54"/>
  <c r="AM152" i="54"/>
  <c r="AN152" i="54" s="1"/>
  <c r="AK126" i="54"/>
  <c r="AM126" i="54"/>
  <c r="AN126" i="54" s="1"/>
  <c r="AK109" i="54"/>
  <c r="AM109" i="54"/>
  <c r="AN109" i="54" s="1"/>
  <c r="AV95" i="54"/>
  <c r="AW95" i="54" s="1"/>
  <c r="AX95" i="54" s="1"/>
  <c r="AO95" i="54"/>
  <c r="AO103" i="54"/>
  <c r="AV103" i="54"/>
  <c r="AW103" i="54" s="1"/>
  <c r="AX103" i="54" s="1"/>
  <c r="AK107" i="54"/>
  <c r="AO127" i="54"/>
  <c r="AV127" i="54"/>
  <c r="AW127" i="54" s="1"/>
  <c r="AX127" i="54" s="1"/>
  <c r="AO124" i="54"/>
  <c r="AV124" i="54"/>
  <c r="AW124" i="54" s="1"/>
  <c r="AX124" i="54" s="1"/>
  <c r="AK147" i="54"/>
  <c r="AK133" i="54"/>
  <c r="AO151" i="54"/>
  <c r="AV151" i="54"/>
  <c r="AW151" i="54" s="1"/>
  <c r="AX151" i="54" s="1"/>
  <c r="AO154" i="54"/>
  <c r="AV154" i="54"/>
  <c r="AW154" i="54" s="1"/>
  <c r="AX154" i="54" s="1"/>
  <c r="AK150" i="54"/>
  <c r="AK128" i="54"/>
  <c r="AK96" i="54"/>
  <c r="AM96" i="54"/>
  <c r="AN96" i="54" s="1"/>
  <c r="AK149" i="54"/>
  <c r="AV153" i="54"/>
  <c r="AW153" i="54" s="1"/>
  <c r="AX153" i="54" s="1"/>
  <c r="AO153" i="54"/>
  <c r="AK110" i="54"/>
  <c r="AM110" i="54"/>
  <c r="AN110" i="54" s="1"/>
  <c r="AK131" i="54"/>
  <c r="AM131" i="54"/>
  <c r="AN131" i="54" s="1"/>
  <c r="AK155" i="54"/>
  <c r="AM155" i="54"/>
  <c r="AN155" i="54" s="1"/>
  <c r="AK148" i="54"/>
  <c r="AM148" i="54"/>
  <c r="AN148" i="54" s="1"/>
  <c r="AM105" i="54"/>
  <c r="AN105" i="54" s="1"/>
  <c r="AK97" i="54"/>
  <c r="AM97" i="54"/>
  <c r="AN97" i="54" s="1"/>
  <c r="AK145" i="54"/>
  <c r="AM145" i="54"/>
  <c r="AN145" i="54" s="1"/>
  <c r="AK316" i="47"/>
  <c r="AK307" i="47"/>
  <c r="AK272" i="47"/>
  <c r="AK329" i="47"/>
  <c r="AV102" i="47"/>
  <c r="AW102" i="47" s="1"/>
  <c r="AX102" i="47" s="1"/>
  <c r="AO102" i="47"/>
  <c r="AP102" i="47" s="1"/>
  <c r="AO145" i="47"/>
  <c r="AP145" i="47" s="1"/>
  <c r="AV145" i="47"/>
  <c r="AW145" i="47" s="1"/>
  <c r="AX145" i="47" s="1"/>
  <c r="AK318" i="47"/>
  <c r="AK304" i="47"/>
  <c r="AO118" i="47"/>
  <c r="AV118" i="47"/>
  <c r="AW118" i="47" s="1"/>
  <c r="AX118" i="47" s="1"/>
  <c r="AO104" i="47"/>
  <c r="AV104" i="47"/>
  <c r="AW104" i="47" s="1"/>
  <c r="AX104" i="47" s="1"/>
  <c r="AK280" i="47"/>
  <c r="AK282" i="47"/>
  <c r="AK283" i="47"/>
  <c r="AO119" i="47"/>
  <c r="AP119" i="47" s="1"/>
  <c r="AV119" i="47"/>
  <c r="AW119" i="47" s="1"/>
  <c r="AX119" i="47" s="1"/>
  <c r="AK327" i="47"/>
  <c r="AK275" i="47"/>
  <c r="AK300" i="47"/>
  <c r="AV97" i="47"/>
  <c r="AW97" i="47" s="1"/>
  <c r="AX97" i="47" s="1"/>
  <c r="AO97" i="47"/>
  <c r="AP97" i="47" s="1"/>
  <c r="AO127" i="47"/>
  <c r="AP127" i="47" s="1"/>
  <c r="AV127" i="47"/>
  <c r="AW127" i="47" s="1"/>
  <c r="AX127" i="47" s="1"/>
  <c r="AV110" i="47"/>
  <c r="AW110" i="47" s="1"/>
  <c r="AX110" i="47" s="1"/>
  <c r="AO110" i="47"/>
  <c r="AP110" i="47" s="1"/>
  <c r="AV146" i="47"/>
  <c r="AW146" i="47" s="1"/>
  <c r="AX146" i="47" s="1"/>
  <c r="AO146" i="47"/>
  <c r="AP146" i="47" s="1"/>
  <c r="AK277" i="47"/>
  <c r="AO149" i="47"/>
  <c r="AV149" i="47"/>
  <c r="AW149" i="47" s="1"/>
  <c r="AX149" i="47" s="1"/>
  <c r="AV107" i="47"/>
  <c r="AW107" i="47" s="1"/>
  <c r="AX107" i="47" s="1"/>
  <c r="AO107" i="47"/>
  <c r="AP107" i="47" s="1"/>
  <c r="AK286" i="47"/>
  <c r="AK322" i="47"/>
  <c r="AK276" i="47"/>
  <c r="AK317" i="47"/>
  <c r="AK321" i="47"/>
  <c r="AO126" i="47"/>
  <c r="AP126" i="47" s="1"/>
  <c r="AV126" i="47"/>
  <c r="AW126" i="47" s="1"/>
  <c r="AX126" i="47" s="1"/>
  <c r="AO122" i="47"/>
  <c r="AP122" i="47" s="1"/>
  <c r="AV122" i="47"/>
  <c r="AW122" i="47" s="1"/>
  <c r="AX122" i="47" s="1"/>
  <c r="AO130" i="47"/>
  <c r="AP130" i="47" s="1"/>
  <c r="AV130" i="47"/>
  <c r="AW130" i="47" s="1"/>
  <c r="AX130" i="47" s="1"/>
  <c r="AV156" i="47"/>
  <c r="AW156" i="47" s="1"/>
  <c r="AX156" i="47" s="1"/>
  <c r="AO156" i="47"/>
  <c r="AP156" i="47" s="1"/>
  <c r="AV153" i="47"/>
  <c r="AW153" i="47" s="1"/>
  <c r="AX153" i="47" s="1"/>
  <c r="AO153" i="47"/>
  <c r="AP153" i="47" s="1"/>
  <c r="AP348" i="11"/>
  <c r="AY348" i="11" s="1"/>
  <c r="AP345" i="11"/>
  <c r="AT345" i="11" s="1"/>
  <c r="AV350" i="11"/>
  <c r="AW350" i="11" s="1"/>
  <c r="AX350" i="11" s="1"/>
  <c r="AO350" i="11"/>
  <c r="AP350" i="11" s="1"/>
  <c r="AO344" i="11"/>
  <c r="AP344" i="11" s="1"/>
  <c r="AV344" i="11"/>
  <c r="AW344" i="11" s="1"/>
  <c r="AX344" i="11" s="1"/>
  <c r="AR346" i="11"/>
  <c r="AT346" i="11"/>
  <c r="AY346" i="11"/>
  <c r="AO349" i="11"/>
  <c r="AP349" i="11" s="1"/>
  <c r="AV349" i="11"/>
  <c r="AW349" i="11" s="1"/>
  <c r="AX349" i="11" s="1"/>
  <c r="AP347" i="11"/>
  <c r="C189" i="11" a="1"/>
  <c r="C189" i="11" s="1"/>
  <c r="C188" i="11" a="1"/>
  <c r="C188" i="11" s="1"/>
  <c r="C187" i="11" a="1"/>
  <c r="C187" i="11" s="1"/>
  <c r="C186" i="11" a="1"/>
  <c r="C186" i="11" s="1"/>
  <c r="C185" i="11" a="1"/>
  <c r="C185" i="11" s="1"/>
  <c r="C184" i="11" a="1"/>
  <c r="C184" i="11" s="1"/>
  <c r="C183" i="11" a="1"/>
  <c r="C183" i="11" s="1"/>
  <c r="C182" i="11" a="1"/>
  <c r="C182" i="11" s="1"/>
  <c r="C181" i="11" a="1"/>
  <c r="C181" i="11" s="1"/>
  <c r="C180" i="11" a="1"/>
  <c r="C180" i="11" s="1"/>
  <c r="C179" i="11" a="1"/>
  <c r="C179" i="11" s="1"/>
  <c r="C178" i="11" a="1"/>
  <c r="C178" i="11" s="1"/>
  <c r="C177" i="11" a="1"/>
  <c r="C177" i="11" s="1"/>
  <c r="C176" i="11" a="1"/>
  <c r="C176" i="11" s="1"/>
  <c r="C175" i="11" a="1"/>
  <c r="C175" i="11" s="1"/>
  <c r="C164" i="11" a="1"/>
  <c r="C164" i="11" s="1"/>
  <c r="C163" i="11" a="1"/>
  <c r="C163" i="11" s="1"/>
  <c r="C162" i="11" a="1"/>
  <c r="C162" i="11" s="1"/>
  <c r="C161" i="11" a="1"/>
  <c r="C161" i="11" s="1"/>
  <c r="C160" i="11" a="1"/>
  <c r="C160" i="11" s="1"/>
  <c r="R318" i="47" l="1"/>
  <c r="T318" i="47"/>
  <c r="P322" i="72"/>
  <c r="T317" i="47"/>
  <c r="R317" i="47"/>
  <c r="P321" i="72"/>
  <c r="T316" i="47"/>
  <c r="R316" i="47"/>
  <c r="T315" i="47"/>
  <c r="AP139" i="47"/>
  <c r="AT139" i="47" s="1"/>
  <c r="AP124" i="47"/>
  <c r="AT124" i="47" s="1"/>
  <c r="Y160" i="11"/>
  <c r="H160" i="11" s="1"/>
  <c r="I164" i="63" s="1"/>
  <c r="Y182" i="11"/>
  <c r="H182" i="11" s="1"/>
  <c r="I186" i="63" s="1"/>
  <c r="M182" i="11"/>
  <c r="Y186" i="11"/>
  <c r="H186" i="11" s="1"/>
  <c r="I190" i="63" s="1"/>
  <c r="M186" i="11"/>
  <c r="Y161" i="11"/>
  <c r="H161" i="11" s="1"/>
  <c r="I165" i="63" s="1"/>
  <c r="Y175" i="11"/>
  <c r="H175" i="11" s="1"/>
  <c r="I179" i="63" s="1"/>
  <c r="M175" i="11"/>
  <c r="Y179" i="11"/>
  <c r="H179" i="11" s="1"/>
  <c r="I183" i="63" s="1"/>
  <c r="M179" i="11"/>
  <c r="Y183" i="11"/>
  <c r="H183" i="11" s="1"/>
  <c r="I187" i="63" s="1"/>
  <c r="M183" i="11"/>
  <c r="Y187" i="11"/>
  <c r="H187" i="11" s="1"/>
  <c r="I191" i="63" s="1"/>
  <c r="M187" i="11"/>
  <c r="Y164" i="11"/>
  <c r="H164" i="11" s="1"/>
  <c r="I168" i="63" s="1"/>
  <c r="Y162" i="11"/>
  <c r="H162" i="11" s="1"/>
  <c r="I166" i="63" s="1"/>
  <c r="Y176" i="11"/>
  <c r="H176" i="11" s="1"/>
  <c r="I180" i="63" s="1"/>
  <c r="M176" i="11"/>
  <c r="Y180" i="11"/>
  <c r="H180" i="11" s="1"/>
  <c r="I184" i="63" s="1"/>
  <c r="M180" i="11"/>
  <c r="Y184" i="11"/>
  <c r="H184" i="11" s="1"/>
  <c r="I188" i="63" s="1"/>
  <c r="M184" i="11"/>
  <c r="Y188" i="11"/>
  <c r="H188" i="11" s="1"/>
  <c r="I192" i="63" s="1"/>
  <c r="M188" i="11"/>
  <c r="Y178" i="11"/>
  <c r="H178" i="11" s="1"/>
  <c r="I182" i="63" s="1"/>
  <c r="M178" i="11"/>
  <c r="Y163" i="11"/>
  <c r="H163" i="11" s="1"/>
  <c r="I167" i="63" s="1"/>
  <c r="Y177" i="11"/>
  <c r="H177" i="11" s="1"/>
  <c r="I181" i="63" s="1"/>
  <c r="M177" i="11"/>
  <c r="Y181" i="11"/>
  <c r="H181" i="11" s="1"/>
  <c r="I185" i="63" s="1"/>
  <c r="M181" i="11"/>
  <c r="Y185" i="11"/>
  <c r="H185" i="11" s="1"/>
  <c r="I189" i="63" s="1"/>
  <c r="M185" i="11"/>
  <c r="Y189" i="11"/>
  <c r="H189" i="11" s="1"/>
  <c r="I193" i="63" s="1"/>
  <c r="M189" i="11"/>
  <c r="W160" i="11"/>
  <c r="F160" i="11" s="1"/>
  <c r="X160" i="11"/>
  <c r="G160" i="11" s="1"/>
  <c r="V160" i="11"/>
  <c r="E160" i="11" s="1"/>
  <c r="W164" i="11"/>
  <c r="F164" i="11" s="1"/>
  <c r="X164" i="11"/>
  <c r="G164" i="11" s="1"/>
  <c r="V164" i="11"/>
  <c r="E164" i="11" s="1"/>
  <c r="V178" i="11"/>
  <c r="E178" i="11" s="1"/>
  <c r="X178" i="11"/>
  <c r="G178" i="11" s="1"/>
  <c r="W178" i="11"/>
  <c r="F178" i="11" s="1"/>
  <c r="V182" i="11"/>
  <c r="E182" i="11" s="1"/>
  <c r="X182" i="11"/>
  <c r="G182" i="11" s="1"/>
  <c r="W182" i="11"/>
  <c r="F182" i="11" s="1"/>
  <c r="V186" i="11"/>
  <c r="E186" i="11" s="1"/>
  <c r="X186" i="11"/>
  <c r="G186" i="11" s="1"/>
  <c r="W186" i="11"/>
  <c r="F186" i="11" s="1"/>
  <c r="V161" i="11"/>
  <c r="E161" i="11" s="1"/>
  <c r="X161" i="11"/>
  <c r="G161" i="11" s="1"/>
  <c r="W161" i="11"/>
  <c r="F161" i="11" s="1"/>
  <c r="W175" i="11"/>
  <c r="F175" i="11" s="1"/>
  <c r="V175" i="11"/>
  <c r="E175" i="11" s="1"/>
  <c r="X175" i="11"/>
  <c r="G175" i="11" s="1"/>
  <c r="W179" i="11"/>
  <c r="F179" i="11" s="1"/>
  <c r="X179" i="11"/>
  <c r="G179" i="11" s="1"/>
  <c r="V179" i="11"/>
  <c r="E179" i="11" s="1"/>
  <c r="W183" i="11"/>
  <c r="F183" i="11" s="1"/>
  <c r="V183" i="11"/>
  <c r="E183" i="11" s="1"/>
  <c r="X183" i="11"/>
  <c r="G183" i="11" s="1"/>
  <c r="W187" i="11"/>
  <c r="F187" i="11" s="1"/>
  <c r="X187" i="11"/>
  <c r="G187" i="11" s="1"/>
  <c r="V187" i="11"/>
  <c r="E187" i="11" s="1"/>
  <c r="W162" i="11"/>
  <c r="F162" i="11" s="1"/>
  <c r="X162" i="11"/>
  <c r="G162" i="11" s="1"/>
  <c r="V162" i="11"/>
  <c r="E162" i="11" s="1"/>
  <c r="X176" i="11"/>
  <c r="G176" i="11" s="1"/>
  <c r="V176" i="11"/>
  <c r="E176" i="11" s="1"/>
  <c r="W176" i="11"/>
  <c r="F176" i="11" s="1"/>
  <c r="X180" i="11"/>
  <c r="G180" i="11" s="1"/>
  <c r="V180" i="11"/>
  <c r="E180" i="11" s="1"/>
  <c r="W180" i="11"/>
  <c r="F180" i="11" s="1"/>
  <c r="X184" i="11"/>
  <c r="G184" i="11" s="1"/>
  <c r="V184" i="11"/>
  <c r="E184" i="11" s="1"/>
  <c r="W184" i="11"/>
  <c r="F184" i="11" s="1"/>
  <c r="X188" i="11"/>
  <c r="G188" i="11" s="1"/>
  <c r="V188" i="11"/>
  <c r="E188" i="11" s="1"/>
  <c r="W188" i="11"/>
  <c r="F188" i="11" s="1"/>
  <c r="X163" i="11"/>
  <c r="G163" i="11" s="1"/>
  <c r="V163" i="11"/>
  <c r="E163" i="11" s="1"/>
  <c r="W163" i="11"/>
  <c r="F163" i="11" s="1"/>
  <c r="W177" i="11"/>
  <c r="F177" i="11" s="1"/>
  <c r="X177" i="11"/>
  <c r="G177" i="11" s="1"/>
  <c r="V177" i="11"/>
  <c r="E177" i="11" s="1"/>
  <c r="W181" i="11"/>
  <c r="F181" i="11" s="1"/>
  <c r="X181" i="11"/>
  <c r="G181" i="11" s="1"/>
  <c r="V181" i="11"/>
  <c r="E181" i="11" s="1"/>
  <c r="W185" i="11"/>
  <c r="F185" i="11" s="1"/>
  <c r="X185" i="11"/>
  <c r="G185" i="11" s="1"/>
  <c r="V185" i="11"/>
  <c r="E185" i="11" s="1"/>
  <c r="W189" i="11"/>
  <c r="F189" i="11" s="1"/>
  <c r="X189" i="11"/>
  <c r="G189" i="11" s="1"/>
  <c r="V189" i="11"/>
  <c r="E189" i="11" s="1"/>
  <c r="AM271" i="47"/>
  <c r="AN271" i="47" s="1"/>
  <c r="AP271" i="47" s="1"/>
  <c r="AR271" i="47" s="1"/>
  <c r="AP156" i="54"/>
  <c r="AR156" i="54" s="1"/>
  <c r="AK325" i="47"/>
  <c r="AV325" i="47" s="1"/>
  <c r="AW325" i="47" s="1"/>
  <c r="AX325" i="47" s="1"/>
  <c r="BE161" i="11"/>
  <c r="L161" i="11" s="1"/>
  <c r="BD161" i="11"/>
  <c r="K161" i="11" s="1"/>
  <c r="Z161" i="11"/>
  <c r="N161" i="11" s="1"/>
  <c r="BC161" i="11"/>
  <c r="J161" i="11" s="1"/>
  <c r="BB161" i="11"/>
  <c r="I161" i="11" s="1"/>
  <c r="BE179" i="11"/>
  <c r="L179" i="11" s="1"/>
  <c r="BD179" i="11"/>
  <c r="K179" i="11" s="1"/>
  <c r="Z179" i="11"/>
  <c r="N179" i="11" s="1"/>
  <c r="BC179" i="11"/>
  <c r="J179" i="11" s="1"/>
  <c r="BB179" i="11"/>
  <c r="I179" i="11" s="1"/>
  <c r="BE162" i="11"/>
  <c r="L162" i="11" s="1"/>
  <c r="BD162" i="11"/>
  <c r="K162" i="11" s="1"/>
  <c r="Z162" i="11"/>
  <c r="N162" i="11" s="1"/>
  <c r="BB162" i="11"/>
  <c r="I162" i="11" s="1"/>
  <c r="BC162" i="11"/>
  <c r="J162" i="11" s="1"/>
  <c r="BE180" i="11"/>
  <c r="L180" i="11" s="1"/>
  <c r="BD180" i="11"/>
  <c r="K180" i="11" s="1"/>
  <c r="Z180" i="11"/>
  <c r="N180" i="11" s="1"/>
  <c r="BB180" i="11"/>
  <c r="I180" i="11" s="1"/>
  <c r="BC180" i="11"/>
  <c r="J180" i="11" s="1"/>
  <c r="BE184" i="11"/>
  <c r="L184" i="11" s="1"/>
  <c r="BD184" i="11"/>
  <c r="K184" i="11" s="1"/>
  <c r="Z184" i="11"/>
  <c r="N184" i="11" s="1"/>
  <c r="BB184" i="11"/>
  <c r="I184" i="11" s="1"/>
  <c r="BC184" i="11"/>
  <c r="J184" i="11" s="1"/>
  <c r="BE188" i="11"/>
  <c r="L188" i="11" s="1"/>
  <c r="BC188" i="11"/>
  <c r="J188" i="11" s="1"/>
  <c r="BD188" i="11"/>
  <c r="K188" i="11" s="1"/>
  <c r="Z188" i="11"/>
  <c r="N188" i="11" s="1"/>
  <c r="BB188" i="11"/>
  <c r="I188" i="11" s="1"/>
  <c r="BE163" i="11"/>
  <c r="L163" i="11" s="1"/>
  <c r="BD163" i="11"/>
  <c r="K163" i="11" s="1"/>
  <c r="Z163" i="11"/>
  <c r="N163" i="11" s="1"/>
  <c r="BC163" i="11"/>
  <c r="J163" i="11" s="1"/>
  <c r="BB163" i="11"/>
  <c r="I163" i="11" s="1"/>
  <c r="BE177" i="11"/>
  <c r="L177" i="11" s="1"/>
  <c r="BD177" i="11"/>
  <c r="K177" i="11" s="1"/>
  <c r="Z177" i="11"/>
  <c r="N177" i="11" s="1"/>
  <c r="BC177" i="11"/>
  <c r="J177" i="11" s="1"/>
  <c r="BB177" i="11"/>
  <c r="I177" i="11" s="1"/>
  <c r="BE181" i="11"/>
  <c r="L181" i="11" s="1"/>
  <c r="BD181" i="11"/>
  <c r="K181" i="11" s="1"/>
  <c r="Z181" i="11"/>
  <c r="N181" i="11" s="1"/>
  <c r="BC181" i="11"/>
  <c r="J181" i="11" s="1"/>
  <c r="BB181" i="11"/>
  <c r="I181" i="11" s="1"/>
  <c r="BE185" i="11"/>
  <c r="L185" i="11" s="1"/>
  <c r="BD185" i="11"/>
  <c r="K185" i="11" s="1"/>
  <c r="Z185" i="11"/>
  <c r="N185" i="11" s="1"/>
  <c r="BC185" i="11"/>
  <c r="J185" i="11" s="1"/>
  <c r="BB185" i="11"/>
  <c r="I185" i="11" s="1"/>
  <c r="BE189" i="11"/>
  <c r="L189" i="11" s="1"/>
  <c r="BD189" i="11"/>
  <c r="K189" i="11" s="1"/>
  <c r="Z189" i="11"/>
  <c r="N189" i="11" s="1"/>
  <c r="BC189" i="11"/>
  <c r="J189" i="11" s="1"/>
  <c r="BB189" i="11"/>
  <c r="I189" i="11" s="1"/>
  <c r="BE175" i="11"/>
  <c r="L175" i="11" s="1"/>
  <c r="BD175" i="11"/>
  <c r="K175" i="11" s="1"/>
  <c r="Z175" i="11"/>
  <c r="N175" i="11" s="1"/>
  <c r="BC175" i="11"/>
  <c r="J175" i="11" s="1"/>
  <c r="BB175" i="11"/>
  <c r="I175" i="11" s="1"/>
  <c r="BE183" i="11"/>
  <c r="L183" i="11" s="1"/>
  <c r="BD183" i="11"/>
  <c r="K183" i="11" s="1"/>
  <c r="Z183" i="11"/>
  <c r="N183" i="11" s="1"/>
  <c r="BC183" i="11"/>
  <c r="J183" i="11" s="1"/>
  <c r="BB183" i="11"/>
  <c r="I183" i="11" s="1"/>
  <c r="BE187" i="11"/>
  <c r="L187" i="11" s="1"/>
  <c r="BD187" i="11"/>
  <c r="K187" i="11" s="1"/>
  <c r="Z187" i="11"/>
  <c r="N187" i="11" s="1"/>
  <c r="BC187" i="11"/>
  <c r="J187" i="11" s="1"/>
  <c r="BB187" i="11"/>
  <c r="I187" i="11" s="1"/>
  <c r="BE176" i="11"/>
  <c r="L176" i="11" s="1"/>
  <c r="BD176" i="11"/>
  <c r="K176" i="11" s="1"/>
  <c r="Z176" i="11"/>
  <c r="N176" i="11" s="1"/>
  <c r="BB176" i="11"/>
  <c r="I176" i="11" s="1"/>
  <c r="BC176" i="11"/>
  <c r="J176" i="11" s="1"/>
  <c r="BE160" i="11"/>
  <c r="L160" i="11" s="1"/>
  <c r="BD160" i="11"/>
  <c r="K160" i="11" s="1"/>
  <c r="Z160" i="11"/>
  <c r="N160" i="11" s="1"/>
  <c r="BB160" i="11"/>
  <c r="I160" i="11" s="1"/>
  <c r="BC160" i="11"/>
  <c r="J160" i="11" s="1"/>
  <c r="BE164" i="11"/>
  <c r="L164" i="11" s="1"/>
  <c r="BD164" i="11"/>
  <c r="K164" i="11" s="1"/>
  <c r="Z164" i="11"/>
  <c r="N164" i="11" s="1"/>
  <c r="BB164" i="11"/>
  <c r="I164" i="11" s="1"/>
  <c r="BC164" i="11"/>
  <c r="J164" i="11" s="1"/>
  <c r="BE178" i="11"/>
  <c r="L178" i="11" s="1"/>
  <c r="BD178" i="11"/>
  <c r="K178" i="11" s="1"/>
  <c r="Z178" i="11"/>
  <c r="N178" i="11" s="1"/>
  <c r="BB178" i="11"/>
  <c r="I178" i="11" s="1"/>
  <c r="BC178" i="11"/>
  <c r="J178" i="11" s="1"/>
  <c r="BE182" i="11"/>
  <c r="L182" i="11" s="1"/>
  <c r="BD182" i="11"/>
  <c r="K182" i="11" s="1"/>
  <c r="Z182" i="11"/>
  <c r="N182" i="11" s="1"/>
  <c r="BB182" i="11"/>
  <c r="I182" i="11" s="1"/>
  <c r="BC182" i="11"/>
  <c r="J182" i="11" s="1"/>
  <c r="BE186" i="11"/>
  <c r="L186" i="11" s="1"/>
  <c r="BC186" i="11"/>
  <c r="J186" i="11" s="1"/>
  <c r="BD186" i="11"/>
  <c r="K186" i="11" s="1"/>
  <c r="Z186" i="11"/>
  <c r="N186" i="11" s="1"/>
  <c r="BB186" i="11"/>
  <c r="I186" i="11" s="1"/>
  <c r="AP138" i="47"/>
  <c r="AR138" i="47" s="1"/>
  <c r="C167" i="63"/>
  <c r="C189" i="63"/>
  <c r="C168" i="63"/>
  <c r="C186" i="63"/>
  <c r="C190" i="63"/>
  <c r="C181" i="63"/>
  <c r="C193" i="63"/>
  <c r="C164" i="63"/>
  <c r="C182" i="63"/>
  <c r="C165" i="63"/>
  <c r="C179" i="63"/>
  <c r="C183" i="63"/>
  <c r="C187" i="63"/>
  <c r="C191" i="63"/>
  <c r="C185" i="63"/>
  <c r="C166" i="63"/>
  <c r="C180" i="63"/>
  <c r="C184" i="63"/>
  <c r="C188" i="63"/>
  <c r="C192" i="63"/>
  <c r="AV271" i="47"/>
  <c r="AW271" i="47" s="1"/>
  <c r="AX271" i="47" s="1"/>
  <c r="AP120" i="47"/>
  <c r="AR120" i="47" s="1"/>
  <c r="AS120" i="47" s="1"/>
  <c r="AV94" i="47"/>
  <c r="AW94" i="47" s="1"/>
  <c r="AX94" i="47" s="1"/>
  <c r="AM299" i="47"/>
  <c r="AN299" i="47" s="1"/>
  <c r="AV272" i="47"/>
  <c r="AW272" i="47" s="1"/>
  <c r="AX272" i="47" s="1"/>
  <c r="AM273" i="47"/>
  <c r="AN273" i="47" s="1"/>
  <c r="AM294" i="47"/>
  <c r="AN294" i="47" s="1"/>
  <c r="AP294" i="47" s="1"/>
  <c r="AM308" i="47"/>
  <c r="AN308" i="47" s="1"/>
  <c r="AP308" i="47" s="1"/>
  <c r="AM297" i="47"/>
  <c r="AN297" i="47" s="1"/>
  <c r="AV294" i="47"/>
  <c r="AW294" i="47" s="1"/>
  <c r="AX294" i="47" s="1"/>
  <c r="AV308" i="47"/>
  <c r="AW308" i="47" s="1"/>
  <c r="AX308" i="47" s="1"/>
  <c r="AO155" i="47"/>
  <c r="AP155" i="47" s="1"/>
  <c r="AY155" i="47" s="1"/>
  <c r="AV310" i="47"/>
  <c r="AW310" i="47" s="1"/>
  <c r="AX310" i="47" s="1"/>
  <c r="AV303" i="47"/>
  <c r="AW303" i="47" s="1"/>
  <c r="AX303" i="47" s="1"/>
  <c r="AP154" i="47"/>
  <c r="AR154" i="47" s="1"/>
  <c r="AS154" i="47" s="1"/>
  <c r="AR351" i="11"/>
  <c r="AU351" i="11" s="1"/>
  <c r="AZ351" i="11" s="1"/>
  <c r="AY351" i="11"/>
  <c r="AK326" i="47"/>
  <c r="AV326" i="47" s="1"/>
  <c r="AW326" i="47" s="1"/>
  <c r="AX326" i="47" s="1"/>
  <c r="AO319" i="47"/>
  <c r="AO324" i="47"/>
  <c r="AM303" i="47"/>
  <c r="AN303" i="47" s="1"/>
  <c r="AP303" i="47" s="1"/>
  <c r="AR303" i="47" s="1"/>
  <c r="AM324" i="47"/>
  <c r="AN324" i="47" s="1"/>
  <c r="AM310" i="47"/>
  <c r="AN310" i="47" s="1"/>
  <c r="AP310" i="47" s="1"/>
  <c r="AM319" i="47"/>
  <c r="AN319" i="47" s="1"/>
  <c r="AM285" i="47"/>
  <c r="AN285" i="47" s="1"/>
  <c r="AO285" i="47"/>
  <c r="AM301" i="47"/>
  <c r="AN301" i="47" s="1"/>
  <c r="AM293" i="47"/>
  <c r="AN293" i="47" s="1"/>
  <c r="AO329" i="47"/>
  <c r="AP329" i="47" s="1"/>
  <c r="AT329" i="47" s="1"/>
  <c r="AP152" i="47"/>
  <c r="AR152" i="47" s="1"/>
  <c r="AK287" i="47"/>
  <c r="AV287" i="47" s="1"/>
  <c r="AW287" i="47" s="1"/>
  <c r="AX287" i="47" s="1"/>
  <c r="AM333" i="47"/>
  <c r="AN333" i="47" s="1"/>
  <c r="AB179" i="11"/>
  <c r="AB183" i="11"/>
  <c r="AB187" i="11"/>
  <c r="AB180" i="11"/>
  <c r="AB184" i="11"/>
  <c r="AB188" i="11"/>
  <c r="AB181" i="11"/>
  <c r="AB185" i="11"/>
  <c r="AB189" i="11"/>
  <c r="AB182" i="11"/>
  <c r="AB186" i="11"/>
  <c r="AB178" i="11"/>
  <c r="AB176" i="11"/>
  <c r="AB175" i="11"/>
  <c r="AB177" i="11"/>
  <c r="AM309" i="47"/>
  <c r="AN309" i="47" s="1"/>
  <c r="AV101" i="47"/>
  <c r="AW101" i="47" s="1"/>
  <c r="AX101" i="47" s="1"/>
  <c r="AO323" i="47"/>
  <c r="AO106" i="47"/>
  <c r="AP106" i="47" s="1"/>
  <c r="AT106" i="47" s="1"/>
  <c r="AM323" i="47"/>
  <c r="AN323" i="47" s="1"/>
  <c r="AO295" i="47"/>
  <c r="AP295" i="47" s="1"/>
  <c r="AO330" i="47"/>
  <c r="AM330" i="47"/>
  <c r="AN330" i="47" s="1"/>
  <c r="AK279" i="47"/>
  <c r="AO279" i="47" s="1"/>
  <c r="AP279" i="47" s="1"/>
  <c r="AV116" i="47"/>
  <c r="AW116" i="47" s="1"/>
  <c r="AX116" i="47" s="1"/>
  <c r="AV295" i="47"/>
  <c r="AW295" i="47" s="1"/>
  <c r="AX295" i="47" s="1"/>
  <c r="AM306" i="47"/>
  <c r="AN306" i="47" s="1"/>
  <c r="AO298" i="47"/>
  <c r="AP118" i="47"/>
  <c r="AT118" i="47" s="1"/>
  <c r="AM302" i="47"/>
  <c r="AN302" i="47" s="1"/>
  <c r="AP149" i="47"/>
  <c r="AR149" i="47" s="1"/>
  <c r="AK328" i="47"/>
  <c r="AO328" i="47" s="1"/>
  <c r="AP328" i="47" s="1"/>
  <c r="AO305" i="47"/>
  <c r="AM298" i="47"/>
  <c r="AN298" i="47" s="1"/>
  <c r="AP147" i="47"/>
  <c r="AY147" i="47" s="1"/>
  <c r="AO315" i="47"/>
  <c r="AP142" i="47"/>
  <c r="AY142" i="47" s="1"/>
  <c r="AP151" i="47"/>
  <c r="AR151" i="47" s="1"/>
  <c r="AS151" i="47" s="1"/>
  <c r="AM278" i="47"/>
  <c r="AN278" i="47" s="1"/>
  <c r="AP278" i="47" s="1"/>
  <c r="AV278" i="47"/>
  <c r="AW278" i="47" s="1"/>
  <c r="AX278" i="47" s="1"/>
  <c r="AM315" i="47"/>
  <c r="AN315" i="47" s="1"/>
  <c r="AV109" i="47"/>
  <c r="AW109" i="47" s="1"/>
  <c r="AX109" i="47" s="1"/>
  <c r="AV100" i="47"/>
  <c r="AW100" i="47" s="1"/>
  <c r="AX100" i="47" s="1"/>
  <c r="AK320" i="47"/>
  <c r="AO320" i="47" s="1"/>
  <c r="AP320" i="47" s="1"/>
  <c r="AV332" i="47"/>
  <c r="AW332" i="47" s="1"/>
  <c r="AX332" i="47" s="1"/>
  <c r="AM284" i="47"/>
  <c r="AN284" i="47" s="1"/>
  <c r="AM332" i="47"/>
  <c r="AN332" i="47" s="1"/>
  <c r="AP332" i="47" s="1"/>
  <c r="AM305" i="47"/>
  <c r="AN305" i="47" s="1"/>
  <c r="AV150" i="47"/>
  <c r="AW150" i="47" s="1"/>
  <c r="AX150" i="47" s="1"/>
  <c r="AP105" i="47"/>
  <c r="AT105" i="47" s="1"/>
  <c r="AO316" i="47"/>
  <c r="AP316" i="47" s="1"/>
  <c r="AR316" i="47" s="1"/>
  <c r="AO307" i="47"/>
  <c r="AP307" i="47" s="1"/>
  <c r="AR307" i="47" s="1"/>
  <c r="AP143" i="47"/>
  <c r="AR143" i="47" s="1"/>
  <c r="AP123" i="47"/>
  <c r="AY123" i="47" s="1"/>
  <c r="AV274" i="47"/>
  <c r="AW274" i="47" s="1"/>
  <c r="AX274" i="47" s="1"/>
  <c r="AM274" i="47"/>
  <c r="AN274" i="47" s="1"/>
  <c r="AP274" i="47" s="1"/>
  <c r="AT274" i="47" s="1"/>
  <c r="AP96" i="47"/>
  <c r="AT96" i="47" s="1"/>
  <c r="AO108" i="47"/>
  <c r="AP108" i="47" s="1"/>
  <c r="AY108" i="47" s="1"/>
  <c r="AP104" i="47"/>
  <c r="AR104" i="47" s="1"/>
  <c r="AT132" i="47"/>
  <c r="AU132" i="47" s="1"/>
  <c r="AZ132" i="47" s="1"/>
  <c r="AO296" i="47"/>
  <c r="AP296" i="47" s="1"/>
  <c r="AK331" i="47"/>
  <c r="AV331" i="47" s="1"/>
  <c r="AW331" i="47" s="1"/>
  <c r="AX331" i="47" s="1"/>
  <c r="AV296" i="47"/>
  <c r="AW296" i="47" s="1"/>
  <c r="AX296" i="47" s="1"/>
  <c r="AM281" i="47"/>
  <c r="AN281" i="47" s="1"/>
  <c r="AP281" i="47" s="1"/>
  <c r="AR281" i="47" s="1"/>
  <c r="AV281" i="47"/>
  <c r="AW281" i="47" s="1"/>
  <c r="AX281" i="47" s="1"/>
  <c r="AP151" i="54"/>
  <c r="AT151" i="54" s="1"/>
  <c r="AP127" i="54"/>
  <c r="AR127" i="54" s="1"/>
  <c r="AP95" i="54"/>
  <c r="AY95" i="54" s="1"/>
  <c r="AR95" i="47"/>
  <c r="AS95" i="47" s="1"/>
  <c r="AP153" i="54"/>
  <c r="AT153" i="54" s="1"/>
  <c r="AP154" i="54"/>
  <c r="AR154" i="54" s="1"/>
  <c r="AP104" i="54"/>
  <c r="AT104" i="54" s="1"/>
  <c r="AO155" i="54"/>
  <c r="AP155" i="54" s="1"/>
  <c r="AV155" i="54"/>
  <c r="AW155" i="54" s="1"/>
  <c r="AX155" i="54" s="1"/>
  <c r="AO110" i="54"/>
  <c r="AP110" i="54" s="1"/>
  <c r="AV110" i="54"/>
  <c r="AW110" i="54" s="1"/>
  <c r="AX110" i="54" s="1"/>
  <c r="AV150" i="54"/>
  <c r="AW150" i="54" s="1"/>
  <c r="AX150" i="54" s="1"/>
  <c r="AO150" i="54"/>
  <c r="AP150" i="54" s="1"/>
  <c r="AV129" i="54"/>
  <c r="AW129" i="54" s="1"/>
  <c r="AX129" i="54" s="1"/>
  <c r="AO129" i="54"/>
  <c r="AP129" i="54" s="1"/>
  <c r="AV133" i="54"/>
  <c r="AW133" i="54" s="1"/>
  <c r="AX133" i="54" s="1"/>
  <c r="AO133" i="54"/>
  <c r="AP133" i="54" s="1"/>
  <c r="AV109" i="54"/>
  <c r="AW109" i="54" s="1"/>
  <c r="AX109" i="54" s="1"/>
  <c r="AO109" i="54"/>
  <c r="AP109" i="54" s="1"/>
  <c r="AO152" i="54"/>
  <c r="AP152" i="54" s="1"/>
  <c r="AV152" i="54"/>
  <c r="AW152" i="54" s="1"/>
  <c r="AX152" i="54" s="1"/>
  <c r="AO125" i="54"/>
  <c r="AP125" i="54" s="1"/>
  <c r="AV125" i="54"/>
  <c r="AW125" i="54" s="1"/>
  <c r="AX125" i="54" s="1"/>
  <c r="AO108" i="54"/>
  <c r="AP108" i="54" s="1"/>
  <c r="AV108" i="54"/>
  <c r="AW108" i="54" s="1"/>
  <c r="AX108" i="54" s="1"/>
  <c r="AP103" i="54"/>
  <c r="AO146" i="54"/>
  <c r="AP146" i="54" s="1"/>
  <c r="AV146" i="54"/>
  <c r="AW146" i="54" s="1"/>
  <c r="AX146" i="54" s="1"/>
  <c r="AO98" i="54"/>
  <c r="AP98" i="54" s="1"/>
  <c r="AV98" i="54"/>
  <c r="AW98" i="54" s="1"/>
  <c r="AX98" i="54" s="1"/>
  <c r="AO145" i="54"/>
  <c r="AP145" i="54" s="1"/>
  <c r="AV145" i="54"/>
  <c r="AW145" i="54" s="1"/>
  <c r="AX145" i="54" s="1"/>
  <c r="AO148" i="54"/>
  <c r="AP148" i="54" s="1"/>
  <c r="AV148" i="54"/>
  <c r="AW148" i="54" s="1"/>
  <c r="AX148" i="54" s="1"/>
  <c r="AV131" i="54"/>
  <c r="AW131" i="54" s="1"/>
  <c r="AX131" i="54" s="1"/>
  <c r="AO131" i="54"/>
  <c r="AP131" i="54" s="1"/>
  <c r="AO149" i="54"/>
  <c r="AP149" i="54" s="1"/>
  <c r="AV149" i="54"/>
  <c r="AW149" i="54" s="1"/>
  <c r="AX149" i="54" s="1"/>
  <c r="AO96" i="54"/>
  <c r="AP96" i="54" s="1"/>
  <c r="AV96" i="54"/>
  <c r="AW96" i="54" s="1"/>
  <c r="AX96" i="54" s="1"/>
  <c r="AO147" i="54"/>
  <c r="AP147" i="54" s="1"/>
  <c r="AV147" i="54"/>
  <c r="AW147" i="54" s="1"/>
  <c r="AX147" i="54" s="1"/>
  <c r="AO106" i="54"/>
  <c r="AP106" i="54" s="1"/>
  <c r="AV106" i="54"/>
  <c r="AW106" i="54" s="1"/>
  <c r="AX106" i="54" s="1"/>
  <c r="AO130" i="54"/>
  <c r="AP130" i="54" s="1"/>
  <c r="AV130" i="54"/>
  <c r="AW130" i="54" s="1"/>
  <c r="AX130" i="54" s="1"/>
  <c r="AV99" i="54"/>
  <c r="AW99" i="54" s="1"/>
  <c r="AX99" i="54" s="1"/>
  <c r="AO99" i="54"/>
  <c r="AP99" i="54" s="1"/>
  <c r="AP105" i="54"/>
  <c r="AV97" i="54"/>
  <c r="AW97" i="54" s="1"/>
  <c r="AX97" i="54" s="1"/>
  <c r="AO97" i="54"/>
  <c r="AP97" i="54" s="1"/>
  <c r="AV128" i="54"/>
  <c r="AW128" i="54" s="1"/>
  <c r="AX128" i="54" s="1"/>
  <c r="AO128" i="54"/>
  <c r="AP128" i="54" s="1"/>
  <c r="AO107" i="54"/>
  <c r="AP107" i="54" s="1"/>
  <c r="AV107" i="54"/>
  <c r="AW107" i="54" s="1"/>
  <c r="AX107" i="54" s="1"/>
  <c r="AO126" i="54"/>
  <c r="AP126" i="54" s="1"/>
  <c r="AV126" i="54"/>
  <c r="AW126" i="54" s="1"/>
  <c r="AX126" i="54" s="1"/>
  <c r="AV132" i="54"/>
  <c r="AW132" i="54" s="1"/>
  <c r="AX132" i="54" s="1"/>
  <c r="AO132" i="54"/>
  <c r="AP132" i="54" s="1"/>
  <c r="AP124" i="54"/>
  <c r="AV101" i="54"/>
  <c r="AW101" i="54" s="1"/>
  <c r="AX101" i="54" s="1"/>
  <c r="AO101" i="54"/>
  <c r="AP101" i="54" s="1"/>
  <c r="AV100" i="54"/>
  <c r="AW100" i="54" s="1"/>
  <c r="AX100" i="54" s="1"/>
  <c r="AO100" i="54"/>
  <c r="AP100" i="54" s="1"/>
  <c r="AO102" i="54"/>
  <c r="AP102" i="54" s="1"/>
  <c r="AV102" i="54"/>
  <c r="AW102" i="54" s="1"/>
  <c r="AX102" i="54" s="1"/>
  <c r="AY95" i="47"/>
  <c r="AR98" i="47"/>
  <c r="AS98" i="47" s="1"/>
  <c r="AT98" i="47"/>
  <c r="AR129" i="47"/>
  <c r="AS129" i="47" s="1"/>
  <c r="AY125" i="47"/>
  <c r="AY117" i="47"/>
  <c r="AR121" i="47"/>
  <c r="AS121" i="47" s="1"/>
  <c r="AT121" i="47"/>
  <c r="AT129" i="47"/>
  <c r="AR99" i="47"/>
  <c r="AU99" i="47" s="1"/>
  <c r="AZ99" i="47" s="1"/>
  <c r="AR133" i="47"/>
  <c r="AS133" i="47" s="1"/>
  <c r="AY132" i="47"/>
  <c r="AR144" i="47"/>
  <c r="AS144" i="47" s="1"/>
  <c r="AT125" i="47"/>
  <c r="AU125" i="47" s="1"/>
  <c r="AZ125" i="47" s="1"/>
  <c r="AV307" i="47"/>
  <c r="AW307" i="47" s="1"/>
  <c r="AX307" i="47" s="1"/>
  <c r="AY99" i="47"/>
  <c r="AT144" i="47"/>
  <c r="AV329" i="47"/>
  <c r="AW329" i="47" s="1"/>
  <c r="AX329" i="47" s="1"/>
  <c r="AV316" i="47"/>
  <c r="AW316" i="47" s="1"/>
  <c r="AX316" i="47" s="1"/>
  <c r="AR140" i="47"/>
  <c r="AS140" i="47" s="1"/>
  <c r="AY141" i="47"/>
  <c r="AT140" i="47"/>
  <c r="AR141" i="47"/>
  <c r="AS141" i="47" s="1"/>
  <c r="AO272" i="47"/>
  <c r="AP272" i="47" s="1"/>
  <c r="AR272" i="47" s="1"/>
  <c r="AT117" i="47"/>
  <c r="AU117" i="47" s="1"/>
  <c r="AZ117" i="47" s="1"/>
  <c r="AY133" i="47"/>
  <c r="AY128" i="47"/>
  <c r="AR128" i="47"/>
  <c r="AU128" i="47" s="1"/>
  <c r="AZ128" i="47" s="1"/>
  <c r="AR156" i="47"/>
  <c r="AT156" i="47"/>
  <c r="AY156" i="47"/>
  <c r="AT122" i="47"/>
  <c r="AR122" i="47"/>
  <c r="AY122" i="47"/>
  <c r="AT126" i="47"/>
  <c r="AR126" i="47"/>
  <c r="AY126" i="47"/>
  <c r="AT94" i="47"/>
  <c r="AR94" i="47"/>
  <c r="AY94" i="47"/>
  <c r="AT110" i="47"/>
  <c r="AR110" i="47"/>
  <c r="AY110" i="47"/>
  <c r="AR103" i="47"/>
  <c r="AT103" i="47"/>
  <c r="AY103" i="47"/>
  <c r="AO286" i="47"/>
  <c r="AP286" i="47" s="1"/>
  <c r="AV286" i="47"/>
  <c r="AW286" i="47" s="1"/>
  <c r="AX286" i="47" s="1"/>
  <c r="AV277" i="47"/>
  <c r="AW277" i="47" s="1"/>
  <c r="AX277" i="47" s="1"/>
  <c r="AO277" i="47"/>
  <c r="AP277" i="47" s="1"/>
  <c r="AT116" i="47"/>
  <c r="AR116" i="47"/>
  <c r="AY116" i="47"/>
  <c r="AR127" i="47"/>
  <c r="AT127" i="47"/>
  <c r="AY127" i="47"/>
  <c r="AV284" i="47"/>
  <c r="AW284" i="47" s="1"/>
  <c r="AX284" i="47" s="1"/>
  <c r="AO284" i="47"/>
  <c r="AO282" i="47"/>
  <c r="AP282" i="47" s="1"/>
  <c r="AV282" i="47"/>
  <c r="AW282" i="47" s="1"/>
  <c r="AX282" i="47" s="1"/>
  <c r="AO309" i="47"/>
  <c r="AV309" i="47"/>
  <c r="AW309" i="47" s="1"/>
  <c r="AX309" i="47" s="1"/>
  <c r="AO304" i="47"/>
  <c r="AP304" i="47" s="1"/>
  <c r="AV304" i="47"/>
  <c r="AW304" i="47" s="1"/>
  <c r="AX304" i="47" s="1"/>
  <c r="AT145" i="47"/>
  <c r="AR145" i="47"/>
  <c r="AY145" i="47"/>
  <c r="AR101" i="47"/>
  <c r="AT101" i="47"/>
  <c r="AY101" i="47"/>
  <c r="AR131" i="47"/>
  <c r="AT131" i="47"/>
  <c r="AY131" i="47"/>
  <c r="AT102" i="47"/>
  <c r="AR102" i="47"/>
  <c r="AY102" i="47"/>
  <c r="AR148" i="47"/>
  <c r="AT148" i="47"/>
  <c r="AY148" i="47"/>
  <c r="AR107" i="47"/>
  <c r="AT107" i="47"/>
  <c r="AY107" i="47"/>
  <c r="AS117" i="47"/>
  <c r="AR97" i="47"/>
  <c r="AT97" i="47"/>
  <c r="AY97" i="47"/>
  <c r="AO293" i="47"/>
  <c r="AV293" i="47"/>
  <c r="AW293" i="47" s="1"/>
  <c r="AX293" i="47" s="1"/>
  <c r="AV273" i="47"/>
  <c r="AW273" i="47" s="1"/>
  <c r="AX273" i="47" s="1"/>
  <c r="AO273" i="47"/>
  <c r="AO280" i="47"/>
  <c r="AP280" i="47" s="1"/>
  <c r="AV280" i="47"/>
  <c r="AW280" i="47" s="1"/>
  <c r="AX280" i="47" s="1"/>
  <c r="AO301" i="47"/>
  <c r="AV301" i="47"/>
  <c r="AW301" i="47" s="1"/>
  <c r="AX301" i="47" s="1"/>
  <c r="AT130" i="47"/>
  <c r="AR130" i="47"/>
  <c r="AY130" i="47"/>
  <c r="AR150" i="47"/>
  <c r="AT150" i="47"/>
  <c r="AY150" i="47"/>
  <c r="AV317" i="47"/>
  <c r="AW317" i="47" s="1"/>
  <c r="AX317" i="47" s="1"/>
  <c r="AO317" i="47"/>
  <c r="AP317" i="47" s="1"/>
  <c r="AO299" i="47"/>
  <c r="AV299" i="47"/>
  <c r="AW299" i="47" s="1"/>
  <c r="AX299" i="47" s="1"/>
  <c r="AV275" i="47"/>
  <c r="AW275" i="47" s="1"/>
  <c r="AX275" i="47" s="1"/>
  <c r="AO275" i="47"/>
  <c r="AP275" i="47" s="1"/>
  <c r="AO283" i="47"/>
  <c r="AP283" i="47" s="1"/>
  <c r="AV283" i="47"/>
  <c r="AW283" i="47" s="1"/>
  <c r="AX283" i="47" s="1"/>
  <c r="AR139" i="47"/>
  <c r="AV318" i="47"/>
  <c r="AW318" i="47" s="1"/>
  <c r="AX318" i="47" s="1"/>
  <c r="AO318" i="47"/>
  <c r="AP318" i="47" s="1"/>
  <c r="AS132" i="47"/>
  <c r="AT153" i="47"/>
  <c r="AR153" i="47"/>
  <c r="AY153" i="47"/>
  <c r="AT100" i="47"/>
  <c r="AR100" i="47"/>
  <c r="AY100" i="47"/>
  <c r="AV321" i="47"/>
  <c r="AW321" i="47" s="1"/>
  <c r="AX321" i="47" s="1"/>
  <c r="AO321" i="47"/>
  <c r="AP321" i="47" s="1"/>
  <c r="AR146" i="47"/>
  <c r="AT146" i="47"/>
  <c r="AY146" i="47"/>
  <c r="AS125" i="47"/>
  <c r="AV276" i="47"/>
  <c r="AW276" i="47" s="1"/>
  <c r="AX276" i="47" s="1"/>
  <c r="AO276" i="47"/>
  <c r="AP276" i="47" s="1"/>
  <c r="AR109" i="47"/>
  <c r="AT109" i="47"/>
  <c r="AY109" i="47"/>
  <c r="AV322" i="47"/>
  <c r="AW322" i="47" s="1"/>
  <c r="AX322" i="47" s="1"/>
  <c r="AO322" i="47"/>
  <c r="AP322" i="47" s="1"/>
  <c r="AO302" i="47"/>
  <c r="AV302" i="47"/>
  <c r="AW302" i="47" s="1"/>
  <c r="AX302" i="47" s="1"/>
  <c r="AO300" i="47"/>
  <c r="AP300" i="47" s="1"/>
  <c r="AV300" i="47"/>
  <c r="AW300" i="47" s="1"/>
  <c r="AX300" i="47" s="1"/>
  <c r="AV327" i="47"/>
  <c r="AW327" i="47" s="1"/>
  <c r="AX327" i="47" s="1"/>
  <c r="AO327" i="47"/>
  <c r="AP327" i="47" s="1"/>
  <c r="AV333" i="47"/>
  <c r="AW333" i="47" s="1"/>
  <c r="AX333" i="47" s="1"/>
  <c r="AO333" i="47"/>
  <c r="AR119" i="47"/>
  <c r="AT119" i="47"/>
  <c r="AY119" i="47"/>
  <c r="AO297" i="47"/>
  <c r="AV297" i="47"/>
  <c r="AW297" i="47" s="1"/>
  <c r="AX297" i="47" s="1"/>
  <c r="AO306" i="47"/>
  <c r="AV306" i="47"/>
  <c r="AW306" i="47" s="1"/>
  <c r="AX306" i="47" s="1"/>
  <c r="AR348" i="11"/>
  <c r="AS348" i="11" s="1"/>
  <c r="AT348" i="11"/>
  <c r="AR345" i="11"/>
  <c r="AU345" i="11" s="1"/>
  <c r="AZ345" i="11" s="1"/>
  <c r="P345" i="11" s="1"/>
  <c r="Q345" i="11" s="1"/>
  <c r="T345" i="11" s="1"/>
  <c r="R345" i="11" s="1"/>
  <c r="AY345" i="11"/>
  <c r="AT349" i="11"/>
  <c r="AR349" i="11"/>
  <c r="AY349" i="11"/>
  <c r="AS346" i="11"/>
  <c r="AU346" i="11"/>
  <c r="AZ346" i="11" s="1"/>
  <c r="P346" i="11" s="1"/>
  <c r="Q346" i="11" s="1"/>
  <c r="T346" i="11" s="1"/>
  <c r="R346" i="11" s="1"/>
  <c r="AT347" i="11"/>
  <c r="AR347" i="11"/>
  <c r="AY347" i="11"/>
  <c r="AR344" i="11"/>
  <c r="AT344" i="11"/>
  <c r="AY344" i="11"/>
  <c r="AR350" i="11"/>
  <c r="AT350" i="11"/>
  <c r="AY350" i="11"/>
  <c r="AR124" i="47" l="1"/>
  <c r="AU124" i="47" s="1"/>
  <c r="AZ124" i="47" s="1"/>
  <c r="AY124" i="47"/>
  <c r="AY139" i="47"/>
  <c r="O162" i="11"/>
  <c r="O178" i="11"/>
  <c r="O176" i="11"/>
  <c r="O160" i="11"/>
  <c r="O180" i="11"/>
  <c r="T183" i="11"/>
  <c r="O182" i="11"/>
  <c r="O184" i="11"/>
  <c r="O164" i="11"/>
  <c r="T175" i="11"/>
  <c r="T187" i="11"/>
  <c r="T179" i="11"/>
  <c r="O189" i="11"/>
  <c r="O163" i="11"/>
  <c r="O183" i="11"/>
  <c r="O181" i="11"/>
  <c r="O161" i="11"/>
  <c r="O186" i="11"/>
  <c r="O187" i="11"/>
  <c r="O185" i="11"/>
  <c r="O179" i="11"/>
  <c r="S189" i="11"/>
  <c r="P189" i="11"/>
  <c r="T189" i="11"/>
  <c r="Q189" i="11"/>
  <c r="R189" i="11"/>
  <c r="S181" i="11"/>
  <c r="P181" i="11"/>
  <c r="T181" i="11"/>
  <c r="Q181" i="11"/>
  <c r="R181" i="11"/>
  <c r="R188" i="11"/>
  <c r="S188" i="11"/>
  <c r="P188" i="11"/>
  <c r="T188" i="11"/>
  <c r="Q188" i="11"/>
  <c r="R180" i="11"/>
  <c r="S180" i="11"/>
  <c r="P180" i="11"/>
  <c r="T180" i="11"/>
  <c r="Q180" i="11"/>
  <c r="Q187" i="11"/>
  <c r="S187" i="11"/>
  <c r="R187" i="11"/>
  <c r="P187" i="11"/>
  <c r="Q179" i="11"/>
  <c r="S179" i="11"/>
  <c r="R179" i="11"/>
  <c r="P179" i="11"/>
  <c r="T182" i="11"/>
  <c r="R182" i="11"/>
  <c r="S182" i="11"/>
  <c r="Q182" i="11"/>
  <c r="P182" i="11"/>
  <c r="O175" i="11"/>
  <c r="O177" i="11"/>
  <c r="O188" i="11"/>
  <c r="S185" i="11"/>
  <c r="T185" i="11"/>
  <c r="P185" i="11"/>
  <c r="Q185" i="11"/>
  <c r="R185" i="11"/>
  <c r="S177" i="11"/>
  <c r="T177" i="11"/>
  <c r="P177" i="11"/>
  <c r="Q177" i="11"/>
  <c r="R177" i="11"/>
  <c r="T178" i="11"/>
  <c r="R178" i="11"/>
  <c r="S178" i="11"/>
  <c r="Q178" i="11"/>
  <c r="P178" i="11"/>
  <c r="R184" i="11"/>
  <c r="S184" i="11"/>
  <c r="P184" i="11"/>
  <c r="T184" i="11"/>
  <c r="Q184" i="11"/>
  <c r="R176" i="11"/>
  <c r="S176" i="11"/>
  <c r="P176" i="11"/>
  <c r="T176" i="11"/>
  <c r="Q176" i="11"/>
  <c r="Q183" i="11"/>
  <c r="R183" i="11"/>
  <c r="S183" i="11"/>
  <c r="P183" i="11"/>
  <c r="Q175" i="11"/>
  <c r="S175" i="11"/>
  <c r="R175" i="11"/>
  <c r="P175" i="11"/>
  <c r="T186" i="11"/>
  <c r="R186" i="11"/>
  <c r="S186" i="11"/>
  <c r="Q186" i="11"/>
  <c r="P186" i="11"/>
  <c r="AY156" i="54"/>
  <c r="AT156" i="54"/>
  <c r="AU156" i="54" s="1"/>
  <c r="AZ156" i="54" s="1"/>
  <c r="O352" i="63"/>
  <c r="O351" i="63"/>
  <c r="AO325" i="47"/>
  <c r="AP325" i="47" s="1"/>
  <c r="AT325" i="47" s="1"/>
  <c r="AT120" i="47"/>
  <c r="AU120" i="47" s="1"/>
  <c r="AZ120" i="47" s="1"/>
  <c r="AT138" i="47"/>
  <c r="AU138" i="47" s="1"/>
  <c r="AZ138" i="47" s="1"/>
  <c r="AY138" i="47"/>
  <c r="AY120" i="47"/>
  <c r="J165" i="63"/>
  <c r="K182" i="63"/>
  <c r="K190" i="63"/>
  <c r="J186" i="63"/>
  <c r="L185" i="63"/>
  <c r="J192" i="63"/>
  <c r="J187" i="63"/>
  <c r="L183" i="63"/>
  <c r="J181" i="63"/>
  <c r="K181" i="63"/>
  <c r="K167" i="63"/>
  <c r="K179" i="63"/>
  <c r="J168" i="63"/>
  <c r="L180" i="63"/>
  <c r="L166" i="63"/>
  <c r="L165" i="63"/>
  <c r="K164" i="63"/>
  <c r="K186" i="63"/>
  <c r="L186" i="63"/>
  <c r="K193" i="63"/>
  <c r="J193" i="63"/>
  <c r="K192" i="63"/>
  <c r="L192" i="63"/>
  <c r="J188" i="63"/>
  <c r="L191" i="63"/>
  <c r="L187" i="63"/>
  <c r="K183" i="63"/>
  <c r="J183" i="63"/>
  <c r="L179" i="63"/>
  <c r="J167" i="63"/>
  <c r="J179" i="63"/>
  <c r="K168" i="63"/>
  <c r="J180" i="63"/>
  <c r="J182" i="63"/>
  <c r="L182" i="63"/>
  <c r="L164" i="63"/>
  <c r="L193" i="63"/>
  <c r="K189" i="63"/>
  <c r="L189" i="63"/>
  <c r="J189" i="63"/>
  <c r="J184" i="63"/>
  <c r="K187" i="63"/>
  <c r="L168" i="63"/>
  <c r="L181" i="63"/>
  <c r="L167" i="63"/>
  <c r="K180" i="63"/>
  <c r="J166" i="63"/>
  <c r="K166" i="63"/>
  <c r="K165" i="63"/>
  <c r="J164" i="63"/>
  <c r="L190" i="63"/>
  <c r="J190" i="63"/>
  <c r="K185" i="63"/>
  <c r="J185" i="63"/>
  <c r="K188" i="63"/>
  <c r="L188" i="63"/>
  <c r="K184" i="63"/>
  <c r="L184" i="63"/>
  <c r="K191" i="63"/>
  <c r="J191" i="63"/>
  <c r="AP299" i="47"/>
  <c r="AR299" i="47" s="1"/>
  <c r="AP273" i="47"/>
  <c r="AT273" i="47" s="1"/>
  <c r="AP297" i="47"/>
  <c r="AR297" i="47" s="1"/>
  <c r="AP324" i="47"/>
  <c r="AY324" i="47" s="1"/>
  <c r="AR155" i="47"/>
  <c r="AS155" i="47" s="1"/>
  <c r="AO326" i="47"/>
  <c r="AP326" i="47" s="1"/>
  <c r="AY326" i="47" s="1"/>
  <c r="AS351" i="11"/>
  <c r="AT155" i="47"/>
  <c r="AP319" i="47"/>
  <c r="AR319" i="47" s="1"/>
  <c r="AS319" i="47" s="1"/>
  <c r="AY154" i="47"/>
  <c r="AT154" i="47"/>
  <c r="AU154" i="47" s="1"/>
  <c r="AZ154" i="47" s="1"/>
  <c r="AP293" i="47"/>
  <c r="AR293" i="47" s="1"/>
  <c r="AP285" i="47"/>
  <c r="AT285" i="47" s="1"/>
  <c r="N182" i="63"/>
  <c r="N190" i="63"/>
  <c r="N192" i="63"/>
  <c r="N186" i="63"/>
  <c r="N181" i="63"/>
  <c r="N188" i="63"/>
  <c r="N187" i="63"/>
  <c r="N189" i="63"/>
  <c r="N180" i="63"/>
  <c r="N185" i="63"/>
  <c r="N191" i="63"/>
  <c r="N193" i="63"/>
  <c r="N183" i="63"/>
  <c r="N184" i="63"/>
  <c r="N179" i="63"/>
  <c r="AP301" i="47"/>
  <c r="AT301" i="47" s="1"/>
  <c r="AR147" i="47"/>
  <c r="AS147" i="47" s="1"/>
  <c r="AY152" i="47"/>
  <c r="AT152" i="47"/>
  <c r="AU152" i="47" s="1"/>
  <c r="AZ152" i="47" s="1"/>
  <c r="AP333" i="47"/>
  <c r="AY333" i="47" s="1"/>
  <c r="AO287" i="47"/>
  <c r="AP287" i="47" s="1"/>
  <c r="AT287" i="47" s="1"/>
  <c r="AP309" i="47"/>
  <c r="AY309" i="47" s="1"/>
  <c r="AP323" i="47"/>
  <c r="AR323" i="47" s="1"/>
  <c r="AS323" i="47" s="1"/>
  <c r="AY106" i="47"/>
  <c r="AR106" i="47"/>
  <c r="AU106" i="47" s="1"/>
  <c r="AZ106" i="47" s="1"/>
  <c r="AP330" i="47"/>
  <c r="AT330" i="47" s="1"/>
  <c r="AR142" i="47"/>
  <c r="AS142" i="47" s="1"/>
  <c r="AR118" i="47"/>
  <c r="AU118" i="47" s="1"/>
  <c r="AZ118" i="47" s="1"/>
  <c r="AV279" i="47"/>
  <c r="AW279" i="47" s="1"/>
  <c r="AX279" i="47" s="1"/>
  <c r="AT149" i="47"/>
  <c r="AU149" i="47" s="1"/>
  <c r="AZ149" i="47" s="1"/>
  <c r="AV320" i="47"/>
  <c r="AW320" i="47" s="1"/>
  <c r="AX320" i="47" s="1"/>
  <c r="AP298" i="47"/>
  <c r="AY298" i="47" s="1"/>
  <c r="AP306" i="47"/>
  <c r="AT306" i="47" s="1"/>
  <c r="AY149" i="47"/>
  <c r="AT147" i="47"/>
  <c r="AY118" i="47"/>
  <c r="AT142" i="47"/>
  <c r="AP305" i="47"/>
  <c r="AR305" i="47" s="1"/>
  <c r="AP302" i="47"/>
  <c r="AY302" i="47" s="1"/>
  <c r="AP284" i="47"/>
  <c r="AY284" i="47" s="1"/>
  <c r="AT151" i="47"/>
  <c r="AU151" i="47" s="1"/>
  <c r="AZ151" i="47" s="1"/>
  <c r="AV328" i="47"/>
  <c r="AW328" i="47" s="1"/>
  <c r="AX328" i="47" s="1"/>
  <c r="AP315" i="47"/>
  <c r="AT315" i="47" s="1"/>
  <c r="AY151" i="47"/>
  <c r="AY143" i="47"/>
  <c r="AY105" i="47"/>
  <c r="AR105" i="47"/>
  <c r="AS105" i="47" s="1"/>
  <c r="AT143" i="47"/>
  <c r="AU143" i="47" s="1"/>
  <c r="AZ143" i="47" s="1"/>
  <c r="AR96" i="47"/>
  <c r="AU96" i="47" s="1"/>
  <c r="AZ96" i="47" s="1"/>
  <c r="AT104" i="47"/>
  <c r="AU104" i="47" s="1"/>
  <c r="AZ104" i="47" s="1"/>
  <c r="AO331" i="47"/>
  <c r="AP331" i="47" s="1"/>
  <c r="AT331" i="47" s="1"/>
  <c r="AY104" i="47"/>
  <c r="AR108" i="47"/>
  <c r="AS108" i="47" s="1"/>
  <c r="AR123" i="47"/>
  <c r="AS123" i="47" s="1"/>
  <c r="AT123" i="47"/>
  <c r="AT108" i="47"/>
  <c r="AY96" i="47"/>
  <c r="AY127" i="54"/>
  <c r="AT127" i="54"/>
  <c r="AU127" i="54" s="1"/>
  <c r="AZ127" i="54" s="1"/>
  <c r="AT95" i="54"/>
  <c r="AY151" i="54"/>
  <c r="AR151" i="54"/>
  <c r="AU151" i="54" s="1"/>
  <c r="AZ151" i="54" s="1"/>
  <c r="AR95" i="54"/>
  <c r="AS95" i="54" s="1"/>
  <c r="AR153" i="54"/>
  <c r="AU153" i="54" s="1"/>
  <c r="AZ153" i="54" s="1"/>
  <c r="AY153" i="54"/>
  <c r="AY104" i="54"/>
  <c r="AU95" i="47"/>
  <c r="AZ95" i="47" s="1"/>
  <c r="AT154" i="54"/>
  <c r="AU154" i="54" s="1"/>
  <c r="AZ154" i="54" s="1"/>
  <c r="AR104" i="54"/>
  <c r="AS104" i="54" s="1"/>
  <c r="AY154" i="54"/>
  <c r="AR100" i="54"/>
  <c r="AT100" i="54"/>
  <c r="AY100" i="54"/>
  <c r="AR101" i="54"/>
  <c r="AT101" i="54"/>
  <c r="AY101" i="54"/>
  <c r="AT109" i="54"/>
  <c r="AR109" i="54"/>
  <c r="AY109" i="54"/>
  <c r="AR145" i="54"/>
  <c r="AT145" i="54"/>
  <c r="AY145" i="54"/>
  <c r="AR131" i="54"/>
  <c r="AT131" i="54"/>
  <c r="AY131" i="54"/>
  <c r="AY98" i="54"/>
  <c r="AR98" i="54"/>
  <c r="AS98" i="54" s="1"/>
  <c r="AT98" i="54"/>
  <c r="AT97" i="54"/>
  <c r="AR97" i="54"/>
  <c r="AY97" i="54"/>
  <c r="AR126" i="54"/>
  <c r="AS126" i="54" s="1"/>
  <c r="AT126" i="54"/>
  <c r="AY126" i="54"/>
  <c r="AT130" i="54"/>
  <c r="AR130" i="54"/>
  <c r="AY130" i="54"/>
  <c r="AY96" i="54"/>
  <c r="AT96" i="54"/>
  <c r="AR96" i="54"/>
  <c r="AT108" i="54"/>
  <c r="AR108" i="54"/>
  <c r="AY108" i="54"/>
  <c r="AR152" i="54"/>
  <c r="AT152" i="54"/>
  <c r="AY152" i="54"/>
  <c r="AR99" i="54"/>
  <c r="AT99" i="54"/>
  <c r="AY99" i="54"/>
  <c r="AT146" i="54"/>
  <c r="AR146" i="54"/>
  <c r="AY146" i="54"/>
  <c r="AT129" i="54"/>
  <c r="AR129" i="54"/>
  <c r="AY129" i="54"/>
  <c r="AS156" i="54"/>
  <c r="AR110" i="54"/>
  <c r="AT110" i="54"/>
  <c r="AY110" i="54"/>
  <c r="AS127" i="54"/>
  <c r="AR125" i="54"/>
  <c r="AT125" i="54"/>
  <c r="AY125" i="54"/>
  <c r="AT150" i="54"/>
  <c r="AR150" i="54"/>
  <c r="AY150" i="54"/>
  <c r="AR128" i="54"/>
  <c r="AT128" i="54"/>
  <c r="AY128" i="54"/>
  <c r="AT132" i="54"/>
  <c r="AR132" i="54"/>
  <c r="AY132" i="54"/>
  <c r="AR107" i="54"/>
  <c r="AT107" i="54"/>
  <c r="AY107" i="54"/>
  <c r="AT155" i="54"/>
  <c r="AR155" i="54"/>
  <c r="AY155" i="54"/>
  <c r="AT105" i="54"/>
  <c r="AR105" i="54"/>
  <c r="AY105" i="54"/>
  <c r="AS154" i="54"/>
  <c r="AR148" i="54"/>
  <c r="AT148" i="54"/>
  <c r="AY148" i="54"/>
  <c r="AT133" i="54"/>
  <c r="AR133" i="54"/>
  <c r="AY133" i="54"/>
  <c r="AR106" i="54"/>
  <c r="AT106" i="54"/>
  <c r="AY106" i="54"/>
  <c r="AR149" i="54"/>
  <c r="AT149" i="54"/>
  <c r="AY149" i="54"/>
  <c r="AY124" i="54"/>
  <c r="AR124" i="54"/>
  <c r="AT124" i="54"/>
  <c r="AT102" i="54"/>
  <c r="AR102" i="54"/>
  <c r="AY102" i="54"/>
  <c r="AR147" i="54"/>
  <c r="AT147" i="54"/>
  <c r="AY147" i="54"/>
  <c r="AR103" i="54"/>
  <c r="AT103" i="54"/>
  <c r="AY103" i="54"/>
  <c r="AU98" i="47"/>
  <c r="AZ98" i="47" s="1"/>
  <c r="AU129" i="47"/>
  <c r="AZ129" i="47" s="1"/>
  <c r="AS99" i="47"/>
  <c r="AU121" i="47"/>
  <c r="AZ121" i="47" s="1"/>
  <c r="AU133" i="47"/>
  <c r="AZ133" i="47" s="1"/>
  <c r="AY271" i="47"/>
  <c r="AT307" i="47"/>
  <c r="AU307" i="47" s="1"/>
  <c r="AZ307" i="47" s="1"/>
  <c r="AY272" i="47"/>
  <c r="AU144" i="47"/>
  <c r="AZ144" i="47" s="1"/>
  <c r="AY316" i="47"/>
  <c r="AY274" i="47"/>
  <c r="AR329" i="47"/>
  <c r="AU329" i="47" s="1"/>
  <c r="AZ329" i="47" s="1"/>
  <c r="AY329" i="47"/>
  <c r="AU140" i="47"/>
  <c r="AZ140" i="47" s="1"/>
  <c r="AR274" i="47"/>
  <c r="AS274" i="47" s="1"/>
  <c r="AT271" i="47"/>
  <c r="AU271" i="47" s="1"/>
  <c r="AZ271" i="47" s="1"/>
  <c r="AY307" i="47"/>
  <c r="AU141" i="47"/>
  <c r="AZ141" i="47" s="1"/>
  <c r="AT272" i="47"/>
  <c r="AU272" i="47" s="1"/>
  <c r="AZ272" i="47" s="1"/>
  <c r="AT316" i="47"/>
  <c r="AU316" i="47" s="1"/>
  <c r="AZ316" i="47" s="1"/>
  <c r="AS128" i="47"/>
  <c r="AT303" i="47"/>
  <c r="AU303" i="47" s="1"/>
  <c r="AZ303" i="47" s="1"/>
  <c r="AY281" i="47"/>
  <c r="AT281" i="47"/>
  <c r="AU281" i="47" s="1"/>
  <c r="AZ281" i="47" s="1"/>
  <c r="AY303" i="47"/>
  <c r="AT276" i="47"/>
  <c r="AR276" i="47"/>
  <c r="AY276" i="47"/>
  <c r="AT322" i="47"/>
  <c r="AR322" i="47"/>
  <c r="AY322" i="47"/>
  <c r="AS104" i="47"/>
  <c r="AT295" i="47"/>
  <c r="AR295" i="47"/>
  <c r="AY295" i="47"/>
  <c r="AU100" i="47"/>
  <c r="AZ100" i="47" s="1"/>
  <c r="AS100" i="47"/>
  <c r="AR279" i="47"/>
  <c r="AT279" i="47"/>
  <c r="AY279" i="47"/>
  <c r="AS97" i="47"/>
  <c r="AU97" i="47"/>
  <c r="AZ97" i="47" s="1"/>
  <c r="AS102" i="47"/>
  <c r="AU102" i="47"/>
  <c r="AZ102" i="47" s="1"/>
  <c r="AT320" i="47"/>
  <c r="AR320" i="47"/>
  <c r="AY320" i="47"/>
  <c r="AT317" i="47"/>
  <c r="AR317" i="47"/>
  <c r="AY317" i="47"/>
  <c r="AU116" i="47"/>
  <c r="AZ116" i="47" s="1"/>
  <c r="AS116" i="47"/>
  <c r="AT321" i="47"/>
  <c r="AR321" i="47"/>
  <c r="AY321" i="47"/>
  <c r="AR278" i="47"/>
  <c r="AT278" i="47"/>
  <c r="AY278" i="47"/>
  <c r="AU109" i="47"/>
  <c r="AZ109" i="47" s="1"/>
  <c r="AS109" i="47"/>
  <c r="AU153" i="47"/>
  <c r="AZ153" i="47" s="1"/>
  <c r="AS153" i="47"/>
  <c r="AT275" i="47"/>
  <c r="AR275" i="47"/>
  <c r="AY275" i="47"/>
  <c r="AT296" i="47"/>
  <c r="AR296" i="47"/>
  <c r="AY296" i="47"/>
  <c r="AS131" i="47"/>
  <c r="AU131" i="47"/>
  <c r="AZ131" i="47" s="1"/>
  <c r="AS307" i="47"/>
  <c r="AR282" i="47"/>
  <c r="AT282" i="47"/>
  <c r="AY282" i="47"/>
  <c r="AS143" i="47"/>
  <c r="AU156" i="47"/>
  <c r="AZ156" i="47" s="1"/>
  <c r="AS156" i="47"/>
  <c r="AS119" i="47"/>
  <c r="AU119" i="47"/>
  <c r="AZ119" i="47" s="1"/>
  <c r="AT277" i="47"/>
  <c r="AR277" i="47"/>
  <c r="AY277" i="47"/>
  <c r="AU146" i="47"/>
  <c r="AZ146" i="47" s="1"/>
  <c r="AS146" i="47"/>
  <c r="AR283" i="47"/>
  <c r="AT283" i="47"/>
  <c r="AY283" i="47"/>
  <c r="AT308" i="47"/>
  <c r="AR308" i="47"/>
  <c r="AY308" i="47"/>
  <c r="AT294" i="47"/>
  <c r="AR294" i="47"/>
  <c r="AY294" i="47"/>
  <c r="AT310" i="47"/>
  <c r="AR310" i="47"/>
  <c r="AY310" i="47"/>
  <c r="AS272" i="47"/>
  <c r="AU101" i="47"/>
  <c r="AZ101" i="47" s="1"/>
  <c r="AS101" i="47"/>
  <c r="AS138" i="47"/>
  <c r="AS110" i="47"/>
  <c r="AU110" i="47"/>
  <c r="AZ110" i="47" s="1"/>
  <c r="AU126" i="47"/>
  <c r="AZ126" i="47" s="1"/>
  <c r="AS126" i="47"/>
  <c r="AS281" i="47"/>
  <c r="AS149" i="47"/>
  <c r="AS139" i="47"/>
  <c r="AU139" i="47"/>
  <c r="AZ139" i="47" s="1"/>
  <c r="AU130" i="47"/>
  <c r="AZ130" i="47" s="1"/>
  <c r="AS130" i="47"/>
  <c r="AR280" i="47"/>
  <c r="AT280" i="47"/>
  <c r="AY280" i="47"/>
  <c r="AU148" i="47"/>
  <c r="AZ148" i="47" s="1"/>
  <c r="AS148" i="47"/>
  <c r="AU145" i="47"/>
  <c r="AZ145" i="47" s="1"/>
  <c r="AS145" i="47"/>
  <c r="AR286" i="47"/>
  <c r="AT286" i="47"/>
  <c r="AY286" i="47"/>
  <c r="AS303" i="47"/>
  <c r="AS127" i="47"/>
  <c r="AU127" i="47"/>
  <c r="AZ127" i="47" s="1"/>
  <c r="AU103" i="47"/>
  <c r="AZ103" i="47" s="1"/>
  <c r="AS103" i="47"/>
  <c r="AT332" i="47"/>
  <c r="AR332" i="47"/>
  <c r="AY332" i="47"/>
  <c r="AS316" i="47"/>
  <c r="AT328" i="47"/>
  <c r="AR328" i="47"/>
  <c r="AY328" i="47"/>
  <c r="AT327" i="47"/>
  <c r="AR327" i="47"/>
  <c r="AY327" i="47"/>
  <c r="AT300" i="47"/>
  <c r="AR300" i="47"/>
  <c r="AY300" i="47"/>
  <c r="AT318" i="47"/>
  <c r="AR318" i="47"/>
  <c r="AY318" i="47"/>
  <c r="AS152" i="47"/>
  <c r="AS150" i="47"/>
  <c r="AU150" i="47"/>
  <c r="AZ150" i="47" s="1"/>
  <c r="AS107" i="47"/>
  <c r="AU107" i="47"/>
  <c r="AZ107" i="47" s="1"/>
  <c r="AS271" i="47"/>
  <c r="AT304" i="47"/>
  <c r="AR304" i="47"/>
  <c r="AY304" i="47"/>
  <c r="AS94" i="47"/>
  <c r="AU94" i="47"/>
  <c r="AZ94" i="47" s="1"/>
  <c r="AU122" i="47"/>
  <c r="AZ122" i="47" s="1"/>
  <c r="AS122" i="47"/>
  <c r="AU348" i="11"/>
  <c r="AZ348" i="11" s="1"/>
  <c r="P348" i="11" s="1"/>
  <c r="Q348" i="11" s="1"/>
  <c r="T348" i="11" s="1"/>
  <c r="R348" i="11" s="1"/>
  <c r="AS345" i="11"/>
  <c r="AS344" i="11"/>
  <c r="AU344" i="11"/>
  <c r="AZ344" i="11" s="1"/>
  <c r="P344" i="11" s="1"/>
  <c r="Q344" i="11" s="1"/>
  <c r="T344" i="11" s="1"/>
  <c r="R344" i="11" s="1"/>
  <c r="AS347" i="11"/>
  <c r="AU347" i="11"/>
  <c r="AZ347" i="11" s="1"/>
  <c r="P347" i="11" s="1"/>
  <c r="Q347" i="11" s="1"/>
  <c r="T347" i="11" s="1"/>
  <c r="R347" i="11" s="1"/>
  <c r="AU350" i="11"/>
  <c r="AZ350" i="11" s="1"/>
  <c r="AS350" i="11"/>
  <c r="AU349" i="11"/>
  <c r="AZ349" i="11" s="1"/>
  <c r="P349" i="11" s="1"/>
  <c r="Q349" i="11" s="1"/>
  <c r="T349" i="11" s="1"/>
  <c r="R349" i="11" s="1"/>
  <c r="AS349" i="11"/>
  <c r="M17" i="35"/>
  <c r="AS124" i="47" l="1"/>
  <c r="O355" i="63"/>
  <c r="O141" i="72"/>
  <c r="AR324" i="47"/>
  <c r="AS324" i="47" s="1"/>
  <c r="O350" i="63"/>
  <c r="O354" i="63"/>
  <c r="O353" i="63"/>
  <c r="P352" i="63"/>
  <c r="P351" i="63"/>
  <c r="AY325" i="47"/>
  <c r="AR325" i="47"/>
  <c r="AS325" i="47" s="1"/>
  <c r="AT299" i="47"/>
  <c r="AU299" i="47" s="1"/>
  <c r="AZ299" i="47" s="1"/>
  <c r="AY273" i="47"/>
  <c r="AY299" i="47"/>
  <c r="M166" i="63"/>
  <c r="M164" i="63"/>
  <c r="M182" i="63"/>
  <c r="M168" i="63"/>
  <c r="M193" i="63"/>
  <c r="M181" i="63"/>
  <c r="M190" i="63"/>
  <c r="M179" i="63"/>
  <c r="M186" i="63"/>
  <c r="AR273" i="47"/>
  <c r="AU273" i="47" s="1"/>
  <c r="AZ273" i="47" s="1"/>
  <c r="M185" i="63"/>
  <c r="M187" i="63"/>
  <c r="M183" i="63"/>
  <c r="M192" i="63"/>
  <c r="M165" i="63"/>
  <c r="M188" i="63"/>
  <c r="M189" i="63"/>
  <c r="M180" i="63"/>
  <c r="M167" i="63"/>
  <c r="M184" i="63"/>
  <c r="M191" i="63"/>
  <c r="AT297" i="47"/>
  <c r="AU297" i="47" s="1"/>
  <c r="AZ297" i="47" s="1"/>
  <c r="AY297" i="47"/>
  <c r="AT326" i="47"/>
  <c r="AU155" i="47"/>
  <c r="AZ155" i="47" s="1"/>
  <c r="AT293" i="47"/>
  <c r="AU293" i="47" s="1"/>
  <c r="AZ293" i="47" s="1"/>
  <c r="AT324" i="47"/>
  <c r="AR285" i="47"/>
  <c r="AS285" i="47" s="1"/>
  <c r="AR315" i="47"/>
  <c r="AU315" i="47" s="1"/>
  <c r="AZ315" i="47" s="1"/>
  <c r="AR326" i="47"/>
  <c r="AY293" i="47"/>
  <c r="AY285" i="47"/>
  <c r="AT319" i="47"/>
  <c r="AU319" i="47" s="1"/>
  <c r="AZ319" i="47" s="1"/>
  <c r="AY319" i="47"/>
  <c r="AR301" i="47"/>
  <c r="AS301" i="47" s="1"/>
  <c r="AY301" i="47"/>
  <c r="AU147" i="47"/>
  <c r="AZ147" i="47" s="1"/>
  <c r="AR333" i="47"/>
  <c r="AS333" i="47" s="1"/>
  <c r="AT333" i="47"/>
  <c r="AR287" i="47"/>
  <c r="AS287" i="47" s="1"/>
  <c r="AY287" i="47"/>
  <c r="AT309" i="47"/>
  <c r="AR309" i="47"/>
  <c r="AS309" i="47" s="1"/>
  <c r="AT323" i="47"/>
  <c r="AU323" i="47" s="1"/>
  <c r="AZ323" i="47" s="1"/>
  <c r="AS118" i="47"/>
  <c r="AS106" i="47"/>
  <c r="AY323" i="47"/>
  <c r="AY330" i="47"/>
  <c r="AR330" i="47"/>
  <c r="AU330" i="47" s="1"/>
  <c r="AZ330" i="47" s="1"/>
  <c r="AU142" i="47"/>
  <c r="AZ142" i="47" s="1"/>
  <c r="AR302" i="47"/>
  <c r="AS302" i="47" s="1"/>
  <c r="AR298" i="47"/>
  <c r="AS298" i="47" s="1"/>
  <c r="AT284" i="47"/>
  <c r="AY306" i="47"/>
  <c r="AR284" i="47"/>
  <c r="AT298" i="47"/>
  <c r="AY305" i="47"/>
  <c r="AS305" i="47"/>
  <c r="AR306" i="47"/>
  <c r="AS306" i="47" s="1"/>
  <c r="AT305" i="47"/>
  <c r="AU305" i="47" s="1"/>
  <c r="AZ305" i="47" s="1"/>
  <c r="AT302" i="47"/>
  <c r="AY315" i="47"/>
  <c r="AS96" i="47"/>
  <c r="AU123" i="47"/>
  <c r="AZ123" i="47" s="1"/>
  <c r="AU105" i="47"/>
  <c r="AZ105" i="47" s="1"/>
  <c r="AY331" i="47"/>
  <c r="AR331" i="47"/>
  <c r="AS331" i="47" s="1"/>
  <c r="AU108" i="47"/>
  <c r="AZ108" i="47" s="1"/>
  <c r="AS151" i="54"/>
  <c r="AU95" i="54"/>
  <c r="AZ95" i="54" s="1"/>
  <c r="AS153" i="54"/>
  <c r="AU104" i="54"/>
  <c r="AZ104" i="54" s="1"/>
  <c r="AU126" i="54"/>
  <c r="AZ126" i="54" s="1"/>
  <c r="AS149" i="54"/>
  <c r="AU149" i="54"/>
  <c r="AZ149" i="54" s="1"/>
  <c r="AU152" i="54"/>
  <c r="AZ152" i="54" s="1"/>
  <c r="AS152" i="54"/>
  <c r="AS103" i="54"/>
  <c r="AU103" i="54"/>
  <c r="AZ103" i="54" s="1"/>
  <c r="AU124" i="54"/>
  <c r="AZ124" i="54" s="1"/>
  <c r="AS124" i="54"/>
  <c r="AS105" i="54"/>
  <c r="AU105" i="54"/>
  <c r="AZ105" i="54" s="1"/>
  <c r="AU110" i="54"/>
  <c r="AZ110" i="54" s="1"/>
  <c r="AS110" i="54"/>
  <c r="AU129" i="54"/>
  <c r="AZ129" i="54" s="1"/>
  <c r="AS129" i="54"/>
  <c r="AU108" i="54"/>
  <c r="AZ108" i="54" s="1"/>
  <c r="AS108" i="54"/>
  <c r="AU145" i="54"/>
  <c r="AZ145" i="54" s="1"/>
  <c r="AS145" i="54"/>
  <c r="AS101" i="54"/>
  <c r="AU101" i="54"/>
  <c r="AZ101" i="54" s="1"/>
  <c r="AS102" i="54"/>
  <c r="AU102" i="54"/>
  <c r="AZ102" i="54" s="1"/>
  <c r="AS106" i="54"/>
  <c r="AU106" i="54"/>
  <c r="AZ106" i="54" s="1"/>
  <c r="AU132" i="54"/>
  <c r="AZ132" i="54" s="1"/>
  <c r="AS132" i="54"/>
  <c r="AS125" i="54"/>
  <c r="AU125" i="54"/>
  <c r="AZ125" i="54" s="1"/>
  <c r="AS96" i="54"/>
  <c r="AU96" i="54"/>
  <c r="AZ96" i="54" s="1"/>
  <c r="AU130" i="54"/>
  <c r="AZ130" i="54" s="1"/>
  <c r="AS130" i="54"/>
  <c r="AU98" i="54"/>
  <c r="AZ98" i="54" s="1"/>
  <c r="AS109" i="54"/>
  <c r="AU109" i="54"/>
  <c r="AZ109" i="54" s="1"/>
  <c r="AU148" i="54"/>
  <c r="AZ148" i="54" s="1"/>
  <c r="AS148" i="54"/>
  <c r="AU128" i="54"/>
  <c r="AZ128" i="54" s="1"/>
  <c r="AS128" i="54"/>
  <c r="AU131" i="54"/>
  <c r="AZ131" i="54" s="1"/>
  <c r="AS131" i="54"/>
  <c r="AS147" i="54"/>
  <c r="AU147" i="54"/>
  <c r="AZ147" i="54" s="1"/>
  <c r="AU133" i="54"/>
  <c r="AZ133" i="54" s="1"/>
  <c r="AS133" i="54"/>
  <c r="AU155" i="54"/>
  <c r="AZ155" i="54" s="1"/>
  <c r="AS155" i="54"/>
  <c r="AS107" i="54"/>
  <c r="AU107" i="54"/>
  <c r="AZ107" i="54" s="1"/>
  <c r="AU150" i="54"/>
  <c r="AZ150" i="54" s="1"/>
  <c r="AS150" i="54"/>
  <c r="AS146" i="54"/>
  <c r="AU146" i="54"/>
  <c r="AZ146" i="54" s="1"/>
  <c r="AS99" i="54"/>
  <c r="AU99" i="54"/>
  <c r="AZ99" i="54" s="1"/>
  <c r="AU97" i="54"/>
  <c r="AZ97" i="54" s="1"/>
  <c r="AS97" i="54"/>
  <c r="AU100" i="54"/>
  <c r="AZ100" i="54" s="1"/>
  <c r="AS100" i="54"/>
  <c r="AS329" i="47"/>
  <c r="AU274" i="47"/>
  <c r="AZ274" i="47" s="1"/>
  <c r="AS297" i="47"/>
  <c r="AU320" i="47"/>
  <c r="AZ320" i="47" s="1"/>
  <c r="AS320" i="47"/>
  <c r="AS279" i="47"/>
  <c r="AU279" i="47"/>
  <c r="AZ279" i="47" s="1"/>
  <c r="AU300" i="47"/>
  <c r="AZ300" i="47" s="1"/>
  <c r="AS300" i="47"/>
  <c r="AS286" i="47"/>
  <c r="AU286" i="47"/>
  <c r="AZ286" i="47" s="1"/>
  <c r="AS293" i="47"/>
  <c r="AS280" i="47"/>
  <c r="AU280" i="47"/>
  <c r="AZ280" i="47" s="1"/>
  <c r="AS283" i="47"/>
  <c r="AU283" i="47"/>
  <c r="AZ283" i="47" s="1"/>
  <c r="AU277" i="47"/>
  <c r="AZ277" i="47" s="1"/>
  <c r="AS277" i="47"/>
  <c r="AS282" i="47"/>
  <c r="AU282" i="47"/>
  <c r="AZ282" i="47" s="1"/>
  <c r="AU296" i="47"/>
  <c r="AZ296" i="47" s="1"/>
  <c r="AS296" i="47"/>
  <c r="AU275" i="47"/>
  <c r="AZ275" i="47" s="1"/>
  <c r="AS275" i="47"/>
  <c r="AS278" i="47"/>
  <c r="AU278" i="47"/>
  <c r="AZ278" i="47" s="1"/>
  <c r="AU317" i="47"/>
  <c r="AZ317" i="47" s="1"/>
  <c r="AS317" i="47"/>
  <c r="AU327" i="47"/>
  <c r="AZ327" i="47" s="1"/>
  <c r="AS327" i="47"/>
  <c r="AU318" i="47"/>
  <c r="AZ318" i="47" s="1"/>
  <c r="AS318" i="47"/>
  <c r="AU332" i="47"/>
  <c r="AZ332" i="47" s="1"/>
  <c r="AS332" i="47"/>
  <c r="AU294" i="47"/>
  <c r="AZ294" i="47" s="1"/>
  <c r="AS294" i="47"/>
  <c r="AU308" i="47"/>
  <c r="AZ308" i="47" s="1"/>
  <c r="AS308" i="47"/>
  <c r="AS299" i="47"/>
  <c r="AU321" i="47"/>
  <c r="AZ321" i="47" s="1"/>
  <c r="AS321" i="47"/>
  <c r="AU295" i="47"/>
  <c r="AZ295" i="47" s="1"/>
  <c r="AS295" i="47"/>
  <c r="AU276" i="47"/>
  <c r="AZ276" i="47" s="1"/>
  <c r="AS276" i="47"/>
  <c r="AU304" i="47"/>
  <c r="AZ304" i="47" s="1"/>
  <c r="AS304" i="47"/>
  <c r="AU328" i="47"/>
  <c r="AZ328" i="47" s="1"/>
  <c r="AS328" i="47"/>
  <c r="AU310" i="47"/>
  <c r="AZ310" i="47" s="1"/>
  <c r="AS310" i="47"/>
  <c r="AU322" i="47"/>
  <c r="AZ322" i="47" s="1"/>
  <c r="AS322" i="47"/>
  <c r="B3" i="35"/>
  <c r="B4" i="35"/>
  <c r="B2" i="35"/>
  <c r="B5" i="35"/>
  <c r="P355" i="63" l="1"/>
  <c r="O320" i="72"/>
  <c r="P141" i="72"/>
  <c r="AU324" i="47"/>
  <c r="AZ324" i="47" s="1"/>
  <c r="AU325" i="47"/>
  <c r="AZ325" i="47" s="1"/>
  <c r="AU285" i="47"/>
  <c r="AZ285" i="47" s="1"/>
  <c r="P350" i="63"/>
  <c r="P354" i="63"/>
  <c r="P353" i="63"/>
  <c r="AS273" i="47"/>
  <c r="AU326" i="47"/>
  <c r="AZ326" i="47" s="1"/>
  <c r="AS315" i="47"/>
  <c r="AS326" i="47"/>
  <c r="AU301" i="47"/>
  <c r="AZ301" i="47" s="1"/>
  <c r="AU287" i="47"/>
  <c r="AZ287" i="47" s="1"/>
  <c r="AU333" i="47"/>
  <c r="AZ333" i="47" s="1"/>
  <c r="AU309" i="47"/>
  <c r="AZ309" i="47" s="1"/>
  <c r="AU306" i="47"/>
  <c r="AZ306" i="47" s="1"/>
  <c r="AS330" i="47"/>
  <c r="AU302" i="47"/>
  <c r="AZ302" i="47" s="1"/>
  <c r="AU298" i="47"/>
  <c r="AZ298" i="47" s="1"/>
  <c r="AU284" i="47"/>
  <c r="AZ284" i="47" s="1"/>
  <c r="AS284" i="47"/>
  <c r="AU331" i="47"/>
  <c r="AZ331" i="47" s="1"/>
  <c r="BS25" i="35"/>
  <c r="G23" i="35"/>
  <c r="G58" i="35" s="1"/>
  <c r="S18" i="11"/>
  <c r="Q17" i="11"/>
  <c r="C366" i="11"/>
  <c r="C365" i="11"/>
  <c r="C364" i="11"/>
  <c r="C363" i="11"/>
  <c r="C362" i="11"/>
  <c r="C361" i="11"/>
  <c r="C360" i="11"/>
  <c r="C359" i="11"/>
  <c r="C358" i="11"/>
  <c r="C357" i="11"/>
  <c r="C356" i="11"/>
  <c r="C355" i="11"/>
  <c r="C354" i="11"/>
  <c r="C353" i="11"/>
  <c r="C352" i="11"/>
  <c r="C341" i="11"/>
  <c r="C340" i="11"/>
  <c r="C339" i="11"/>
  <c r="C338" i="11"/>
  <c r="Y339" i="11" l="1"/>
  <c r="H339" i="11" s="1"/>
  <c r="I345" i="63" s="1"/>
  <c r="M339" i="11"/>
  <c r="S339" i="11" s="1"/>
  <c r="Y353" i="11"/>
  <c r="H353" i="11" s="1"/>
  <c r="I359" i="63" s="1"/>
  <c r="M353" i="11"/>
  <c r="Y357" i="11"/>
  <c r="H357" i="11" s="1"/>
  <c r="I363" i="63" s="1"/>
  <c r="M357" i="11"/>
  <c r="Y361" i="11"/>
  <c r="H361" i="11" s="1"/>
  <c r="I367" i="63" s="1"/>
  <c r="M361" i="11"/>
  <c r="Y365" i="11"/>
  <c r="H365" i="11" s="1"/>
  <c r="I371" i="63" s="1"/>
  <c r="M365" i="11"/>
  <c r="Y340" i="11"/>
  <c r="H340" i="11" s="1"/>
  <c r="I346" i="63" s="1"/>
  <c r="M340" i="11"/>
  <c r="S340" i="11" s="1"/>
  <c r="Y354" i="11"/>
  <c r="H354" i="11" s="1"/>
  <c r="I360" i="63" s="1"/>
  <c r="M354" i="11"/>
  <c r="Y358" i="11"/>
  <c r="H358" i="11" s="1"/>
  <c r="I364" i="63" s="1"/>
  <c r="M358" i="11"/>
  <c r="Y362" i="11"/>
  <c r="H362" i="11" s="1"/>
  <c r="I368" i="63" s="1"/>
  <c r="M362" i="11"/>
  <c r="Y366" i="11"/>
  <c r="H366" i="11" s="1"/>
  <c r="I372" i="63" s="1"/>
  <c r="M366" i="11"/>
  <c r="Y341" i="11"/>
  <c r="H341" i="11" s="1"/>
  <c r="I347" i="63" s="1"/>
  <c r="M341" i="11"/>
  <c r="S341" i="11" s="1"/>
  <c r="Y355" i="11"/>
  <c r="H355" i="11" s="1"/>
  <c r="I361" i="63" s="1"/>
  <c r="M355" i="11"/>
  <c r="Y359" i="11"/>
  <c r="H359" i="11" s="1"/>
  <c r="I365" i="63" s="1"/>
  <c r="M359" i="11"/>
  <c r="Y363" i="11"/>
  <c r="H363" i="11" s="1"/>
  <c r="I369" i="63" s="1"/>
  <c r="M363" i="11"/>
  <c r="Y338" i="11"/>
  <c r="H338" i="11" s="1"/>
  <c r="I344" i="63" s="1"/>
  <c r="Y352" i="11"/>
  <c r="H352" i="11" s="1"/>
  <c r="I358" i="63" s="1"/>
  <c r="M352" i="11"/>
  <c r="Y356" i="11"/>
  <c r="H356" i="11" s="1"/>
  <c r="I362" i="63" s="1"/>
  <c r="M356" i="11"/>
  <c r="Y360" i="11"/>
  <c r="H360" i="11" s="1"/>
  <c r="I366" i="63" s="1"/>
  <c r="M360" i="11"/>
  <c r="Y364" i="11"/>
  <c r="H364" i="11" s="1"/>
  <c r="I370" i="63" s="1"/>
  <c r="M364" i="11"/>
  <c r="X341" i="11"/>
  <c r="G341" i="11" s="1"/>
  <c r="W341" i="11"/>
  <c r="F341" i="11" s="1"/>
  <c r="X359" i="11"/>
  <c r="G359" i="11" s="1"/>
  <c r="W359" i="11"/>
  <c r="F359" i="11" s="1"/>
  <c r="X338" i="11"/>
  <c r="G338" i="11" s="1"/>
  <c r="W338" i="11"/>
  <c r="F338" i="11" s="1"/>
  <c r="X352" i="11"/>
  <c r="G352" i="11" s="1"/>
  <c r="W352" i="11"/>
  <c r="F352" i="11" s="1"/>
  <c r="X356" i="11"/>
  <c r="G356" i="11" s="1"/>
  <c r="W356" i="11"/>
  <c r="F356" i="11" s="1"/>
  <c r="X360" i="11"/>
  <c r="G360" i="11" s="1"/>
  <c r="W360" i="11"/>
  <c r="F360" i="11" s="1"/>
  <c r="X364" i="11"/>
  <c r="G364" i="11" s="1"/>
  <c r="W364" i="11"/>
  <c r="F364" i="11" s="1"/>
  <c r="X339" i="11"/>
  <c r="G339" i="11" s="1"/>
  <c r="W339" i="11"/>
  <c r="F339" i="11" s="1"/>
  <c r="X353" i="11"/>
  <c r="G353" i="11" s="1"/>
  <c r="W353" i="11"/>
  <c r="F353" i="11" s="1"/>
  <c r="X357" i="11"/>
  <c r="G357" i="11" s="1"/>
  <c r="W357" i="11"/>
  <c r="F357" i="11" s="1"/>
  <c r="X361" i="11"/>
  <c r="G361" i="11" s="1"/>
  <c r="W361" i="11"/>
  <c r="F361" i="11" s="1"/>
  <c r="X365" i="11"/>
  <c r="G365" i="11" s="1"/>
  <c r="W365" i="11"/>
  <c r="F365" i="11" s="1"/>
  <c r="X355" i="11"/>
  <c r="G355" i="11" s="1"/>
  <c r="W355" i="11"/>
  <c r="F355" i="11" s="1"/>
  <c r="X363" i="11"/>
  <c r="G363" i="11" s="1"/>
  <c r="W363" i="11"/>
  <c r="F363" i="11" s="1"/>
  <c r="X340" i="11"/>
  <c r="G340" i="11" s="1"/>
  <c r="W340" i="11"/>
  <c r="F340" i="11" s="1"/>
  <c r="X354" i="11"/>
  <c r="G354" i="11" s="1"/>
  <c r="W354" i="11"/>
  <c r="F354" i="11" s="1"/>
  <c r="X358" i="11"/>
  <c r="G358" i="11" s="1"/>
  <c r="W358" i="11"/>
  <c r="F358" i="11" s="1"/>
  <c r="W362" i="11"/>
  <c r="F362" i="11" s="1"/>
  <c r="X362" i="11"/>
  <c r="G362" i="11" s="1"/>
  <c r="X366" i="11"/>
  <c r="G366" i="11" s="1"/>
  <c r="W366" i="11"/>
  <c r="F366" i="11" s="1"/>
  <c r="H24" i="52"/>
  <c r="G16" i="52" s="1"/>
  <c r="P320" i="72"/>
  <c r="BD354" i="11"/>
  <c r="K354" i="11" s="1"/>
  <c r="BE354" i="11"/>
  <c r="L354" i="11" s="1"/>
  <c r="BC354" i="11"/>
  <c r="J354" i="11" s="1"/>
  <c r="BB354" i="11"/>
  <c r="I354" i="11" s="1"/>
  <c r="BD362" i="11"/>
  <c r="K362" i="11" s="1"/>
  <c r="BC362" i="11"/>
  <c r="J362" i="11" s="1"/>
  <c r="BB362" i="11"/>
  <c r="I362" i="11" s="1"/>
  <c r="BE362" i="11"/>
  <c r="L362" i="11" s="1"/>
  <c r="BD341" i="11"/>
  <c r="K341" i="11" s="1"/>
  <c r="BE341" i="11"/>
  <c r="L341" i="11" s="1"/>
  <c r="BB341" i="11"/>
  <c r="I341" i="11" s="1"/>
  <c r="BC341" i="11"/>
  <c r="J341" i="11" s="1"/>
  <c r="BD359" i="11"/>
  <c r="K359" i="11" s="1"/>
  <c r="BB359" i="11"/>
  <c r="I359" i="11" s="1"/>
  <c r="BC359" i="11"/>
  <c r="J359" i="11" s="1"/>
  <c r="BE359" i="11"/>
  <c r="L359" i="11" s="1"/>
  <c r="BD338" i="11"/>
  <c r="K338" i="11" s="1"/>
  <c r="BE338" i="11"/>
  <c r="L338" i="11" s="1"/>
  <c r="BB338" i="11"/>
  <c r="I338" i="11" s="1"/>
  <c r="BC338" i="11"/>
  <c r="J338" i="11" s="1"/>
  <c r="BD352" i="11"/>
  <c r="K352" i="11" s="1"/>
  <c r="BC352" i="11"/>
  <c r="J352" i="11" s="1"/>
  <c r="BB352" i="11"/>
  <c r="I352" i="11" s="1"/>
  <c r="BE352" i="11"/>
  <c r="L352" i="11" s="1"/>
  <c r="BD356" i="11"/>
  <c r="K356" i="11" s="1"/>
  <c r="BC356" i="11"/>
  <c r="J356" i="11" s="1"/>
  <c r="BE356" i="11"/>
  <c r="L356" i="11" s="1"/>
  <c r="BB356" i="11"/>
  <c r="I356" i="11" s="1"/>
  <c r="BD360" i="11"/>
  <c r="K360" i="11" s="1"/>
  <c r="BC360" i="11"/>
  <c r="J360" i="11" s="1"/>
  <c r="BE360" i="11"/>
  <c r="L360" i="11" s="1"/>
  <c r="BB360" i="11"/>
  <c r="I360" i="11" s="1"/>
  <c r="BD364" i="11"/>
  <c r="K364" i="11" s="1"/>
  <c r="BC364" i="11"/>
  <c r="J364" i="11" s="1"/>
  <c r="BB364" i="11"/>
  <c r="I364" i="11" s="1"/>
  <c r="BE364" i="11"/>
  <c r="L364" i="11" s="1"/>
  <c r="BD340" i="11"/>
  <c r="K340" i="11" s="1"/>
  <c r="BC340" i="11"/>
  <c r="J340" i="11" s="1"/>
  <c r="BE340" i="11"/>
  <c r="L340" i="11" s="1"/>
  <c r="BB340" i="11"/>
  <c r="I340" i="11" s="1"/>
  <c r="BD358" i="11"/>
  <c r="K358" i="11" s="1"/>
  <c r="BE358" i="11"/>
  <c r="L358" i="11" s="1"/>
  <c r="BC358" i="11"/>
  <c r="J358" i="11" s="1"/>
  <c r="BB358" i="11"/>
  <c r="I358" i="11" s="1"/>
  <c r="BD366" i="11"/>
  <c r="K366" i="11" s="1"/>
  <c r="BB366" i="11"/>
  <c r="I366" i="11" s="1"/>
  <c r="BC366" i="11"/>
  <c r="J366" i="11" s="1"/>
  <c r="BE366" i="11"/>
  <c r="L366" i="11" s="1"/>
  <c r="BD355" i="11"/>
  <c r="K355" i="11" s="1"/>
  <c r="BB355" i="11"/>
  <c r="I355" i="11" s="1"/>
  <c r="BC355" i="11"/>
  <c r="J355" i="11" s="1"/>
  <c r="BE355" i="11"/>
  <c r="L355" i="11" s="1"/>
  <c r="BD363" i="11"/>
  <c r="K363" i="11" s="1"/>
  <c r="BB363" i="11"/>
  <c r="I363" i="11" s="1"/>
  <c r="BE363" i="11"/>
  <c r="L363" i="11" s="1"/>
  <c r="BC363" i="11"/>
  <c r="J363" i="11" s="1"/>
  <c r="BD339" i="11"/>
  <c r="K339" i="11" s="1"/>
  <c r="BB339" i="11"/>
  <c r="I339" i="11" s="1"/>
  <c r="BC339" i="11"/>
  <c r="J339" i="11" s="1"/>
  <c r="BE339" i="11"/>
  <c r="L339" i="11" s="1"/>
  <c r="BD353" i="11"/>
  <c r="K353" i="11" s="1"/>
  <c r="BE353" i="11"/>
  <c r="L353" i="11" s="1"/>
  <c r="BC353" i="11"/>
  <c r="J353" i="11" s="1"/>
  <c r="BB353" i="11"/>
  <c r="I353" i="11" s="1"/>
  <c r="BD357" i="11"/>
  <c r="K357" i="11" s="1"/>
  <c r="BE357" i="11"/>
  <c r="L357" i="11" s="1"/>
  <c r="BB357" i="11"/>
  <c r="I357" i="11" s="1"/>
  <c r="BC357" i="11"/>
  <c r="J357" i="11" s="1"/>
  <c r="BD361" i="11"/>
  <c r="K361" i="11" s="1"/>
  <c r="BE361" i="11"/>
  <c r="L361" i="11" s="1"/>
  <c r="BC361" i="11"/>
  <c r="J361" i="11" s="1"/>
  <c r="BB361" i="11"/>
  <c r="I361" i="11" s="1"/>
  <c r="BD365" i="11"/>
  <c r="K365" i="11" s="1"/>
  <c r="BE365" i="11"/>
  <c r="L365" i="11" s="1"/>
  <c r="BC365" i="11"/>
  <c r="J365" i="11" s="1"/>
  <c r="BB365" i="11"/>
  <c r="I365" i="11" s="1"/>
  <c r="Z340" i="11"/>
  <c r="N340" i="11" s="1"/>
  <c r="Z354" i="11"/>
  <c r="N354" i="11" s="1"/>
  <c r="Z358" i="11"/>
  <c r="N358" i="11" s="1"/>
  <c r="Z362" i="11"/>
  <c r="N362" i="11" s="1"/>
  <c r="Z366" i="11"/>
  <c r="N366" i="11" s="1"/>
  <c r="Z341" i="11"/>
  <c r="N341" i="11" s="1"/>
  <c r="Z355" i="11"/>
  <c r="N355" i="11" s="1"/>
  <c r="Z359" i="11"/>
  <c r="N359" i="11" s="1"/>
  <c r="Z363" i="11"/>
  <c r="N363" i="11" s="1"/>
  <c r="Z338" i="11"/>
  <c r="N338" i="11" s="1"/>
  <c r="Z352" i="11"/>
  <c r="N352" i="11" s="1"/>
  <c r="Z356" i="11"/>
  <c r="N356" i="11" s="1"/>
  <c r="Z360" i="11"/>
  <c r="N360" i="11" s="1"/>
  <c r="Z364" i="11"/>
  <c r="N364" i="11" s="1"/>
  <c r="Z339" i="11"/>
  <c r="N339" i="11" s="1"/>
  <c r="Z353" i="11"/>
  <c r="N353" i="11" s="1"/>
  <c r="Z357" i="11"/>
  <c r="N357" i="11" s="1"/>
  <c r="Z361" i="11"/>
  <c r="N361" i="11" s="1"/>
  <c r="Z365" i="11"/>
  <c r="N365" i="11" s="1"/>
  <c r="P20" i="63"/>
  <c r="P199" i="63" s="1"/>
  <c r="P199" i="72"/>
  <c r="M376" i="63"/>
  <c r="C346" i="63"/>
  <c r="C360" i="63"/>
  <c r="C364" i="63"/>
  <c r="C368" i="63"/>
  <c r="C372" i="63"/>
  <c r="C345" i="63"/>
  <c r="C363" i="63"/>
  <c r="C371" i="63"/>
  <c r="C347" i="63"/>
  <c r="C361" i="63"/>
  <c r="C365" i="63"/>
  <c r="C369" i="63"/>
  <c r="C359" i="63"/>
  <c r="C367" i="63"/>
  <c r="C344" i="63"/>
  <c r="C358" i="63"/>
  <c r="C362" i="63"/>
  <c r="C366" i="63"/>
  <c r="C370" i="63"/>
  <c r="AB360" i="11"/>
  <c r="AB364" i="11"/>
  <c r="AB357" i="11"/>
  <c r="AB361" i="11"/>
  <c r="AB365" i="11"/>
  <c r="AB358" i="11"/>
  <c r="AB362" i="11"/>
  <c r="AB366" i="11"/>
  <c r="AB359" i="11"/>
  <c r="AB363" i="11"/>
  <c r="AB340" i="11"/>
  <c r="AB354" i="11"/>
  <c r="AB341" i="11"/>
  <c r="AB355" i="11"/>
  <c r="AB352" i="11"/>
  <c r="AB356" i="11"/>
  <c r="AB339" i="11"/>
  <c r="AB353" i="11"/>
  <c r="D178" i="11"/>
  <c r="D186" i="11"/>
  <c r="D161" i="11"/>
  <c r="D179" i="11"/>
  <c r="D187" i="11"/>
  <c r="D163" i="11"/>
  <c r="D177" i="11"/>
  <c r="D181" i="11"/>
  <c r="D185" i="11"/>
  <c r="D189" i="11"/>
  <c r="D164" i="11"/>
  <c r="D182" i="11"/>
  <c r="D175" i="11"/>
  <c r="D183" i="11"/>
  <c r="D162" i="11"/>
  <c r="D176" i="11"/>
  <c r="D180" i="11"/>
  <c r="D184" i="11"/>
  <c r="D188" i="11"/>
  <c r="AC176" i="11"/>
  <c r="AC180" i="11"/>
  <c r="AC184" i="11"/>
  <c r="AC188" i="11"/>
  <c r="AC177" i="11"/>
  <c r="AC181" i="11"/>
  <c r="AC185" i="11"/>
  <c r="AC189" i="11"/>
  <c r="AC178" i="11"/>
  <c r="AC182" i="11"/>
  <c r="AC186" i="11"/>
  <c r="AC175" i="11"/>
  <c r="AC179" i="11"/>
  <c r="AC183" i="11"/>
  <c r="AC187" i="11"/>
  <c r="O363" i="11" l="1"/>
  <c r="O340" i="11"/>
  <c r="O360" i="11"/>
  <c r="O356" i="11"/>
  <c r="O357" i="11"/>
  <c r="O338" i="11"/>
  <c r="O341" i="11"/>
  <c r="R360" i="11"/>
  <c r="S360" i="11"/>
  <c r="Q360" i="11"/>
  <c r="P360" i="11"/>
  <c r="T360" i="11"/>
  <c r="S352" i="11"/>
  <c r="P352" i="11"/>
  <c r="T352" i="11"/>
  <c r="R352" i="11"/>
  <c r="Q352" i="11"/>
  <c r="R363" i="11"/>
  <c r="Q363" i="11"/>
  <c r="S363" i="11"/>
  <c r="T363" i="11"/>
  <c r="P363" i="11"/>
  <c r="Q355" i="11"/>
  <c r="P355" i="11"/>
  <c r="T355" i="11"/>
  <c r="R355" i="11"/>
  <c r="S355" i="11"/>
  <c r="T366" i="11"/>
  <c r="R366" i="11"/>
  <c r="P366" i="11"/>
  <c r="S366" i="11"/>
  <c r="Q366" i="11"/>
  <c r="T358" i="11"/>
  <c r="S358" i="11"/>
  <c r="Q358" i="11"/>
  <c r="R358" i="11"/>
  <c r="P358" i="11"/>
  <c r="P361" i="11"/>
  <c r="S361" i="11"/>
  <c r="T361" i="11"/>
  <c r="R361" i="11"/>
  <c r="Q361" i="11"/>
  <c r="T353" i="11"/>
  <c r="P353" i="11"/>
  <c r="O359" i="63" s="1"/>
  <c r="S353" i="11"/>
  <c r="Q353" i="11"/>
  <c r="R353" i="11"/>
  <c r="O365" i="11"/>
  <c r="O361" i="11"/>
  <c r="O353" i="11"/>
  <c r="O339" i="11"/>
  <c r="O355" i="11"/>
  <c r="O366" i="11"/>
  <c r="O358" i="11"/>
  <c r="O359" i="11"/>
  <c r="O354" i="11"/>
  <c r="R364" i="11"/>
  <c r="S364" i="11"/>
  <c r="Q364" i="11"/>
  <c r="P364" i="11"/>
  <c r="T364" i="11"/>
  <c r="S356" i="11"/>
  <c r="R356" i="11"/>
  <c r="P356" i="11"/>
  <c r="T356" i="11"/>
  <c r="Q356" i="11"/>
  <c r="R359" i="11"/>
  <c r="S359" i="11"/>
  <c r="P359" i="11"/>
  <c r="Q359" i="11"/>
  <c r="T359" i="11"/>
  <c r="T362" i="11"/>
  <c r="R362" i="11"/>
  <c r="P362" i="11"/>
  <c r="Q362" i="11"/>
  <c r="S362" i="11"/>
  <c r="T354" i="11"/>
  <c r="S354" i="11"/>
  <c r="Q354" i="11"/>
  <c r="R354" i="11"/>
  <c r="P354" i="11"/>
  <c r="S365" i="11"/>
  <c r="T365" i="11"/>
  <c r="P365" i="11"/>
  <c r="Q365" i="11"/>
  <c r="R365" i="11"/>
  <c r="S357" i="11"/>
  <c r="T357" i="11"/>
  <c r="P357" i="11"/>
  <c r="R357" i="11"/>
  <c r="Q357" i="11"/>
  <c r="O364" i="11"/>
  <c r="O352" i="11"/>
  <c r="O362" i="11"/>
  <c r="F165" i="63"/>
  <c r="F189" i="63"/>
  <c r="F184" i="63"/>
  <c r="F359" i="63"/>
  <c r="H362" i="63"/>
  <c r="H344" i="63"/>
  <c r="H360" i="63"/>
  <c r="F360" i="63"/>
  <c r="E369" i="63"/>
  <c r="L347" i="63"/>
  <c r="L368" i="63"/>
  <c r="J368" i="63"/>
  <c r="L364" i="63"/>
  <c r="J364" i="63"/>
  <c r="L360" i="63"/>
  <c r="L346" i="63"/>
  <c r="J371" i="63"/>
  <c r="J367" i="63"/>
  <c r="J363" i="63"/>
  <c r="L359" i="63"/>
  <c r="L345" i="63"/>
  <c r="H370" i="63"/>
  <c r="L358" i="63"/>
  <c r="L344" i="63"/>
  <c r="H191" i="63"/>
  <c r="F179" i="63"/>
  <c r="E165" i="63"/>
  <c r="F190" i="63"/>
  <c r="H186" i="63"/>
  <c r="H168" i="63"/>
  <c r="H193" i="63"/>
  <c r="F185" i="63"/>
  <c r="H181" i="63"/>
  <c r="F167" i="63"/>
  <c r="H192" i="63"/>
  <c r="F180" i="63"/>
  <c r="E166" i="63"/>
  <c r="E345" i="63"/>
  <c r="F362" i="63"/>
  <c r="F358" i="63"/>
  <c r="E344" i="63"/>
  <c r="E361" i="63"/>
  <c r="J360" i="63"/>
  <c r="J346" i="63"/>
  <c r="L369" i="63"/>
  <c r="H365" i="63"/>
  <c r="J361" i="63"/>
  <c r="J347" i="63"/>
  <c r="F372" i="63"/>
  <c r="H372" i="63"/>
  <c r="F368" i="63"/>
  <c r="H368" i="63"/>
  <c r="F364" i="63"/>
  <c r="H364" i="63"/>
  <c r="L371" i="63"/>
  <c r="F371" i="63"/>
  <c r="F367" i="63"/>
  <c r="E363" i="63"/>
  <c r="F363" i="63"/>
  <c r="J359" i="63"/>
  <c r="J345" i="63"/>
  <c r="L370" i="63"/>
  <c r="J370" i="63"/>
  <c r="H366" i="63"/>
  <c r="J366" i="63"/>
  <c r="J362" i="63"/>
  <c r="J358" i="63"/>
  <c r="J344" i="63"/>
  <c r="H179" i="63"/>
  <c r="H190" i="63"/>
  <c r="H185" i="63"/>
  <c r="F361" i="63"/>
  <c r="E346" i="63"/>
  <c r="E365" i="63"/>
  <c r="J372" i="63"/>
  <c r="H187" i="63"/>
  <c r="H183" i="63"/>
  <c r="F186" i="63"/>
  <c r="H182" i="63"/>
  <c r="F168" i="63"/>
  <c r="H189" i="63"/>
  <c r="F181" i="63"/>
  <c r="E167" i="63"/>
  <c r="F192" i="63"/>
  <c r="H188" i="63"/>
  <c r="E359" i="63"/>
  <c r="E362" i="63"/>
  <c r="E358" i="63"/>
  <c r="E347" i="63"/>
  <c r="E360" i="63"/>
  <c r="H346" i="63"/>
  <c r="K369" i="63"/>
  <c r="H369" i="63"/>
  <c r="K365" i="63"/>
  <c r="F365" i="63"/>
  <c r="K361" i="63"/>
  <c r="K347" i="63"/>
  <c r="K372" i="63"/>
  <c r="K368" i="63"/>
  <c r="E364" i="63"/>
  <c r="K360" i="63"/>
  <c r="K346" i="63"/>
  <c r="K371" i="63"/>
  <c r="E371" i="63"/>
  <c r="K367" i="63"/>
  <c r="L367" i="63"/>
  <c r="K363" i="63"/>
  <c r="L363" i="63"/>
  <c r="K359" i="63"/>
  <c r="K345" i="63"/>
  <c r="K370" i="63"/>
  <c r="E370" i="63"/>
  <c r="K366" i="63"/>
  <c r="L366" i="63"/>
  <c r="K362" i="63"/>
  <c r="K358" i="63"/>
  <c r="K344" i="63"/>
  <c r="F183" i="63"/>
  <c r="H167" i="63"/>
  <c r="H180" i="63"/>
  <c r="F166" i="63"/>
  <c r="H358" i="63"/>
  <c r="F369" i="63"/>
  <c r="L365" i="63"/>
  <c r="L372" i="63"/>
  <c r="F191" i="63"/>
  <c r="F187" i="63"/>
  <c r="H165" i="63"/>
  <c r="F182" i="63"/>
  <c r="E168" i="63"/>
  <c r="F193" i="63"/>
  <c r="F188" i="63"/>
  <c r="H184" i="63"/>
  <c r="H166" i="63"/>
  <c r="H359" i="63"/>
  <c r="H345" i="63"/>
  <c r="H361" i="63"/>
  <c r="H347" i="63"/>
  <c r="J369" i="63"/>
  <c r="J365" i="63"/>
  <c r="L361" i="63"/>
  <c r="E372" i="63"/>
  <c r="E368" i="63"/>
  <c r="K364" i="63"/>
  <c r="H371" i="63"/>
  <c r="H367" i="63"/>
  <c r="E367" i="63"/>
  <c r="H363" i="63"/>
  <c r="F370" i="63"/>
  <c r="F366" i="63"/>
  <c r="E366" i="63"/>
  <c r="L362" i="63"/>
  <c r="E179" i="63"/>
  <c r="E190" i="63"/>
  <c r="E185" i="63"/>
  <c r="E180" i="63"/>
  <c r="N365" i="63"/>
  <c r="N346" i="63"/>
  <c r="N371" i="63"/>
  <c r="N366" i="63"/>
  <c r="N372" i="63"/>
  <c r="E187" i="63"/>
  <c r="E182" i="63"/>
  <c r="E193" i="63"/>
  <c r="E188" i="63"/>
  <c r="N347" i="63"/>
  <c r="N370" i="63"/>
  <c r="N368" i="63"/>
  <c r="N363" i="63"/>
  <c r="E191" i="63"/>
  <c r="E186" i="63"/>
  <c r="E181" i="63"/>
  <c r="E192" i="63"/>
  <c r="N361" i="63"/>
  <c r="N359" i="63"/>
  <c r="N367" i="63"/>
  <c r="N358" i="63"/>
  <c r="E183" i="63"/>
  <c r="E189" i="63"/>
  <c r="E184" i="63"/>
  <c r="N369" i="63"/>
  <c r="N364" i="63"/>
  <c r="N362" i="63"/>
  <c r="N360" i="63"/>
  <c r="N345" i="63"/>
  <c r="D339" i="11"/>
  <c r="D166" i="63"/>
  <c r="D338" i="11"/>
  <c r="D165" i="63"/>
  <c r="D361" i="11"/>
  <c r="D188" i="63"/>
  <c r="D360" i="11"/>
  <c r="D187" i="63"/>
  <c r="D366" i="11"/>
  <c r="D193" i="63"/>
  <c r="D363" i="11"/>
  <c r="D190" i="63"/>
  <c r="D357" i="11"/>
  <c r="D184" i="63"/>
  <c r="D352" i="11"/>
  <c r="D179" i="63"/>
  <c r="D362" i="11"/>
  <c r="D189" i="63"/>
  <c r="D364" i="11"/>
  <c r="D191" i="63"/>
  <c r="D355" i="11"/>
  <c r="D182" i="63"/>
  <c r="D365" i="11"/>
  <c r="D192" i="63"/>
  <c r="D341" i="11"/>
  <c r="D168" i="63"/>
  <c r="D354" i="11"/>
  <c r="D181" i="63"/>
  <c r="D340" i="11"/>
  <c r="D167" i="63"/>
  <c r="D353" i="11"/>
  <c r="D180" i="63"/>
  <c r="D359" i="11"/>
  <c r="D186" i="63"/>
  <c r="D358" i="11"/>
  <c r="D185" i="63"/>
  <c r="D356" i="11"/>
  <c r="D183" i="63"/>
  <c r="E354" i="11"/>
  <c r="G181" i="63"/>
  <c r="E353" i="11"/>
  <c r="G180" i="63"/>
  <c r="E365" i="11"/>
  <c r="G192" i="63"/>
  <c r="E356" i="11"/>
  <c r="G183" i="63"/>
  <c r="E355" i="11"/>
  <c r="G182" i="63"/>
  <c r="E362" i="11"/>
  <c r="G189" i="63"/>
  <c r="E358" i="11"/>
  <c r="G185" i="63"/>
  <c r="E357" i="11"/>
  <c r="G184" i="63"/>
  <c r="E364" i="11"/>
  <c r="G191" i="63"/>
  <c r="E352" i="11"/>
  <c r="G179" i="63"/>
  <c r="E363" i="11"/>
  <c r="G190" i="63"/>
  <c r="E359" i="11"/>
  <c r="G186" i="63"/>
  <c r="E360" i="11"/>
  <c r="G187" i="63"/>
  <c r="E366" i="11"/>
  <c r="G193" i="63"/>
  <c r="E361" i="11"/>
  <c r="G188" i="63"/>
  <c r="AE175" i="11"/>
  <c r="AF175" i="11" s="1"/>
  <c r="AE182" i="11"/>
  <c r="AF182" i="11" s="1"/>
  <c r="AE181" i="11"/>
  <c r="AF181" i="11" s="1"/>
  <c r="AE179" i="11"/>
  <c r="AF179" i="11" s="1"/>
  <c r="AE186" i="11"/>
  <c r="AF186" i="11" s="1"/>
  <c r="AE185" i="11"/>
  <c r="AF185" i="11" s="1"/>
  <c r="AE180" i="11"/>
  <c r="AF180" i="11" s="1"/>
  <c r="AE183" i="11"/>
  <c r="AF183" i="11" s="1"/>
  <c r="AE189" i="11"/>
  <c r="AF189" i="11" s="1"/>
  <c r="AE188" i="11"/>
  <c r="AF188" i="11" s="1"/>
  <c r="AE176" i="11"/>
  <c r="AF176" i="11" s="1"/>
  <c r="AE187" i="11"/>
  <c r="AF187" i="11" s="1"/>
  <c r="AE178" i="11"/>
  <c r="AF178" i="11" s="1"/>
  <c r="AE177" i="11"/>
  <c r="AF177" i="11" s="1"/>
  <c r="AE184" i="11"/>
  <c r="AF184" i="11" s="1"/>
  <c r="M18" i="11"/>
  <c r="M17" i="11"/>
  <c r="N18" i="11"/>
  <c r="Q18" i="11"/>
  <c r="O18" i="11"/>
  <c r="L18" i="11"/>
  <c r="J18" i="11"/>
  <c r="K22" i="63" l="1"/>
  <c r="K201" i="63" s="1"/>
  <c r="K201" i="72"/>
  <c r="M22" i="63"/>
  <c r="M201" i="63" s="1"/>
  <c r="M201" i="72"/>
  <c r="N22" i="63"/>
  <c r="N201" i="63" s="1"/>
  <c r="N201" i="72"/>
  <c r="E22" i="63"/>
  <c r="E201" i="63" s="1"/>
  <c r="E201" i="72"/>
  <c r="P22" i="63"/>
  <c r="K376" i="63" s="1"/>
  <c r="L22" i="63"/>
  <c r="L201" i="63" s="1"/>
  <c r="L201" i="72"/>
  <c r="N20" i="63"/>
  <c r="N199" i="63" s="1"/>
  <c r="N199" i="72"/>
  <c r="P191" i="63"/>
  <c r="P180" i="63"/>
  <c r="P359" i="63"/>
  <c r="F347" i="63"/>
  <c r="O193" i="63"/>
  <c r="O180" i="63"/>
  <c r="P365" i="63"/>
  <c r="P192" i="63"/>
  <c r="P184" i="63"/>
  <c r="P179" i="63"/>
  <c r="P361" i="63"/>
  <c r="P190" i="63"/>
  <c r="M360" i="63"/>
  <c r="M362" i="63"/>
  <c r="M347" i="63"/>
  <c r="F346" i="63"/>
  <c r="F344" i="63"/>
  <c r="G367" i="63"/>
  <c r="G366" i="63"/>
  <c r="G369" i="63"/>
  <c r="G370" i="63"/>
  <c r="G364" i="63"/>
  <c r="G361" i="63"/>
  <c r="G371" i="63"/>
  <c r="G360" i="63"/>
  <c r="D364" i="63"/>
  <c r="D359" i="63"/>
  <c r="D360" i="63"/>
  <c r="D371" i="63"/>
  <c r="D370" i="63"/>
  <c r="D358" i="63"/>
  <c r="D369" i="63"/>
  <c r="D366" i="63"/>
  <c r="D344" i="63"/>
  <c r="O360" i="63"/>
  <c r="O364" i="63"/>
  <c r="O184" i="63"/>
  <c r="O183" i="63"/>
  <c r="O367" i="63"/>
  <c r="O361" i="63"/>
  <c r="O181" i="63"/>
  <c r="O191" i="63"/>
  <c r="O368" i="63"/>
  <c r="P183" i="63"/>
  <c r="P360" i="63"/>
  <c r="P372" i="63"/>
  <c r="M372" i="63"/>
  <c r="M363" i="63"/>
  <c r="O187" i="63"/>
  <c r="O190" i="63"/>
  <c r="P364" i="63"/>
  <c r="P368" i="63"/>
  <c r="P367" i="63"/>
  <c r="P182" i="63"/>
  <c r="P369" i="63"/>
  <c r="P186" i="63"/>
  <c r="P187" i="63"/>
  <c r="P371" i="63"/>
  <c r="M345" i="63"/>
  <c r="M368" i="63"/>
  <c r="M370" i="63"/>
  <c r="M366" i="63"/>
  <c r="M365" i="63"/>
  <c r="M371" i="63"/>
  <c r="F345" i="63"/>
  <c r="O188" i="63"/>
  <c r="O182" i="63"/>
  <c r="O372" i="63"/>
  <c r="O371" i="63"/>
  <c r="O365" i="63"/>
  <c r="O185" i="63"/>
  <c r="O179" i="63"/>
  <c r="P363" i="63"/>
  <c r="M344" i="63"/>
  <c r="M369" i="63"/>
  <c r="O366" i="63"/>
  <c r="P366" i="63"/>
  <c r="P181" i="63"/>
  <c r="P193" i="63"/>
  <c r="P370" i="63"/>
  <c r="P358" i="63"/>
  <c r="P362" i="63"/>
  <c r="P185" i="63"/>
  <c r="P189" i="63"/>
  <c r="P188" i="63"/>
  <c r="M361" i="63"/>
  <c r="M346" i="63"/>
  <c r="M359" i="63"/>
  <c r="M358" i="63"/>
  <c r="M364" i="63"/>
  <c r="M367" i="63"/>
  <c r="G372" i="63"/>
  <c r="G365" i="63"/>
  <c r="G358" i="63"/>
  <c r="G363" i="63"/>
  <c r="G368" i="63"/>
  <c r="G362" i="63"/>
  <c r="G359" i="63"/>
  <c r="D362" i="63"/>
  <c r="D365" i="63"/>
  <c r="D346" i="63"/>
  <c r="D347" i="63"/>
  <c r="D361" i="63"/>
  <c r="D368" i="63"/>
  <c r="D363" i="63"/>
  <c r="D372" i="63"/>
  <c r="D367" i="63"/>
  <c r="D345" i="63"/>
  <c r="O362" i="63"/>
  <c r="O369" i="63"/>
  <c r="O189" i="63"/>
  <c r="O358" i="63"/>
  <c r="O192" i="63"/>
  <c r="O186" i="63"/>
  <c r="O363" i="63"/>
  <c r="O370" i="63"/>
  <c r="E339" i="11"/>
  <c r="G166" i="63"/>
  <c r="E340" i="11"/>
  <c r="G167" i="63"/>
  <c r="E341" i="11"/>
  <c r="G168" i="63"/>
  <c r="E338" i="11"/>
  <c r="G165" i="63"/>
  <c r="P18" i="11"/>
  <c r="K18" i="11"/>
  <c r="G18" i="11"/>
  <c r="H22" i="63" s="1"/>
  <c r="F18" i="11"/>
  <c r="F22" i="63" s="1"/>
  <c r="F201" i="63" s="1"/>
  <c r="E18" i="11"/>
  <c r="G22" i="63" s="1"/>
  <c r="G201" i="63" s="1"/>
  <c r="P201" i="63" l="1"/>
  <c r="G376" i="63"/>
  <c r="I376" i="63"/>
  <c r="P201" i="72"/>
  <c r="I376" i="72"/>
  <c r="G376" i="72"/>
  <c r="O22" i="63"/>
  <c r="O201" i="63" s="1"/>
  <c r="O201" i="72"/>
  <c r="G344" i="63"/>
  <c r="G346" i="63"/>
  <c r="G347" i="63"/>
  <c r="G345" i="63"/>
  <c r="I22" i="63"/>
  <c r="I201" i="63" s="1"/>
  <c r="H201" i="63"/>
  <c r="L24" i="35"/>
  <c r="G25" i="52" s="1"/>
  <c r="T25" i="52" s="1"/>
  <c r="BR25" i="35"/>
  <c r="BO25" i="35" l="1"/>
  <c r="BQ25" i="35"/>
  <c r="BH25" i="35"/>
  <c r="BI25" i="35"/>
  <c r="BB25" i="35"/>
  <c r="BC25" i="35"/>
  <c r="F3" i="35"/>
  <c r="F2" i="35"/>
  <c r="H3" i="35"/>
  <c r="H2" i="35"/>
  <c r="P3" i="35"/>
  <c r="P2" i="35"/>
  <c r="S1" i="35"/>
  <c r="S3" i="35"/>
  <c r="BE25" i="35" s="1"/>
  <c r="S2" i="35"/>
  <c r="BF25" i="35" s="1"/>
  <c r="U1" i="35"/>
  <c r="U3" i="35"/>
  <c r="BK25" i="35" s="1"/>
  <c r="U2" i="35"/>
  <c r="BL25" i="35" s="1"/>
  <c r="AI5" i="36" l="1"/>
  <c r="AQ25" i="35" l="1"/>
  <c r="AP25" i="35"/>
  <c r="R1" i="35"/>
  <c r="V1" i="35"/>
  <c r="V3" i="35"/>
  <c r="AY25" i="35" s="1"/>
  <c r="V2" i="35"/>
  <c r="AZ25" i="35" s="1"/>
  <c r="R3" i="35"/>
  <c r="AV25" i="35" s="1"/>
  <c r="R2" i="35"/>
  <c r="AW25" i="35" s="1"/>
  <c r="N3" i="35"/>
  <c r="AS25" i="35" s="1"/>
  <c r="N2" i="35"/>
  <c r="AT25" i="35" s="1"/>
  <c r="N1" i="35"/>
  <c r="X25" i="35"/>
  <c r="Y25" i="35"/>
  <c r="AA25" i="35"/>
  <c r="AB25" i="35"/>
  <c r="AD25" i="35"/>
  <c r="AE25" i="35"/>
  <c r="AK25" i="35"/>
  <c r="AJ25" i="35"/>
  <c r="P1" i="35"/>
  <c r="H1" i="35"/>
  <c r="F1" i="35"/>
  <c r="S25" i="35" l="1"/>
  <c r="V25" i="35"/>
  <c r="U25" i="35"/>
  <c r="R25" i="35"/>
  <c r="P25" i="35"/>
  <c r="K25" i="35"/>
  <c r="N25" i="35"/>
  <c r="M25" i="35"/>
  <c r="J25" i="35"/>
  <c r="H25" i="35"/>
  <c r="L25" i="35"/>
  <c r="F25" i="35"/>
  <c r="E25" i="35"/>
  <c r="AA7" i="35"/>
  <c r="AA6" i="35"/>
  <c r="AA5" i="35"/>
  <c r="AA4" i="35"/>
  <c r="AD4" i="35" s="1"/>
  <c r="AA3" i="35"/>
  <c r="AA2" i="35"/>
  <c r="AB2" i="35" s="1"/>
  <c r="D20" i="35"/>
  <c r="Y42" i="35" l="1"/>
  <c r="X42" i="35"/>
  <c r="AK42" i="35"/>
  <c r="AJ42" i="35"/>
  <c r="BF42" i="35"/>
  <c r="BE42" i="35"/>
  <c r="AB42" i="35"/>
  <c r="AA42" i="35"/>
  <c r="BI42" i="35"/>
  <c r="BH42" i="35"/>
  <c r="AW42" i="35"/>
  <c r="AV42" i="35"/>
  <c r="AT42" i="35"/>
  <c r="AS42" i="35"/>
  <c r="BL42" i="35"/>
  <c r="BK42" i="35"/>
  <c r="AE42" i="35"/>
  <c r="AD42" i="35"/>
  <c r="BC42" i="35"/>
  <c r="BB42" i="35"/>
  <c r="AZ42" i="35"/>
  <c r="AY42" i="35"/>
  <c r="AQ42" i="35"/>
  <c r="AP42" i="35"/>
  <c r="AB37" i="35"/>
  <c r="AA37" i="35"/>
  <c r="Y37" i="35"/>
  <c r="X37" i="35"/>
  <c r="BI37" i="35"/>
  <c r="BH37" i="35"/>
  <c r="AW37" i="35"/>
  <c r="AV37" i="35"/>
  <c r="AT37" i="35"/>
  <c r="AS37" i="35"/>
  <c r="BL37" i="35"/>
  <c r="BK37" i="35"/>
  <c r="AE37" i="35"/>
  <c r="AD37" i="35"/>
  <c r="BC37" i="35"/>
  <c r="BB37" i="35"/>
  <c r="AZ37" i="35"/>
  <c r="AY37" i="35"/>
  <c r="AQ37" i="35"/>
  <c r="AP37" i="35"/>
  <c r="AK37" i="35"/>
  <c r="AJ37" i="35"/>
  <c r="BF37" i="35"/>
  <c r="BE37" i="35"/>
  <c r="AB41" i="35"/>
  <c r="AB39" i="35"/>
  <c r="AB35" i="35"/>
  <c r="AB33" i="35"/>
  <c r="AB31" i="35"/>
  <c r="AB29" i="35"/>
  <c r="AB27" i="35"/>
  <c r="AA41" i="35"/>
  <c r="AA31" i="35"/>
  <c r="AA27" i="35"/>
  <c r="AA40" i="35"/>
  <c r="AA36" i="35"/>
  <c r="AA32" i="35"/>
  <c r="AA43" i="35"/>
  <c r="AA39" i="35"/>
  <c r="AA35" i="35"/>
  <c r="AA33" i="35"/>
  <c r="AA29" i="35"/>
  <c r="AA38" i="35"/>
  <c r="AA30" i="35"/>
  <c r="AB40" i="35"/>
  <c r="AB38" i="35"/>
  <c r="AB36" i="35"/>
  <c r="AB34" i="35"/>
  <c r="AB32" i="35"/>
  <c r="AB30" i="35"/>
  <c r="AB28" i="35"/>
  <c r="AB43" i="35"/>
  <c r="AA34" i="35"/>
  <c r="AA28" i="35"/>
  <c r="BI41" i="35"/>
  <c r="BI39" i="35"/>
  <c r="BI35" i="35"/>
  <c r="BI33" i="35"/>
  <c r="BI31" i="35"/>
  <c r="BI29" i="35"/>
  <c r="BI27" i="35"/>
  <c r="BH41" i="35"/>
  <c r="BH39" i="35"/>
  <c r="BH35" i="35"/>
  <c r="BH33" i="35"/>
  <c r="BH31" i="35"/>
  <c r="BH29" i="35"/>
  <c r="BH27" i="35"/>
  <c r="BI40" i="35"/>
  <c r="BI38" i="35"/>
  <c r="BI36" i="35"/>
  <c r="BI34" i="35"/>
  <c r="BI32" i="35"/>
  <c r="BI30" i="35"/>
  <c r="BI28" i="35"/>
  <c r="BI43" i="35"/>
  <c r="BH32" i="35"/>
  <c r="BH30" i="35"/>
  <c r="BH40" i="35"/>
  <c r="BH36" i="35"/>
  <c r="BH28" i="35"/>
  <c r="BH38" i="35"/>
  <c r="BH34" i="35"/>
  <c r="BH43" i="35"/>
  <c r="AW41" i="35"/>
  <c r="AW39" i="35"/>
  <c r="AW35" i="35"/>
  <c r="AW33" i="35"/>
  <c r="AW31" i="35"/>
  <c r="AW29" i="35"/>
  <c r="AW27" i="35"/>
  <c r="AV41" i="35"/>
  <c r="AV39" i="35"/>
  <c r="AV35" i="35"/>
  <c r="AV33" i="35"/>
  <c r="AV31" i="35"/>
  <c r="AV29" i="35"/>
  <c r="AV27" i="35"/>
  <c r="AW40" i="35"/>
  <c r="AW38" i="35"/>
  <c r="AW36" i="35"/>
  <c r="AW34" i="35"/>
  <c r="AW32" i="35"/>
  <c r="AW30" i="35"/>
  <c r="AW28" i="35"/>
  <c r="AW43" i="35"/>
  <c r="AV32" i="35"/>
  <c r="AV38" i="35"/>
  <c r="AV30" i="35"/>
  <c r="AV34" i="35"/>
  <c r="AV40" i="35"/>
  <c r="AV36" i="35"/>
  <c r="AV28" i="35"/>
  <c r="AV43" i="35"/>
  <c r="AT41" i="35"/>
  <c r="AT39" i="35"/>
  <c r="AT35" i="35"/>
  <c r="AT33" i="35"/>
  <c r="AT31" i="35"/>
  <c r="AT29" i="35"/>
  <c r="AT27" i="35"/>
  <c r="AS41" i="35"/>
  <c r="AS39" i="35"/>
  <c r="AS35" i="35"/>
  <c r="AS33" i="35"/>
  <c r="AS31" i="35"/>
  <c r="AS29" i="35"/>
  <c r="AS27" i="35"/>
  <c r="AT40" i="35"/>
  <c r="AT38" i="35"/>
  <c r="AT36" i="35"/>
  <c r="AT34" i="35"/>
  <c r="AT32" i="35"/>
  <c r="AT30" i="35"/>
  <c r="AT28" i="35"/>
  <c r="AT43" i="35"/>
  <c r="AS40" i="35"/>
  <c r="AS36" i="35"/>
  <c r="AS28" i="35"/>
  <c r="AS38" i="35"/>
  <c r="AS34" i="35"/>
  <c r="AS43" i="35"/>
  <c r="AS32" i="35"/>
  <c r="AS30" i="35"/>
  <c r="BL41" i="35"/>
  <c r="BL39" i="35"/>
  <c r="BL35" i="35"/>
  <c r="BL33" i="35"/>
  <c r="BL31" i="35"/>
  <c r="BL29" i="35"/>
  <c r="BL27" i="35"/>
  <c r="BK41" i="35"/>
  <c r="BK39" i="35"/>
  <c r="BK35" i="35"/>
  <c r="BK33" i="35"/>
  <c r="BK31" i="35"/>
  <c r="BK29" i="35"/>
  <c r="BK27" i="35"/>
  <c r="BL40" i="35"/>
  <c r="BL38" i="35"/>
  <c r="BL36" i="35"/>
  <c r="BL34" i="35"/>
  <c r="BL32" i="35"/>
  <c r="BL30" i="35"/>
  <c r="BL28" i="35"/>
  <c r="BL43" i="35"/>
  <c r="BK40" i="35"/>
  <c r="BK36" i="35"/>
  <c r="BK28" i="35"/>
  <c r="BK38" i="35"/>
  <c r="BK34" i="35"/>
  <c r="BK43" i="35"/>
  <c r="BK32" i="35"/>
  <c r="BK30" i="35"/>
  <c r="AE41" i="35"/>
  <c r="AE39" i="35"/>
  <c r="AE35" i="35"/>
  <c r="AE33" i="35"/>
  <c r="AE31" i="35"/>
  <c r="AE29" i="35"/>
  <c r="AE27" i="35"/>
  <c r="AD33" i="35"/>
  <c r="AD40" i="35"/>
  <c r="AD34" i="35"/>
  <c r="AD28" i="35"/>
  <c r="AD41" i="35"/>
  <c r="AD39" i="35"/>
  <c r="AD35" i="35"/>
  <c r="AD31" i="35"/>
  <c r="AD29" i="35"/>
  <c r="AD27" i="35"/>
  <c r="AD38" i="35"/>
  <c r="AD32" i="35"/>
  <c r="AE43" i="35"/>
  <c r="AE40" i="35"/>
  <c r="AE38" i="35"/>
  <c r="AE36" i="35"/>
  <c r="AE34" i="35"/>
  <c r="AE32" i="35"/>
  <c r="AE30" i="35"/>
  <c r="AE28" i="35"/>
  <c r="AD43" i="35"/>
  <c r="AD36" i="35"/>
  <c r="AD30" i="35"/>
  <c r="BC41" i="35"/>
  <c r="BC39" i="35"/>
  <c r="BC35" i="35"/>
  <c r="BC33" i="35"/>
  <c r="BC31" i="35"/>
  <c r="BC29" i="35"/>
  <c r="BC27" i="35"/>
  <c r="BB41" i="35"/>
  <c r="BB39" i="35"/>
  <c r="BB35" i="35"/>
  <c r="BB33" i="35"/>
  <c r="BB31" i="35"/>
  <c r="BB29" i="35"/>
  <c r="BB27" i="35"/>
  <c r="BC40" i="35"/>
  <c r="BC38" i="35"/>
  <c r="BC36" i="35"/>
  <c r="BC34" i="35"/>
  <c r="BC32" i="35"/>
  <c r="BC30" i="35"/>
  <c r="BC28" i="35"/>
  <c r="BC43" i="35"/>
  <c r="BB32" i="35"/>
  <c r="BB34" i="35"/>
  <c r="BB30" i="35"/>
  <c r="BB40" i="35"/>
  <c r="BB36" i="35"/>
  <c r="BB28" i="35"/>
  <c r="BB38" i="35"/>
  <c r="BB43" i="35"/>
  <c r="AZ41" i="35"/>
  <c r="AZ39" i="35"/>
  <c r="AZ35" i="35"/>
  <c r="AZ33" i="35"/>
  <c r="AZ31" i="35"/>
  <c r="AZ29" i="35"/>
  <c r="AZ27" i="35"/>
  <c r="AY41" i="35"/>
  <c r="AY39" i="35"/>
  <c r="AY35" i="35"/>
  <c r="AY33" i="35"/>
  <c r="AY31" i="35"/>
  <c r="AY29" i="35"/>
  <c r="AY27" i="35"/>
  <c r="AZ40" i="35"/>
  <c r="AZ38" i="35"/>
  <c r="AZ36" i="35"/>
  <c r="AZ34" i="35"/>
  <c r="AZ32" i="35"/>
  <c r="AZ30" i="35"/>
  <c r="AZ28" i="35"/>
  <c r="AZ43" i="35"/>
  <c r="AY40" i="35"/>
  <c r="AY36" i="35"/>
  <c r="AY28" i="35"/>
  <c r="AY38" i="35"/>
  <c r="AY34" i="35"/>
  <c r="AY43" i="35"/>
  <c r="AY32" i="35"/>
  <c r="AY30" i="35"/>
  <c r="Y41" i="35"/>
  <c r="Y39" i="35"/>
  <c r="Y35" i="35"/>
  <c r="Y33" i="35"/>
  <c r="Y31" i="35"/>
  <c r="Y29" i="35"/>
  <c r="Y27" i="35"/>
  <c r="X39" i="35"/>
  <c r="X35" i="35"/>
  <c r="X33" i="35"/>
  <c r="X29" i="35"/>
  <c r="X27" i="35"/>
  <c r="X40" i="35"/>
  <c r="X34" i="35"/>
  <c r="X28" i="35"/>
  <c r="X41" i="35"/>
  <c r="X31" i="35"/>
  <c r="X38" i="35"/>
  <c r="X30" i="35"/>
  <c r="Y40" i="35"/>
  <c r="Y38" i="35"/>
  <c r="Y36" i="35"/>
  <c r="Y34" i="35"/>
  <c r="Y32" i="35"/>
  <c r="Y30" i="35"/>
  <c r="Y28" i="35"/>
  <c r="X43" i="35"/>
  <c r="X36" i="35"/>
  <c r="X32" i="35"/>
  <c r="Y43" i="35"/>
  <c r="AQ41" i="35"/>
  <c r="AQ39" i="35"/>
  <c r="AQ35" i="35"/>
  <c r="AQ33" i="35"/>
  <c r="AQ31" i="35"/>
  <c r="AQ29" i="35"/>
  <c r="AQ27" i="35"/>
  <c r="AP41" i="35"/>
  <c r="AP39" i="35"/>
  <c r="AP35" i="35"/>
  <c r="AP33" i="35"/>
  <c r="AP31" i="35"/>
  <c r="AP29" i="35"/>
  <c r="AP27" i="35"/>
  <c r="AQ40" i="35"/>
  <c r="AQ38" i="35"/>
  <c r="AQ36" i="35"/>
  <c r="AQ34" i="35"/>
  <c r="AQ32" i="35"/>
  <c r="AQ30" i="35"/>
  <c r="AQ28" i="35"/>
  <c r="AQ43" i="35"/>
  <c r="AP32" i="35"/>
  <c r="AP43" i="35"/>
  <c r="AP30" i="35"/>
  <c r="AP38" i="35"/>
  <c r="AP40" i="35"/>
  <c r="AP36" i="35"/>
  <c r="AP28" i="35"/>
  <c r="AP34" i="35"/>
  <c r="AK40" i="35"/>
  <c r="AK38" i="35"/>
  <c r="AK36" i="35"/>
  <c r="AK34" i="35"/>
  <c r="AK32" i="35"/>
  <c r="AK30" i="35"/>
  <c r="AK28" i="35"/>
  <c r="AJ40" i="35"/>
  <c r="AJ38" i="35"/>
  <c r="AJ36" i="35"/>
  <c r="AJ34" i="35"/>
  <c r="AJ32" i="35"/>
  <c r="AJ30" i="35"/>
  <c r="AJ28" i="35"/>
  <c r="AK41" i="35"/>
  <c r="AK39" i="35"/>
  <c r="AK35" i="35"/>
  <c r="AK33" i="35"/>
  <c r="AK31" i="35"/>
  <c r="AK29" i="35"/>
  <c r="AK27" i="35"/>
  <c r="AK43" i="35"/>
  <c r="AJ29" i="35"/>
  <c r="AJ41" i="35"/>
  <c r="AJ35" i="35"/>
  <c r="AJ27" i="35"/>
  <c r="AJ31" i="35"/>
  <c r="AJ39" i="35"/>
  <c r="AJ33" i="35"/>
  <c r="AJ43" i="35"/>
  <c r="BF41" i="35"/>
  <c r="BF39" i="35"/>
  <c r="BF35" i="35"/>
  <c r="BF33" i="35"/>
  <c r="BF31" i="35"/>
  <c r="BF29" i="35"/>
  <c r="BF27" i="35"/>
  <c r="BE41" i="35"/>
  <c r="BE39" i="35"/>
  <c r="BE35" i="35"/>
  <c r="BE33" i="35"/>
  <c r="BE31" i="35"/>
  <c r="BE29" i="35"/>
  <c r="BE27" i="35"/>
  <c r="BF40" i="35"/>
  <c r="BF38" i="35"/>
  <c r="BF36" i="35"/>
  <c r="BF34" i="35"/>
  <c r="BF32" i="35"/>
  <c r="BF30" i="35"/>
  <c r="BF28" i="35"/>
  <c r="BF43" i="35"/>
  <c r="BE40" i="35"/>
  <c r="BE36" i="35"/>
  <c r="BE28" i="35"/>
  <c r="BE38" i="35"/>
  <c r="BE34" i="35"/>
  <c r="BE43" i="35"/>
  <c r="BE32" i="35"/>
  <c r="BE30" i="35"/>
  <c r="BQ43" i="35"/>
  <c r="BR43" i="35"/>
  <c r="BO43" i="35"/>
  <c r="BS43" i="35"/>
  <c r="DJ25" i="35"/>
  <c r="F26" i="52"/>
  <c r="S26" i="52" s="1"/>
  <c r="BR37" i="35"/>
  <c r="BQ37" i="35"/>
  <c r="BO37" i="35"/>
  <c r="BS37" i="35"/>
  <c r="I26" i="52"/>
  <c r="V26" i="52" s="1"/>
  <c r="J26" i="52"/>
  <c r="W26" i="52" s="1"/>
  <c r="DD25" i="35"/>
  <c r="DG25" i="35" s="1"/>
  <c r="DC25" i="35"/>
  <c r="BS49" i="35"/>
  <c r="BS45" i="35"/>
  <c r="BS41" i="35"/>
  <c r="BS33" i="35"/>
  <c r="BS29" i="35"/>
  <c r="BS48" i="35"/>
  <c r="BS44" i="35"/>
  <c r="BS40" i="35"/>
  <c r="BS36" i="35"/>
  <c r="BS32" i="35"/>
  <c r="BS28" i="35"/>
  <c r="BS47" i="35"/>
  <c r="BS35" i="35"/>
  <c r="BS31" i="35"/>
  <c r="BS50" i="35"/>
  <c r="BS46" i="35"/>
  <c r="BS42" i="35"/>
  <c r="BS38" i="35"/>
  <c r="BS34" i="35"/>
  <c r="BS30" i="35"/>
  <c r="BS39" i="35"/>
  <c r="BS27" i="35"/>
  <c r="AB5" i="35"/>
  <c r="AD5" i="35"/>
  <c r="AD2" i="35"/>
  <c r="AD6" i="35"/>
  <c r="AB6" i="35"/>
  <c r="AD3" i="35"/>
  <c r="AB3" i="35"/>
  <c r="AB7" i="35"/>
  <c r="AD7" i="35"/>
  <c r="AB4" i="35"/>
  <c r="G26" i="52"/>
  <c r="T26" i="52" s="1"/>
  <c r="BR50" i="35"/>
  <c r="BR49" i="35"/>
  <c r="BR48" i="35"/>
  <c r="BR47" i="35"/>
  <c r="BR46" i="35"/>
  <c r="BR45" i="35"/>
  <c r="BR44" i="35"/>
  <c r="BR36" i="35"/>
  <c r="BR35" i="35"/>
  <c r="BR34" i="35"/>
  <c r="BR33" i="35"/>
  <c r="BR32" i="35"/>
  <c r="BR31" i="35"/>
  <c r="BR30" i="35"/>
  <c r="BR29" i="35"/>
  <c r="BR28" i="35"/>
  <c r="BR42" i="35"/>
  <c r="BR41" i="35"/>
  <c r="BR40" i="35"/>
  <c r="BR39" i="35"/>
  <c r="BQ50" i="35"/>
  <c r="BQ49" i="35"/>
  <c r="BQ48" i="35"/>
  <c r="BQ47" i="35"/>
  <c r="BQ46" i="35"/>
  <c r="BQ45" i="35"/>
  <c r="BQ44" i="35"/>
  <c r="BQ36" i="35"/>
  <c r="BQ35" i="35"/>
  <c r="BQ34" i="35"/>
  <c r="BQ33" i="35"/>
  <c r="BQ32" i="35"/>
  <c r="BQ31" i="35"/>
  <c r="BQ30" i="35"/>
  <c r="BQ29" i="35"/>
  <c r="BQ28" i="35"/>
  <c r="BR27" i="35"/>
  <c r="BR38" i="35"/>
  <c r="BQ42" i="35"/>
  <c r="BQ38" i="35"/>
  <c r="BQ39" i="35"/>
  <c r="BQ27" i="35"/>
  <c r="BQ40" i="35"/>
  <c r="BO27" i="35"/>
  <c r="BQ41" i="35"/>
  <c r="BO34" i="35"/>
  <c r="BO48" i="35"/>
  <c r="BO31" i="35"/>
  <c r="BO40" i="35"/>
  <c r="BO44" i="35"/>
  <c r="BO49" i="35"/>
  <c r="BO35" i="35"/>
  <c r="BO46" i="35"/>
  <c r="BO29" i="35"/>
  <c r="BO39" i="35"/>
  <c r="BO36" i="35"/>
  <c r="BO50" i="35"/>
  <c r="BO45" i="35"/>
  <c r="BO32" i="35"/>
  <c r="BO33" i="35"/>
  <c r="BO41" i="35"/>
  <c r="BO47" i="35"/>
  <c r="BO28" i="35"/>
  <c r="BO38" i="35"/>
  <c r="BO42" i="35"/>
  <c r="BO30" i="35"/>
  <c r="K26" i="52"/>
  <c r="X26" i="52" s="1"/>
  <c r="E26" i="52"/>
  <c r="R26" i="52" s="1"/>
  <c r="M138" i="11" l="1"/>
  <c r="S138" i="11" s="1"/>
  <c r="AB174" i="11"/>
  <c r="AC174" i="11" s="1"/>
  <c r="M174" i="11"/>
  <c r="M144" i="54"/>
  <c r="AB144" i="54"/>
  <c r="AC144" i="54" s="1"/>
  <c r="M142" i="54"/>
  <c r="AB142" i="54"/>
  <c r="AC142" i="54" s="1"/>
  <c r="M143" i="54"/>
  <c r="AB143" i="54"/>
  <c r="AC143" i="54" s="1"/>
  <c r="M172" i="11"/>
  <c r="S172" i="11" s="1"/>
  <c r="M139" i="54"/>
  <c r="S139" i="54" s="1"/>
  <c r="M140" i="54"/>
  <c r="S140" i="54" s="1"/>
  <c r="M165" i="11"/>
  <c r="S165" i="11" s="1"/>
  <c r="M161" i="11"/>
  <c r="S161" i="11" s="1"/>
  <c r="M160" i="11"/>
  <c r="S160" i="11" s="1"/>
  <c r="M168" i="11"/>
  <c r="S168" i="11" s="1"/>
  <c r="M164" i="11"/>
  <c r="S164" i="11" s="1"/>
  <c r="M170" i="11"/>
  <c r="S170" i="11" s="1"/>
  <c r="M141" i="54"/>
  <c r="S141" i="54" s="1"/>
  <c r="M169" i="11"/>
  <c r="S169" i="11" s="1"/>
  <c r="M138" i="54"/>
  <c r="S138" i="54" s="1"/>
  <c r="M162" i="11"/>
  <c r="S162" i="11" s="1"/>
  <c r="M166" i="11"/>
  <c r="S166" i="11" s="1"/>
  <c r="M163" i="11"/>
  <c r="S163" i="11" s="1"/>
  <c r="M167" i="11"/>
  <c r="S167" i="11" s="1"/>
  <c r="M91" i="54"/>
  <c r="S91" i="54" s="1"/>
  <c r="M171" i="11"/>
  <c r="S171" i="11" s="1"/>
  <c r="M137" i="54"/>
  <c r="S137" i="54" s="1"/>
  <c r="M137" i="11"/>
  <c r="S137" i="11" s="1"/>
  <c r="AB120" i="54"/>
  <c r="AC120" i="54" s="1"/>
  <c r="AB118" i="54"/>
  <c r="AC118" i="54" s="1"/>
  <c r="AB122" i="54"/>
  <c r="AC122" i="54" s="1"/>
  <c r="AB117" i="54"/>
  <c r="AC117" i="54" s="1"/>
  <c r="AB121" i="54"/>
  <c r="AC121" i="54" s="1"/>
  <c r="AB119" i="54"/>
  <c r="AC119" i="54" s="1"/>
  <c r="AB123" i="54"/>
  <c r="AC123" i="54" s="1"/>
  <c r="AB138" i="11"/>
  <c r="AB173" i="11"/>
  <c r="AC173" i="11" s="1"/>
  <c r="M173" i="11"/>
  <c r="AB172" i="11"/>
  <c r="AC172" i="11" s="1"/>
  <c r="AB166" i="11"/>
  <c r="AC166" i="11" s="1"/>
  <c r="AB164" i="11"/>
  <c r="AC164" i="11" s="1"/>
  <c r="AB161" i="11"/>
  <c r="AC161" i="11" s="1"/>
  <c r="AB168" i="11"/>
  <c r="AC168" i="11" s="1"/>
  <c r="AB169" i="11"/>
  <c r="AC169" i="11" s="1"/>
  <c r="AB171" i="11"/>
  <c r="AC171" i="11" s="1"/>
  <c r="AB167" i="11"/>
  <c r="AC167" i="11" s="1"/>
  <c r="AB170" i="11"/>
  <c r="AC170" i="11" s="1"/>
  <c r="AB140" i="54"/>
  <c r="AC140" i="54" s="1"/>
  <c r="AB139" i="54"/>
  <c r="AC139" i="54" s="1"/>
  <c r="AB141" i="54"/>
  <c r="AC141" i="54" s="1"/>
  <c r="AB8" i="35"/>
  <c r="AB9" i="35" s="1"/>
  <c r="AD8" i="35"/>
  <c r="AD9" i="35" s="1"/>
  <c r="AB160" i="11"/>
  <c r="AB163" i="11"/>
  <c r="AC163" i="11" s="1"/>
  <c r="AB114" i="11"/>
  <c r="AB114" i="54"/>
  <c r="AC114" i="54" s="1"/>
  <c r="AB137" i="11"/>
  <c r="AB137" i="54"/>
  <c r="AC137" i="54" s="1"/>
  <c r="AB165" i="11"/>
  <c r="AC165" i="11" s="1"/>
  <c r="AB138" i="54"/>
  <c r="AC138" i="54" s="1"/>
  <c r="AB115" i="11"/>
  <c r="AB115" i="54"/>
  <c r="AC115" i="54" s="1"/>
  <c r="AB91" i="11"/>
  <c r="AB91" i="54"/>
  <c r="AC91" i="54" s="1"/>
  <c r="AB93" i="54"/>
  <c r="AC93" i="54" s="1"/>
  <c r="AB92" i="11"/>
  <c r="AB116" i="54"/>
  <c r="AC116" i="54" s="1"/>
  <c r="AB116" i="11"/>
  <c r="AB92" i="54"/>
  <c r="AC92" i="54" s="1"/>
  <c r="AB162" i="11"/>
  <c r="AC162" i="11" s="1"/>
  <c r="AB94" i="54"/>
  <c r="AC94" i="54" s="1"/>
  <c r="AB93" i="11"/>
  <c r="M114" i="54"/>
  <c r="S114" i="54" s="1"/>
  <c r="AC160" i="47"/>
  <c r="AC337" i="47"/>
  <c r="AC162" i="47"/>
  <c r="AC339" i="47"/>
  <c r="AC114" i="47"/>
  <c r="AC291" i="47"/>
  <c r="AC92" i="47"/>
  <c r="AC269" i="47"/>
  <c r="AC137" i="47"/>
  <c r="AC314" i="47"/>
  <c r="AC93" i="47"/>
  <c r="AC270" i="47"/>
  <c r="AC115" i="47"/>
  <c r="AC292" i="47"/>
  <c r="AC91" i="47"/>
  <c r="AC268" i="47"/>
  <c r="AC161" i="47"/>
  <c r="AC338" i="47"/>
  <c r="AC343" i="11"/>
  <c r="AC342" i="11"/>
  <c r="S174" i="11" l="1"/>
  <c r="AE174" i="11"/>
  <c r="AF174" i="11" s="1"/>
  <c r="P174" i="11" s="1"/>
  <c r="O178" i="63" s="1"/>
  <c r="N178" i="63"/>
  <c r="AI174" i="11"/>
  <c r="S142" i="54"/>
  <c r="AI142" i="54"/>
  <c r="AE142" i="54"/>
  <c r="AF142" i="54" s="1"/>
  <c r="P142" i="54" s="1"/>
  <c r="Q142" i="54" s="1"/>
  <c r="S143" i="54"/>
  <c r="AE143" i="54"/>
  <c r="AF143" i="54" s="1"/>
  <c r="P143" i="54" s="1"/>
  <c r="Q143" i="54" s="1"/>
  <c r="AI143" i="54"/>
  <c r="S144" i="54"/>
  <c r="AI144" i="54"/>
  <c r="AE144" i="54"/>
  <c r="AF144" i="54" s="1"/>
  <c r="P144" i="54" s="1"/>
  <c r="Q144" i="54" s="1"/>
  <c r="AI119" i="54"/>
  <c r="AE119" i="54"/>
  <c r="AF119" i="54" s="1"/>
  <c r="AI118" i="54"/>
  <c r="AE118" i="54"/>
  <c r="AF118" i="54" s="1"/>
  <c r="AE117" i="54"/>
  <c r="AF117" i="54" s="1"/>
  <c r="AI117" i="54"/>
  <c r="AI123" i="54"/>
  <c r="AE123" i="54"/>
  <c r="AF123" i="54" s="1"/>
  <c r="AI120" i="54"/>
  <c r="AE120" i="54"/>
  <c r="AF120" i="54" s="1"/>
  <c r="AE121" i="54"/>
  <c r="AF121" i="54" s="1"/>
  <c r="AI121" i="54"/>
  <c r="AI122" i="54"/>
  <c r="AE122" i="54"/>
  <c r="AF122" i="54" s="1"/>
  <c r="S173" i="11"/>
  <c r="N177" i="63"/>
  <c r="AE173" i="11"/>
  <c r="AF173" i="11" s="1"/>
  <c r="P173" i="11" s="1"/>
  <c r="Q173" i="11" s="1"/>
  <c r="AI173" i="11"/>
  <c r="N176" i="63"/>
  <c r="AI172" i="11"/>
  <c r="AE172" i="11"/>
  <c r="AF172" i="11" s="1"/>
  <c r="N14" i="63"/>
  <c r="D14" i="11"/>
  <c r="D17" i="15"/>
  <c r="N174" i="63"/>
  <c r="AE170" i="11"/>
  <c r="AF170" i="11" s="1"/>
  <c r="AI170" i="11"/>
  <c r="N175" i="63"/>
  <c r="AE171" i="11"/>
  <c r="AF171" i="11" s="1"/>
  <c r="AI171" i="11"/>
  <c r="AE168" i="11"/>
  <c r="AF168" i="11" s="1"/>
  <c r="N172" i="63"/>
  <c r="AI168" i="11"/>
  <c r="N171" i="63"/>
  <c r="AI167" i="11"/>
  <c r="AE167" i="11"/>
  <c r="AF167" i="11" s="1"/>
  <c r="AI169" i="11"/>
  <c r="AE169" i="11"/>
  <c r="AF169" i="11" s="1"/>
  <c r="N173" i="63"/>
  <c r="AI141" i="54"/>
  <c r="AE141" i="54"/>
  <c r="AF141" i="54" s="1"/>
  <c r="P141" i="54" s="1"/>
  <c r="Q141" i="54" s="1"/>
  <c r="AI139" i="54"/>
  <c r="AE139" i="54"/>
  <c r="AF139" i="54" s="1"/>
  <c r="P139" i="54" s="1"/>
  <c r="Q139" i="54" s="1"/>
  <c r="AI140" i="54"/>
  <c r="AE140" i="54"/>
  <c r="AF140" i="54" s="1"/>
  <c r="P140" i="54" s="1"/>
  <c r="Q140" i="54" s="1"/>
  <c r="J14" i="67"/>
  <c r="N167" i="63"/>
  <c r="N168" i="63"/>
  <c r="N170" i="63"/>
  <c r="N165" i="63"/>
  <c r="N169" i="63"/>
  <c r="N166" i="63"/>
  <c r="N164" i="63"/>
  <c r="AE138" i="54"/>
  <c r="AF138" i="54" s="1"/>
  <c r="P138" i="54" s="1"/>
  <c r="Q138" i="54" s="1"/>
  <c r="AI138" i="54"/>
  <c r="AI92" i="54"/>
  <c r="AE92" i="54"/>
  <c r="AF92" i="54" s="1"/>
  <c r="P92" i="54" s="1"/>
  <c r="Q92" i="54" s="1"/>
  <c r="AI116" i="54"/>
  <c r="AE116" i="54"/>
  <c r="AF116" i="54" s="1"/>
  <c r="AI137" i="54"/>
  <c r="AE137" i="54"/>
  <c r="AF137" i="54" s="1"/>
  <c r="AI115" i="54"/>
  <c r="AE115" i="54"/>
  <c r="AF115" i="54" s="1"/>
  <c r="AE114" i="54"/>
  <c r="AF114" i="54" s="1"/>
  <c r="P114" i="54" s="1"/>
  <c r="Q114" i="54" s="1"/>
  <c r="AI114" i="54"/>
  <c r="AE93" i="54"/>
  <c r="AF93" i="54" s="1"/>
  <c r="P93" i="54" s="1"/>
  <c r="Q93" i="54" s="1"/>
  <c r="AI93" i="54"/>
  <c r="AI91" i="54"/>
  <c r="AE91" i="54"/>
  <c r="AF91" i="54" s="1"/>
  <c r="AI94" i="54"/>
  <c r="AE94" i="54"/>
  <c r="AF94" i="54" s="1"/>
  <c r="P94" i="54" s="1"/>
  <c r="Q94" i="54" s="1"/>
  <c r="AE292" i="47"/>
  <c r="AF292" i="47" s="1"/>
  <c r="AI292" i="47"/>
  <c r="AI314" i="47"/>
  <c r="AE314" i="47"/>
  <c r="AF314" i="47" s="1"/>
  <c r="P314" i="47" s="1"/>
  <c r="Q314" i="47" s="1"/>
  <c r="AE269" i="47"/>
  <c r="AF269" i="47" s="1"/>
  <c r="P269" i="47" s="1"/>
  <c r="AI269" i="47"/>
  <c r="AE268" i="47"/>
  <c r="AF268" i="47" s="1"/>
  <c r="P268" i="47" s="1"/>
  <c r="Q268" i="47" s="1"/>
  <c r="AI268" i="47"/>
  <c r="AE270" i="47"/>
  <c r="AF270" i="47" s="1"/>
  <c r="P275" i="72" s="1"/>
  <c r="AI270" i="47"/>
  <c r="AI291" i="47"/>
  <c r="AE291" i="47"/>
  <c r="AF291" i="47" s="1"/>
  <c r="AE339" i="47"/>
  <c r="AF339" i="47" s="1"/>
  <c r="P339" i="47" s="1"/>
  <c r="Q339" i="47" s="1"/>
  <c r="AI339" i="47"/>
  <c r="AE337" i="47"/>
  <c r="AF337" i="47" s="1"/>
  <c r="P337" i="47" s="1"/>
  <c r="Q337" i="47" s="1"/>
  <c r="AI337" i="47"/>
  <c r="AI92" i="47"/>
  <c r="AE92" i="47"/>
  <c r="AF92" i="47" s="1"/>
  <c r="P92" i="47" s="1"/>
  <c r="AI114" i="47"/>
  <c r="AE114" i="47"/>
  <c r="AF114" i="47" s="1"/>
  <c r="AE91" i="47"/>
  <c r="AF91" i="47" s="1"/>
  <c r="P91" i="47" s="1"/>
  <c r="Q91" i="47" s="1"/>
  <c r="AI91" i="47"/>
  <c r="AE115" i="47"/>
  <c r="AF115" i="47" s="1"/>
  <c r="AI115" i="47"/>
  <c r="AE93" i="47"/>
  <c r="AF93" i="47" s="1"/>
  <c r="AI93" i="47"/>
  <c r="AE137" i="47"/>
  <c r="AF137" i="47" s="1"/>
  <c r="P137" i="47" s="1"/>
  <c r="Q137" i="47" s="1"/>
  <c r="AI137" i="47"/>
  <c r="AE162" i="47"/>
  <c r="AF162" i="47" s="1"/>
  <c r="P162" i="47" s="1"/>
  <c r="Q162" i="47" s="1"/>
  <c r="AI162" i="47"/>
  <c r="AI160" i="47"/>
  <c r="AE160" i="47"/>
  <c r="AF160" i="47" s="1"/>
  <c r="P160" i="47" s="1"/>
  <c r="Q160" i="47" s="1"/>
  <c r="AI338" i="47"/>
  <c r="AE338" i="47"/>
  <c r="AF338" i="47" s="1"/>
  <c r="P338" i="47" s="1"/>
  <c r="Q338" i="47" s="1"/>
  <c r="AE161" i="47"/>
  <c r="AF161" i="47" s="1"/>
  <c r="P161" i="47" s="1"/>
  <c r="Q161" i="47" s="1"/>
  <c r="AI161" i="47"/>
  <c r="AI343" i="11"/>
  <c r="AE343" i="11"/>
  <c r="AF343" i="11" s="1"/>
  <c r="AI166" i="11"/>
  <c r="AE166" i="11"/>
  <c r="AF166" i="11" s="1"/>
  <c r="AE165" i="11"/>
  <c r="AF165" i="11" s="1"/>
  <c r="AI165" i="11"/>
  <c r="AE342" i="11"/>
  <c r="AF342" i="11" s="1"/>
  <c r="AI342" i="11"/>
  <c r="AE164" i="11"/>
  <c r="AF164" i="11" s="1"/>
  <c r="P164" i="11" s="1"/>
  <c r="AE162" i="11"/>
  <c r="AF162" i="11" s="1"/>
  <c r="AE163" i="11"/>
  <c r="AF163" i="11" s="1"/>
  <c r="AE161" i="11"/>
  <c r="AF161" i="11" s="1"/>
  <c r="AL174" i="11" l="1"/>
  <c r="AJ174" i="11"/>
  <c r="Q174" i="11"/>
  <c r="R144" i="54"/>
  <c r="T144" i="54"/>
  <c r="R142" i="54"/>
  <c r="T142" i="54"/>
  <c r="R143" i="54"/>
  <c r="T143" i="54"/>
  <c r="AJ144" i="54"/>
  <c r="AL144" i="54"/>
  <c r="AL142" i="54"/>
  <c r="AJ142" i="54"/>
  <c r="AK142" i="54" s="1"/>
  <c r="AL143" i="54"/>
  <c r="AJ143" i="54"/>
  <c r="R92" i="54"/>
  <c r="T92" i="54"/>
  <c r="R93" i="54"/>
  <c r="T93" i="54"/>
  <c r="R94" i="54"/>
  <c r="T94" i="54"/>
  <c r="T268" i="47"/>
  <c r="R268" i="47"/>
  <c r="O95" i="72"/>
  <c r="Q92" i="47"/>
  <c r="P95" i="72" s="1"/>
  <c r="T91" i="47"/>
  <c r="R91" i="47"/>
  <c r="O274" i="72"/>
  <c r="Q269" i="47"/>
  <c r="P274" i="72" s="1"/>
  <c r="R139" i="54"/>
  <c r="T139" i="54"/>
  <c r="R138" i="54"/>
  <c r="T138" i="54"/>
  <c r="R140" i="54"/>
  <c r="T140" i="54"/>
  <c r="R141" i="54"/>
  <c r="T141" i="54"/>
  <c r="R339" i="47"/>
  <c r="T339" i="47"/>
  <c r="R337" i="47"/>
  <c r="T337" i="47"/>
  <c r="R338" i="47"/>
  <c r="T338" i="47"/>
  <c r="R314" i="47"/>
  <c r="T314" i="47"/>
  <c r="R137" i="47"/>
  <c r="T137" i="47"/>
  <c r="T160" i="47"/>
  <c r="R160" i="47"/>
  <c r="R161" i="47"/>
  <c r="T161" i="47"/>
  <c r="T162" i="47"/>
  <c r="R162" i="47"/>
  <c r="T173" i="11"/>
  <c r="R173" i="11" s="1"/>
  <c r="T114" i="54"/>
  <c r="R114" i="54" s="1"/>
  <c r="AL118" i="54"/>
  <c r="AJ118" i="54"/>
  <c r="AK118" i="54" s="1"/>
  <c r="AJ121" i="54"/>
  <c r="AL121" i="54"/>
  <c r="AL120" i="54"/>
  <c r="AJ120" i="54"/>
  <c r="AK120" i="54" s="1"/>
  <c r="AJ122" i="54"/>
  <c r="AK122" i="54" s="1"/>
  <c r="AL122" i="54"/>
  <c r="AJ123" i="54"/>
  <c r="AL123" i="54"/>
  <c r="AL117" i="54"/>
  <c r="AJ117" i="54"/>
  <c r="AK117" i="54" s="1"/>
  <c r="AJ119" i="54"/>
  <c r="AL119" i="54"/>
  <c r="AJ172" i="11"/>
  <c r="AL172" i="11"/>
  <c r="AJ173" i="11"/>
  <c r="AL173" i="11"/>
  <c r="AL169" i="11"/>
  <c r="AJ169" i="11"/>
  <c r="AK169" i="11" s="1"/>
  <c r="AL168" i="11"/>
  <c r="AJ168" i="11"/>
  <c r="AJ171" i="11"/>
  <c r="AL171" i="11"/>
  <c r="AJ170" i="11"/>
  <c r="AK170" i="11" s="1"/>
  <c r="AL170" i="11"/>
  <c r="AL167" i="11"/>
  <c r="AJ167" i="11"/>
  <c r="AJ140" i="54"/>
  <c r="AL140" i="54"/>
  <c r="AJ139" i="54"/>
  <c r="AK139" i="54" s="1"/>
  <c r="AL139" i="54"/>
  <c r="AJ141" i="54"/>
  <c r="AK141" i="54" s="1"/>
  <c r="AL141" i="54"/>
  <c r="P96" i="72"/>
  <c r="AJ137" i="54"/>
  <c r="AK137" i="54" s="1"/>
  <c r="AL137" i="54"/>
  <c r="AJ94" i="54"/>
  <c r="AK94" i="54" s="1"/>
  <c r="AL94" i="54"/>
  <c r="AL114" i="54"/>
  <c r="AJ114" i="54"/>
  <c r="AK114" i="54" s="1"/>
  <c r="AJ116" i="54"/>
  <c r="AK116" i="54" s="1"/>
  <c r="AL116" i="54"/>
  <c r="AJ92" i="54"/>
  <c r="AK92" i="54" s="1"/>
  <c r="AL92" i="54"/>
  <c r="AJ138" i="54"/>
  <c r="AK138" i="54" s="1"/>
  <c r="AL138" i="54"/>
  <c r="AJ115" i="54"/>
  <c r="AK115" i="54" s="1"/>
  <c r="AL115" i="54"/>
  <c r="AL91" i="54"/>
  <c r="AJ91" i="54"/>
  <c r="AK91" i="54" s="1"/>
  <c r="AL93" i="54"/>
  <c r="AJ93" i="54"/>
  <c r="AK93" i="54" s="1"/>
  <c r="AJ137" i="47"/>
  <c r="AK137" i="47" s="1"/>
  <c r="AL137" i="47"/>
  <c r="AL91" i="47"/>
  <c r="AJ91" i="47"/>
  <c r="AK91" i="47" s="1"/>
  <c r="AJ337" i="47"/>
  <c r="AK337" i="47" s="1"/>
  <c r="AL337" i="47"/>
  <c r="AJ291" i="47"/>
  <c r="AK291" i="47" s="1"/>
  <c r="AL291" i="47"/>
  <c r="AL114" i="47"/>
  <c r="AJ114" i="47"/>
  <c r="AK114" i="47" s="1"/>
  <c r="AJ92" i="47"/>
  <c r="AK92" i="47" s="1"/>
  <c r="AL92" i="47"/>
  <c r="AJ160" i="47"/>
  <c r="AK160" i="47" s="1"/>
  <c r="AL160" i="47"/>
  <c r="AJ269" i="47"/>
  <c r="AK269" i="47" s="1"/>
  <c r="AL269" i="47"/>
  <c r="AL93" i="47"/>
  <c r="AJ93" i="47"/>
  <c r="AK93" i="47" s="1"/>
  <c r="AJ339" i="47"/>
  <c r="AK339" i="47" s="1"/>
  <c r="AL339" i="47"/>
  <c r="AL270" i="47"/>
  <c r="AJ270" i="47"/>
  <c r="AK270" i="47" s="1"/>
  <c r="AJ314" i="47"/>
  <c r="AK314" i="47" s="1"/>
  <c r="AL314" i="47"/>
  <c r="AJ292" i="47"/>
  <c r="AK292" i="47" s="1"/>
  <c r="AL292" i="47"/>
  <c r="AL162" i="47"/>
  <c r="AJ162" i="47"/>
  <c r="AK162" i="47" s="1"/>
  <c r="AJ115" i="47"/>
  <c r="AK115" i="47" s="1"/>
  <c r="AL115" i="47"/>
  <c r="AL268" i="47"/>
  <c r="AJ268" i="47"/>
  <c r="AK268" i="47" s="1"/>
  <c r="AL161" i="47"/>
  <c r="AJ161" i="47"/>
  <c r="AK161" i="47" s="1"/>
  <c r="AJ338" i="47"/>
  <c r="AK338" i="47" s="1"/>
  <c r="AL338" i="47"/>
  <c r="AJ166" i="11"/>
  <c r="AL166" i="11"/>
  <c r="AL343" i="11"/>
  <c r="AJ343" i="11"/>
  <c r="AL165" i="11"/>
  <c r="AJ165" i="11"/>
  <c r="AK165" i="11" s="1"/>
  <c r="AL342" i="11"/>
  <c r="AJ342" i="11"/>
  <c r="AK342" i="11" s="1"/>
  <c r="A26" i="21"/>
  <c r="A25" i="21"/>
  <c r="A24" i="21"/>
  <c r="A23" i="21"/>
  <c r="A22" i="21"/>
  <c r="A21" i="21"/>
  <c r="A20" i="21"/>
  <c r="A19" i="21"/>
  <c r="G1" i="21"/>
  <c r="C41" i="21" s="1"/>
  <c r="F1" i="21"/>
  <c r="C36" i="21" s="1"/>
  <c r="AK174" i="11" l="1"/>
  <c r="AM174" i="11"/>
  <c r="AN174" i="11" s="1"/>
  <c r="P178" i="63"/>
  <c r="T174" i="11"/>
  <c r="R174" i="11"/>
  <c r="AM142" i="54"/>
  <c r="AN142" i="54" s="1"/>
  <c r="AV142" i="54"/>
  <c r="AW142" i="54" s="1"/>
  <c r="AX142" i="54" s="1"/>
  <c r="AO142" i="54"/>
  <c r="AK143" i="54"/>
  <c r="AM143" i="54"/>
  <c r="AN143" i="54" s="1"/>
  <c r="AK144" i="54"/>
  <c r="AM144" i="54"/>
  <c r="AN144" i="54" s="1"/>
  <c r="X21" i="77"/>
  <c r="E37" i="21"/>
  <c r="E60" i="55" s="1"/>
  <c r="F37" i="21"/>
  <c r="I103" i="68" s="1"/>
  <c r="J24" i="16"/>
  <c r="D36" i="21"/>
  <c r="D59" i="55" s="1"/>
  <c r="T269" i="47"/>
  <c r="R269" i="47"/>
  <c r="T92" i="47"/>
  <c r="R92" i="47"/>
  <c r="Y21" i="77"/>
  <c r="F42" i="21"/>
  <c r="I167" i="68" s="1"/>
  <c r="E42" i="21"/>
  <c r="E86" i="55" s="1"/>
  <c r="L24" i="16"/>
  <c r="D41" i="21"/>
  <c r="D85" i="55" s="1"/>
  <c r="AM122" i="54"/>
  <c r="AN122" i="54" s="1"/>
  <c r="AM118" i="54"/>
  <c r="AN118" i="54" s="1"/>
  <c r="AK119" i="54"/>
  <c r="AM119" i="54"/>
  <c r="AN119" i="54" s="1"/>
  <c r="AK123" i="54"/>
  <c r="AM123" i="54"/>
  <c r="AN123" i="54" s="1"/>
  <c r="AO118" i="54"/>
  <c r="AV118" i="54"/>
  <c r="AW118" i="54" s="1"/>
  <c r="AX118" i="54" s="1"/>
  <c r="AO117" i="54"/>
  <c r="AV117" i="54"/>
  <c r="AW117" i="54" s="1"/>
  <c r="AX117" i="54" s="1"/>
  <c r="AO122" i="54"/>
  <c r="AV122" i="54"/>
  <c r="AW122" i="54" s="1"/>
  <c r="AX122" i="54" s="1"/>
  <c r="AO120" i="54"/>
  <c r="AV120" i="54"/>
  <c r="AW120" i="54" s="1"/>
  <c r="AX120" i="54" s="1"/>
  <c r="AM117" i="54"/>
  <c r="AN117" i="54" s="1"/>
  <c r="AM120" i="54"/>
  <c r="AN120" i="54" s="1"/>
  <c r="AK121" i="54"/>
  <c r="AM121" i="54"/>
  <c r="AN121" i="54" s="1"/>
  <c r="AM173" i="11"/>
  <c r="AN173" i="11" s="1"/>
  <c r="AK173" i="11"/>
  <c r="AO173" i="11" s="1"/>
  <c r="AK172" i="11"/>
  <c r="AV172" i="11" s="1"/>
  <c r="AW172" i="11" s="1"/>
  <c r="AX172" i="11" s="1"/>
  <c r="AM172" i="11"/>
  <c r="AN172" i="11" s="1"/>
  <c r="AM170" i="11"/>
  <c r="AN170" i="11" s="1"/>
  <c r="AV170" i="11"/>
  <c r="AW170" i="11" s="1"/>
  <c r="AX170" i="11" s="1"/>
  <c r="AO170" i="11"/>
  <c r="AK171" i="11"/>
  <c r="AM171" i="11"/>
  <c r="AN171" i="11" s="1"/>
  <c r="AK168" i="11"/>
  <c r="AM168" i="11"/>
  <c r="AN168" i="11" s="1"/>
  <c r="AM169" i="11"/>
  <c r="AN169" i="11" s="1"/>
  <c r="AK167" i="11"/>
  <c r="AM167" i="11"/>
  <c r="AN167" i="11" s="1"/>
  <c r="AO169" i="11"/>
  <c r="AV169" i="11"/>
  <c r="AW169" i="11" s="1"/>
  <c r="AX169" i="11" s="1"/>
  <c r="AO141" i="54"/>
  <c r="AV141" i="54"/>
  <c r="AW141" i="54" s="1"/>
  <c r="AX141" i="54" s="1"/>
  <c r="AM141" i="54"/>
  <c r="AN141" i="54" s="1"/>
  <c r="AO139" i="54"/>
  <c r="AV139" i="54"/>
  <c r="AW139" i="54" s="1"/>
  <c r="AX139" i="54" s="1"/>
  <c r="AM139" i="54"/>
  <c r="AN139" i="54" s="1"/>
  <c r="AK140" i="54"/>
  <c r="AM140" i="54"/>
  <c r="AN140" i="54" s="1"/>
  <c r="P297" i="72"/>
  <c r="O297" i="72"/>
  <c r="P118" i="72"/>
  <c r="O118" i="72"/>
  <c r="G21" i="21"/>
  <c r="M15" i="21" s="1"/>
  <c r="F21" i="21"/>
  <c r="M14" i="21" s="1"/>
  <c r="AM138" i="54"/>
  <c r="AN138" i="54" s="1"/>
  <c r="AM137" i="54"/>
  <c r="AN137" i="54" s="1"/>
  <c r="AM115" i="54"/>
  <c r="AN115" i="54" s="1"/>
  <c r="AM94" i="54"/>
  <c r="AN94" i="54" s="1"/>
  <c r="AM116" i="54"/>
  <c r="AN116" i="54" s="1"/>
  <c r="AM91" i="54"/>
  <c r="AN91" i="54" s="1"/>
  <c r="AM93" i="54"/>
  <c r="AN93" i="54" s="1"/>
  <c r="E67" i="47"/>
  <c r="E67" i="54"/>
  <c r="AO91" i="54"/>
  <c r="AV91" i="54"/>
  <c r="AW91" i="54" s="1"/>
  <c r="AX91" i="54" s="1"/>
  <c r="AO138" i="54"/>
  <c r="AV138" i="54"/>
  <c r="AW138" i="54" s="1"/>
  <c r="AX138" i="54" s="1"/>
  <c r="AO92" i="54"/>
  <c r="AV92" i="54"/>
  <c r="AW92" i="54" s="1"/>
  <c r="AX92" i="54" s="1"/>
  <c r="AM92" i="54"/>
  <c r="AN92" i="54" s="1"/>
  <c r="AV116" i="54"/>
  <c r="AW116" i="54" s="1"/>
  <c r="AX116" i="54" s="1"/>
  <c r="AO116" i="54"/>
  <c r="AM114" i="54"/>
  <c r="AN114" i="54" s="1"/>
  <c r="AO115" i="54"/>
  <c r="AV115" i="54"/>
  <c r="AW115" i="54" s="1"/>
  <c r="AX115" i="54" s="1"/>
  <c r="AO114" i="54"/>
  <c r="AV114" i="54"/>
  <c r="AW114" i="54" s="1"/>
  <c r="AX114" i="54" s="1"/>
  <c r="AV94" i="54"/>
  <c r="AW94" i="54" s="1"/>
  <c r="AX94" i="54" s="1"/>
  <c r="AO94" i="54"/>
  <c r="E44" i="47"/>
  <c r="E44" i="54"/>
  <c r="AO93" i="54"/>
  <c r="AV93" i="54"/>
  <c r="AW93" i="54" s="1"/>
  <c r="AX93" i="54" s="1"/>
  <c r="AV137" i="54"/>
  <c r="AW137" i="54" s="1"/>
  <c r="AX137" i="54" s="1"/>
  <c r="AO137" i="54"/>
  <c r="AM314" i="47"/>
  <c r="AN314" i="47" s="1"/>
  <c r="AM91" i="47"/>
  <c r="AN91" i="47" s="1"/>
  <c r="AM269" i="47"/>
  <c r="AN269" i="47" s="1"/>
  <c r="AM114" i="47"/>
  <c r="AN114" i="47" s="1"/>
  <c r="AM93" i="47"/>
  <c r="AN93" i="47" s="1"/>
  <c r="AM115" i="47"/>
  <c r="AN115" i="47" s="1"/>
  <c r="AM291" i="47"/>
  <c r="AN291" i="47" s="1"/>
  <c r="AM268" i="47"/>
  <c r="AN268" i="47" s="1"/>
  <c r="AM137" i="47"/>
  <c r="AN137" i="47" s="1"/>
  <c r="AM162" i="47"/>
  <c r="AN162" i="47" s="1"/>
  <c r="AM160" i="47"/>
  <c r="AN160" i="47" s="1"/>
  <c r="AV269" i="47"/>
  <c r="AW269" i="47" s="1"/>
  <c r="AX269" i="47" s="1"/>
  <c r="AO269" i="47"/>
  <c r="AV160" i="47"/>
  <c r="AW160" i="47" s="1"/>
  <c r="AX160" i="47" s="1"/>
  <c r="AO160" i="47"/>
  <c r="AM338" i="47"/>
  <c r="AN338" i="47" s="1"/>
  <c r="AM339" i="47"/>
  <c r="AN339" i="47" s="1"/>
  <c r="AM92" i="47"/>
  <c r="AN92" i="47" s="1"/>
  <c r="AO337" i="47"/>
  <c r="AV337" i="47"/>
  <c r="AW337" i="47" s="1"/>
  <c r="AX337" i="47" s="1"/>
  <c r="AO91" i="47"/>
  <c r="AV91" i="47"/>
  <c r="AW91" i="47" s="1"/>
  <c r="AX91" i="47" s="1"/>
  <c r="AO137" i="47"/>
  <c r="AV137" i="47"/>
  <c r="AW137" i="47" s="1"/>
  <c r="AX137" i="47" s="1"/>
  <c r="AO162" i="47"/>
  <c r="AV162" i="47"/>
  <c r="AW162" i="47" s="1"/>
  <c r="AX162" i="47" s="1"/>
  <c r="AO314" i="47"/>
  <c r="AV314" i="47"/>
  <c r="AW314" i="47" s="1"/>
  <c r="AX314" i="47" s="1"/>
  <c r="AO270" i="47"/>
  <c r="AV270" i="47"/>
  <c r="AW270" i="47" s="1"/>
  <c r="AX270" i="47" s="1"/>
  <c r="AO268" i="47"/>
  <c r="AV268" i="47"/>
  <c r="AW268" i="47" s="1"/>
  <c r="AX268" i="47" s="1"/>
  <c r="AO115" i="47"/>
  <c r="AV115" i="47"/>
  <c r="AW115" i="47" s="1"/>
  <c r="AX115" i="47" s="1"/>
  <c r="AM292" i="47"/>
  <c r="AN292" i="47" s="1"/>
  <c r="AO93" i="47"/>
  <c r="AV93" i="47"/>
  <c r="AW93" i="47" s="1"/>
  <c r="AX93" i="47" s="1"/>
  <c r="AO114" i="47"/>
  <c r="AV114" i="47"/>
  <c r="AW114" i="47" s="1"/>
  <c r="AX114" i="47" s="1"/>
  <c r="AV291" i="47"/>
  <c r="AW291" i="47" s="1"/>
  <c r="AX291" i="47" s="1"/>
  <c r="AO291" i="47"/>
  <c r="AM337" i="47"/>
  <c r="AN337" i="47" s="1"/>
  <c r="AO292" i="47"/>
  <c r="AV292" i="47"/>
  <c r="AW292" i="47" s="1"/>
  <c r="AX292" i="47" s="1"/>
  <c r="AM270" i="47"/>
  <c r="AN270" i="47" s="1"/>
  <c r="AO339" i="47"/>
  <c r="AV339" i="47"/>
  <c r="AW339" i="47" s="1"/>
  <c r="AX339" i="47" s="1"/>
  <c r="AV92" i="47"/>
  <c r="AW92" i="47" s="1"/>
  <c r="AX92" i="47" s="1"/>
  <c r="AO92" i="47"/>
  <c r="AO338" i="47"/>
  <c r="AV338" i="47"/>
  <c r="AW338" i="47" s="1"/>
  <c r="AX338" i="47" s="1"/>
  <c r="AM161" i="47"/>
  <c r="AN161" i="47" s="1"/>
  <c r="AO161" i="47"/>
  <c r="AV161" i="47"/>
  <c r="AW161" i="47" s="1"/>
  <c r="AX161" i="47" s="1"/>
  <c r="E44" i="11"/>
  <c r="E67" i="11"/>
  <c r="AK343" i="11"/>
  <c r="AM343" i="11"/>
  <c r="AN343" i="11" s="1"/>
  <c r="AK166" i="11"/>
  <c r="AM166" i="11"/>
  <c r="AN166" i="11" s="1"/>
  <c r="I24" i="5"/>
  <c r="D31" i="6"/>
  <c r="H24" i="5"/>
  <c r="C31" i="6"/>
  <c r="G7" i="37"/>
  <c r="G8" i="37" s="1"/>
  <c r="H7" i="37"/>
  <c r="H8" i="37" s="1"/>
  <c r="AM342" i="11"/>
  <c r="AN342" i="11" s="1"/>
  <c r="AV342" i="11"/>
  <c r="AW342" i="11" s="1"/>
  <c r="AX342" i="11" s="1"/>
  <c r="AO342" i="11"/>
  <c r="AO165" i="11"/>
  <c r="AV165" i="11"/>
  <c r="AW165" i="11" s="1"/>
  <c r="AX165" i="11" s="1"/>
  <c r="AM165" i="11"/>
  <c r="AN165" i="11" s="1"/>
  <c r="Z4" i="11"/>
  <c r="Z3" i="11"/>
  <c r="Z2" i="11"/>
  <c r="R385" i="11"/>
  <c r="C385" i="11"/>
  <c r="D13" i="11"/>
  <c r="D11" i="11"/>
  <c r="E159" i="11" l="1"/>
  <c r="G163" i="63" s="1"/>
  <c r="C375" i="63" s="1"/>
  <c r="AO174" i="11"/>
  <c r="AP174" i="11" s="1"/>
  <c r="AV174" i="11"/>
  <c r="AW174" i="11" s="1"/>
  <c r="AX174" i="11" s="1"/>
  <c r="AP142" i="54"/>
  <c r="AR142" i="54" s="1"/>
  <c r="AV143" i="54"/>
  <c r="AW143" i="54" s="1"/>
  <c r="AX143" i="54" s="1"/>
  <c r="AO143" i="54"/>
  <c r="AP143" i="54" s="1"/>
  <c r="AO144" i="54"/>
  <c r="AP144" i="54" s="1"/>
  <c r="AV144" i="54"/>
  <c r="AW144" i="54" s="1"/>
  <c r="AX144" i="54" s="1"/>
  <c r="G60" i="55"/>
  <c r="J145" i="16"/>
  <c r="J65" i="16"/>
  <c r="J69" i="16" s="1"/>
  <c r="J68" i="16" s="1"/>
  <c r="J23" i="16"/>
  <c r="D72" i="55"/>
  <c r="D65" i="55"/>
  <c r="X24" i="77"/>
  <c r="D62" i="77"/>
  <c r="K143" i="77" s="1"/>
  <c r="X19" i="77"/>
  <c r="G86" i="55"/>
  <c r="L145" i="16"/>
  <c r="L23" i="16"/>
  <c r="L65" i="16"/>
  <c r="D98" i="55"/>
  <c r="D91" i="55"/>
  <c r="Y24" i="77"/>
  <c r="D75" i="77"/>
  <c r="K158" i="77" s="1"/>
  <c r="Y19" i="77"/>
  <c r="C64" i="54" a="1"/>
  <c r="C64" i="54" s="1"/>
  <c r="M64" i="54" s="1"/>
  <c r="S64" i="54" s="1"/>
  <c r="C60" i="54" a="1"/>
  <c r="C60" i="54" s="1"/>
  <c r="M60" i="54" s="1"/>
  <c r="S60" i="54" s="1"/>
  <c r="C56" i="54" a="1"/>
  <c r="C56" i="54" s="1"/>
  <c r="M56" i="54" s="1"/>
  <c r="S56" i="54" s="1"/>
  <c r="C52" i="54" a="1"/>
  <c r="C52" i="54" s="1"/>
  <c r="M52" i="54" s="1"/>
  <c r="S52" i="54" s="1"/>
  <c r="C48" i="54" a="1"/>
  <c r="C48" i="54" s="1"/>
  <c r="M48" i="54" s="1"/>
  <c r="S48" i="54" s="1"/>
  <c r="C61" i="54" a="1"/>
  <c r="C61" i="54" s="1"/>
  <c r="M61" i="54" s="1"/>
  <c r="S61" i="54" s="1"/>
  <c r="C55" i="54" a="1"/>
  <c r="C55" i="54" s="1"/>
  <c r="M55" i="54" s="1"/>
  <c r="S55" i="54" s="1"/>
  <c r="C50" i="54" a="1"/>
  <c r="C50" i="54" s="1"/>
  <c r="M50" i="54" s="1"/>
  <c r="S50" i="54" s="1"/>
  <c r="C45" i="54" a="1"/>
  <c r="C45" i="54" s="1"/>
  <c r="M45" i="54" s="1"/>
  <c r="S45" i="54" s="1"/>
  <c r="C59" i="54" a="1"/>
  <c r="C59" i="54" s="1"/>
  <c r="M59" i="54" s="1"/>
  <c r="S59" i="54" s="1"/>
  <c r="C54" i="54" a="1"/>
  <c r="C54" i="54" s="1"/>
  <c r="M54" i="54" s="1"/>
  <c r="S54" i="54" s="1"/>
  <c r="C49" i="54" a="1"/>
  <c r="C49" i="54" s="1"/>
  <c r="M49" i="54" s="1"/>
  <c r="S49" i="54" s="1"/>
  <c r="C57" i="54" a="1"/>
  <c r="C57" i="54" s="1"/>
  <c r="M57" i="54" s="1"/>
  <c r="S57" i="54" s="1"/>
  <c r="C46" i="54" a="1"/>
  <c r="C46" i="54" s="1"/>
  <c r="M46" i="54" s="1"/>
  <c r="S46" i="54" s="1"/>
  <c r="C62" i="54" a="1"/>
  <c r="C62" i="54" s="1"/>
  <c r="M62" i="54" s="1"/>
  <c r="S62" i="54" s="1"/>
  <c r="C51" i="54" a="1"/>
  <c r="C51" i="54" s="1"/>
  <c r="M51" i="54" s="1"/>
  <c r="S51" i="54" s="1"/>
  <c r="C47" i="54" a="1"/>
  <c r="C47" i="54" s="1"/>
  <c r="M47" i="54" s="1"/>
  <c r="S47" i="54" s="1"/>
  <c r="C63" i="54" a="1"/>
  <c r="C63" i="54" s="1"/>
  <c r="M63" i="54" s="1"/>
  <c r="S63" i="54" s="1"/>
  <c r="C53" i="54" a="1"/>
  <c r="C53" i="54" s="1"/>
  <c r="M53" i="54" s="1"/>
  <c r="S53" i="54" s="1"/>
  <c r="C58" i="54" a="1"/>
  <c r="C58" i="54" s="1"/>
  <c r="M58" i="54" s="1"/>
  <c r="S58" i="54" s="1"/>
  <c r="E336" i="11"/>
  <c r="G342" i="63" s="1"/>
  <c r="C64" i="11" a="1"/>
  <c r="C64" i="11" s="1"/>
  <c r="C60" i="11" a="1"/>
  <c r="C60" i="11" s="1"/>
  <c r="C56" i="11" a="1"/>
  <c r="C56" i="11" s="1"/>
  <c r="C52" i="11" a="1"/>
  <c r="C52" i="11" s="1"/>
  <c r="C48" i="11" a="1"/>
  <c r="C48" i="11" s="1"/>
  <c r="C63" i="11" a="1"/>
  <c r="C63" i="11" s="1"/>
  <c r="C58" i="11" a="1"/>
  <c r="C58" i="11" s="1"/>
  <c r="C53" i="11" a="1"/>
  <c r="C53" i="11" s="1"/>
  <c r="C47" i="11" a="1"/>
  <c r="C47" i="11" s="1"/>
  <c r="C62" i="11" a="1"/>
  <c r="C62" i="11" s="1"/>
  <c r="C57" i="11" a="1"/>
  <c r="C57" i="11" s="1"/>
  <c r="C51" i="11" a="1"/>
  <c r="C51" i="11" s="1"/>
  <c r="C46" i="11" a="1"/>
  <c r="C46" i="11" s="1"/>
  <c r="C54" i="11" a="1"/>
  <c r="C54" i="11" s="1"/>
  <c r="C49" i="11" a="1"/>
  <c r="C49" i="11" s="1"/>
  <c r="C55" i="11" a="1"/>
  <c r="C55" i="11" s="1"/>
  <c r="C61" i="11" a="1"/>
  <c r="C61" i="11" s="1"/>
  <c r="C50" i="11" a="1"/>
  <c r="C50" i="11" s="1"/>
  <c r="C59" i="11" a="1"/>
  <c r="C59" i="11" s="1"/>
  <c r="C45" i="11" a="1"/>
  <c r="C45" i="11" s="1"/>
  <c r="G47" i="72"/>
  <c r="C62" i="47" a="1"/>
  <c r="C62" i="47" s="1"/>
  <c r="C58" i="47" a="1"/>
  <c r="C58" i="47" s="1"/>
  <c r="C54" i="47" a="1"/>
  <c r="C54" i="47" s="1"/>
  <c r="C50" i="47" a="1"/>
  <c r="C50" i="47" s="1"/>
  <c r="C46" i="47" a="1"/>
  <c r="C46" i="47" s="1"/>
  <c r="C60" i="47" a="1"/>
  <c r="C60" i="47" s="1"/>
  <c r="C55" i="47" a="1"/>
  <c r="C55" i="47" s="1"/>
  <c r="C49" i="47" a="1"/>
  <c r="C49" i="47" s="1"/>
  <c r="C64" i="47" a="1"/>
  <c r="C64" i="47" s="1"/>
  <c r="C59" i="47" a="1"/>
  <c r="C59" i="47" s="1"/>
  <c r="C53" i="47" a="1"/>
  <c r="C53" i="47" s="1"/>
  <c r="C48" i="47" a="1"/>
  <c r="C48" i="47" s="1"/>
  <c r="C63" i="47" a="1"/>
  <c r="C63" i="47" s="1"/>
  <c r="C57" i="47" a="1"/>
  <c r="C57" i="47" s="1"/>
  <c r="C52" i="47" a="1"/>
  <c r="C52" i="47" s="1"/>
  <c r="C47" i="47" a="1"/>
  <c r="C47" i="47" s="1"/>
  <c r="C45" i="47" a="1"/>
  <c r="C45" i="47" s="1"/>
  <c r="C51" i="47" a="1"/>
  <c r="C51" i="47" s="1"/>
  <c r="C61" i="47" a="1"/>
  <c r="C61" i="47" s="1"/>
  <c r="C56" i="47" a="1"/>
  <c r="C56" i="47" s="1"/>
  <c r="C87" i="11" a="1"/>
  <c r="C87" i="11" s="1"/>
  <c r="C83" i="11" a="1"/>
  <c r="C83" i="11" s="1"/>
  <c r="C79" i="11" a="1"/>
  <c r="C79" i="11" s="1"/>
  <c r="C75" i="11" a="1"/>
  <c r="C75" i="11" s="1"/>
  <c r="C71" i="11" a="1"/>
  <c r="C71" i="11" s="1"/>
  <c r="C85" i="11" a="1"/>
  <c r="C85" i="11" s="1"/>
  <c r="C80" i="11" a="1"/>
  <c r="C80" i="11" s="1"/>
  <c r="C74" i="11" a="1"/>
  <c r="C74" i="11" s="1"/>
  <c r="C69" i="11" a="1"/>
  <c r="C69" i="11" s="1"/>
  <c r="C84" i="11" a="1"/>
  <c r="C84" i="11" s="1"/>
  <c r="C78" i="11" a="1"/>
  <c r="C78" i="11" s="1"/>
  <c r="C73" i="11" a="1"/>
  <c r="C73" i="11" s="1"/>
  <c r="C68" i="11" a="1"/>
  <c r="C68" i="11" s="1"/>
  <c r="C86" i="11" a="1"/>
  <c r="C86" i="11" s="1"/>
  <c r="C76" i="11" a="1"/>
  <c r="C76" i="11" s="1"/>
  <c r="C70" i="11" a="1"/>
  <c r="C70" i="11" s="1"/>
  <c r="C77" i="11" a="1"/>
  <c r="C77" i="11" s="1"/>
  <c r="C82" i="11" a="1"/>
  <c r="C82" i="11" s="1"/>
  <c r="C72" i="11" a="1"/>
  <c r="C72" i="11" s="1"/>
  <c r="C81" i="11" a="1"/>
  <c r="C81" i="11" s="1"/>
  <c r="C87" i="54" a="1"/>
  <c r="C87" i="54" s="1"/>
  <c r="M87" i="54" s="1"/>
  <c r="S87" i="54" s="1"/>
  <c r="C83" i="54" a="1"/>
  <c r="C83" i="54" s="1"/>
  <c r="M83" i="54" s="1"/>
  <c r="S83" i="54" s="1"/>
  <c r="C79" i="54" a="1"/>
  <c r="C79" i="54" s="1"/>
  <c r="M79" i="54" s="1"/>
  <c r="S79" i="54" s="1"/>
  <c r="C75" i="54" a="1"/>
  <c r="C75" i="54" s="1"/>
  <c r="M75" i="54" s="1"/>
  <c r="S75" i="54" s="1"/>
  <c r="C71" i="54" a="1"/>
  <c r="C71" i="54" s="1"/>
  <c r="M71" i="54" s="1"/>
  <c r="S71" i="54" s="1"/>
  <c r="C82" i="54" a="1"/>
  <c r="C82" i="54" s="1"/>
  <c r="M82" i="54" s="1"/>
  <c r="S82" i="54" s="1"/>
  <c r="C77" i="54" a="1"/>
  <c r="C77" i="54" s="1"/>
  <c r="M77" i="54" s="1"/>
  <c r="S77" i="54" s="1"/>
  <c r="C72" i="54" a="1"/>
  <c r="C72" i="54" s="1"/>
  <c r="M72" i="54" s="1"/>
  <c r="S72" i="54" s="1"/>
  <c r="C86" i="54" a="1"/>
  <c r="C86" i="54" s="1"/>
  <c r="M86" i="54" s="1"/>
  <c r="S86" i="54" s="1"/>
  <c r="C81" i="54" a="1"/>
  <c r="C81" i="54" s="1"/>
  <c r="M81" i="54" s="1"/>
  <c r="S81" i="54" s="1"/>
  <c r="C76" i="54" a="1"/>
  <c r="C76" i="54" s="1"/>
  <c r="M76" i="54" s="1"/>
  <c r="S76" i="54" s="1"/>
  <c r="C70" i="54" a="1"/>
  <c r="C70" i="54" s="1"/>
  <c r="M70" i="54" s="1"/>
  <c r="S70" i="54" s="1"/>
  <c r="C78" i="54" a="1"/>
  <c r="C78" i="54" s="1"/>
  <c r="M78" i="54" s="1"/>
  <c r="S78" i="54" s="1"/>
  <c r="C68" i="54" a="1"/>
  <c r="C68" i="54" s="1"/>
  <c r="M68" i="54" s="1"/>
  <c r="S68" i="54" s="1"/>
  <c r="C73" i="54" a="1"/>
  <c r="C73" i="54" s="1"/>
  <c r="M73" i="54" s="1"/>
  <c r="S73" i="54" s="1"/>
  <c r="C69" i="54" a="1"/>
  <c r="C69" i="54" s="1"/>
  <c r="M69" i="54" s="1"/>
  <c r="S69" i="54" s="1"/>
  <c r="C85" i="54" a="1"/>
  <c r="C85" i="54" s="1"/>
  <c r="M85" i="54" s="1"/>
  <c r="S85" i="54" s="1"/>
  <c r="C74" i="54" a="1"/>
  <c r="C74" i="54" s="1"/>
  <c r="M74" i="54" s="1"/>
  <c r="S74" i="54" s="1"/>
  <c r="C84" i="54" a="1"/>
  <c r="C84" i="54" s="1"/>
  <c r="M84" i="54" s="1"/>
  <c r="S84" i="54" s="1"/>
  <c r="C80" i="54" a="1"/>
  <c r="C80" i="54" s="1"/>
  <c r="M80" i="54" s="1"/>
  <c r="S80" i="54" s="1"/>
  <c r="C85" i="47" a="1"/>
  <c r="C85" i="47" s="1"/>
  <c r="C81" i="47" a="1"/>
  <c r="C81" i="47" s="1"/>
  <c r="C77" i="47" a="1"/>
  <c r="C77" i="47" s="1"/>
  <c r="C73" i="47" a="1"/>
  <c r="C73" i="47" s="1"/>
  <c r="C69" i="47" a="1"/>
  <c r="C69" i="47" s="1"/>
  <c r="C84" i="47" a="1"/>
  <c r="C84" i="47" s="1"/>
  <c r="C79" i="47" a="1"/>
  <c r="C79" i="47" s="1"/>
  <c r="C74" i="47" a="1"/>
  <c r="C74" i="47" s="1"/>
  <c r="C68" i="47" a="1"/>
  <c r="C68" i="47" s="1"/>
  <c r="C83" i="47" a="1"/>
  <c r="C83" i="47" s="1"/>
  <c r="C78" i="47" a="1"/>
  <c r="C78" i="47" s="1"/>
  <c r="C72" i="47" a="1"/>
  <c r="C72" i="47" s="1"/>
  <c r="C87" i="47" a="1"/>
  <c r="C87" i="47" s="1"/>
  <c r="C82" i="47" a="1"/>
  <c r="C82" i="47" s="1"/>
  <c r="C76" i="47" a="1"/>
  <c r="C76" i="47" s="1"/>
  <c r="C71" i="47" a="1"/>
  <c r="C71" i="47" s="1"/>
  <c r="C70" i="47" a="1"/>
  <c r="C70" i="47" s="1"/>
  <c r="C75" i="47" a="1"/>
  <c r="C75" i="47" s="1"/>
  <c r="C86" i="47" a="1"/>
  <c r="C86" i="47" s="1"/>
  <c r="C80" i="47" a="1"/>
  <c r="C80" i="47" s="1"/>
  <c r="AP122" i="54"/>
  <c r="AT122" i="54" s="1"/>
  <c r="D32" i="6"/>
  <c r="I28" i="5"/>
  <c r="G23" i="21" s="1"/>
  <c r="I26" i="55" s="1"/>
  <c r="I26" i="5"/>
  <c r="I27" i="5"/>
  <c r="I25" i="5"/>
  <c r="H27" i="5"/>
  <c r="H25" i="5"/>
  <c r="H28" i="5"/>
  <c r="F23" i="21" s="1"/>
  <c r="G26" i="55" s="1"/>
  <c r="H26" i="5"/>
  <c r="C32" i="6"/>
  <c r="AP118" i="54"/>
  <c r="AR118" i="54" s="1"/>
  <c r="AV121" i="54"/>
  <c r="AW121" i="54" s="1"/>
  <c r="AX121" i="54" s="1"/>
  <c r="AO121" i="54"/>
  <c r="AP121" i="54" s="1"/>
  <c r="AP120" i="54"/>
  <c r="AP117" i="54"/>
  <c r="AO123" i="54"/>
  <c r="AP123" i="54" s="1"/>
  <c r="AV123" i="54"/>
  <c r="AW123" i="54" s="1"/>
  <c r="AX123" i="54" s="1"/>
  <c r="AO119" i="54"/>
  <c r="AP119" i="54" s="1"/>
  <c r="AV119" i="54"/>
  <c r="AW119" i="54" s="1"/>
  <c r="AX119" i="54" s="1"/>
  <c r="AP173" i="11"/>
  <c r="AY173" i="11" s="1"/>
  <c r="AO172" i="11"/>
  <c r="AP172" i="11" s="1"/>
  <c r="AV173" i="11"/>
  <c r="AW173" i="11" s="1"/>
  <c r="AX173" i="11" s="1"/>
  <c r="AP170" i="11"/>
  <c r="AY170" i="11" s="1"/>
  <c r="AO167" i="11"/>
  <c r="AP167" i="11" s="1"/>
  <c r="AV167" i="11"/>
  <c r="AW167" i="11" s="1"/>
  <c r="AX167" i="11" s="1"/>
  <c r="AP169" i="11"/>
  <c r="AO168" i="11"/>
  <c r="AP168" i="11" s="1"/>
  <c r="AV168" i="11"/>
  <c r="AW168" i="11" s="1"/>
  <c r="AX168" i="11" s="1"/>
  <c r="AV171" i="11"/>
  <c r="AW171" i="11" s="1"/>
  <c r="AX171" i="11" s="1"/>
  <c r="AO171" i="11"/>
  <c r="AP171" i="11" s="1"/>
  <c r="AP139" i="54"/>
  <c r="AV140" i="54"/>
  <c r="AW140" i="54" s="1"/>
  <c r="AX140" i="54" s="1"/>
  <c r="AO140" i="54"/>
  <c r="AP140" i="54" s="1"/>
  <c r="AP141" i="54"/>
  <c r="E244" i="47"/>
  <c r="G249" i="72" s="1"/>
  <c r="G70" i="72"/>
  <c r="G70" i="63"/>
  <c r="G47" i="63"/>
  <c r="G24" i="55"/>
  <c r="I41" i="77" s="1"/>
  <c r="I24" i="55"/>
  <c r="K41" i="77" s="1"/>
  <c r="AP138" i="54"/>
  <c r="AT138" i="54" s="1"/>
  <c r="AP116" i="54"/>
  <c r="AY116" i="54" s="1"/>
  <c r="E221" i="47"/>
  <c r="G226" i="72" s="1"/>
  <c r="AP137" i="54"/>
  <c r="AT137" i="54" s="1"/>
  <c r="AP94" i="54"/>
  <c r="AR94" i="54" s="1"/>
  <c r="AP93" i="54"/>
  <c r="AT93" i="54" s="1"/>
  <c r="AP115" i="54"/>
  <c r="AY115" i="54" s="1"/>
  <c r="AP92" i="54"/>
  <c r="AY92" i="54" s="1"/>
  <c r="AP91" i="54"/>
  <c r="AR91" i="54" s="1"/>
  <c r="AP114" i="54"/>
  <c r="G18" i="37"/>
  <c r="G19" i="37" s="1"/>
  <c r="G1" i="37"/>
  <c r="H18" i="37"/>
  <c r="H19" i="37" s="1"/>
  <c r="H1" i="37"/>
  <c r="AP291" i="47"/>
  <c r="AT291" i="47" s="1"/>
  <c r="AP269" i="47"/>
  <c r="AY269" i="47" s="1"/>
  <c r="AP162" i="47"/>
  <c r="AR162" i="47" s="1"/>
  <c r="AP337" i="47"/>
  <c r="AY337" i="47" s="1"/>
  <c r="AP268" i="47"/>
  <c r="AR268" i="47" s="1"/>
  <c r="AP314" i="47"/>
  <c r="AT314" i="47" s="1"/>
  <c r="AP115" i="47"/>
  <c r="AT115" i="47" s="1"/>
  <c r="AP270" i="47"/>
  <c r="AY270" i="47" s="1"/>
  <c r="AP114" i="47"/>
  <c r="AT114" i="47" s="1"/>
  <c r="AP137" i="47"/>
  <c r="AR137" i="47" s="1"/>
  <c r="AP93" i="47"/>
  <c r="AY93" i="47" s="1"/>
  <c r="AP91" i="47"/>
  <c r="AT91" i="47" s="1"/>
  <c r="AP160" i="47"/>
  <c r="AR160" i="47" s="1"/>
  <c r="AP161" i="47"/>
  <c r="AY161" i="47" s="1"/>
  <c r="AP92" i="47"/>
  <c r="AP338" i="47"/>
  <c r="AY338" i="47" s="1"/>
  <c r="AP292" i="47"/>
  <c r="AP339" i="47"/>
  <c r="AO166" i="11"/>
  <c r="AP166" i="11" s="1"/>
  <c r="AV166" i="11"/>
  <c r="AW166" i="11" s="1"/>
  <c r="AX166" i="11" s="1"/>
  <c r="AO343" i="11"/>
  <c r="AP343" i="11" s="1"/>
  <c r="AV343" i="11"/>
  <c r="AW343" i="11" s="1"/>
  <c r="AX343" i="11" s="1"/>
  <c r="D37" i="6"/>
  <c r="D43" i="6"/>
  <c r="C43" i="6"/>
  <c r="C37" i="6"/>
  <c r="AP165" i="11"/>
  <c r="AT165" i="11" s="1"/>
  <c r="AP342" i="11"/>
  <c r="AT342" i="11" s="1"/>
  <c r="E267" i="11"/>
  <c r="A109" i="11"/>
  <c r="A107" i="11"/>
  <c r="A105" i="11"/>
  <c r="A103" i="11"/>
  <c r="A101" i="11"/>
  <c r="A99" i="11"/>
  <c r="A97" i="11"/>
  <c r="A95" i="11"/>
  <c r="A93" i="11"/>
  <c r="A91" i="11"/>
  <c r="A110" i="11"/>
  <c r="A108" i="11"/>
  <c r="A106" i="11"/>
  <c r="A104" i="11"/>
  <c r="A102" i="11"/>
  <c r="A100" i="11"/>
  <c r="A98" i="11"/>
  <c r="A96" i="11"/>
  <c r="A94" i="11"/>
  <c r="A92" i="11"/>
  <c r="E290" i="11"/>
  <c r="A132" i="11"/>
  <c r="A130" i="11"/>
  <c r="A128" i="11"/>
  <c r="A126" i="11"/>
  <c r="A124" i="11"/>
  <c r="A122" i="11"/>
  <c r="A120" i="11"/>
  <c r="A118" i="11"/>
  <c r="A116" i="11"/>
  <c r="A114" i="11"/>
  <c r="A133" i="11"/>
  <c r="A131" i="11"/>
  <c r="A129" i="11"/>
  <c r="A127" i="11"/>
  <c r="A125" i="11"/>
  <c r="A123" i="11"/>
  <c r="A121" i="11"/>
  <c r="A119" i="11"/>
  <c r="A117" i="11"/>
  <c r="A115" i="11"/>
  <c r="E313" i="11"/>
  <c r="A155" i="11"/>
  <c r="A153" i="11"/>
  <c r="A151" i="11"/>
  <c r="A149" i="11"/>
  <c r="A147" i="11"/>
  <c r="A145" i="11"/>
  <c r="A143" i="11"/>
  <c r="A141" i="11"/>
  <c r="A139" i="11"/>
  <c r="A137" i="11"/>
  <c r="A156" i="11"/>
  <c r="A154" i="11"/>
  <c r="A152" i="11"/>
  <c r="A150" i="11"/>
  <c r="A148" i="11"/>
  <c r="A146" i="11"/>
  <c r="A144" i="11"/>
  <c r="A142" i="11"/>
  <c r="A140" i="11"/>
  <c r="A138" i="11"/>
  <c r="AH176" i="11"/>
  <c r="AQ176" i="11" s="1"/>
  <c r="AH163" i="11"/>
  <c r="AQ163" i="11" s="1"/>
  <c r="A177" i="11"/>
  <c r="AH177" i="11"/>
  <c r="AQ177" i="11" s="1"/>
  <c r="AH181" i="11"/>
  <c r="AQ181" i="11" s="1"/>
  <c r="AH185" i="11"/>
  <c r="AQ185" i="11" s="1"/>
  <c r="AH180" i="11"/>
  <c r="AQ180" i="11" s="1"/>
  <c r="AH164" i="11"/>
  <c r="AQ164" i="11" s="1"/>
  <c r="A178" i="11"/>
  <c r="AH178" i="11"/>
  <c r="AQ178" i="11" s="1"/>
  <c r="AH182" i="11"/>
  <c r="AQ182" i="11" s="1"/>
  <c r="A186" i="11"/>
  <c r="A162" i="11"/>
  <c r="AH162" i="11"/>
  <c r="AQ162" i="11" s="1"/>
  <c r="AH184" i="11"/>
  <c r="AQ184" i="11" s="1"/>
  <c r="AH161" i="11"/>
  <c r="AQ161" i="11" s="1"/>
  <c r="A175" i="11"/>
  <c r="AH175" i="11"/>
  <c r="AQ175" i="11" s="1"/>
  <c r="AH179" i="11"/>
  <c r="AQ179" i="11" s="1"/>
  <c r="A183" i="11"/>
  <c r="AH183" i="11"/>
  <c r="AQ183" i="11" s="1"/>
  <c r="A189" i="11"/>
  <c r="E244" i="11"/>
  <c r="A163" i="11"/>
  <c r="A184" i="11"/>
  <c r="A180" i="11"/>
  <c r="A188" i="11"/>
  <c r="A185" i="11"/>
  <c r="A176" i="11"/>
  <c r="A181" i="11"/>
  <c r="E221" i="11"/>
  <c r="A161" i="11"/>
  <c r="A179" i="11"/>
  <c r="A187" i="11"/>
  <c r="A164" i="11"/>
  <c r="A182" i="11"/>
  <c r="V14" i="16" l="1"/>
  <c r="A71" i="16" s="1"/>
  <c r="A72" i="16" s="1"/>
  <c r="A73" i="16" s="1"/>
  <c r="A74" i="16" s="1"/>
  <c r="AT174" i="11"/>
  <c r="AR174" i="11"/>
  <c r="AY174" i="11"/>
  <c r="AY142" i="54"/>
  <c r="AT142" i="54"/>
  <c r="AU142" i="54" s="1"/>
  <c r="AZ142" i="54" s="1"/>
  <c r="AY143" i="54"/>
  <c r="AR143" i="54"/>
  <c r="AT143" i="54"/>
  <c r="AR144" i="54"/>
  <c r="AT144" i="54"/>
  <c r="AY144" i="54"/>
  <c r="AS142" i="54"/>
  <c r="AB19" i="77"/>
  <c r="M247" i="77" s="1"/>
  <c r="K42" i="77"/>
  <c r="K43" i="77"/>
  <c r="I43" i="77"/>
  <c r="I42" i="77"/>
  <c r="Y70" i="47"/>
  <c r="H70" i="47" s="1"/>
  <c r="I73" i="72" s="1"/>
  <c r="M70" i="47"/>
  <c r="Y87" i="47"/>
  <c r="H87" i="47" s="1"/>
  <c r="I90" i="72" s="1"/>
  <c r="M87" i="47"/>
  <c r="Y68" i="47"/>
  <c r="H68" i="47" s="1"/>
  <c r="I71" i="72" s="1"/>
  <c r="M68" i="47"/>
  <c r="Y69" i="47"/>
  <c r="H69" i="47" s="1"/>
  <c r="I72" i="72" s="1"/>
  <c r="M69" i="47"/>
  <c r="Y85" i="47"/>
  <c r="H85" i="47" s="1"/>
  <c r="I88" i="72" s="1"/>
  <c r="M85" i="47"/>
  <c r="Y45" i="47"/>
  <c r="H45" i="47" s="1"/>
  <c r="I48" i="72" s="1"/>
  <c r="M45" i="47"/>
  <c r="Y63" i="47"/>
  <c r="H63" i="47" s="1"/>
  <c r="I66" i="72" s="1"/>
  <c r="M63" i="47"/>
  <c r="Y64" i="47"/>
  <c r="H64" i="47" s="1"/>
  <c r="I67" i="72" s="1"/>
  <c r="M64" i="47"/>
  <c r="Y46" i="47"/>
  <c r="H46" i="47" s="1"/>
  <c r="I49" i="72" s="1"/>
  <c r="M46" i="47"/>
  <c r="Y62" i="47"/>
  <c r="H62" i="47" s="1"/>
  <c r="I65" i="72" s="1"/>
  <c r="M62" i="47"/>
  <c r="Y80" i="47"/>
  <c r="H80" i="47" s="1"/>
  <c r="I83" i="72" s="1"/>
  <c r="M80" i="47"/>
  <c r="Y71" i="47"/>
  <c r="H71" i="47" s="1"/>
  <c r="I74" i="72" s="1"/>
  <c r="M71" i="47"/>
  <c r="Y72" i="47"/>
  <c r="H72" i="47" s="1"/>
  <c r="I75" i="72" s="1"/>
  <c r="M72" i="47"/>
  <c r="Y74" i="47"/>
  <c r="H74" i="47" s="1"/>
  <c r="I77" i="72" s="1"/>
  <c r="M74" i="47"/>
  <c r="Y73" i="47"/>
  <c r="H73" i="47" s="1"/>
  <c r="I76" i="72" s="1"/>
  <c r="M73" i="47"/>
  <c r="Y56" i="47"/>
  <c r="H56" i="47" s="1"/>
  <c r="I59" i="72" s="1"/>
  <c r="M56" i="47"/>
  <c r="Y47" i="47"/>
  <c r="H47" i="47" s="1"/>
  <c r="I50" i="72" s="1"/>
  <c r="M47" i="47"/>
  <c r="Y48" i="47"/>
  <c r="H48" i="47" s="1"/>
  <c r="I51" i="72" s="1"/>
  <c r="M48" i="47"/>
  <c r="Y49" i="47"/>
  <c r="H49" i="47" s="1"/>
  <c r="I52" i="72" s="1"/>
  <c r="M49" i="47"/>
  <c r="Y50" i="47"/>
  <c r="H50" i="47" s="1"/>
  <c r="I53" i="72" s="1"/>
  <c r="M50" i="47"/>
  <c r="Y86" i="47"/>
  <c r="H86" i="47" s="1"/>
  <c r="I89" i="72" s="1"/>
  <c r="M86" i="47"/>
  <c r="Y76" i="47"/>
  <c r="H76" i="47" s="1"/>
  <c r="I79" i="72" s="1"/>
  <c r="M76" i="47"/>
  <c r="Y78" i="47"/>
  <c r="H78" i="47" s="1"/>
  <c r="I81" i="72" s="1"/>
  <c r="M78" i="47"/>
  <c r="Y79" i="47"/>
  <c r="H79" i="47" s="1"/>
  <c r="I82" i="72" s="1"/>
  <c r="M79" i="47"/>
  <c r="Y77" i="47"/>
  <c r="H77" i="47" s="1"/>
  <c r="I80" i="72" s="1"/>
  <c r="M77" i="47"/>
  <c r="Y61" i="47"/>
  <c r="H61" i="47" s="1"/>
  <c r="I64" i="72" s="1"/>
  <c r="M61" i="47"/>
  <c r="Y52" i="47"/>
  <c r="H52" i="47" s="1"/>
  <c r="I55" i="72" s="1"/>
  <c r="M52" i="47"/>
  <c r="Y53" i="47"/>
  <c r="H53" i="47" s="1"/>
  <c r="I56" i="72" s="1"/>
  <c r="M53" i="47"/>
  <c r="Y55" i="47"/>
  <c r="H55" i="47" s="1"/>
  <c r="I58" i="72" s="1"/>
  <c r="M55" i="47"/>
  <c r="Y54" i="47"/>
  <c r="H54" i="47" s="1"/>
  <c r="I57" i="72" s="1"/>
  <c r="M54" i="47"/>
  <c r="Y75" i="47"/>
  <c r="H75" i="47" s="1"/>
  <c r="I78" i="72" s="1"/>
  <c r="M75" i="47"/>
  <c r="Y82" i="47"/>
  <c r="H82" i="47" s="1"/>
  <c r="I85" i="72" s="1"/>
  <c r="M82" i="47"/>
  <c r="Y83" i="47"/>
  <c r="H83" i="47" s="1"/>
  <c r="I86" i="72" s="1"/>
  <c r="M83" i="47"/>
  <c r="Y84" i="47"/>
  <c r="H84" i="47" s="1"/>
  <c r="I87" i="72" s="1"/>
  <c r="M84" i="47"/>
  <c r="Y81" i="47"/>
  <c r="H81" i="47" s="1"/>
  <c r="I84" i="72" s="1"/>
  <c r="M81" i="47"/>
  <c r="Y51" i="47"/>
  <c r="H51" i="47" s="1"/>
  <c r="I54" i="72" s="1"/>
  <c r="M51" i="47"/>
  <c r="Y57" i="47"/>
  <c r="H57" i="47" s="1"/>
  <c r="I60" i="72" s="1"/>
  <c r="M57" i="47"/>
  <c r="Y59" i="47"/>
  <c r="H59" i="47" s="1"/>
  <c r="I62" i="72" s="1"/>
  <c r="M59" i="47"/>
  <c r="Y60" i="47"/>
  <c r="H60" i="47" s="1"/>
  <c r="I63" i="72" s="1"/>
  <c r="M60" i="47"/>
  <c r="Y58" i="47"/>
  <c r="H58" i="47" s="1"/>
  <c r="I61" i="72" s="1"/>
  <c r="M58" i="47"/>
  <c r="Y81" i="11"/>
  <c r="H81" i="11" s="1"/>
  <c r="I84" i="63" s="1"/>
  <c r="M81" i="11"/>
  <c r="Y73" i="11"/>
  <c r="H73" i="11" s="1"/>
  <c r="I76" i="63" s="1"/>
  <c r="M73" i="11"/>
  <c r="Y77" i="11"/>
  <c r="H77" i="11" s="1"/>
  <c r="I80" i="63" s="1"/>
  <c r="M77" i="11"/>
  <c r="Y68" i="11"/>
  <c r="H68" i="11" s="1"/>
  <c r="I71" i="63" s="1"/>
  <c r="M68" i="11"/>
  <c r="Y69" i="11"/>
  <c r="H69" i="11" s="1"/>
  <c r="I72" i="63" s="1"/>
  <c r="M69" i="11"/>
  <c r="Y71" i="11"/>
  <c r="H71" i="11" s="1"/>
  <c r="I74" i="63" s="1"/>
  <c r="M71" i="11"/>
  <c r="Y87" i="11"/>
  <c r="H87" i="11" s="1"/>
  <c r="I90" i="63" s="1"/>
  <c r="M87" i="11"/>
  <c r="Y50" i="11"/>
  <c r="H50" i="11" s="1"/>
  <c r="I53" i="63" s="1"/>
  <c r="M50" i="11"/>
  <c r="Y54" i="11"/>
  <c r="H54" i="11" s="1"/>
  <c r="I57" i="63" s="1"/>
  <c r="M54" i="11"/>
  <c r="Y62" i="11"/>
  <c r="H62" i="11" s="1"/>
  <c r="I65" i="63" s="1"/>
  <c r="M62" i="11"/>
  <c r="Y63" i="11"/>
  <c r="H63" i="11" s="1"/>
  <c r="I66" i="63" s="1"/>
  <c r="M63" i="11"/>
  <c r="Y60" i="11"/>
  <c r="H60" i="11" s="1"/>
  <c r="I63" i="63" s="1"/>
  <c r="M60" i="11"/>
  <c r="Y75" i="11"/>
  <c r="H75" i="11" s="1"/>
  <c r="I78" i="63" s="1"/>
  <c r="M75" i="11"/>
  <c r="Y61" i="11"/>
  <c r="H61" i="11" s="1"/>
  <c r="I64" i="63" s="1"/>
  <c r="M61" i="11"/>
  <c r="Y46" i="11"/>
  <c r="H46" i="11" s="1"/>
  <c r="I49" i="63" s="1"/>
  <c r="M46" i="11"/>
  <c r="Y47" i="11"/>
  <c r="H47" i="11" s="1"/>
  <c r="I50" i="63" s="1"/>
  <c r="M47" i="11"/>
  <c r="Y48" i="11"/>
  <c r="H48" i="11" s="1"/>
  <c r="I51" i="63" s="1"/>
  <c r="M48" i="11"/>
  <c r="Y64" i="11"/>
  <c r="H64" i="11" s="1"/>
  <c r="I67" i="63" s="1"/>
  <c r="M64" i="11"/>
  <c r="Y70" i="11"/>
  <c r="H70" i="11" s="1"/>
  <c r="I73" i="63" s="1"/>
  <c r="M70" i="11"/>
  <c r="Y72" i="11"/>
  <c r="H72" i="11" s="1"/>
  <c r="I75" i="63" s="1"/>
  <c r="M72" i="11"/>
  <c r="Y76" i="11"/>
  <c r="H76" i="11" s="1"/>
  <c r="I79" i="63" s="1"/>
  <c r="M76" i="11"/>
  <c r="Y78" i="11"/>
  <c r="H78" i="11" s="1"/>
  <c r="I81" i="63" s="1"/>
  <c r="M78" i="11"/>
  <c r="Y80" i="11"/>
  <c r="H80" i="11" s="1"/>
  <c r="I83" i="63" s="1"/>
  <c r="M80" i="11"/>
  <c r="Y79" i="11"/>
  <c r="H79" i="11" s="1"/>
  <c r="I82" i="63" s="1"/>
  <c r="M79" i="11"/>
  <c r="Y45" i="11"/>
  <c r="H45" i="11" s="1"/>
  <c r="I48" i="63" s="1"/>
  <c r="M45" i="11"/>
  <c r="Y55" i="11"/>
  <c r="H55" i="11" s="1"/>
  <c r="I58" i="63" s="1"/>
  <c r="M55" i="11"/>
  <c r="Y51" i="11"/>
  <c r="H51" i="11" s="1"/>
  <c r="I54" i="63" s="1"/>
  <c r="M51" i="11"/>
  <c r="Y53" i="11"/>
  <c r="H53" i="11" s="1"/>
  <c r="I56" i="63" s="1"/>
  <c r="M53" i="11"/>
  <c r="Y52" i="11"/>
  <c r="H52" i="11" s="1"/>
  <c r="I55" i="63" s="1"/>
  <c r="M52" i="11"/>
  <c r="Y74" i="11"/>
  <c r="H74" i="11" s="1"/>
  <c r="I77" i="63" s="1"/>
  <c r="M74" i="11"/>
  <c r="Y82" i="11"/>
  <c r="H82" i="11" s="1"/>
  <c r="I85" i="63" s="1"/>
  <c r="M82" i="11"/>
  <c r="Y86" i="11"/>
  <c r="H86" i="11" s="1"/>
  <c r="I89" i="63" s="1"/>
  <c r="M86" i="11"/>
  <c r="Y84" i="11"/>
  <c r="H84" i="11" s="1"/>
  <c r="I87" i="63" s="1"/>
  <c r="M84" i="11"/>
  <c r="Y85" i="11"/>
  <c r="H85" i="11" s="1"/>
  <c r="I88" i="63" s="1"/>
  <c r="M85" i="11"/>
  <c r="Y83" i="11"/>
  <c r="H83" i="11" s="1"/>
  <c r="I86" i="63" s="1"/>
  <c r="M83" i="11"/>
  <c r="Y59" i="11"/>
  <c r="H59" i="11" s="1"/>
  <c r="I62" i="63" s="1"/>
  <c r="M59" i="11"/>
  <c r="Y49" i="11"/>
  <c r="H49" i="11" s="1"/>
  <c r="I52" i="63" s="1"/>
  <c r="M49" i="11"/>
  <c r="Y57" i="11"/>
  <c r="H57" i="11" s="1"/>
  <c r="I60" i="63" s="1"/>
  <c r="M57" i="11"/>
  <c r="Y58" i="11"/>
  <c r="H58" i="11" s="1"/>
  <c r="I61" i="63" s="1"/>
  <c r="M58" i="11"/>
  <c r="Y56" i="11"/>
  <c r="H56" i="11" s="1"/>
  <c r="I59" i="63" s="1"/>
  <c r="M56" i="11"/>
  <c r="R74" i="54"/>
  <c r="R85" i="54"/>
  <c r="R78" i="54"/>
  <c r="R86" i="54"/>
  <c r="R71" i="54"/>
  <c r="R87" i="54"/>
  <c r="R58" i="54"/>
  <c r="R80" i="54"/>
  <c r="R69" i="54"/>
  <c r="R70" i="54"/>
  <c r="R72" i="54"/>
  <c r="R75" i="54"/>
  <c r="R62" i="54"/>
  <c r="R55" i="54"/>
  <c r="R56" i="54"/>
  <c r="R84" i="54"/>
  <c r="R73" i="54"/>
  <c r="R76" i="54"/>
  <c r="R77" i="54"/>
  <c r="R79" i="54"/>
  <c r="R63" i="54"/>
  <c r="R59" i="54"/>
  <c r="R61" i="54"/>
  <c r="R60" i="54"/>
  <c r="R81" i="54"/>
  <c r="R82" i="54"/>
  <c r="R83" i="54"/>
  <c r="R57" i="54"/>
  <c r="R64" i="54"/>
  <c r="Y85" i="54"/>
  <c r="H85" i="54" s="1"/>
  <c r="Y78" i="54"/>
  <c r="H78" i="54" s="1"/>
  <c r="Y86" i="54"/>
  <c r="H86" i="54" s="1"/>
  <c r="Y71" i="54"/>
  <c r="H71" i="54" s="1"/>
  <c r="Y87" i="54"/>
  <c r="H87" i="54" s="1"/>
  <c r="Y58" i="54"/>
  <c r="H58" i="54" s="1"/>
  <c r="Y51" i="54"/>
  <c r="H51" i="54" s="1"/>
  <c r="Y49" i="54"/>
  <c r="H49" i="54" s="1"/>
  <c r="Y50" i="54"/>
  <c r="H50" i="54" s="1"/>
  <c r="Y52" i="54"/>
  <c r="H52" i="54" s="1"/>
  <c r="Y80" i="54"/>
  <c r="H80" i="54" s="1"/>
  <c r="Y69" i="54"/>
  <c r="H69" i="54" s="1"/>
  <c r="Y70" i="54"/>
  <c r="H70" i="54" s="1"/>
  <c r="Y72" i="54"/>
  <c r="H72" i="54" s="1"/>
  <c r="Y75" i="54"/>
  <c r="H75" i="54" s="1"/>
  <c r="Y53" i="54"/>
  <c r="H53" i="54" s="1"/>
  <c r="Y62" i="54"/>
  <c r="H62" i="54" s="1"/>
  <c r="Y54" i="54"/>
  <c r="H54" i="54" s="1"/>
  <c r="Y55" i="54"/>
  <c r="H55" i="54" s="1"/>
  <c r="Y56" i="54"/>
  <c r="H56" i="54" s="1"/>
  <c r="Y84" i="54"/>
  <c r="H84" i="54" s="1"/>
  <c r="Y73" i="54"/>
  <c r="H73" i="54" s="1"/>
  <c r="Y76" i="54"/>
  <c r="H76" i="54" s="1"/>
  <c r="Y77" i="54"/>
  <c r="H77" i="54" s="1"/>
  <c r="Y79" i="54"/>
  <c r="H79" i="54" s="1"/>
  <c r="Y63" i="54"/>
  <c r="H63" i="54" s="1"/>
  <c r="Y46" i="54"/>
  <c r="H46" i="54" s="1"/>
  <c r="Y59" i="54"/>
  <c r="H59" i="54" s="1"/>
  <c r="Y61" i="54"/>
  <c r="H61" i="54" s="1"/>
  <c r="Y60" i="54"/>
  <c r="H60" i="54" s="1"/>
  <c r="Y74" i="54"/>
  <c r="H74" i="54" s="1"/>
  <c r="Y68" i="54"/>
  <c r="H68" i="54" s="1"/>
  <c r="Y81" i="54"/>
  <c r="H81" i="54" s="1"/>
  <c r="Y82" i="54"/>
  <c r="H82" i="54" s="1"/>
  <c r="Y83" i="54"/>
  <c r="H83" i="54" s="1"/>
  <c r="Y47" i="54"/>
  <c r="H47" i="54" s="1"/>
  <c r="Y57" i="54"/>
  <c r="H57" i="54" s="1"/>
  <c r="Y45" i="54"/>
  <c r="H45" i="54" s="1"/>
  <c r="Y48" i="54"/>
  <c r="H48" i="54" s="1"/>
  <c r="Y64" i="54"/>
  <c r="H64" i="54" s="1"/>
  <c r="X71" i="47"/>
  <c r="G71" i="47" s="1"/>
  <c r="H74" i="72" s="1"/>
  <c r="V71" i="47"/>
  <c r="E71" i="47" s="1"/>
  <c r="W71" i="47"/>
  <c r="X70" i="47"/>
  <c r="G70" i="47" s="1"/>
  <c r="H73" i="72" s="1"/>
  <c r="W70" i="47"/>
  <c r="V70" i="47"/>
  <c r="E70" i="47" s="1"/>
  <c r="X87" i="47"/>
  <c r="G87" i="47" s="1"/>
  <c r="H90" i="72" s="1"/>
  <c r="V87" i="47"/>
  <c r="E87" i="47" s="1"/>
  <c r="W87" i="47"/>
  <c r="V68" i="47"/>
  <c r="E68" i="47" s="1"/>
  <c r="W68" i="47"/>
  <c r="F68" i="47" s="1"/>
  <c r="X68" i="47"/>
  <c r="G68" i="47" s="1"/>
  <c r="H71" i="72" s="1"/>
  <c r="W69" i="47"/>
  <c r="V69" i="47"/>
  <c r="E69" i="47" s="1"/>
  <c r="X69" i="47"/>
  <c r="G69" i="47" s="1"/>
  <c r="H72" i="72" s="1"/>
  <c r="W85" i="47"/>
  <c r="V85" i="47"/>
  <c r="E85" i="47" s="1"/>
  <c r="X85" i="47"/>
  <c r="G85" i="47" s="1"/>
  <c r="H88" i="72" s="1"/>
  <c r="V45" i="47"/>
  <c r="E45" i="47" s="1"/>
  <c r="W45" i="47"/>
  <c r="F45" i="47" s="1"/>
  <c r="X45" i="47"/>
  <c r="G45" i="47" s="1"/>
  <c r="H48" i="72" s="1"/>
  <c r="X63" i="47"/>
  <c r="G63" i="47" s="1"/>
  <c r="H66" i="72" s="1"/>
  <c r="W63" i="47"/>
  <c r="V63" i="47"/>
  <c r="E63" i="47" s="1"/>
  <c r="X64" i="47"/>
  <c r="G64" i="47" s="1"/>
  <c r="H67" i="72" s="1"/>
  <c r="V64" i="47"/>
  <c r="E64" i="47" s="1"/>
  <c r="W64" i="47"/>
  <c r="W46" i="47"/>
  <c r="V46" i="47"/>
  <c r="E46" i="47" s="1"/>
  <c r="X46" i="47"/>
  <c r="G46" i="47" s="1"/>
  <c r="H49" i="72" s="1"/>
  <c r="W62" i="47"/>
  <c r="V62" i="47"/>
  <c r="E62" i="47" s="1"/>
  <c r="X62" i="47"/>
  <c r="G62" i="47" s="1"/>
  <c r="H65" i="72" s="1"/>
  <c r="V80" i="47"/>
  <c r="E80" i="47" s="1"/>
  <c r="W80" i="47"/>
  <c r="X80" i="47"/>
  <c r="G80" i="47" s="1"/>
  <c r="H83" i="72" s="1"/>
  <c r="X74" i="47"/>
  <c r="G74" i="47" s="1"/>
  <c r="H77" i="72" s="1"/>
  <c r="W74" i="47"/>
  <c r="V74" i="47"/>
  <c r="E74" i="47" s="1"/>
  <c r="X47" i="47"/>
  <c r="G47" i="47" s="1"/>
  <c r="H50" i="72" s="1"/>
  <c r="W47" i="47"/>
  <c r="V47" i="47"/>
  <c r="E47" i="47" s="1"/>
  <c r="W50" i="47"/>
  <c r="V50" i="47"/>
  <c r="E50" i="47" s="1"/>
  <c r="X50" i="47"/>
  <c r="G50" i="47" s="1"/>
  <c r="H53" i="72" s="1"/>
  <c r="V76" i="47"/>
  <c r="E76" i="47" s="1"/>
  <c r="W76" i="47"/>
  <c r="X76" i="47"/>
  <c r="G76" i="47" s="1"/>
  <c r="H79" i="72" s="1"/>
  <c r="X79" i="47"/>
  <c r="G79" i="47" s="1"/>
  <c r="V79" i="47"/>
  <c r="E79" i="47" s="1"/>
  <c r="W79" i="47"/>
  <c r="W77" i="47"/>
  <c r="V77" i="47"/>
  <c r="E77" i="47" s="1"/>
  <c r="X77" i="47"/>
  <c r="G77" i="47" s="1"/>
  <c r="H80" i="72" s="1"/>
  <c r="V61" i="47"/>
  <c r="E61" i="47" s="1"/>
  <c r="W61" i="47"/>
  <c r="X61" i="47"/>
  <c r="G61" i="47" s="1"/>
  <c r="H64" i="72" s="1"/>
  <c r="X52" i="47"/>
  <c r="G52" i="47" s="1"/>
  <c r="H55" i="72" s="1"/>
  <c r="V52" i="47"/>
  <c r="E52" i="47" s="1"/>
  <c r="W52" i="47"/>
  <c r="V53" i="47"/>
  <c r="E53" i="47" s="1"/>
  <c r="W53" i="47"/>
  <c r="X53" i="47"/>
  <c r="G53" i="47" s="1"/>
  <c r="H56" i="72" s="1"/>
  <c r="X55" i="47"/>
  <c r="G55" i="47" s="1"/>
  <c r="H58" i="72" s="1"/>
  <c r="W55" i="47"/>
  <c r="V55" i="47"/>
  <c r="E55" i="47" s="1"/>
  <c r="W54" i="47"/>
  <c r="V54" i="47"/>
  <c r="E54" i="47" s="1"/>
  <c r="X54" i="47"/>
  <c r="G54" i="47" s="1"/>
  <c r="H57" i="72" s="1"/>
  <c r="V72" i="47"/>
  <c r="E72" i="47" s="1"/>
  <c r="W72" i="47"/>
  <c r="X72" i="47"/>
  <c r="G72" i="47" s="1"/>
  <c r="H75" i="72" s="1"/>
  <c r="W73" i="47"/>
  <c r="V73" i="47"/>
  <c r="E73" i="47" s="1"/>
  <c r="X73" i="47"/>
  <c r="G73" i="47" s="1"/>
  <c r="H76" i="72" s="1"/>
  <c r="X56" i="47"/>
  <c r="G56" i="47" s="1"/>
  <c r="H59" i="72" s="1"/>
  <c r="V56" i="47"/>
  <c r="E56" i="47" s="1"/>
  <c r="W56" i="47"/>
  <c r="X48" i="47"/>
  <c r="G48" i="47" s="1"/>
  <c r="H51" i="72" s="1"/>
  <c r="V48" i="47"/>
  <c r="E48" i="47" s="1"/>
  <c r="W48" i="47"/>
  <c r="V49" i="47"/>
  <c r="E49" i="47" s="1"/>
  <c r="W49" i="47"/>
  <c r="X49" i="47"/>
  <c r="G49" i="47" s="1"/>
  <c r="H52" i="72" s="1"/>
  <c r="X86" i="47"/>
  <c r="G86" i="47" s="1"/>
  <c r="H89" i="72" s="1"/>
  <c r="W86" i="47"/>
  <c r="V86" i="47"/>
  <c r="E86" i="47" s="1"/>
  <c r="X78" i="47"/>
  <c r="G78" i="47" s="1"/>
  <c r="H81" i="72" s="1"/>
  <c r="W78" i="47"/>
  <c r="V78" i="47"/>
  <c r="E78" i="47" s="1"/>
  <c r="X75" i="47"/>
  <c r="G75" i="47" s="1"/>
  <c r="H78" i="72" s="1"/>
  <c r="V75" i="47"/>
  <c r="E75" i="47" s="1"/>
  <c r="W75" i="47"/>
  <c r="X82" i="47"/>
  <c r="G82" i="47" s="1"/>
  <c r="H85" i="72" s="1"/>
  <c r="W82" i="47"/>
  <c r="V82" i="47"/>
  <c r="E82" i="47" s="1"/>
  <c r="X83" i="47"/>
  <c r="G83" i="47" s="1"/>
  <c r="H86" i="72" s="1"/>
  <c r="V83" i="47"/>
  <c r="E83" i="47" s="1"/>
  <c r="W83" i="47"/>
  <c r="V84" i="47"/>
  <c r="E84" i="47" s="1"/>
  <c r="W84" i="47"/>
  <c r="X84" i="47"/>
  <c r="G84" i="47" s="1"/>
  <c r="H87" i="72" s="1"/>
  <c r="W81" i="47"/>
  <c r="V81" i="47"/>
  <c r="E81" i="47" s="1"/>
  <c r="X81" i="47"/>
  <c r="G81" i="47" s="1"/>
  <c r="H84" i="72" s="1"/>
  <c r="X51" i="47"/>
  <c r="G51" i="47" s="1"/>
  <c r="H54" i="72" s="1"/>
  <c r="W51" i="47"/>
  <c r="V51" i="47"/>
  <c r="E51" i="47" s="1"/>
  <c r="V57" i="47"/>
  <c r="E57" i="47" s="1"/>
  <c r="W57" i="47"/>
  <c r="X57" i="47"/>
  <c r="G57" i="47" s="1"/>
  <c r="H60" i="72" s="1"/>
  <c r="X59" i="47"/>
  <c r="G59" i="47" s="1"/>
  <c r="H62" i="72" s="1"/>
  <c r="W59" i="47"/>
  <c r="V59" i="47"/>
  <c r="E59" i="47" s="1"/>
  <c r="X60" i="47"/>
  <c r="G60" i="47" s="1"/>
  <c r="H63" i="72" s="1"/>
  <c r="V60" i="47"/>
  <c r="E60" i="47" s="1"/>
  <c r="W60" i="47"/>
  <c r="W58" i="47"/>
  <c r="V58" i="47"/>
  <c r="E58" i="47" s="1"/>
  <c r="X58" i="47"/>
  <c r="G58" i="47" s="1"/>
  <c r="H61" i="72" s="1"/>
  <c r="X77" i="11"/>
  <c r="G77" i="11" s="1"/>
  <c r="V77" i="11"/>
  <c r="E77" i="11" s="1"/>
  <c r="W77" i="11"/>
  <c r="F77" i="11" s="1"/>
  <c r="W68" i="11"/>
  <c r="F68" i="11" s="1"/>
  <c r="V68" i="11"/>
  <c r="E68" i="11" s="1"/>
  <c r="X68" i="11"/>
  <c r="G68" i="11" s="1"/>
  <c r="X69" i="11"/>
  <c r="G69" i="11" s="1"/>
  <c r="V69" i="11"/>
  <c r="E69" i="11" s="1"/>
  <c r="W69" i="11"/>
  <c r="F69" i="11" s="1"/>
  <c r="V71" i="11"/>
  <c r="E71" i="11" s="1"/>
  <c r="X71" i="11"/>
  <c r="G71" i="11" s="1"/>
  <c r="W71" i="11"/>
  <c r="F71" i="11" s="1"/>
  <c r="V87" i="11"/>
  <c r="E87" i="11" s="1"/>
  <c r="X87" i="11"/>
  <c r="G87" i="11" s="1"/>
  <c r="W87" i="11"/>
  <c r="F87" i="11" s="1"/>
  <c r="X50" i="11"/>
  <c r="G50" i="11" s="1"/>
  <c r="V50" i="11"/>
  <c r="E50" i="11" s="1"/>
  <c r="W50" i="11"/>
  <c r="F50" i="11" s="1"/>
  <c r="X54" i="11"/>
  <c r="G54" i="11" s="1"/>
  <c r="V54" i="11"/>
  <c r="E54" i="11" s="1"/>
  <c r="W54" i="11"/>
  <c r="F54" i="11" s="1"/>
  <c r="X62" i="11"/>
  <c r="G62" i="11" s="1"/>
  <c r="V62" i="11"/>
  <c r="E62" i="11" s="1"/>
  <c r="W62" i="11"/>
  <c r="F62" i="11" s="1"/>
  <c r="W63" i="11"/>
  <c r="F63" i="11" s="1"/>
  <c r="X63" i="11"/>
  <c r="G63" i="11" s="1"/>
  <c r="V63" i="11"/>
  <c r="E63" i="11" s="1"/>
  <c r="V60" i="11"/>
  <c r="E60" i="11" s="1"/>
  <c r="X60" i="11"/>
  <c r="G60" i="11" s="1"/>
  <c r="W60" i="11"/>
  <c r="F60" i="11" s="1"/>
  <c r="X81" i="11"/>
  <c r="G81" i="11" s="1"/>
  <c r="V81" i="11"/>
  <c r="E81" i="11" s="1"/>
  <c r="W81" i="11"/>
  <c r="F81" i="11" s="1"/>
  <c r="W70" i="11"/>
  <c r="F70" i="11" s="1"/>
  <c r="X70" i="11"/>
  <c r="G70" i="11" s="1"/>
  <c r="V70" i="11"/>
  <c r="E70" i="11" s="1"/>
  <c r="X73" i="11"/>
  <c r="G73" i="11" s="1"/>
  <c r="V73" i="11"/>
  <c r="E73" i="11" s="1"/>
  <c r="W73" i="11"/>
  <c r="F73" i="11" s="1"/>
  <c r="W74" i="11"/>
  <c r="F74" i="11" s="1"/>
  <c r="X74" i="11"/>
  <c r="G74" i="11" s="1"/>
  <c r="V74" i="11"/>
  <c r="E74" i="11" s="1"/>
  <c r="V75" i="11"/>
  <c r="E75" i="11" s="1"/>
  <c r="X75" i="11"/>
  <c r="G75" i="11" s="1"/>
  <c r="W75" i="11"/>
  <c r="F75" i="11" s="1"/>
  <c r="W61" i="11"/>
  <c r="F61" i="11" s="1"/>
  <c r="V61" i="11"/>
  <c r="E61" i="11" s="1"/>
  <c r="X61" i="11"/>
  <c r="G61" i="11" s="1"/>
  <c r="X46" i="11"/>
  <c r="G46" i="11" s="1"/>
  <c r="V46" i="11"/>
  <c r="E46" i="11" s="1"/>
  <c r="W46" i="11"/>
  <c r="F46" i="11" s="1"/>
  <c r="W47" i="11"/>
  <c r="F47" i="11" s="1"/>
  <c r="X47" i="11"/>
  <c r="G47" i="11" s="1"/>
  <c r="V47" i="11"/>
  <c r="E47" i="11" s="1"/>
  <c r="V48" i="11"/>
  <c r="E48" i="11" s="1"/>
  <c r="X48" i="11"/>
  <c r="G48" i="11" s="1"/>
  <c r="W48" i="11"/>
  <c r="F48" i="11" s="1"/>
  <c r="V64" i="11"/>
  <c r="E64" i="11" s="1"/>
  <c r="X64" i="11"/>
  <c r="G64" i="11" s="1"/>
  <c r="W64" i="11"/>
  <c r="F64" i="11" s="1"/>
  <c r="W72" i="11"/>
  <c r="F72" i="11" s="1"/>
  <c r="V72" i="11"/>
  <c r="E72" i="11" s="1"/>
  <c r="X72" i="11"/>
  <c r="G72" i="11" s="1"/>
  <c r="W76" i="11"/>
  <c r="F76" i="11" s="1"/>
  <c r="V76" i="11"/>
  <c r="E76" i="11" s="1"/>
  <c r="X76" i="11"/>
  <c r="G76" i="11" s="1"/>
  <c r="W78" i="11"/>
  <c r="F78" i="11" s="1"/>
  <c r="X78" i="11"/>
  <c r="G78" i="11" s="1"/>
  <c r="V78" i="11"/>
  <c r="E78" i="11" s="1"/>
  <c r="W80" i="11"/>
  <c r="F80" i="11" s="1"/>
  <c r="V80" i="11"/>
  <c r="E80" i="11" s="1"/>
  <c r="X80" i="11"/>
  <c r="G80" i="11" s="1"/>
  <c r="V79" i="11"/>
  <c r="E79" i="11" s="1"/>
  <c r="X79" i="11"/>
  <c r="G79" i="11" s="1"/>
  <c r="W79" i="11"/>
  <c r="F79" i="11" s="1"/>
  <c r="W45" i="11"/>
  <c r="F45" i="11" s="1"/>
  <c r="V45" i="11"/>
  <c r="E45" i="11" s="1"/>
  <c r="X45" i="11"/>
  <c r="G45" i="11" s="1"/>
  <c r="W55" i="11"/>
  <c r="F55" i="11" s="1"/>
  <c r="X55" i="11"/>
  <c r="G55" i="11" s="1"/>
  <c r="V55" i="11"/>
  <c r="E55" i="11" s="1"/>
  <c r="W51" i="11"/>
  <c r="F51" i="11" s="1"/>
  <c r="X51" i="11"/>
  <c r="G51" i="11" s="1"/>
  <c r="V51" i="11"/>
  <c r="E51" i="11" s="1"/>
  <c r="W53" i="11"/>
  <c r="F53" i="11" s="1"/>
  <c r="V53" i="11"/>
  <c r="E53" i="11" s="1"/>
  <c r="X53" i="11"/>
  <c r="G53" i="11" s="1"/>
  <c r="V52" i="11"/>
  <c r="E52" i="11" s="1"/>
  <c r="X52" i="11"/>
  <c r="G52" i="11" s="1"/>
  <c r="W52" i="11"/>
  <c r="F52" i="11" s="1"/>
  <c r="W82" i="11"/>
  <c r="F82" i="11" s="1"/>
  <c r="X82" i="11"/>
  <c r="G82" i="11" s="1"/>
  <c r="V82" i="11"/>
  <c r="E82" i="11" s="1"/>
  <c r="W86" i="11"/>
  <c r="F86" i="11" s="1"/>
  <c r="X86" i="11"/>
  <c r="G86" i="11" s="1"/>
  <c r="V86" i="11"/>
  <c r="E86" i="11" s="1"/>
  <c r="W84" i="11"/>
  <c r="F84" i="11" s="1"/>
  <c r="V84" i="11"/>
  <c r="E84" i="11" s="1"/>
  <c r="X84" i="11"/>
  <c r="G84" i="11" s="1"/>
  <c r="X85" i="11"/>
  <c r="G85" i="11" s="1"/>
  <c r="V85" i="11"/>
  <c r="E85" i="11" s="1"/>
  <c r="W85" i="11"/>
  <c r="F85" i="11" s="1"/>
  <c r="V83" i="11"/>
  <c r="E83" i="11" s="1"/>
  <c r="X83" i="11"/>
  <c r="G83" i="11" s="1"/>
  <c r="W83" i="11"/>
  <c r="F83" i="11" s="1"/>
  <c r="W59" i="11"/>
  <c r="F59" i="11" s="1"/>
  <c r="X59" i="11"/>
  <c r="G59" i="11" s="1"/>
  <c r="V59" i="11"/>
  <c r="E59" i="11" s="1"/>
  <c r="W49" i="11"/>
  <c r="F49" i="11" s="1"/>
  <c r="V49" i="11"/>
  <c r="E49" i="11" s="1"/>
  <c r="X49" i="11"/>
  <c r="G49" i="11" s="1"/>
  <c r="W57" i="11"/>
  <c r="F57" i="11" s="1"/>
  <c r="V57" i="11"/>
  <c r="E57" i="11" s="1"/>
  <c r="X57" i="11"/>
  <c r="G57" i="11" s="1"/>
  <c r="X58" i="11"/>
  <c r="G58" i="11" s="1"/>
  <c r="V58" i="11"/>
  <c r="E58" i="11" s="1"/>
  <c r="W58" i="11"/>
  <c r="F58" i="11" s="1"/>
  <c r="V56" i="11"/>
  <c r="E56" i="11" s="1"/>
  <c r="X56" i="11"/>
  <c r="G56" i="11" s="1"/>
  <c r="W56" i="11"/>
  <c r="F56" i="11" s="1"/>
  <c r="W78" i="54"/>
  <c r="F78" i="54" s="1"/>
  <c r="V78" i="54"/>
  <c r="E78" i="54" s="1"/>
  <c r="X78" i="54"/>
  <c r="G78" i="54" s="1"/>
  <c r="X71" i="54"/>
  <c r="G71" i="54" s="1"/>
  <c r="W71" i="54"/>
  <c r="F71" i="54" s="1"/>
  <c r="V71" i="54"/>
  <c r="E71" i="54" s="1"/>
  <c r="V58" i="54"/>
  <c r="E58" i="54" s="1"/>
  <c r="X58" i="54"/>
  <c r="G58" i="54" s="1"/>
  <c r="W58" i="54"/>
  <c r="F58" i="54" s="1"/>
  <c r="X49" i="54"/>
  <c r="G49" i="54" s="1"/>
  <c r="W49" i="54"/>
  <c r="V49" i="54"/>
  <c r="E49" i="54" s="1"/>
  <c r="X52" i="54"/>
  <c r="G52" i="54" s="1"/>
  <c r="W52" i="54"/>
  <c r="V52" i="54"/>
  <c r="E52" i="54" s="1"/>
  <c r="X80" i="54"/>
  <c r="G80" i="54" s="1"/>
  <c r="W80" i="54"/>
  <c r="F80" i="54" s="1"/>
  <c r="V80" i="54"/>
  <c r="E80" i="54" s="1"/>
  <c r="W70" i="54"/>
  <c r="F70" i="54" s="1"/>
  <c r="V70" i="54"/>
  <c r="E70" i="54" s="1"/>
  <c r="X70" i="54"/>
  <c r="G70" i="54" s="1"/>
  <c r="X75" i="54"/>
  <c r="G75" i="54" s="1"/>
  <c r="W75" i="54"/>
  <c r="F75" i="54" s="1"/>
  <c r="V75" i="54"/>
  <c r="E75" i="54" s="1"/>
  <c r="V62" i="54"/>
  <c r="E62" i="54" s="1"/>
  <c r="X62" i="54"/>
  <c r="G62" i="54" s="1"/>
  <c r="W62" i="54"/>
  <c r="F62" i="54" s="1"/>
  <c r="V54" i="54"/>
  <c r="E54" i="54" s="1"/>
  <c r="X54" i="54"/>
  <c r="G54" i="54" s="1"/>
  <c r="W54" i="54"/>
  <c r="W55" i="54"/>
  <c r="F55" i="54" s="1"/>
  <c r="V55" i="54"/>
  <c r="E55" i="54" s="1"/>
  <c r="X55" i="54"/>
  <c r="G55" i="54" s="1"/>
  <c r="X56" i="54"/>
  <c r="G56" i="54" s="1"/>
  <c r="W56" i="54"/>
  <c r="F56" i="54" s="1"/>
  <c r="V56" i="54"/>
  <c r="E56" i="54" s="1"/>
  <c r="X84" i="54"/>
  <c r="G84" i="54" s="1"/>
  <c r="W84" i="54"/>
  <c r="F84" i="54" s="1"/>
  <c r="V84" i="54"/>
  <c r="E84" i="54" s="1"/>
  <c r="V73" i="54"/>
  <c r="E73" i="54" s="1"/>
  <c r="X73" i="54"/>
  <c r="G73" i="54" s="1"/>
  <c r="W73" i="54"/>
  <c r="F73" i="54" s="1"/>
  <c r="X76" i="54"/>
  <c r="G76" i="54" s="1"/>
  <c r="W76" i="54"/>
  <c r="F76" i="54" s="1"/>
  <c r="V76" i="54"/>
  <c r="E76" i="54" s="1"/>
  <c r="V77" i="54"/>
  <c r="E77" i="54" s="1"/>
  <c r="X77" i="54"/>
  <c r="G77" i="54" s="1"/>
  <c r="W77" i="54"/>
  <c r="F77" i="54" s="1"/>
  <c r="X79" i="54"/>
  <c r="G79" i="54" s="1"/>
  <c r="W79" i="54"/>
  <c r="F79" i="54" s="1"/>
  <c r="V79" i="54"/>
  <c r="E79" i="54" s="1"/>
  <c r="W63" i="54"/>
  <c r="F63" i="54" s="1"/>
  <c r="V63" i="54"/>
  <c r="E63" i="54" s="1"/>
  <c r="X63" i="54"/>
  <c r="G63" i="54" s="1"/>
  <c r="V46" i="54"/>
  <c r="E46" i="54" s="1"/>
  <c r="X46" i="54"/>
  <c r="G46" i="54" s="1"/>
  <c r="W46" i="54"/>
  <c r="W59" i="54"/>
  <c r="F59" i="54" s="1"/>
  <c r="V59" i="54"/>
  <c r="E59" i="54" s="1"/>
  <c r="X59" i="54"/>
  <c r="G59" i="54" s="1"/>
  <c r="X61" i="54"/>
  <c r="G61" i="54" s="1"/>
  <c r="W61" i="54"/>
  <c r="F61" i="54" s="1"/>
  <c r="V61" i="54"/>
  <c r="E61" i="54" s="1"/>
  <c r="X60" i="54"/>
  <c r="G60" i="54" s="1"/>
  <c r="W60" i="54"/>
  <c r="F60" i="54" s="1"/>
  <c r="V60" i="54"/>
  <c r="E60" i="54" s="1"/>
  <c r="V85" i="54"/>
  <c r="E85" i="54" s="1"/>
  <c r="X85" i="54"/>
  <c r="G85" i="54" s="1"/>
  <c r="W85" i="54"/>
  <c r="F85" i="54" s="1"/>
  <c r="W86" i="54"/>
  <c r="F86" i="54" s="1"/>
  <c r="V86" i="54"/>
  <c r="E86" i="54" s="1"/>
  <c r="X86" i="54"/>
  <c r="G86" i="54" s="1"/>
  <c r="X87" i="54"/>
  <c r="G87" i="54" s="1"/>
  <c r="W87" i="54"/>
  <c r="F87" i="54" s="1"/>
  <c r="V87" i="54"/>
  <c r="E87" i="54" s="1"/>
  <c r="W51" i="54"/>
  <c r="V51" i="54"/>
  <c r="E51" i="54" s="1"/>
  <c r="X51" i="54"/>
  <c r="G51" i="54" s="1"/>
  <c r="V50" i="54"/>
  <c r="E50" i="54" s="1"/>
  <c r="X50" i="54"/>
  <c r="G50" i="54" s="1"/>
  <c r="W50" i="54"/>
  <c r="V69" i="54"/>
  <c r="E69" i="54" s="1"/>
  <c r="X69" i="54"/>
  <c r="G69" i="54" s="1"/>
  <c r="W69" i="54"/>
  <c r="F69" i="54" s="1"/>
  <c r="X72" i="54"/>
  <c r="G72" i="54" s="1"/>
  <c r="W72" i="54"/>
  <c r="F72" i="54" s="1"/>
  <c r="V72" i="54"/>
  <c r="E72" i="54" s="1"/>
  <c r="X53" i="54"/>
  <c r="G53" i="54" s="1"/>
  <c r="W53" i="54"/>
  <c r="V53" i="54"/>
  <c r="E53" i="54" s="1"/>
  <c r="W74" i="54"/>
  <c r="F74" i="54" s="1"/>
  <c r="V74" i="54"/>
  <c r="E74" i="54" s="1"/>
  <c r="X74" i="54"/>
  <c r="G74" i="54" s="1"/>
  <c r="X68" i="54"/>
  <c r="G68" i="54" s="1"/>
  <c r="W68" i="54"/>
  <c r="V68" i="54"/>
  <c r="E68" i="54" s="1"/>
  <c r="V81" i="54"/>
  <c r="E81" i="54" s="1"/>
  <c r="X81" i="54"/>
  <c r="G81" i="54" s="1"/>
  <c r="W81" i="54"/>
  <c r="F81" i="54" s="1"/>
  <c r="W82" i="54"/>
  <c r="F82" i="54" s="1"/>
  <c r="V82" i="54"/>
  <c r="E82" i="54" s="1"/>
  <c r="X82" i="54"/>
  <c r="G82" i="54" s="1"/>
  <c r="X83" i="54"/>
  <c r="G83" i="54" s="1"/>
  <c r="W83" i="54"/>
  <c r="F83" i="54" s="1"/>
  <c r="V83" i="54"/>
  <c r="E83" i="54" s="1"/>
  <c r="W47" i="54"/>
  <c r="V47" i="54"/>
  <c r="E47" i="54" s="1"/>
  <c r="X47" i="54"/>
  <c r="G47" i="54" s="1"/>
  <c r="X57" i="54"/>
  <c r="G57" i="54" s="1"/>
  <c r="W57" i="54"/>
  <c r="F57" i="54" s="1"/>
  <c r="V57" i="54"/>
  <c r="E57" i="54" s="1"/>
  <c r="X45" i="54"/>
  <c r="G45" i="54" s="1"/>
  <c r="W45" i="54"/>
  <c r="V45" i="54"/>
  <c r="E45" i="54" s="1"/>
  <c r="X48" i="54"/>
  <c r="G48" i="54" s="1"/>
  <c r="W48" i="54"/>
  <c r="V48" i="54"/>
  <c r="E48" i="54" s="1"/>
  <c r="X64" i="54"/>
  <c r="G64" i="54" s="1"/>
  <c r="W64" i="54"/>
  <c r="F64" i="54" s="1"/>
  <c r="V64" i="54"/>
  <c r="E64" i="54" s="1"/>
  <c r="AY122" i="54"/>
  <c r="AR122" i="54"/>
  <c r="AS122" i="54" s="1"/>
  <c r="AT118" i="54"/>
  <c r="AU118" i="54" s="1"/>
  <c r="AZ118" i="54" s="1"/>
  <c r="AY118" i="54"/>
  <c r="D44" i="6"/>
  <c r="D39" i="6"/>
  <c r="D38" i="6"/>
  <c r="C44" i="6"/>
  <c r="C39" i="6"/>
  <c r="C38" i="6"/>
  <c r="AY121" i="54"/>
  <c r="AR121" i="54"/>
  <c r="AT121" i="54"/>
  <c r="AR119" i="54"/>
  <c r="AS119" i="54" s="1"/>
  <c r="AT119" i="54"/>
  <c r="AY119" i="54"/>
  <c r="AR117" i="54"/>
  <c r="AT117" i="54"/>
  <c r="AY117" i="54"/>
  <c r="AT123" i="54"/>
  <c r="AR123" i="54"/>
  <c r="AY123" i="54"/>
  <c r="AS118" i="54"/>
  <c r="AR120" i="54"/>
  <c r="AT120" i="54"/>
  <c r="AY120" i="54"/>
  <c r="AR173" i="11"/>
  <c r="AS173" i="11" s="1"/>
  <c r="AT173" i="11"/>
  <c r="AT172" i="11"/>
  <c r="AY172" i="11"/>
  <c r="AR172" i="11"/>
  <c r="AS172" i="11" s="1"/>
  <c r="AR170" i="11"/>
  <c r="AS170" i="11" s="1"/>
  <c r="AT170" i="11"/>
  <c r="AY168" i="11"/>
  <c r="AT168" i="11"/>
  <c r="AR168" i="11"/>
  <c r="AT171" i="11"/>
  <c r="AR171" i="11"/>
  <c r="AY171" i="11"/>
  <c r="AT167" i="11"/>
  <c r="AR167" i="11"/>
  <c r="AY167" i="11"/>
  <c r="AY169" i="11"/>
  <c r="AR169" i="11"/>
  <c r="AT169" i="11"/>
  <c r="AT140" i="54"/>
  <c r="AR140" i="54"/>
  <c r="AY140" i="54"/>
  <c r="AT139" i="54"/>
  <c r="AR139" i="54"/>
  <c r="AY139" i="54"/>
  <c r="AT141" i="54"/>
  <c r="AR141" i="54"/>
  <c r="AY141" i="54"/>
  <c r="C82" i="72"/>
  <c r="BC79" i="47"/>
  <c r="BE79" i="47"/>
  <c r="L79" i="47" s="1"/>
  <c r="BD79" i="47"/>
  <c r="K79" i="47" s="1"/>
  <c r="Z79" i="47"/>
  <c r="N79" i="47" s="1"/>
  <c r="BB79" i="47"/>
  <c r="I79" i="47" s="1"/>
  <c r="J82" i="72" s="1"/>
  <c r="H82" i="72"/>
  <c r="C73" i="72"/>
  <c r="BC70" i="47"/>
  <c r="BD70" i="47"/>
  <c r="K70" i="47" s="1"/>
  <c r="BE70" i="47"/>
  <c r="L70" i="47" s="1"/>
  <c r="Z70" i="47"/>
  <c r="N70" i="47" s="1"/>
  <c r="BB70" i="47"/>
  <c r="I70" i="47" s="1"/>
  <c r="J73" i="72" s="1"/>
  <c r="C83" i="72"/>
  <c r="BC80" i="47"/>
  <c r="BB80" i="47"/>
  <c r="I80" i="47" s="1"/>
  <c r="J83" i="72" s="1"/>
  <c r="Z80" i="47"/>
  <c r="N80" i="47" s="1"/>
  <c r="BE80" i="47"/>
  <c r="L80" i="47" s="1"/>
  <c r="BD80" i="47"/>
  <c r="K80" i="47" s="1"/>
  <c r="C65" i="72"/>
  <c r="BC62" i="47"/>
  <c r="BB62" i="47"/>
  <c r="I62" i="47" s="1"/>
  <c r="J65" i="72" s="1"/>
  <c r="BD62" i="47"/>
  <c r="K62" i="47" s="1"/>
  <c r="Z62" i="47"/>
  <c r="N62" i="47" s="1"/>
  <c r="BE62" i="47"/>
  <c r="L62" i="47" s="1"/>
  <c r="C60" i="72"/>
  <c r="BC57" i="47"/>
  <c r="BB57" i="47"/>
  <c r="I57" i="47" s="1"/>
  <c r="J60" i="72" s="1"/>
  <c r="BE57" i="47"/>
  <c r="L57" i="47" s="1"/>
  <c r="Z57" i="47"/>
  <c r="N57" i="47" s="1"/>
  <c r="BD57" i="47"/>
  <c r="K57" i="47" s="1"/>
  <c r="C71" i="72"/>
  <c r="BC68" i="47"/>
  <c r="BB68" i="47"/>
  <c r="I68" i="47" s="1"/>
  <c r="J71" i="72" s="1"/>
  <c r="BE68" i="47"/>
  <c r="L68" i="47" s="1"/>
  <c r="Z68" i="47"/>
  <c r="N68" i="47" s="1"/>
  <c r="BD68" i="47"/>
  <c r="K68" i="47" s="1"/>
  <c r="C63" i="72"/>
  <c r="BC60" i="47"/>
  <c r="BE60" i="47"/>
  <c r="L60" i="47" s="1"/>
  <c r="BD60" i="47"/>
  <c r="K60" i="47" s="1"/>
  <c r="Z60" i="47"/>
  <c r="N60" i="47" s="1"/>
  <c r="BB60" i="47"/>
  <c r="I60" i="47" s="1"/>
  <c r="J63" i="72" s="1"/>
  <c r="C48" i="72"/>
  <c r="BC45" i="47"/>
  <c r="BB45" i="47"/>
  <c r="I45" i="47" s="1"/>
  <c r="J48" i="72" s="1"/>
  <c r="Z45" i="47"/>
  <c r="N45" i="47" s="1"/>
  <c r="BE45" i="47"/>
  <c r="L45" i="47" s="1"/>
  <c r="BD45" i="47"/>
  <c r="K45" i="47" s="1"/>
  <c r="C64" i="72"/>
  <c r="BC61" i="47"/>
  <c r="BB61" i="47"/>
  <c r="I61" i="47" s="1"/>
  <c r="J64" i="72" s="1"/>
  <c r="Z61" i="47"/>
  <c r="N61" i="47" s="1"/>
  <c r="BE61" i="47"/>
  <c r="L61" i="47" s="1"/>
  <c r="BD61" i="47"/>
  <c r="K61" i="47" s="1"/>
  <c r="C86" i="72"/>
  <c r="BC83" i="47"/>
  <c r="BE83" i="47"/>
  <c r="L83" i="47" s="1"/>
  <c r="Z83" i="47"/>
  <c r="N83" i="47" s="1"/>
  <c r="BD83" i="47"/>
  <c r="K83" i="47" s="1"/>
  <c r="BB83" i="47"/>
  <c r="I83" i="47" s="1"/>
  <c r="J86" i="72" s="1"/>
  <c r="C90" i="72"/>
  <c r="BC87" i="47"/>
  <c r="BE87" i="47"/>
  <c r="L87" i="47" s="1"/>
  <c r="BD87" i="47"/>
  <c r="K87" i="47" s="1"/>
  <c r="Z87" i="47"/>
  <c r="N87" i="47" s="1"/>
  <c r="BB87" i="47"/>
  <c r="I87" i="47" s="1"/>
  <c r="J90" i="72" s="1"/>
  <c r="C84" i="72"/>
  <c r="BC81" i="47"/>
  <c r="BB81" i="47"/>
  <c r="I81" i="47" s="1"/>
  <c r="J84" i="72" s="1"/>
  <c r="BD81" i="47"/>
  <c r="K81" i="47" s="1"/>
  <c r="Z81" i="47"/>
  <c r="N81" i="47" s="1"/>
  <c r="BE81" i="47"/>
  <c r="L81" i="47" s="1"/>
  <c r="C81" i="72"/>
  <c r="BC78" i="47"/>
  <c r="BD78" i="47"/>
  <c r="K78" i="47" s="1"/>
  <c r="BE78" i="47"/>
  <c r="L78" i="47" s="1"/>
  <c r="Z78" i="47"/>
  <c r="N78" i="47" s="1"/>
  <c r="BB78" i="47"/>
  <c r="I78" i="47" s="1"/>
  <c r="J81" i="72" s="1"/>
  <c r="C75" i="72"/>
  <c r="BC72" i="47"/>
  <c r="BB72" i="47"/>
  <c r="I72" i="47" s="1"/>
  <c r="J75" i="72" s="1"/>
  <c r="Z72" i="47"/>
  <c r="N72" i="47" s="1"/>
  <c r="BE72" i="47"/>
  <c r="L72" i="47" s="1"/>
  <c r="BD72" i="47"/>
  <c r="K72" i="47" s="1"/>
  <c r="C51" i="72"/>
  <c r="BC48" i="47"/>
  <c r="BE48" i="47"/>
  <c r="L48" i="47" s="1"/>
  <c r="Z48" i="47"/>
  <c r="N48" i="47" s="1"/>
  <c r="BD48" i="47"/>
  <c r="K48" i="47" s="1"/>
  <c r="BB48" i="47"/>
  <c r="I48" i="47" s="1"/>
  <c r="J51" i="72" s="1"/>
  <c r="C49" i="72"/>
  <c r="BC46" i="47"/>
  <c r="BB46" i="47"/>
  <c r="I46" i="47" s="1"/>
  <c r="J49" i="72" s="1"/>
  <c r="BD46" i="47"/>
  <c r="K46" i="47" s="1"/>
  <c r="Z46" i="47"/>
  <c r="N46" i="47" s="1"/>
  <c r="BE46" i="47"/>
  <c r="L46" i="47" s="1"/>
  <c r="C53" i="72"/>
  <c r="BC50" i="47"/>
  <c r="BB50" i="47"/>
  <c r="I50" i="47" s="1"/>
  <c r="J53" i="72" s="1"/>
  <c r="BD50" i="47"/>
  <c r="K50" i="47" s="1"/>
  <c r="Z50" i="47"/>
  <c r="N50" i="47" s="1"/>
  <c r="BE50" i="47"/>
  <c r="L50" i="47" s="1"/>
  <c r="C58" i="72"/>
  <c r="BC55" i="47"/>
  <c r="BD55" i="47"/>
  <c r="K55" i="47" s="1"/>
  <c r="BE55" i="47"/>
  <c r="L55" i="47" s="1"/>
  <c r="BB55" i="47"/>
  <c r="I55" i="47" s="1"/>
  <c r="J58" i="72" s="1"/>
  <c r="Z55" i="47"/>
  <c r="N55" i="47" s="1"/>
  <c r="C52" i="72"/>
  <c r="BC49" i="47"/>
  <c r="BB49" i="47"/>
  <c r="I49" i="47" s="1"/>
  <c r="J52" i="72" s="1"/>
  <c r="BE49" i="47"/>
  <c r="L49" i="47" s="1"/>
  <c r="Z49" i="47"/>
  <c r="N49" i="47" s="1"/>
  <c r="BD49" i="47"/>
  <c r="K49" i="47" s="1"/>
  <c r="C76" i="72"/>
  <c r="BC73" i="47"/>
  <c r="BB73" i="47"/>
  <c r="I73" i="47" s="1"/>
  <c r="J76" i="72" s="1"/>
  <c r="BD73" i="47"/>
  <c r="K73" i="47" s="1"/>
  <c r="Z73" i="47"/>
  <c r="N73" i="47" s="1"/>
  <c r="BE73" i="47"/>
  <c r="C89" i="72"/>
  <c r="BC86" i="47"/>
  <c r="BD86" i="47"/>
  <c r="K86" i="47" s="1"/>
  <c r="BE86" i="47"/>
  <c r="L86" i="47" s="1"/>
  <c r="Z86" i="47"/>
  <c r="N86" i="47" s="1"/>
  <c r="BB86" i="47"/>
  <c r="I86" i="47" s="1"/>
  <c r="J89" i="72" s="1"/>
  <c r="C55" i="72"/>
  <c r="BC52" i="47"/>
  <c r="BE52" i="47"/>
  <c r="L52" i="47" s="1"/>
  <c r="BD52" i="47"/>
  <c r="K52" i="47" s="1"/>
  <c r="Z52" i="47"/>
  <c r="N52" i="47" s="1"/>
  <c r="BB52" i="47"/>
  <c r="I52" i="47" s="1"/>
  <c r="J55" i="72" s="1"/>
  <c r="C50" i="72"/>
  <c r="BC47" i="47"/>
  <c r="BD47" i="47"/>
  <c r="K47" i="47" s="1"/>
  <c r="BE47" i="47"/>
  <c r="L47" i="47" s="1"/>
  <c r="BB47" i="47"/>
  <c r="I47" i="47" s="1"/>
  <c r="J50" i="72" s="1"/>
  <c r="Z47" i="47"/>
  <c r="N47" i="47" s="1"/>
  <c r="C66" i="72"/>
  <c r="BC63" i="47"/>
  <c r="BD63" i="47"/>
  <c r="K63" i="47" s="1"/>
  <c r="BE63" i="47"/>
  <c r="L63" i="47" s="1"/>
  <c r="BB63" i="47"/>
  <c r="I63" i="47" s="1"/>
  <c r="J66" i="72" s="1"/>
  <c r="Z63" i="47"/>
  <c r="N63" i="47" s="1"/>
  <c r="C74" i="72"/>
  <c r="BC71" i="47"/>
  <c r="BE71" i="47"/>
  <c r="L71" i="47" s="1"/>
  <c r="BD71" i="47"/>
  <c r="K71" i="47" s="1"/>
  <c r="Z71" i="47"/>
  <c r="N71" i="47" s="1"/>
  <c r="BB71" i="47"/>
  <c r="I71" i="47" s="1"/>
  <c r="J74" i="72" s="1"/>
  <c r="C80" i="72"/>
  <c r="BC77" i="47"/>
  <c r="BB77" i="47"/>
  <c r="I77" i="47" s="1"/>
  <c r="J80" i="72" s="1"/>
  <c r="BD77" i="47"/>
  <c r="K77" i="47" s="1"/>
  <c r="Z77" i="47"/>
  <c r="N77" i="47" s="1"/>
  <c r="BE77" i="47"/>
  <c r="L77" i="47" s="1"/>
  <c r="C77" i="72"/>
  <c r="BC74" i="47"/>
  <c r="BD74" i="47"/>
  <c r="K74" i="47" s="1"/>
  <c r="BE74" i="47"/>
  <c r="L74" i="47" s="1"/>
  <c r="BB74" i="47"/>
  <c r="I74" i="47" s="1"/>
  <c r="J77" i="72" s="1"/>
  <c r="Z74" i="47"/>
  <c r="N74" i="47" s="1"/>
  <c r="C87" i="72"/>
  <c r="BC84" i="47"/>
  <c r="BB84" i="47"/>
  <c r="I84" i="47" s="1"/>
  <c r="J87" i="72" s="1"/>
  <c r="BE84" i="47"/>
  <c r="L84" i="47" s="1"/>
  <c r="Z84" i="47"/>
  <c r="N84" i="47" s="1"/>
  <c r="BD84" i="47"/>
  <c r="K84" i="47" s="1"/>
  <c r="C59" i="72"/>
  <c r="BC56" i="47"/>
  <c r="BE56" i="47"/>
  <c r="L56" i="47" s="1"/>
  <c r="Z56" i="47"/>
  <c r="N56" i="47" s="1"/>
  <c r="BD56" i="47"/>
  <c r="K56" i="47" s="1"/>
  <c r="BB56" i="47"/>
  <c r="I56" i="47" s="1"/>
  <c r="J59" i="72" s="1"/>
  <c r="C54" i="72"/>
  <c r="BC51" i="47"/>
  <c r="BD51" i="47"/>
  <c r="K51" i="47" s="1"/>
  <c r="BE51" i="47"/>
  <c r="L51" i="47" s="1"/>
  <c r="Z51" i="47"/>
  <c r="N51" i="47" s="1"/>
  <c r="BB51" i="47"/>
  <c r="I51" i="47" s="1"/>
  <c r="J54" i="72" s="1"/>
  <c r="C78" i="72"/>
  <c r="BC75" i="47"/>
  <c r="BE75" i="47"/>
  <c r="L75" i="47" s="1"/>
  <c r="Z75" i="47"/>
  <c r="N75" i="47" s="1"/>
  <c r="BD75" i="47"/>
  <c r="K75" i="47" s="1"/>
  <c r="BB75" i="47"/>
  <c r="I75" i="47" s="1"/>
  <c r="J78" i="72" s="1"/>
  <c r="C72" i="72"/>
  <c r="BC69" i="47"/>
  <c r="BB69" i="47"/>
  <c r="I69" i="47" s="1"/>
  <c r="J72" i="72" s="1"/>
  <c r="BD69" i="47"/>
  <c r="K69" i="47" s="1"/>
  <c r="Z69" i="47"/>
  <c r="N69" i="47" s="1"/>
  <c r="BE69" i="47"/>
  <c r="L69" i="47" s="1"/>
  <c r="C88" i="72"/>
  <c r="BC85" i="47"/>
  <c r="BB85" i="47"/>
  <c r="I85" i="47" s="1"/>
  <c r="J88" i="72" s="1"/>
  <c r="BD85" i="47"/>
  <c r="K85" i="47" s="1"/>
  <c r="Z85" i="47"/>
  <c r="N85" i="47" s="1"/>
  <c r="BE85" i="47"/>
  <c r="L85" i="47" s="1"/>
  <c r="C85" i="72"/>
  <c r="BC82" i="47"/>
  <c r="BD82" i="47"/>
  <c r="K82" i="47" s="1"/>
  <c r="BE82" i="47"/>
  <c r="L82" i="47" s="1"/>
  <c r="BB82" i="47"/>
  <c r="I82" i="47" s="1"/>
  <c r="J85" i="72" s="1"/>
  <c r="Z82" i="47"/>
  <c r="N82" i="47" s="1"/>
  <c r="C79" i="72"/>
  <c r="BC76" i="47"/>
  <c r="BB76" i="47"/>
  <c r="I76" i="47" s="1"/>
  <c r="J79" i="72" s="1"/>
  <c r="BE76" i="47"/>
  <c r="L76" i="47" s="1"/>
  <c r="Z76" i="47"/>
  <c r="N76" i="47" s="1"/>
  <c r="BD76" i="47"/>
  <c r="K76" i="47" s="1"/>
  <c r="C67" i="72"/>
  <c r="BC64" i="47"/>
  <c r="BE64" i="47"/>
  <c r="L64" i="47" s="1"/>
  <c r="Z64" i="47"/>
  <c r="N64" i="47" s="1"/>
  <c r="BD64" i="47"/>
  <c r="K64" i="47" s="1"/>
  <c r="BB64" i="47"/>
  <c r="I64" i="47" s="1"/>
  <c r="J67" i="72" s="1"/>
  <c r="C57" i="72"/>
  <c r="BC54" i="47"/>
  <c r="BB54" i="47"/>
  <c r="I54" i="47" s="1"/>
  <c r="J57" i="72" s="1"/>
  <c r="BD54" i="47"/>
  <c r="K54" i="47" s="1"/>
  <c r="Z54" i="47"/>
  <c r="N54" i="47" s="1"/>
  <c r="BE54" i="47"/>
  <c r="L54" i="47" s="1"/>
  <c r="C61" i="72"/>
  <c r="BC58" i="47"/>
  <c r="BB58" i="47"/>
  <c r="I58" i="47" s="1"/>
  <c r="J61" i="72" s="1"/>
  <c r="BD58" i="47"/>
  <c r="K58" i="47" s="1"/>
  <c r="Z58" i="47"/>
  <c r="N58" i="47" s="1"/>
  <c r="BE58" i="47"/>
  <c r="L58" i="47" s="1"/>
  <c r="C62" i="72"/>
  <c r="BC59" i="47"/>
  <c r="BD59" i="47"/>
  <c r="K59" i="47" s="1"/>
  <c r="BE59" i="47"/>
  <c r="L59" i="47" s="1"/>
  <c r="Z59" i="47"/>
  <c r="N59" i="47" s="1"/>
  <c r="BB59" i="47"/>
  <c r="I59" i="47" s="1"/>
  <c r="J62" i="72" s="1"/>
  <c r="C56" i="72"/>
  <c r="BC53" i="47"/>
  <c r="BB53" i="47"/>
  <c r="I53" i="47" s="1"/>
  <c r="J56" i="72" s="1"/>
  <c r="Z53" i="47"/>
  <c r="N53" i="47" s="1"/>
  <c r="BE53" i="47"/>
  <c r="L53" i="47" s="1"/>
  <c r="BD53" i="47"/>
  <c r="K53" i="47" s="1"/>
  <c r="BE75" i="54"/>
  <c r="L75" i="54" s="1"/>
  <c r="BD75" i="54"/>
  <c r="K75" i="54" s="1"/>
  <c r="BC75" i="54"/>
  <c r="J75" i="54" s="1"/>
  <c r="BB75" i="54"/>
  <c r="I75" i="54" s="1"/>
  <c r="Z75" i="54"/>
  <c r="BE87" i="54"/>
  <c r="L87" i="54" s="1"/>
  <c r="BB87" i="54"/>
  <c r="I87" i="54" s="1"/>
  <c r="BD87" i="54"/>
  <c r="K87" i="54" s="1"/>
  <c r="BC87" i="54"/>
  <c r="J87" i="54" s="1"/>
  <c r="Z87" i="54"/>
  <c r="BE79" i="54"/>
  <c r="L79" i="54" s="1"/>
  <c r="BD79" i="54"/>
  <c r="K79" i="54" s="1"/>
  <c r="BC79" i="54"/>
  <c r="J79" i="54" s="1"/>
  <c r="BB79" i="54"/>
  <c r="I79" i="54" s="1"/>
  <c r="Z79" i="54"/>
  <c r="BD59" i="54"/>
  <c r="K59" i="54" s="1"/>
  <c r="BC59" i="54"/>
  <c r="J59" i="54" s="1"/>
  <c r="BB59" i="54"/>
  <c r="I59" i="54" s="1"/>
  <c r="Z59" i="54"/>
  <c r="BE59" i="54"/>
  <c r="L59" i="54" s="1"/>
  <c r="BD55" i="54"/>
  <c r="K55" i="54" s="1"/>
  <c r="BC55" i="54"/>
  <c r="J55" i="54" s="1"/>
  <c r="BE55" i="54"/>
  <c r="L55" i="54" s="1"/>
  <c r="BB55" i="54"/>
  <c r="I55" i="54" s="1"/>
  <c r="Z55" i="54"/>
  <c r="BD54" i="54"/>
  <c r="K54" i="54" s="1"/>
  <c r="BC54" i="54"/>
  <c r="J54" i="54" s="1"/>
  <c r="BE54" i="54"/>
  <c r="L54" i="54" s="1"/>
  <c r="Z54" i="54"/>
  <c r="BB54" i="54"/>
  <c r="I54" i="54" s="1"/>
  <c r="BE70" i="54"/>
  <c r="L70" i="54" s="1"/>
  <c r="BC70" i="54"/>
  <c r="J70" i="54" s="1"/>
  <c r="BB70" i="54"/>
  <c r="I70" i="54" s="1"/>
  <c r="Z70" i="54"/>
  <c r="BD70" i="54"/>
  <c r="K70" i="54" s="1"/>
  <c r="BE83" i="54"/>
  <c r="L83" i="54" s="1"/>
  <c r="BB83" i="54"/>
  <c r="I83" i="54" s="1"/>
  <c r="BD83" i="54"/>
  <c r="K83" i="54" s="1"/>
  <c r="BC83" i="54"/>
  <c r="J83" i="54" s="1"/>
  <c r="Z83" i="54"/>
  <c r="BD51" i="54"/>
  <c r="K51" i="54" s="1"/>
  <c r="BC51" i="54"/>
  <c r="J51" i="54" s="1"/>
  <c r="BB51" i="54"/>
  <c r="I51" i="54" s="1"/>
  <c r="Z51" i="54"/>
  <c r="BE51" i="54"/>
  <c r="L51" i="54" s="1"/>
  <c r="BE64" i="54"/>
  <c r="L64" i="54" s="1"/>
  <c r="BD64" i="54"/>
  <c r="K64" i="54" s="1"/>
  <c r="BC64" i="54"/>
  <c r="J64" i="54" s="1"/>
  <c r="BB64" i="54"/>
  <c r="I64" i="54" s="1"/>
  <c r="Z64" i="54"/>
  <c r="N64" i="54" s="1"/>
  <c r="P64" i="54" s="1"/>
  <c r="BD47" i="54"/>
  <c r="K47" i="54" s="1"/>
  <c r="BC47" i="54"/>
  <c r="J47" i="54" s="1"/>
  <c r="BE47" i="54"/>
  <c r="L47" i="54" s="1"/>
  <c r="Z47" i="54"/>
  <c r="BB47" i="54"/>
  <c r="I47" i="54" s="1"/>
  <c r="BE81" i="54"/>
  <c r="L81" i="54" s="1"/>
  <c r="BB81" i="54"/>
  <c r="I81" i="54" s="1"/>
  <c r="BD81" i="54"/>
  <c r="K81" i="54" s="1"/>
  <c r="BC81" i="54"/>
  <c r="J81" i="54" s="1"/>
  <c r="Z81" i="54"/>
  <c r="BE72" i="54"/>
  <c r="L72" i="54" s="1"/>
  <c r="BD72" i="54"/>
  <c r="K72" i="54" s="1"/>
  <c r="BB72" i="54"/>
  <c r="I72" i="54" s="1"/>
  <c r="BC72" i="54"/>
  <c r="J72" i="54" s="1"/>
  <c r="Z72" i="54"/>
  <c r="N72" i="54" s="1"/>
  <c r="T72" i="54" s="1"/>
  <c r="BE78" i="54"/>
  <c r="L78" i="54" s="1"/>
  <c r="BC78" i="54"/>
  <c r="J78" i="54" s="1"/>
  <c r="BB78" i="54"/>
  <c r="I78" i="54" s="1"/>
  <c r="BD78" i="54"/>
  <c r="K78" i="54" s="1"/>
  <c r="Z78" i="54"/>
  <c r="BE84" i="54"/>
  <c r="L84" i="54" s="1"/>
  <c r="BB84" i="54"/>
  <c r="I84" i="54" s="1"/>
  <c r="BC84" i="54"/>
  <c r="J84" i="54" s="1"/>
  <c r="BD84" i="54"/>
  <c r="K84" i="54" s="1"/>
  <c r="Z84" i="54"/>
  <c r="BE69" i="54"/>
  <c r="L69" i="54" s="1"/>
  <c r="BB69" i="54"/>
  <c r="I69" i="54" s="1"/>
  <c r="BC69" i="54"/>
  <c r="J69" i="54" s="1"/>
  <c r="Z69" i="54"/>
  <c r="BD69" i="54"/>
  <c r="K69" i="54" s="1"/>
  <c r="BE76" i="54"/>
  <c r="L76" i="54" s="1"/>
  <c r="BD76" i="54"/>
  <c r="K76" i="54" s="1"/>
  <c r="BB76" i="54"/>
  <c r="I76" i="54" s="1"/>
  <c r="Z76" i="54"/>
  <c r="BC76" i="54"/>
  <c r="J76" i="54" s="1"/>
  <c r="BE82" i="54"/>
  <c r="L82" i="54" s="1"/>
  <c r="BB82" i="54"/>
  <c r="I82" i="54" s="1"/>
  <c r="BD82" i="54"/>
  <c r="K82" i="54" s="1"/>
  <c r="Z82" i="54"/>
  <c r="BC82" i="54"/>
  <c r="J82" i="54" s="1"/>
  <c r="BE60" i="54"/>
  <c r="L60" i="54" s="1"/>
  <c r="BD60" i="54"/>
  <c r="K60" i="54" s="1"/>
  <c r="BC60" i="54"/>
  <c r="J60" i="54" s="1"/>
  <c r="Z60" i="54"/>
  <c r="BB60" i="54"/>
  <c r="I60" i="54" s="1"/>
  <c r="BD58" i="54"/>
  <c r="K58" i="54" s="1"/>
  <c r="BC58" i="54"/>
  <c r="J58" i="54" s="1"/>
  <c r="BE58" i="54"/>
  <c r="L58" i="54" s="1"/>
  <c r="BB58" i="54"/>
  <c r="I58" i="54" s="1"/>
  <c r="Z58" i="54"/>
  <c r="BD48" i="54"/>
  <c r="K48" i="54" s="1"/>
  <c r="BC48" i="54"/>
  <c r="J48" i="54" s="1"/>
  <c r="BE48" i="54"/>
  <c r="L48" i="54" s="1"/>
  <c r="BB48" i="54"/>
  <c r="I48" i="54" s="1"/>
  <c r="Z48" i="54"/>
  <c r="BD57" i="54"/>
  <c r="K57" i="54" s="1"/>
  <c r="BC57" i="54"/>
  <c r="J57" i="54" s="1"/>
  <c r="BE57" i="54"/>
  <c r="L57" i="54" s="1"/>
  <c r="Z57" i="54"/>
  <c r="BB57" i="54"/>
  <c r="I57" i="54" s="1"/>
  <c r="BD52" i="54"/>
  <c r="K52" i="54" s="1"/>
  <c r="BC52" i="54"/>
  <c r="J52" i="54" s="1"/>
  <c r="BE52" i="54"/>
  <c r="L52" i="54" s="1"/>
  <c r="Z52" i="54"/>
  <c r="BB52" i="54"/>
  <c r="I52" i="54" s="1"/>
  <c r="BE77" i="54"/>
  <c r="L77" i="54" s="1"/>
  <c r="BB77" i="54"/>
  <c r="I77" i="54" s="1"/>
  <c r="BC77" i="54"/>
  <c r="J77" i="54" s="1"/>
  <c r="Z77" i="54"/>
  <c r="BD77" i="54"/>
  <c r="K77" i="54" s="1"/>
  <c r="BE73" i="54"/>
  <c r="L73" i="54" s="1"/>
  <c r="BB73" i="54"/>
  <c r="I73" i="54" s="1"/>
  <c r="BD73" i="54"/>
  <c r="K73" i="54" s="1"/>
  <c r="Z73" i="54"/>
  <c r="BC73" i="54"/>
  <c r="J73" i="54" s="1"/>
  <c r="BD45" i="54"/>
  <c r="K45" i="54" s="1"/>
  <c r="BC45" i="54"/>
  <c r="J45" i="54" s="1"/>
  <c r="BB45" i="54"/>
  <c r="I45" i="54" s="1"/>
  <c r="BE45" i="54"/>
  <c r="L45" i="54" s="1"/>
  <c r="Z45" i="54"/>
  <c r="BD49" i="54"/>
  <c r="K49" i="54" s="1"/>
  <c r="BC49" i="54"/>
  <c r="J49" i="54" s="1"/>
  <c r="BE49" i="54"/>
  <c r="L49" i="54" s="1"/>
  <c r="Z49" i="54"/>
  <c r="BB49" i="54"/>
  <c r="I49" i="54" s="1"/>
  <c r="BE85" i="54"/>
  <c r="L85" i="54" s="1"/>
  <c r="BB85" i="54"/>
  <c r="I85" i="54" s="1"/>
  <c r="BD85" i="54"/>
  <c r="K85" i="54" s="1"/>
  <c r="BC85" i="54"/>
  <c r="J85" i="54" s="1"/>
  <c r="Z85" i="54"/>
  <c r="BE74" i="54"/>
  <c r="L74" i="54" s="1"/>
  <c r="BC74" i="54"/>
  <c r="J74" i="54" s="1"/>
  <c r="BB74" i="54"/>
  <c r="I74" i="54" s="1"/>
  <c r="BD74" i="54"/>
  <c r="K74" i="54" s="1"/>
  <c r="Z74" i="54"/>
  <c r="BE71" i="54"/>
  <c r="L71" i="54" s="1"/>
  <c r="BD71" i="54"/>
  <c r="K71" i="54" s="1"/>
  <c r="BC71" i="54"/>
  <c r="J71" i="54" s="1"/>
  <c r="BB71" i="54"/>
  <c r="I71" i="54" s="1"/>
  <c r="Z71" i="54"/>
  <c r="BD53" i="54"/>
  <c r="K53" i="54" s="1"/>
  <c r="BC53" i="54"/>
  <c r="J53" i="54" s="1"/>
  <c r="BB53" i="54"/>
  <c r="I53" i="54" s="1"/>
  <c r="BE53" i="54"/>
  <c r="L53" i="54" s="1"/>
  <c r="Z53" i="54"/>
  <c r="BE63" i="54"/>
  <c r="L63" i="54" s="1"/>
  <c r="BC63" i="54"/>
  <c r="J63" i="54" s="1"/>
  <c r="BB63" i="54"/>
  <c r="I63" i="54" s="1"/>
  <c r="BD63" i="54"/>
  <c r="K63" i="54" s="1"/>
  <c r="Z63" i="54"/>
  <c r="BE68" i="54"/>
  <c r="L68" i="54" s="1"/>
  <c r="BD68" i="54"/>
  <c r="K68" i="54" s="1"/>
  <c r="BB68" i="54"/>
  <c r="I68" i="54" s="1"/>
  <c r="BC68" i="54"/>
  <c r="J68" i="54" s="1"/>
  <c r="Z68" i="54"/>
  <c r="BE80" i="54"/>
  <c r="L80" i="54" s="1"/>
  <c r="BB80" i="54"/>
  <c r="I80" i="54" s="1"/>
  <c r="BC80" i="54"/>
  <c r="J80" i="54" s="1"/>
  <c r="Z80" i="54"/>
  <c r="BD80" i="54"/>
  <c r="K80" i="54" s="1"/>
  <c r="BE86" i="54"/>
  <c r="L86" i="54" s="1"/>
  <c r="BB86" i="54"/>
  <c r="I86" i="54" s="1"/>
  <c r="BD86" i="54"/>
  <c r="K86" i="54" s="1"/>
  <c r="Z86" i="54"/>
  <c r="BC86" i="54"/>
  <c r="J86" i="54" s="1"/>
  <c r="BE62" i="54"/>
  <c r="L62" i="54" s="1"/>
  <c r="BB62" i="54"/>
  <c r="I62" i="54" s="1"/>
  <c r="BC62" i="54"/>
  <c r="J62" i="54" s="1"/>
  <c r="Z62" i="54"/>
  <c r="BD62" i="54"/>
  <c r="K62" i="54" s="1"/>
  <c r="BD46" i="54"/>
  <c r="K46" i="54" s="1"/>
  <c r="BC46" i="54"/>
  <c r="J46" i="54" s="1"/>
  <c r="BE46" i="54"/>
  <c r="L46" i="54" s="1"/>
  <c r="Z46" i="54"/>
  <c r="BB46" i="54"/>
  <c r="I46" i="54" s="1"/>
  <c r="BD50" i="54"/>
  <c r="K50" i="54" s="1"/>
  <c r="BC50" i="54"/>
  <c r="J50" i="54" s="1"/>
  <c r="BE50" i="54"/>
  <c r="L50" i="54" s="1"/>
  <c r="BB50" i="54"/>
  <c r="I50" i="54" s="1"/>
  <c r="Z50" i="54"/>
  <c r="BE61" i="54"/>
  <c r="L61" i="54" s="1"/>
  <c r="BD61" i="54"/>
  <c r="K61" i="54" s="1"/>
  <c r="BB61" i="54"/>
  <c r="I61" i="54" s="1"/>
  <c r="BC61" i="54"/>
  <c r="J61" i="54" s="1"/>
  <c r="Z61" i="54"/>
  <c r="BD56" i="54"/>
  <c r="K56" i="54" s="1"/>
  <c r="BC56" i="54"/>
  <c r="J56" i="54" s="1"/>
  <c r="BE56" i="54"/>
  <c r="L56" i="54" s="1"/>
  <c r="BB56" i="54"/>
  <c r="I56" i="54" s="1"/>
  <c r="Z56" i="54"/>
  <c r="BC46" i="11"/>
  <c r="J46" i="11" s="1"/>
  <c r="BE46" i="11"/>
  <c r="L46" i="11" s="1"/>
  <c r="BB46" i="11"/>
  <c r="I46" i="11" s="1"/>
  <c r="Z46" i="11"/>
  <c r="N46" i="11" s="1"/>
  <c r="BD46" i="11"/>
  <c r="K46" i="11" s="1"/>
  <c r="BC56" i="11"/>
  <c r="J56" i="11" s="1"/>
  <c r="BB56" i="11"/>
  <c r="I56" i="11" s="1"/>
  <c r="BE56" i="11"/>
  <c r="L56" i="11" s="1"/>
  <c r="BD56" i="11"/>
  <c r="K56" i="11" s="1"/>
  <c r="Z56" i="11"/>
  <c r="N56" i="11" s="1"/>
  <c r="BC61" i="11"/>
  <c r="J61" i="11" s="1"/>
  <c r="BD61" i="11"/>
  <c r="K61" i="11" s="1"/>
  <c r="BE61" i="11"/>
  <c r="L61" i="11" s="1"/>
  <c r="BB61" i="11"/>
  <c r="I61" i="11" s="1"/>
  <c r="Z61" i="11"/>
  <c r="N61" i="11" s="1"/>
  <c r="BC72" i="11"/>
  <c r="J72" i="11" s="1"/>
  <c r="BD72" i="11"/>
  <c r="K72" i="11" s="1"/>
  <c r="BB72" i="11"/>
  <c r="I72" i="11" s="1"/>
  <c r="Z72" i="11"/>
  <c r="N72" i="11" s="1"/>
  <c r="BE72" i="11"/>
  <c r="L72" i="11" s="1"/>
  <c r="BC71" i="11"/>
  <c r="J71" i="11" s="1"/>
  <c r="BB71" i="11"/>
  <c r="I71" i="11" s="1"/>
  <c r="BE71" i="11"/>
  <c r="L71" i="11" s="1"/>
  <c r="BD71" i="11"/>
  <c r="K71" i="11" s="1"/>
  <c r="Z71" i="11"/>
  <c r="N71" i="11" s="1"/>
  <c r="BC83" i="11"/>
  <c r="J83" i="11" s="1"/>
  <c r="BB83" i="11"/>
  <c r="I83" i="11" s="1"/>
  <c r="BE83" i="11"/>
  <c r="L83" i="11" s="1"/>
  <c r="BD83" i="11"/>
  <c r="K83" i="11" s="1"/>
  <c r="Z83" i="11"/>
  <c r="N83" i="11" s="1"/>
  <c r="BC64" i="11"/>
  <c r="J64" i="11" s="1"/>
  <c r="BB64" i="11"/>
  <c r="I64" i="11" s="1"/>
  <c r="BD64" i="11"/>
  <c r="K64" i="11" s="1"/>
  <c r="BE64" i="11"/>
  <c r="L64" i="11" s="1"/>
  <c r="Z64" i="11"/>
  <c r="N64" i="11" s="1"/>
  <c r="BC47" i="11"/>
  <c r="J47" i="11" s="1"/>
  <c r="BE47" i="11"/>
  <c r="L47" i="11" s="1"/>
  <c r="BD47" i="11"/>
  <c r="K47" i="11" s="1"/>
  <c r="Z47" i="11"/>
  <c r="N47" i="11" s="1"/>
  <c r="BB47" i="11"/>
  <c r="I47" i="11" s="1"/>
  <c r="BC77" i="11"/>
  <c r="J77" i="11" s="1"/>
  <c r="BE77" i="11"/>
  <c r="L77" i="11" s="1"/>
  <c r="BD77" i="11"/>
  <c r="K77" i="11" s="1"/>
  <c r="BB77" i="11"/>
  <c r="I77" i="11" s="1"/>
  <c r="Z77" i="11"/>
  <c r="N77" i="11" s="1"/>
  <c r="BC85" i="11"/>
  <c r="J85" i="11" s="1"/>
  <c r="BE85" i="11"/>
  <c r="L85" i="11" s="1"/>
  <c r="BB85" i="11"/>
  <c r="I85" i="11" s="1"/>
  <c r="Z85" i="11"/>
  <c r="N85" i="11" s="1"/>
  <c r="BD85" i="11"/>
  <c r="K85" i="11" s="1"/>
  <c r="BC70" i="11"/>
  <c r="J70" i="11" s="1"/>
  <c r="BD70" i="11"/>
  <c r="K70" i="11" s="1"/>
  <c r="BB70" i="11"/>
  <c r="I70" i="11" s="1"/>
  <c r="BE70" i="11"/>
  <c r="L70" i="11" s="1"/>
  <c r="Z70" i="11"/>
  <c r="N70" i="11" s="1"/>
  <c r="BC86" i="11"/>
  <c r="J86" i="11" s="1"/>
  <c r="BD86" i="11"/>
  <c r="K86" i="11" s="1"/>
  <c r="BB86" i="11"/>
  <c r="I86" i="11" s="1"/>
  <c r="Z86" i="11"/>
  <c r="N86" i="11" s="1"/>
  <c r="BE86" i="11"/>
  <c r="L86" i="11" s="1"/>
  <c r="BC58" i="11"/>
  <c r="J58" i="11" s="1"/>
  <c r="BE58" i="11"/>
  <c r="L58" i="11" s="1"/>
  <c r="BD58" i="11"/>
  <c r="K58" i="11" s="1"/>
  <c r="BB58" i="11"/>
  <c r="I58" i="11" s="1"/>
  <c r="Z58" i="11"/>
  <c r="N58" i="11" s="1"/>
  <c r="BC62" i="11"/>
  <c r="J62" i="11" s="1"/>
  <c r="BE62" i="11"/>
  <c r="L62" i="11" s="1"/>
  <c r="BB62" i="11"/>
  <c r="I62" i="11" s="1"/>
  <c r="Z62" i="11"/>
  <c r="N62" i="11" s="1"/>
  <c r="BD62" i="11"/>
  <c r="K62" i="11" s="1"/>
  <c r="BC50" i="11"/>
  <c r="J50" i="11" s="1"/>
  <c r="BE50" i="11"/>
  <c r="L50" i="11" s="1"/>
  <c r="BB50" i="11"/>
  <c r="I50" i="11" s="1"/>
  <c r="Z50" i="11"/>
  <c r="N50" i="11" s="1"/>
  <c r="BD50" i="11"/>
  <c r="K50" i="11" s="1"/>
  <c r="BC53" i="11"/>
  <c r="J53" i="11" s="1"/>
  <c r="BD53" i="11"/>
  <c r="K53" i="11" s="1"/>
  <c r="BB53" i="11"/>
  <c r="I53" i="11" s="1"/>
  <c r="BE53" i="11"/>
  <c r="L53" i="11" s="1"/>
  <c r="Z53" i="11"/>
  <c r="N53" i="11" s="1"/>
  <c r="BC51" i="11"/>
  <c r="J51" i="11" s="1"/>
  <c r="BD51" i="11"/>
  <c r="K51" i="11" s="1"/>
  <c r="BB51" i="11"/>
  <c r="I51" i="11" s="1"/>
  <c r="Z51" i="11"/>
  <c r="N51" i="11" s="1"/>
  <c r="BE51" i="11"/>
  <c r="L51" i="11" s="1"/>
  <c r="BC80" i="11"/>
  <c r="J80" i="11" s="1"/>
  <c r="BD80" i="11"/>
  <c r="K80" i="11" s="1"/>
  <c r="BE80" i="11"/>
  <c r="L80" i="11" s="1"/>
  <c r="Z80" i="11"/>
  <c r="N80" i="11" s="1"/>
  <c r="BB80" i="11"/>
  <c r="I80" i="11" s="1"/>
  <c r="BC73" i="11"/>
  <c r="J73" i="11" s="1"/>
  <c r="BE73" i="11"/>
  <c r="L73" i="11" s="1"/>
  <c r="BD73" i="11"/>
  <c r="K73" i="11" s="1"/>
  <c r="BB73" i="11"/>
  <c r="I73" i="11" s="1"/>
  <c r="Z73" i="11"/>
  <c r="N73" i="11" s="1"/>
  <c r="BC76" i="11"/>
  <c r="J76" i="11" s="1"/>
  <c r="BD76" i="11"/>
  <c r="K76" i="11" s="1"/>
  <c r="Z76" i="11"/>
  <c r="N76" i="11" s="1"/>
  <c r="BE76" i="11"/>
  <c r="L76" i="11" s="1"/>
  <c r="BB76" i="11"/>
  <c r="I76" i="11" s="1"/>
  <c r="BC79" i="11"/>
  <c r="J79" i="11" s="1"/>
  <c r="BB79" i="11"/>
  <c r="I79" i="11" s="1"/>
  <c r="BD79" i="11"/>
  <c r="K79" i="11" s="1"/>
  <c r="Z79" i="11"/>
  <c r="N79" i="11" s="1"/>
  <c r="BE79" i="11"/>
  <c r="L79" i="11" s="1"/>
  <c r="BC75" i="11"/>
  <c r="J75" i="11" s="1"/>
  <c r="BB75" i="11"/>
  <c r="I75" i="11" s="1"/>
  <c r="BE75" i="11"/>
  <c r="L75" i="11" s="1"/>
  <c r="BD75" i="11"/>
  <c r="K75" i="11" s="1"/>
  <c r="Z75" i="11"/>
  <c r="N75" i="11" s="1"/>
  <c r="BC45" i="11"/>
  <c r="J45" i="11" s="1"/>
  <c r="BD45" i="11"/>
  <c r="K45" i="11" s="1"/>
  <c r="BE45" i="11"/>
  <c r="L45" i="11" s="1"/>
  <c r="Z45" i="11"/>
  <c r="N45" i="11" s="1"/>
  <c r="BB45" i="11"/>
  <c r="I45" i="11" s="1"/>
  <c r="BC59" i="11"/>
  <c r="J59" i="11" s="1"/>
  <c r="BE59" i="11"/>
  <c r="L59" i="11" s="1"/>
  <c r="Z59" i="11"/>
  <c r="N59" i="11" s="1"/>
  <c r="BD59" i="11"/>
  <c r="K59" i="11" s="1"/>
  <c r="BB59" i="11"/>
  <c r="I59" i="11" s="1"/>
  <c r="BC69" i="11"/>
  <c r="J69" i="11" s="1"/>
  <c r="BE69" i="11"/>
  <c r="L69" i="11" s="1"/>
  <c r="Z69" i="11"/>
  <c r="N69" i="11" s="1"/>
  <c r="BD69" i="11"/>
  <c r="K69" i="11" s="1"/>
  <c r="BB69" i="11"/>
  <c r="I69" i="11" s="1"/>
  <c r="BC87" i="11"/>
  <c r="J87" i="11" s="1"/>
  <c r="BB87" i="11"/>
  <c r="I87" i="11" s="1"/>
  <c r="BE87" i="11"/>
  <c r="L87" i="11" s="1"/>
  <c r="BD87" i="11"/>
  <c r="K87" i="11" s="1"/>
  <c r="Z87" i="11"/>
  <c r="N87" i="11" s="1"/>
  <c r="BC54" i="11"/>
  <c r="J54" i="11" s="1"/>
  <c r="BE54" i="11"/>
  <c r="L54" i="11" s="1"/>
  <c r="BD54" i="11"/>
  <c r="K54" i="11" s="1"/>
  <c r="BB54" i="11"/>
  <c r="I54" i="11" s="1"/>
  <c r="Z54" i="11"/>
  <c r="N54" i="11" s="1"/>
  <c r="BC49" i="11"/>
  <c r="J49" i="11" s="1"/>
  <c r="BD49" i="11"/>
  <c r="K49" i="11" s="1"/>
  <c r="BE49" i="11"/>
  <c r="L49" i="11" s="1"/>
  <c r="BB49" i="11"/>
  <c r="I49" i="11" s="1"/>
  <c r="Z49" i="11"/>
  <c r="N49" i="11" s="1"/>
  <c r="BC63" i="11"/>
  <c r="J63" i="11" s="1"/>
  <c r="BE63" i="11"/>
  <c r="L63" i="11" s="1"/>
  <c r="BD63" i="11"/>
  <c r="K63" i="11" s="1"/>
  <c r="BB63" i="11"/>
  <c r="I63" i="11" s="1"/>
  <c r="Z63" i="11"/>
  <c r="N63" i="11" s="1"/>
  <c r="BC74" i="11"/>
  <c r="J74" i="11" s="1"/>
  <c r="BB74" i="11"/>
  <c r="I74" i="11" s="1"/>
  <c r="BD74" i="11"/>
  <c r="K74" i="11" s="1"/>
  <c r="BE74" i="11"/>
  <c r="L74" i="11" s="1"/>
  <c r="Z74" i="11"/>
  <c r="N74" i="11" s="1"/>
  <c r="BC60" i="11"/>
  <c r="J60" i="11" s="1"/>
  <c r="BB60" i="11"/>
  <c r="I60" i="11" s="1"/>
  <c r="BD60" i="11"/>
  <c r="K60" i="11" s="1"/>
  <c r="BE60" i="11"/>
  <c r="L60" i="11" s="1"/>
  <c r="Z60" i="11"/>
  <c r="N60" i="11" s="1"/>
  <c r="BC48" i="11"/>
  <c r="J48" i="11" s="1"/>
  <c r="BB48" i="11"/>
  <c r="I48" i="11" s="1"/>
  <c r="BE48" i="11"/>
  <c r="L48" i="11" s="1"/>
  <c r="BD48" i="11"/>
  <c r="K48" i="11" s="1"/>
  <c r="Z48" i="11"/>
  <c r="N48" i="11" s="1"/>
  <c r="BC52" i="11"/>
  <c r="J52" i="11" s="1"/>
  <c r="BB52" i="11"/>
  <c r="I52" i="11" s="1"/>
  <c r="BE52" i="11"/>
  <c r="L52" i="11" s="1"/>
  <c r="BD52" i="11"/>
  <c r="K52" i="11" s="1"/>
  <c r="Z52" i="11"/>
  <c r="N52" i="11" s="1"/>
  <c r="BC57" i="11"/>
  <c r="J57" i="11" s="1"/>
  <c r="BD57" i="11"/>
  <c r="K57" i="11" s="1"/>
  <c r="BB57" i="11"/>
  <c r="I57" i="11" s="1"/>
  <c r="BE57" i="11"/>
  <c r="L57" i="11" s="1"/>
  <c r="Z57" i="11"/>
  <c r="N57" i="11" s="1"/>
  <c r="BC55" i="11"/>
  <c r="J55" i="11" s="1"/>
  <c r="BB55" i="11"/>
  <c r="I55" i="11" s="1"/>
  <c r="BE55" i="11"/>
  <c r="L55" i="11" s="1"/>
  <c r="Z55" i="11"/>
  <c r="N55" i="11" s="1"/>
  <c r="BD55" i="11"/>
  <c r="K55" i="11" s="1"/>
  <c r="BC81" i="11"/>
  <c r="J81" i="11" s="1"/>
  <c r="BE81" i="11"/>
  <c r="L81" i="11" s="1"/>
  <c r="BB81" i="11"/>
  <c r="I81" i="11" s="1"/>
  <c r="BD81" i="11"/>
  <c r="K81" i="11" s="1"/>
  <c r="Z81" i="11"/>
  <c r="N81" i="11" s="1"/>
  <c r="BC84" i="11"/>
  <c r="J84" i="11" s="1"/>
  <c r="BD84" i="11"/>
  <c r="K84" i="11" s="1"/>
  <c r="BE84" i="11"/>
  <c r="L84" i="11" s="1"/>
  <c r="BB84" i="11"/>
  <c r="I84" i="11" s="1"/>
  <c r="Z84" i="11"/>
  <c r="N84" i="11" s="1"/>
  <c r="BC68" i="11"/>
  <c r="J68" i="11" s="1"/>
  <c r="BD68" i="11"/>
  <c r="K68" i="11" s="1"/>
  <c r="BE68" i="11"/>
  <c r="L68" i="11" s="1"/>
  <c r="BB68" i="11"/>
  <c r="I68" i="11" s="1"/>
  <c r="Z68" i="11"/>
  <c r="N68" i="11" s="1"/>
  <c r="BC82" i="11"/>
  <c r="J82" i="11" s="1"/>
  <c r="BE82" i="11"/>
  <c r="L82" i="11" s="1"/>
  <c r="BD82" i="11"/>
  <c r="K82" i="11" s="1"/>
  <c r="Z82" i="11"/>
  <c r="N82" i="11" s="1"/>
  <c r="BB82" i="11"/>
  <c r="I82" i="11" s="1"/>
  <c r="BC78" i="11"/>
  <c r="J78" i="11" s="1"/>
  <c r="BE78" i="11"/>
  <c r="L78" i="11" s="1"/>
  <c r="BB78" i="11"/>
  <c r="I78" i="11" s="1"/>
  <c r="BD78" i="11"/>
  <c r="K78" i="11" s="1"/>
  <c r="Z78" i="11"/>
  <c r="N78" i="11" s="1"/>
  <c r="G226" i="63"/>
  <c r="G295" i="63"/>
  <c r="C49" i="63"/>
  <c r="C59" i="63"/>
  <c r="C48" i="63"/>
  <c r="C64" i="63"/>
  <c r="C62" i="63"/>
  <c r="C75" i="63"/>
  <c r="C72" i="63"/>
  <c r="C74" i="63"/>
  <c r="C90" i="63"/>
  <c r="C86" i="63"/>
  <c r="G272" i="63"/>
  <c r="C57" i="63"/>
  <c r="C67" i="63"/>
  <c r="C52" i="63"/>
  <c r="C50" i="63"/>
  <c r="C66" i="63"/>
  <c r="C80" i="63"/>
  <c r="C88" i="63"/>
  <c r="C77" i="63"/>
  <c r="C73" i="63"/>
  <c r="C89" i="63"/>
  <c r="G249" i="63"/>
  <c r="C61" i="63"/>
  <c r="C65" i="63"/>
  <c r="C53" i="63"/>
  <c r="C56" i="63"/>
  <c r="C54" i="63"/>
  <c r="C83" i="63"/>
  <c r="C76" i="63"/>
  <c r="C79" i="63"/>
  <c r="C82" i="63"/>
  <c r="C78" i="63"/>
  <c r="G318" i="63"/>
  <c r="C63" i="63"/>
  <c r="C51" i="63"/>
  <c r="C55" i="63"/>
  <c r="C60" i="63"/>
  <c r="C58" i="63"/>
  <c r="C84" i="63"/>
  <c r="C87" i="63"/>
  <c r="C71" i="63"/>
  <c r="C85" i="63"/>
  <c r="C81" i="63"/>
  <c r="A365" i="11"/>
  <c r="A192" i="63"/>
  <c r="A354" i="11"/>
  <c r="A181" i="63"/>
  <c r="A325" i="11"/>
  <c r="A151" i="63"/>
  <c r="A333" i="11"/>
  <c r="A159" i="63"/>
  <c r="A320" i="11"/>
  <c r="A146" i="63"/>
  <c r="A328" i="11"/>
  <c r="A154" i="63"/>
  <c r="A300" i="11"/>
  <c r="A126" i="63"/>
  <c r="A295" i="11"/>
  <c r="A121" i="63"/>
  <c r="A303" i="11"/>
  <c r="A129" i="63"/>
  <c r="A275" i="11"/>
  <c r="A101" i="63"/>
  <c r="A283" i="11"/>
  <c r="A109" i="63"/>
  <c r="A278" i="11"/>
  <c r="A104" i="63"/>
  <c r="A364" i="11"/>
  <c r="A191" i="63"/>
  <c r="A357" i="11"/>
  <c r="A184" i="63"/>
  <c r="A319" i="11"/>
  <c r="A145" i="63"/>
  <c r="A327" i="11"/>
  <c r="A153" i="63"/>
  <c r="A322" i="11"/>
  <c r="A148" i="63"/>
  <c r="A330" i="11"/>
  <c r="A156" i="63"/>
  <c r="A302" i="11"/>
  <c r="A128" i="63"/>
  <c r="A310" i="11"/>
  <c r="A136" i="63"/>
  <c r="A297" i="11"/>
  <c r="A123" i="63"/>
  <c r="A305" i="11"/>
  <c r="A131" i="63"/>
  <c r="A277" i="11"/>
  <c r="A103" i="63"/>
  <c r="A272" i="11"/>
  <c r="A98" i="63"/>
  <c r="A353" i="11"/>
  <c r="A180" i="63"/>
  <c r="A361" i="11"/>
  <c r="A188" i="63"/>
  <c r="A352" i="11"/>
  <c r="A179" i="63"/>
  <c r="A339" i="11"/>
  <c r="A166" i="63"/>
  <c r="A355" i="11"/>
  <c r="A182" i="63"/>
  <c r="A321" i="11"/>
  <c r="A147" i="63"/>
  <c r="A329" i="11"/>
  <c r="A155" i="63"/>
  <c r="A316" i="11"/>
  <c r="A142" i="63"/>
  <c r="A324" i="11"/>
  <c r="A150" i="63"/>
  <c r="A332" i="11"/>
  <c r="A158" i="63"/>
  <c r="A296" i="11"/>
  <c r="A122" i="63"/>
  <c r="A304" i="11"/>
  <c r="A130" i="63"/>
  <c r="A291" i="11"/>
  <c r="A117" i="63"/>
  <c r="A299" i="11"/>
  <c r="A125" i="63"/>
  <c r="A307" i="11"/>
  <c r="A133" i="63"/>
  <c r="A271" i="11"/>
  <c r="A97" i="63"/>
  <c r="A279" i="11"/>
  <c r="A105" i="63"/>
  <c r="A287" i="11"/>
  <c r="A113" i="63"/>
  <c r="A274" i="11"/>
  <c r="A100" i="63"/>
  <c r="A282" i="11"/>
  <c r="A108" i="63"/>
  <c r="A341" i="11"/>
  <c r="A168" i="63"/>
  <c r="A317" i="11"/>
  <c r="A143" i="63"/>
  <c r="A292" i="11"/>
  <c r="A118" i="63"/>
  <c r="A308" i="11"/>
  <c r="A134" i="63"/>
  <c r="A270" i="11"/>
  <c r="A96" i="63"/>
  <c r="A286" i="11"/>
  <c r="A112" i="63"/>
  <c r="A358" i="11"/>
  <c r="A185" i="63"/>
  <c r="A366" i="11"/>
  <c r="A193" i="63"/>
  <c r="A314" i="11"/>
  <c r="A140" i="63"/>
  <c r="A294" i="11"/>
  <c r="A120" i="63"/>
  <c r="A269" i="11"/>
  <c r="A95" i="63"/>
  <c r="A285" i="11"/>
  <c r="A111" i="63"/>
  <c r="A280" i="11"/>
  <c r="A106" i="63"/>
  <c r="A356" i="11"/>
  <c r="A183" i="63"/>
  <c r="A359" i="11"/>
  <c r="A186" i="63"/>
  <c r="A338" i="11"/>
  <c r="A165" i="63"/>
  <c r="A362" i="11"/>
  <c r="A189" i="63"/>
  <c r="A340" i="11"/>
  <c r="A167" i="63"/>
  <c r="A360" i="11"/>
  <c r="A187" i="63"/>
  <c r="A363" i="11"/>
  <c r="A190" i="63"/>
  <c r="A315" i="11"/>
  <c r="A141" i="63"/>
  <c r="A323" i="11"/>
  <c r="A149" i="63"/>
  <c r="A331" i="11"/>
  <c r="A157" i="63"/>
  <c r="A318" i="11"/>
  <c r="A144" i="63"/>
  <c r="A326" i="11"/>
  <c r="A152" i="63"/>
  <c r="A298" i="11"/>
  <c r="A124" i="63"/>
  <c r="A306" i="11"/>
  <c r="A132" i="63"/>
  <c r="A293" i="11"/>
  <c r="A119" i="63"/>
  <c r="A301" i="11"/>
  <c r="A127" i="63"/>
  <c r="A309" i="11"/>
  <c r="A135" i="63"/>
  <c r="A273" i="11"/>
  <c r="A99" i="63"/>
  <c r="A281" i="11"/>
  <c r="A107" i="63"/>
  <c r="A268" i="11"/>
  <c r="A94" i="63"/>
  <c r="A276" i="11"/>
  <c r="A102" i="63"/>
  <c r="A284" i="11"/>
  <c r="A110" i="63"/>
  <c r="AB79" i="47"/>
  <c r="AC79" i="47" s="1"/>
  <c r="AB73" i="47"/>
  <c r="AC73" i="47" s="1"/>
  <c r="AB70" i="47"/>
  <c r="AC70" i="47" s="1"/>
  <c r="AB86" i="47"/>
  <c r="AC86" i="47" s="1"/>
  <c r="AB80" i="47"/>
  <c r="AC80" i="47" s="1"/>
  <c r="AB71" i="47"/>
  <c r="AC71" i="47" s="1"/>
  <c r="AB77" i="47"/>
  <c r="AC77" i="47" s="1"/>
  <c r="AB74" i="47"/>
  <c r="AC74" i="47" s="1"/>
  <c r="AB68" i="47"/>
  <c r="AC68" i="47" s="1"/>
  <c r="AB84" i="47"/>
  <c r="AC84" i="47" s="1"/>
  <c r="AB83" i="47"/>
  <c r="AC83" i="47" s="1"/>
  <c r="AB87" i="47"/>
  <c r="AC87" i="47" s="1"/>
  <c r="AB81" i="47"/>
  <c r="AC81" i="47" s="1"/>
  <c r="AB78" i="47"/>
  <c r="AC78" i="47" s="1"/>
  <c r="AB72" i="47"/>
  <c r="AC72" i="47" s="1"/>
  <c r="AB75" i="47"/>
  <c r="AC75" i="47" s="1"/>
  <c r="AB69" i="47"/>
  <c r="AC69" i="47" s="1"/>
  <c r="AB85" i="47"/>
  <c r="AC85" i="47" s="1"/>
  <c r="AB82" i="47"/>
  <c r="AC82" i="47" s="1"/>
  <c r="AB76" i="47"/>
  <c r="AC76" i="47" s="1"/>
  <c r="AB52" i="47"/>
  <c r="AC52" i="47" s="1"/>
  <c r="AB47" i="47"/>
  <c r="AC47" i="47" s="1"/>
  <c r="AB63" i="47"/>
  <c r="AC63" i="47" s="1"/>
  <c r="AB57" i="47"/>
  <c r="AC57" i="47" s="1"/>
  <c r="AB60" i="47"/>
  <c r="AC60" i="47" s="1"/>
  <c r="AB56" i="47"/>
  <c r="AC56" i="47" s="1"/>
  <c r="AB51" i="47"/>
  <c r="AC51" i="47" s="1"/>
  <c r="AB45" i="47"/>
  <c r="AC45" i="47" s="1"/>
  <c r="AB61" i="47"/>
  <c r="AC61" i="47" s="1"/>
  <c r="AB62" i="47"/>
  <c r="AC62" i="47" s="1"/>
  <c r="AB48" i="47"/>
  <c r="AC48" i="47" s="1"/>
  <c r="AB46" i="47"/>
  <c r="AC46" i="47" s="1"/>
  <c r="AB50" i="47"/>
  <c r="AC50" i="47" s="1"/>
  <c r="AB55" i="47"/>
  <c r="AC55" i="47" s="1"/>
  <c r="AB49" i="47"/>
  <c r="AC49" i="47" s="1"/>
  <c r="AB64" i="47"/>
  <c r="AC64" i="47" s="1"/>
  <c r="AB54" i="47"/>
  <c r="AC54" i="47" s="1"/>
  <c r="AB58" i="47"/>
  <c r="AC58" i="47" s="1"/>
  <c r="AB59" i="47"/>
  <c r="AC59" i="47" s="1"/>
  <c r="AB53" i="47"/>
  <c r="AC53" i="47" s="1"/>
  <c r="A73" i="11"/>
  <c r="AB73" i="11"/>
  <c r="AC73" i="11" s="1"/>
  <c r="A79" i="11"/>
  <c r="AB79" i="11"/>
  <c r="AC79" i="11" s="1"/>
  <c r="A75" i="11"/>
  <c r="AB75" i="11"/>
  <c r="AC75" i="11" s="1"/>
  <c r="A81" i="11"/>
  <c r="AB81" i="11"/>
  <c r="AC81" i="11" s="1"/>
  <c r="A84" i="11"/>
  <c r="AB84" i="11"/>
  <c r="AC84" i="11" s="1"/>
  <c r="A72" i="11"/>
  <c r="AB72" i="11"/>
  <c r="AC72" i="11" s="1"/>
  <c r="A69" i="11"/>
  <c r="AB69" i="11"/>
  <c r="AC69" i="11" s="1"/>
  <c r="A71" i="11"/>
  <c r="AB71" i="11"/>
  <c r="AC71" i="11" s="1"/>
  <c r="A87" i="11"/>
  <c r="AB87" i="11"/>
  <c r="AC87" i="11" s="1"/>
  <c r="A83" i="11"/>
  <c r="AB83" i="11"/>
  <c r="AC83" i="11" s="1"/>
  <c r="A77" i="11"/>
  <c r="AB77" i="11"/>
  <c r="AC77" i="11" s="1"/>
  <c r="A85" i="11"/>
  <c r="AB85" i="11"/>
  <c r="AC85" i="11" s="1"/>
  <c r="A74" i="11"/>
  <c r="AB74" i="11"/>
  <c r="AC74" i="11" s="1"/>
  <c r="A70" i="11"/>
  <c r="AB70" i="11"/>
  <c r="AC70" i="11" s="1"/>
  <c r="A86" i="11"/>
  <c r="AB86" i="11"/>
  <c r="AC86" i="11" s="1"/>
  <c r="A80" i="11"/>
  <c r="AB80" i="11"/>
  <c r="AC80" i="11" s="1"/>
  <c r="A76" i="11"/>
  <c r="AB76" i="11"/>
  <c r="AC76" i="11" s="1"/>
  <c r="A68" i="11"/>
  <c r="AB68" i="11"/>
  <c r="AC68" i="11" s="1"/>
  <c r="A82" i="11"/>
  <c r="AB82" i="11"/>
  <c r="AC82" i="11" s="1"/>
  <c r="A78" i="11"/>
  <c r="AB78" i="11"/>
  <c r="AC78" i="11" s="1"/>
  <c r="A46" i="11"/>
  <c r="AB46" i="11"/>
  <c r="AC46" i="11" s="1"/>
  <c r="A45" i="11"/>
  <c r="AB45" i="11"/>
  <c r="AC45" i="11" s="1"/>
  <c r="A61" i="11"/>
  <c r="AB61" i="11"/>
  <c r="AC61" i="11" s="1"/>
  <c r="A59" i="11"/>
  <c r="AB59" i="11"/>
  <c r="AC59" i="11" s="1"/>
  <c r="A54" i="11"/>
  <c r="AB54" i="11"/>
  <c r="AC54" i="11" s="1"/>
  <c r="A64" i="11"/>
  <c r="AB64" i="11"/>
  <c r="AC64" i="11" s="1"/>
  <c r="A49" i="11"/>
  <c r="AB49" i="11"/>
  <c r="AC49" i="11" s="1"/>
  <c r="A47" i="11"/>
  <c r="AB47" i="11"/>
  <c r="AC47" i="11" s="1"/>
  <c r="A63" i="11"/>
  <c r="AB63" i="11"/>
  <c r="AC63" i="11" s="1"/>
  <c r="A56" i="11"/>
  <c r="AB56" i="11"/>
  <c r="AC56" i="11" s="1"/>
  <c r="A58" i="11"/>
  <c r="AB58" i="11"/>
  <c r="AC58" i="11" s="1"/>
  <c r="A62" i="11"/>
  <c r="AB62" i="11"/>
  <c r="AC62" i="11" s="1"/>
  <c r="A50" i="11"/>
  <c r="AB50" i="11"/>
  <c r="AC50" i="11" s="1"/>
  <c r="A53" i="11"/>
  <c r="AB53" i="11"/>
  <c r="AC53" i="11" s="1"/>
  <c r="A51" i="11"/>
  <c r="AB51" i="11"/>
  <c r="AC51" i="11" s="1"/>
  <c r="A60" i="11"/>
  <c r="AB60" i="11"/>
  <c r="AC60" i="11" s="1"/>
  <c r="A48" i="11"/>
  <c r="AB48" i="11"/>
  <c r="AC48" i="11" s="1"/>
  <c r="A52" i="11"/>
  <c r="AB52" i="11"/>
  <c r="AC52" i="11" s="1"/>
  <c r="A57" i="11"/>
  <c r="AB57" i="11"/>
  <c r="AC57" i="11" s="1"/>
  <c r="A55" i="11"/>
  <c r="AB55" i="11"/>
  <c r="AC55" i="11" s="1"/>
  <c r="AB58" i="54"/>
  <c r="AC58" i="54" s="1"/>
  <c r="AB57" i="54"/>
  <c r="AC57" i="54" s="1"/>
  <c r="AB45" i="54"/>
  <c r="AC45" i="54" s="1"/>
  <c r="AB49" i="54"/>
  <c r="AC49" i="54" s="1"/>
  <c r="AB51" i="54"/>
  <c r="AC51" i="54" s="1"/>
  <c r="AB53" i="54"/>
  <c r="AC53" i="54" s="1"/>
  <c r="AB64" i="54"/>
  <c r="AC64" i="54" s="1"/>
  <c r="AB63" i="54"/>
  <c r="AC63" i="54" s="1"/>
  <c r="AB47" i="54"/>
  <c r="AC47" i="54" s="1"/>
  <c r="AB60" i="54"/>
  <c r="AC60" i="54" s="1"/>
  <c r="AB48" i="54"/>
  <c r="AC48" i="54" s="1"/>
  <c r="AB52" i="54"/>
  <c r="AC52" i="54" s="1"/>
  <c r="AB59" i="54"/>
  <c r="AC59" i="54" s="1"/>
  <c r="AB55" i="54"/>
  <c r="AC55" i="54" s="1"/>
  <c r="AB54" i="54"/>
  <c r="AC54" i="54" s="1"/>
  <c r="AB62" i="54"/>
  <c r="AC62" i="54" s="1"/>
  <c r="AB46" i="54"/>
  <c r="AC46" i="54" s="1"/>
  <c r="AB50" i="54"/>
  <c r="AC50" i="54" s="1"/>
  <c r="AB61" i="54"/>
  <c r="AC61" i="54" s="1"/>
  <c r="AB56" i="54"/>
  <c r="AC56" i="54" s="1"/>
  <c r="AB78" i="54"/>
  <c r="AC78" i="54" s="1"/>
  <c r="AB69" i="54"/>
  <c r="AC69" i="54" s="1"/>
  <c r="AB82" i="54"/>
  <c r="AC82" i="54" s="1"/>
  <c r="AB75" i="54"/>
  <c r="AC75" i="54" s="1"/>
  <c r="AB87" i="54"/>
  <c r="AC87" i="54" s="1"/>
  <c r="AB73" i="54"/>
  <c r="AC73" i="54" s="1"/>
  <c r="AB79" i="54"/>
  <c r="AC79" i="54" s="1"/>
  <c r="AB85" i="54"/>
  <c r="AC85" i="54" s="1"/>
  <c r="AB70" i="54"/>
  <c r="AC70" i="54" s="1"/>
  <c r="AB74" i="54"/>
  <c r="AC74" i="54" s="1"/>
  <c r="AB83" i="54"/>
  <c r="AC83" i="54" s="1"/>
  <c r="AB71" i="54"/>
  <c r="AC71" i="54" s="1"/>
  <c r="AB84" i="54"/>
  <c r="AC84" i="54" s="1"/>
  <c r="AB76" i="54"/>
  <c r="AC76" i="54" s="1"/>
  <c r="AB77" i="54"/>
  <c r="AC77" i="54" s="1"/>
  <c r="AB81" i="54"/>
  <c r="AC81" i="54" s="1"/>
  <c r="AB68" i="54"/>
  <c r="AC68" i="54" s="1"/>
  <c r="AB72" i="54"/>
  <c r="AC72" i="54" s="1"/>
  <c r="AB80" i="54"/>
  <c r="AC80" i="54" s="1"/>
  <c r="AB86" i="54"/>
  <c r="AC86" i="54" s="1"/>
  <c r="AR138" i="54"/>
  <c r="AU138" i="54" s="1"/>
  <c r="AZ138" i="54" s="1"/>
  <c r="AY138" i="54"/>
  <c r="AR116" i="54"/>
  <c r="AS116" i="54" s="1"/>
  <c r="C247" i="47"/>
  <c r="C240" i="47"/>
  <c r="D51" i="47"/>
  <c r="D78" i="47"/>
  <c r="AT116" i="54"/>
  <c r="A64" i="47"/>
  <c r="D82" i="47"/>
  <c r="D64" i="47"/>
  <c r="A58" i="47"/>
  <c r="C262" i="47"/>
  <c r="C238" i="47"/>
  <c r="D46" i="47"/>
  <c r="A55" i="47"/>
  <c r="C237" i="47"/>
  <c r="A45" i="47"/>
  <c r="C248" i="47"/>
  <c r="A83" i="47"/>
  <c r="D81" i="47"/>
  <c r="A81" i="47"/>
  <c r="C249" i="47"/>
  <c r="C223" i="47"/>
  <c r="C252" i="47"/>
  <c r="D85" i="47"/>
  <c r="D54" i="47"/>
  <c r="D75" i="47"/>
  <c r="A82" i="47"/>
  <c r="C253" i="47"/>
  <c r="A73" i="47"/>
  <c r="A54" i="47"/>
  <c r="A69" i="47"/>
  <c r="D58" i="47"/>
  <c r="AY137" i="54"/>
  <c r="D73" i="47"/>
  <c r="C250" i="47"/>
  <c r="C263" i="47"/>
  <c r="D86" i="47"/>
  <c r="A63" i="47"/>
  <c r="C229" i="47"/>
  <c r="D57" i="47"/>
  <c r="A79" i="47"/>
  <c r="C256" i="47"/>
  <c r="A70" i="47"/>
  <c r="D70" i="47"/>
  <c r="D80" i="47"/>
  <c r="D47" i="47"/>
  <c r="C224" i="47"/>
  <c r="A57" i="47"/>
  <c r="C234" i="47"/>
  <c r="A80" i="47"/>
  <c r="D62" i="47"/>
  <c r="A86" i="47"/>
  <c r="C257" i="47"/>
  <c r="A62" i="47"/>
  <c r="D79" i="47"/>
  <c r="C251" i="47"/>
  <c r="C245" i="47"/>
  <c r="C228" i="47"/>
  <c r="C261" i="47"/>
  <c r="C254" i="47"/>
  <c r="D71" i="47"/>
  <c r="D60" i="47"/>
  <c r="D74" i="47"/>
  <c r="C258" i="47"/>
  <c r="A50" i="47"/>
  <c r="C260" i="47"/>
  <c r="C232" i="47"/>
  <c r="C227" i="47"/>
  <c r="A87" i="47"/>
  <c r="C225" i="47"/>
  <c r="A78" i="47"/>
  <c r="D55" i="47"/>
  <c r="D83" i="47"/>
  <c r="C264" i="47"/>
  <c r="C255" i="47"/>
  <c r="A72" i="47"/>
  <c r="D87" i="47"/>
  <c r="D72" i="47"/>
  <c r="D50" i="47"/>
  <c r="C230" i="47"/>
  <c r="C231" i="47"/>
  <c r="C246" i="47"/>
  <c r="C236" i="47"/>
  <c r="C241" i="47"/>
  <c r="A60" i="47"/>
  <c r="A68" i="47"/>
  <c r="A71" i="47"/>
  <c r="D61" i="47"/>
  <c r="D45" i="47"/>
  <c r="D84" i="47"/>
  <c r="D68" i="47"/>
  <c r="D77" i="47"/>
  <c r="AR92" i="54"/>
  <c r="AS92" i="54" s="1"/>
  <c r="AY94" i="54"/>
  <c r="A61" i="47"/>
  <c r="C222" i="47"/>
  <c r="C235" i="47"/>
  <c r="C259" i="47"/>
  <c r="C233" i="47"/>
  <c r="A76" i="47"/>
  <c r="A85" i="47"/>
  <c r="A74" i="47"/>
  <c r="A84" i="47"/>
  <c r="A75" i="47"/>
  <c r="A77" i="47"/>
  <c r="D69" i="47"/>
  <c r="D76" i="47"/>
  <c r="C239" i="47"/>
  <c r="D59" i="47"/>
  <c r="D52" i="47"/>
  <c r="D49" i="47"/>
  <c r="D63" i="47"/>
  <c r="C226" i="47"/>
  <c r="A52" i="47"/>
  <c r="AR137" i="54"/>
  <c r="AU137" i="54" s="1"/>
  <c r="AZ137" i="54" s="1"/>
  <c r="P137" i="54" s="1"/>
  <c r="Q137" i="54" s="1"/>
  <c r="T137" i="54" s="1"/>
  <c r="R137" i="54" s="1"/>
  <c r="A51" i="47"/>
  <c r="A46" i="47"/>
  <c r="A49" i="47"/>
  <c r="D56" i="47"/>
  <c r="AT92" i="54"/>
  <c r="A53" i="47"/>
  <c r="A59" i="47"/>
  <c r="A56" i="47"/>
  <c r="A48" i="47"/>
  <c r="A47" i="47"/>
  <c r="D53" i="47"/>
  <c r="D48" i="47"/>
  <c r="AT94" i="54"/>
  <c r="AU94" i="54" s="1"/>
  <c r="AZ94" i="54" s="1"/>
  <c r="AR115" i="54"/>
  <c r="AS115" i="54" s="1"/>
  <c r="AT115" i="54"/>
  <c r="AY91" i="54"/>
  <c r="AR93" i="54"/>
  <c r="AU93" i="54" s="1"/>
  <c r="AZ93" i="54" s="1"/>
  <c r="AT91" i="54"/>
  <c r="AU91" i="54" s="1"/>
  <c r="AZ91" i="54" s="1"/>
  <c r="P91" i="54" s="1"/>
  <c r="Q91" i="54" s="1"/>
  <c r="T91" i="54" s="1"/>
  <c r="R91" i="54" s="1"/>
  <c r="AY93" i="54"/>
  <c r="D78" i="54"/>
  <c r="A78" i="54"/>
  <c r="A84" i="54"/>
  <c r="D84" i="54"/>
  <c r="D69" i="54"/>
  <c r="A69" i="54"/>
  <c r="D76" i="54"/>
  <c r="A76" i="54"/>
  <c r="A82" i="54"/>
  <c r="D82" i="54"/>
  <c r="D59" i="54"/>
  <c r="A59" i="54"/>
  <c r="D55" i="54"/>
  <c r="A55" i="54"/>
  <c r="D45" i="54"/>
  <c r="A45" i="54"/>
  <c r="A44" i="54" s="1"/>
  <c r="A54" i="54"/>
  <c r="D54" i="54"/>
  <c r="A49" i="54"/>
  <c r="D49" i="54"/>
  <c r="A75" i="54"/>
  <c r="D75" i="54"/>
  <c r="A77" i="54"/>
  <c r="D77" i="54"/>
  <c r="D87" i="54"/>
  <c r="A87" i="54"/>
  <c r="D73" i="54"/>
  <c r="A73" i="54"/>
  <c r="A79" i="54"/>
  <c r="D79" i="54"/>
  <c r="AT114" i="54"/>
  <c r="AR114" i="54"/>
  <c r="AY114" i="54"/>
  <c r="A51" i="54"/>
  <c r="D51" i="54"/>
  <c r="D53" i="54"/>
  <c r="A53" i="54"/>
  <c r="D64" i="54"/>
  <c r="A64" i="54"/>
  <c r="D63" i="54"/>
  <c r="A63" i="54"/>
  <c r="D47" i="54"/>
  <c r="A47" i="54"/>
  <c r="A85" i="54"/>
  <c r="D85" i="54"/>
  <c r="D70" i="54"/>
  <c r="A70" i="54"/>
  <c r="A74" i="54"/>
  <c r="D74" i="54"/>
  <c r="A83" i="54"/>
  <c r="D83" i="54"/>
  <c r="D71" i="54"/>
  <c r="A71" i="54"/>
  <c r="D62" i="54"/>
  <c r="A62" i="54"/>
  <c r="A46" i="54"/>
  <c r="D46" i="54"/>
  <c r="A50" i="54"/>
  <c r="D50" i="54"/>
  <c r="D61" i="54"/>
  <c r="A61" i="54"/>
  <c r="D56" i="54"/>
  <c r="A56" i="54"/>
  <c r="AS94" i="54"/>
  <c r="AS91" i="54"/>
  <c r="A81" i="54"/>
  <c r="D81" i="54"/>
  <c r="D68" i="54"/>
  <c r="A68" i="54"/>
  <c r="A67" i="54" s="1"/>
  <c r="D72" i="54"/>
  <c r="A72" i="54"/>
  <c r="D80" i="54"/>
  <c r="A80" i="54"/>
  <c r="A86" i="54"/>
  <c r="D86" i="54"/>
  <c r="A60" i="54"/>
  <c r="D60" i="54"/>
  <c r="D58" i="54"/>
  <c r="A58" i="54"/>
  <c r="A48" i="54"/>
  <c r="D48" i="54"/>
  <c r="D57" i="54"/>
  <c r="A57" i="54"/>
  <c r="A52" i="54"/>
  <c r="D52" i="54"/>
  <c r="AR291" i="47"/>
  <c r="AU291" i="47" s="1"/>
  <c r="AZ291" i="47" s="1"/>
  <c r="AT269" i="47"/>
  <c r="AY291" i="47"/>
  <c r="AR269" i="47"/>
  <c r="AY314" i="47"/>
  <c r="AR93" i="47"/>
  <c r="AS93" i="47" s="1"/>
  <c r="AT337" i="47"/>
  <c r="AY162" i="47"/>
  <c r="AT162" i="47"/>
  <c r="AU162" i="47" s="1"/>
  <c r="AZ162" i="47" s="1"/>
  <c r="AR270" i="47"/>
  <c r="AS270" i="47" s="1"/>
  <c r="AT161" i="47"/>
  <c r="AR314" i="47"/>
  <c r="AS314" i="47" s="1"/>
  <c r="AR337" i="47"/>
  <c r="AS337" i="47" s="1"/>
  <c r="AY268" i="47"/>
  <c r="AT268" i="47"/>
  <c r="AU268" i="47" s="1"/>
  <c r="AZ268" i="47" s="1"/>
  <c r="AY160" i="47"/>
  <c r="AT93" i="47"/>
  <c r="AY137" i="47"/>
  <c r="AR115" i="47"/>
  <c r="AU115" i="47" s="1"/>
  <c r="AZ115" i="47" s="1"/>
  <c r="AY114" i="47"/>
  <c r="AT160" i="47"/>
  <c r="AU160" i="47" s="1"/>
  <c r="AZ160" i="47" s="1"/>
  <c r="AR114" i="47"/>
  <c r="AU114" i="47" s="1"/>
  <c r="AZ114" i="47" s="1"/>
  <c r="AY115" i="47"/>
  <c r="AR161" i="47"/>
  <c r="AS161" i="47" s="1"/>
  <c r="AR91" i="47"/>
  <c r="AU91" i="47" s="1"/>
  <c r="AZ91" i="47" s="1"/>
  <c r="AT270" i="47"/>
  <c r="AY91" i="47"/>
  <c r="AT137" i="47"/>
  <c r="AU137" i="47" s="1"/>
  <c r="AZ137" i="47" s="1"/>
  <c r="AR338" i="47"/>
  <c r="AS338" i="47" s="1"/>
  <c r="AT339" i="47"/>
  <c r="AR339" i="47"/>
  <c r="AY339" i="47"/>
  <c r="AS162" i="47"/>
  <c r="AT338" i="47"/>
  <c r="AS268" i="47"/>
  <c r="AS137" i="47"/>
  <c r="AT92" i="47"/>
  <c r="AR92" i="47"/>
  <c r="AY92" i="47"/>
  <c r="AS160" i="47"/>
  <c r="AR292" i="47"/>
  <c r="AT292" i="47"/>
  <c r="AY292" i="47"/>
  <c r="AT166" i="11"/>
  <c r="AR166" i="11"/>
  <c r="AY166" i="11"/>
  <c r="AT343" i="11"/>
  <c r="AR343" i="11"/>
  <c r="AY343" i="11"/>
  <c r="AY165" i="11"/>
  <c r="AR165" i="11"/>
  <c r="AU165" i="11" s="1"/>
  <c r="AZ165" i="11" s="1"/>
  <c r="P165" i="11" s="1"/>
  <c r="Q165" i="11" s="1"/>
  <c r="T165" i="11" s="1"/>
  <c r="R165" i="11" s="1"/>
  <c r="AR342" i="11"/>
  <c r="AU342" i="11" s="1"/>
  <c r="AZ342" i="11" s="1"/>
  <c r="P342" i="11" s="1"/>
  <c r="Q342" i="11" s="1"/>
  <c r="T342" i="11" s="1"/>
  <c r="R342" i="11" s="1"/>
  <c r="AY342" i="11"/>
  <c r="C315" i="11"/>
  <c r="I138" i="11"/>
  <c r="C331" i="11"/>
  <c r="I154" i="11"/>
  <c r="C326" i="11"/>
  <c r="I149" i="11"/>
  <c r="C252" i="11"/>
  <c r="C247" i="11"/>
  <c r="C263" i="11"/>
  <c r="C306" i="11"/>
  <c r="I129" i="11"/>
  <c r="C301" i="11"/>
  <c r="I124" i="11"/>
  <c r="C309" i="11"/>
  <c r="I132" i="11"/>
  <c r="C268" i="11"/>
  <c r="I91" i="11"/>
  <c r="C284" i="11"/>
  <c r="I107" i="11"/>
  <c r="C233" i="11"/>
  <c r="C236" i="11"/>
  <c r="C317" i="11"/>
  <c r="I140" i="11"/>
  <c r="C333" i="11"/>
  <c r="I156" i="11"/>
  <c r="C292" i="11"/>
  <c r="I115" i="11"/>
  <c r="C308" i="11"/>
  <c r="I131" i="11"/>
  <c r="C303" i="11"/>
  <c r="I126" i="11"/>
  <c r="C275" i="11"/>
  <c r="I98" i="11"/>
  <c r="C283" i="11"/>
  <c r="I106" i="11"/>
  <c r="C278" i="11"/>
  <c r="I101" i="11"/>
  <c r="C286" i="11"/>
  <c r="I109" i="11"/>
  <c r="C227" i="11"/>
  <c r="C235" i="11"/>
  <c r="C238" i="11"/>
  <c r="C321" i="11"/>
  <c r="I144" i="11"/>
  <c r="C329" i="11"/>
  <c r="I152" i="11"/>
  <c r="C316" i="11"/>
  <c r="I139" i="11"/>
  <c r="C324" i="11"/>
  <c r="I147" i="11"/>
  <c r="C332" i="11"/>
  <c r="I155" i="11"/>
  <c r="C250" i="11"/>
  <c r="C258" i="11"/>
  <c r="C245" i="11"/>
  <c r="C253" i="11"/>
  <c r="C261" i="11"/>
  <c r="C296" i="11"/>
  <c r="I119" i="11"/>
  <c r="C304" i="11"/>
  <c r="I127" i="11"/>
  <c r="C291" i="11"/>
  <c r="I114" i="11"/>
  <c r="C299" i="11"/>
  <c r="I122" i="11"/>
  <c r="C307" i="11"/>
  <c r="I130" i="11"/>
  <c r="C271" i="11"/>
  <c r="I94" i="11"/>
  <c r="C279" i="11"/>
  <c r="I102" i="11"/>
  <c r="C287" i="11"/>
  <c r="I110" i="11"/>
  <c r="C274" i="11"/>
  <c r="I97" i="11"/>
  <c r="C282" i="11"/>
  <c r="I105" i="11"/>
  <c r="C231" i="11"/>
  <c r="C239" i="11"/>
  <c r="C226" i="11"/>
  <c r="C234" i="11"/>
  <c r="C323" i="11"/>
  <c r="I146" i="11"/>
  <c r="C318" i="11"/>
  <c r="I141" i="11"/>
  <c r="C260" i="11"/>
  <c r="C255" i="11"/>
  <c r="C298" i="11"/>
  <c r="I121" i="11"/>
  <c r="C293" i="11"/>
  <c r="I116" i="11"/>
  <c r="C273" i="11"/>
  <c r="I96" i="11"/>
  <c r="C281" i="11"/>
  <c r="I104" i="11"/>
  <c r="C276" i="11"/>
  <c r="I99" i="11"/>
  <c r="C225" i="11"/>
  <c r="C241" i="11"/>
  <c r="C228" i="11"/>
  <c r="C325" i="11"/>
  <c r="I148" i="11"/>
  <c r="C320" i="11"/>
  <c r="I143" i="11"/>
  <c r="C328" i="11"/>
  <c r="I151" i="11"/>
  <c r="C246" i="11"/>
  <c r="C254" i="11"/>
  <c r="C262" i="11"/>
  <c r="C249" i="11"/>
  <c r="C257" i="11"/>
  <c r="C300" i="11"/>
  <c r="I123" i="11"/>
  <c r="C295" i="11"/>
  <c r="I118" i="11"/>
  <c r="C270" i="11"/>
  <c r="I93" i="11"/>
  <c r="C230" i="11"/>
  <c r="C319" i="11"/>
  <c r="I142" i="11"/>
  <c r="C327" i="11"/>
  <c r="I150" i="11"/>
  <c r="C314" i="11"/>
  <c r="I137" i="11"/>
  <c r="C322" i="11"/>
  <c r="I145" i="11"/>
  <c r="C330" i="11"/>
  <c r="I153" i="11"/>
  <c r="C248" i="11"/>
  <c r="C256" i="11"/>
  <c r="C264" i="11"/>
  <c r="C251" i="11"/>
  <c r="C259" i="11"/>
  <c r="C294" i="11"/>
  <c r="I117" i="11"/>
  <c r="C302" i="11"/>
  <c r="I125" i="11"/>
  <c r="C310" i="11"/>
  <c r="I133" i="11"/>
  <c r="C297" i="11"/>
  <c r="I120" i="11"/>
  <c r="C305" i="11"/>
  <c r="I128" i="11"/>
  <c r="C269" i="11"/>
  <c r="I92" i="11"/>
  <c r="C277" i="11"/>
  <c r="I100" i="11"/>
  <c r="C285" i="11"/>
  <c r="I108" i="11"/>
  <c r="C272" i="11"/>
  <c r="I95" i="11"/>
  <c r="C280" i="11"/>
  <c r="I103" i="11"/>
  <c r="C229" i="11"/>
  <c r="C237" i="11"/>
  <c r="C224" i="11"/>
  <c r="C232" i="11"/>
  <c r="C240" i="11"/>
  <c r="C222" i="11"/>
  <c r="C223" i="11"/>
  <c r="D138" i="11"/>
  <c r="D154" i="11"/>
  <c r="D149" i="11"/>
  <c r="D75" i="11"/>
  <c r="D70" i="11"/>
  <c r="D86" i="11"/>
  <c r="D129" i="11"/>
  <c r="D91" i="11"/>
  <c r="D99" i="11"/>
  <c r="D107" i="11"/>
  <c r="D56" i="11"/>
  <c r="D51" i="11"/>
  <c r="D140" i="11"/>
  <c r="D156" i="11"/>
  <c r="D77" i="11"/>
  <c r="D85" i="11"/>
  <c r="D72" i="11"/>
  <c r="D80" i="11"/>
  <c r="D123" i="11"/>
  <c r="D118" i="11"/>
  <c r="D126" i="11"/>
  <c r="D98" i="11"/>
  <c r="D106" i="11"/>
  <c r="D101" i="11"/>
  <c r="D50" i="11"/>
  <c r="D58" i="11"/>
  <c r="D144" i="11"/>
  <c r="D152" i="11"/>
  <c r="D139" i="11"/>
  <c r="D147" i="11"/>
  <c r="D155" i="11"/>
  <c r="D73" i="11"/>
  <c r="D81" i="11"/>
  <c r="D68" i="11"/>
  <c r="D76" i="11"/>
  <c r="D84" i="11"/>
  <c r="D119" i="11"/>
  <c r="D127" i="11"/>
  <c r="D114" i="11"/>
  <c r="D122" i="11"/>
  <c r="D130" i="11"/>
  <c r="D94" i="11"/>
  <c r="D102" i="11"/>
  <c r="D110" i="11"/>
  <c r="D97" i="11"/>
  <c r="D105" i="11"/>
  <c r="D46" i="11"/>
  <c r="D54" i="11"/>
  <c r="D62" i="11"/>
  <c r="D49" i="11"/>
  <c r="D57" i="11"/>
  <c r="D146" i="11"/>
  <c r="D141" i="11"/>
  <c r="D83" i="11"/>
  <c r="D78" i="11"/>
  <c r="D121" i="11"/>
  <c r="D116" i="11"/>
  <c r="D124" i="11"/>
  <c r="D132" i="11"/>
  <c r="D96" i="11"/>
  <c r="D104" i="11"/>
  <c r="D48" i="11"/>
  <c r="D64" i="11"/>
  <c r="D59" i="11"/>
  <c r="D148" i="11"/>
  <c r="D143" i="11"/>
  <c r="D151" i="11"/>
  <c r="D69" i="11"/>
  <c r="D115" i="11"/>
  <c r="D131" i="11"/>
  <c r="D93" i="11"/>
  <c r="D109" i="11"/>
  <c r="D45" i="11"/>
  <c r="D53" i="11"/>
  <c r="D61" i="11"/>
  <c r="D142" i="11"/>
  <c r="D150" i="11"/>
  <c r="D137" i="11"/>
  <c r="D145" i="11"/>
  <c r="D153" i="11"/>
  <c r="D71" i="11"/>
  <c r="D79" i="11"/>
  <c r="D87" i="11"/>
  <c r="D74" i="11"/>
  <c r="D82" i="11"/>
  <c r="D117" i="11"/>
  <c r="D125" i="11"/>
  <c r="D133" i="11"/>
  <c r="D120" i="11"/>
  <c r="D128" i="11"/>
  <c r="D92" i="11"/>
  <c r="D100" i="11"/>
  <c r="D108" i="11"/>
  <c r="D95" i="11"/>
  <c r="D103" i="11"/>
  <c r="D52" i="11"/>
  <c r="D60" i="11"/>
  <c r="D47" i="11"/>
  <c r="D55" i="11"/>
  <c r="D63" i="11"/>
  <c r="AC340" i="11"/>
  <c r="AC360" i="11"/>
  <c r="AC361" i="11"/>
  <c r="AC339" i="11"/>
  <c r="AC341" i="11"/>
  <c r="AC352" i="11"/>
  <c r="AC355" i="11"/>
  <c r="AC364" i="11"/>
  <c r="AC142" i="11"/>
  <c r="AC150" i="11"/>
  <c r="AC137" i="11"/>
  <c r="AC145" i="11"/>
  <c r="AC153" i="11"/>
  <c r="AC117" i="11"/>
  <c r="AC125" i="11"/>
  <c r="AC133" i="11"/>
  <c r="AC120" i="11"/>
  <c r="AC128" i="11"/>
  <c r="AC92" i="11"/>
  <c r="AC100" i="11"/>
  <c r="AC108" i="11"/>
  <c r="AC95" i="11"/>
  <c r="AC103" i="11"/>
  <c r="AC362" i="11"/>
  <c r="AC354" i="11"/>
  <c r="AC144" i="11"/>
  <c r="AC152" i="11"/>
  <c r="AC139" i="11"/>
  <c r="AC147" i="11"/>
  <c r="AC155" i="11"/>
  <c r="AC119" i="11"/>
  <c r="AC127" i="11"/>
  <c r="AC114" i="11"/>
  <c r="AC122" i="11"/>
  <c r="AC130" i="11"/>
  <c r="AC94" i="11"/>
  <c r="AC102" i="11"/>
  <c r="AC110" i="11"/>
  <c r="AC97" i="11"/>
  <c r="AC105" i="11"/>
  <c r="AC363" i="11"/>
  <c r="AC356" i="11"/>
  <c r="AC138" i="11"/>
  <c r="AC146" i="11"/>
  <c r="AC154" i="11"/>
  <c r="AC141" i="11"/>
  <c r="AC149" i="11"/>
  <c r="AC121" i="11"/>
  <c r="AC129" i="11"/>
  <c r="AC116" i="11"/>
  <c r="AC124" i="11"/>
  <c r="AC132" i="11"/>
  <c r="AC96" i="11"/>
  <c r="AC104" i="11"/>
  <c r="AC91" i="11"/>
  <c r="AC99" i="11"/>
  <c r="AC107" i="11"/>
  <c r="AC359" i="11"/>
  <c r="AC353" i="11"/>
  <c r="AC358" i="11"/>
  <c r="AC366" i="11"/>
  <c r="AC357" i="11"/>
  <c r="AC365" i="11"/>
  <c r="AC140" i="11"/>
  <c r="AC148" i="11"/>
  <c r="AC156" i="11"/>
  <c r="AC143" i="11"/>
  <c r="AC151" i="11"/>
  <c r="AC115" i="11"/>
  <c r="AC123" i="11"/>
  <c r="AC131" i="11"/>
  <c r="AC118" i="11"/>
  <c r="AC126" i="11"/>
  <c r="AC98" i="11"/>
  <c r="AC106" i="11"/>
  <c r="AC93" i="11"/>
  <c r="AC101" i="11"/>
  <c r="AC109" i="11"/>
  <c r="AI164" i="11"/>
  <c r="AJ164" i="11" s="1"/>
  <c r="AI162" i="11"/>
  <c r="AL162" i="11" s="1"/>
  <c r="AI186" i="11"/>
  <c r="AL186" i="11" s="1"/>
  <c r="AI182" i="11"/>
  <c r="AJ182" i="11" s="1"/>
  <c r="AI177" i="11"/>
  <c r="AI163" i="11"/>
  <c r="AJ163" i="11" s="1"/>
  <c r="AI188" i="11"/>
  <c r="AL188" i="11" s="1"/>
  <c r="AI176" i="11"/>
  <c r="AJ176" i="11" s="1"/>
  <c r="AI187" i="11"/>
  <c r="AJ187" i="11" s="1"/>
  <c r="AK187" i="11" s="1"/>
  <c r="AI183" i="11"/>
  <c r="AJ183" i="11" s="1"/>
  <c r="AI179" i="11"/>
  <c r="AL179" i="11" s="1"/>
  <c r="AI175" i="11"/>
  <c r="AJ175" i="11" s="1"/>
  <c r="AI161" i="11"/>
  <c r="AL161" i="11" s="1"/>
  <c r="AI184" i="11"/>
  <c r="AJ184" i="11" s="1"/>
  <c r="AK184" i="11" s="1"/>
  <c r="AH186" i="11"/>
  <c r="AQ186" i="11" s="1"/>
  <c r="AI180" i="11"/>
  <c r="AL180" i="11" s="1"/>
  <c r="AH189" i="11"/>
  <c r="AQ189" i="11" s="1"/>
  <c r="AI181" i="11"/>
  <c r="AJ181" i="11" s="1"/>
  <c r="AH187" i="11"/>
  <c r="AQ187" i="11" s="1"/>
  <c r="AI178" i="11"/>
  <c r="AI189" i="11"/>
  <c r="AL189" i="11" s="1"/>
  <c r="AI185" i="11"/>
  <c r="AL185" i="11" s="1"/>
  <c r="AH188" i="11"/>
  <c r="AQ188" i="11" s="1"/>
  <c r="A113" i="11"/>
  <c r="A134" i="11" s="1"/>
  <c r="A311" i="11" s="1"/>
  <c r="A90" i="11"/>
  <c r="A111" i="11" s="1"/>
  <c r="A288" i="11" s="1"/>
  <c r="A136" i="11"/>
  <c r="A157" i="11" s="1"/>
  <c r="A334" i="11" s="1"/>
  <c r="AU174" i="11" l="1"/>
  <c r="AZ174" i="11" s="1"/>
  <c r="AS174" i="11"/>
  <c r="AS144" i="54"/>
  <c r="AU144" i="54"/>
  <c r="AZ144" i="54" s="1"/>
  <c r="AS143" i="54"/>
  <c r="AU143" i="54"/>
  <c r="AZ143" i="54" s="1"/>
  <c r="F54" i="54"/>
  <c r="F53" i="54"/>
  <c r="F52" i="54"/>
  <c r="F51" i="54"/>
  <c r="F50" i="54"/>
  <c r="F49" i="54"/>
  <c r="F48" i="54"/>
  <c r="F47" i="54"/>
  <c r="F46" i="54"/>
  <c r="O82" i="54"/>
  <c r="O76" i="54"/>
  <c r="H242" i="77"/>
  <c r="H234" i="77"/>
  <c r="G24" i="77"/>
  <c r="H239" i="77"/>
  <c r="G238" i="77"/>
  <c r="G234" i="77"/>
  <c r="H233" i="77"/>
  <c r="G22" i="77"/>
  <c r="H238" i="77"/>
  <c r="G235" i="77"/>
  <c r="G232" i="77"/>
  <c r="H232" i="77"/>
  <c r="G23" i="77"/>
  <c r="G227" i="77" s="1"/>
  <c r="H237" i="77"/>
  <c r="G242" i="77"/>
  <c r="G233" i="77"/>
  <c r="G230" i="77"/>
  <c r="H231" i="77"/>
  <c r="G241" i="77"/>
  <c r="H236" i="77"/>
  <c r="G231" i="77"/>
  <c r="H243" i="77"/>
  <c r="G243" i="77"/>
  <c r="H230" i="77"/>
  <c r="G237" i="77"/>
  <c r="H235" i="77"/>
  <c r="G21" i="77"/>
  <c r="G228" i="77" s="1"/>
  <c r="H241" i="77"/>
  <c r="G239" i="77"/>
  <c r="G236" i="77"/>
  <c r="O79" i="11"/>
  <c r="O86" i="54"/>
  <c r="Q34" i="77"/>
  <c r="I237" i="77"/>
  <c r="O239" i="77"/>
  <c r="O28" i="77"/>
  <c r="Q227" i="77" s="1"/>
  <c r="C259" i="77" s="1"/>
  <c r="M242" i="77"/>
  <c r="R236" i="77"/>
  <c r="L234" i="77"/>
  <c r="G28" i="77"/>
  <c r="M227" i="77" s="1"/>
  <c r="C257" i="77" s="1"/>
  <c r="Q35" i="77"/>
  <c r="M239" i="77"/>
  <c r="J230" i="77"/>
  <c r="J234" i="77"/>
  <c r="J232" i="77"/>
  <c r="O34" i="77"/>
  <c r="L241" i="77"/>
  <c r="Q230" i="77"/>
  <c r="Q233" i="77"/>
  <c r="P235" i="77"/>
  <c r="K23" i="77"/>
  <c r="I227" i="77" s="1"/>
  <c r="M36" i="77"/>
  <c r="K238" i="77"/>
  <c r="J241" i="77"/>
  <c r="I236" i="77"/>
  <c r="R241" i="77"/>
  <c r="I239" i="77"/>
  <c r="I233" i="77"/>
  <c r="O24" i="77"/>
  <c r="G27" i="77"/>
  <c r="O35" i="77"/>
  <c r="M32" i="77"/>
  <c r="M33" i="77" s="1"/>
  <c r="R242" i="77"/>
  <c r="P230" i="77"/>
  <c r="J233" i="77"/>
  <c r="O232" i="77"/>
  <c r="J239" i="77"/>
  <c r="K22" i="77"/>
  <c r="I232" i="77"/>
  <c r="N232" i="77"/>
  <c r="O22" i="77"/>
  <c r="K28" i="77"/>
  <c r="O227" i="77" s="1"/>
  <c r="C258" i="77" s="1"/>
  <c r="K230" i="77"/>
  <c r="M238" i="77"/>
  <c r="J243" i="77"/>
  <c r="Q243" i="77"/>
  <c r="J231" i="77"/>
  <c r="K27" i="77"/>
  <c r="I238" i="77"/>
  <c r="K243" i="77"/>
  <c r="K24" i="77"/>
  <c r="O38" i="77"/>
  <c r="P242" i="77"/>
  <c r="L233" i="77"/>
  <c r="L231" i="77"/>
  <c r="M231" i="77"/>
  <c r="R243" i="77"/>
  <c r="K26" i="77"/>
  <c r="O228" i="77" s="1"/>
  <c r="O240" i="77" s="1"/>
  <c r="J237" i="77"/>
  <c r="R231" i="77"/>
  <c r="O21" i="77"/>
  <c r="K228" i="77" s="1"/>
  <c r="L240" i="77" s="1"/>
  <c r="Q232" i="77"/>
  <c r="O241" i="77"/>
  <c r="I230" i="77"/>
  <c r="N235" i="77"/>
  <c r="N243" i="77"/>
  <c r="I235" i="77"/>
  <c r="K21" i="77"/>
  <c r="I228" i="77" s="1"/>
  <c r="I240" i="77" s="1"/>
  <c r="O235" i="77"/>
  <c r="I234" i="77"/>
  <c r="R234" i="77"/>
  <c r="R230" i="77"/>
  <c r="Q239" i="77"/>
  <c r="P232" i="77"/>
  <c r="O234" i="77"/>
  <c r="J238" i="77"/>
  <c r="M236" i="77"/>
  <c r="M34" i="77"/>
  <c r="O231" i="77"/>
  <c r="O26" i="77"/>
  <c r="Q228" i="77" s="1"/>
  <c r="Q240" i="77" s="1"/>
  <c r="M233" i="77"/>
  <c r="L238" i="77"/>
  <c r="K29" i="77"/>
  <c r="Q32" i="77"/>
  <c r="Q33" i="77" s="1"/>
  <c r="P243" i="77"/>
  <c r="M235" i="77"/>
  <c r="I231" i="77"/>
  <c r="O32" i="77"/>
  <c r="O37" i="77" s="1"/>
  <c r="N239" i="77"/>
  <c r="P237" i="77"/>
  <c r="J235" i="77"/>
  <c r="I243" i="77"/>
  <c r="K233" i="77"/>
  <c r="Q235" i="77"/>
  <c r="I242" i="77"/>
  <c r="K232" i="77"/>
  <c r="J242" i="77"/>
  <c r="I241" i="77"/>
  <c r="J236" i="77"/>
  <c r="N242" i="77"/>
  <c r="L232" i="77"/>
  <c r="Q231" i="77"/>
  <c r="O237" i="77"/>
  <c r="P236" i="77"/>
  <c r="L243" i="77"/>
  <c r="O23" i="77"/>
  <c r="K227" i="77" s="1"/>
  <c r="C256" i="77" s="1"/>
  <c r="N241" i="77"/>
  <c r="N236" i="77"/>
  <c r="K236" i="77"/>
  <c r="L242" i="77"/>
  <c r="K241" i="77"/>
  <c r="Q247" i="77"/>
  <c r="O36" i="77"/>
  <c r="O27" i="77"/>
  <c r="L237" i="77"/>
  <c r="L236" i="77"/>
  <c r="M234" i="77"/>
  <c r="P241" i="77"/>
  <c r="Q238" i="77"/>
  <c r="R235" i="77"/>
  <c r="R233" i="77"/>
  <c r="Q242" i="77"/>
  <c r="M35" i="77"/>
  <c r="Q36" i="77"/>
  <c r="R238" i="77"/>
  <c r="A26" i="77"/>
  <c r="A27" i="77" s="1"/>
  <c r="N231" i="77"/>
  <c r="N237" i="77"/>
  <c r="M243" i="77"/>
  <c r="K231" i="77"/>
  <c r="P238" i="77"/>
  <c r="K237" i="77"/>
  <c r="O242" i="77"/>
  <c r="M38" i="77"/>
  <c r="P234" i="77"/>
  <c r="P233" i="77"/>
  <c r="L239" i="77"/>
  <c r="M237" i="77"/>
  <c r="R232" i="77"/>
  <c r="M241" i="77"/>
  <c r="O29" i="77"/>
  <c r="G29" i="77"/>
  <c r="O230" i="77"/>
  <c r="O247" i="77"/>
  <c r="O233" i="77"/>
  <c r="O238" i="77"/>
  <c r="N234" i="77"/>
  <c r="L230" i="77"/>
  <c r="G26" i="77"/>
  <c r="M228" i="77" s="1"/>
  <c r="N229" i="77" s="1"/>
  <c r="Q38" i="77"/>
  <c r="N233" i="77"/>
  <c r="O243" i="77"/>
  <c r="M230" i="77"/>
  <c r="R237" i="77"/>
  <c r="K235" i="77"/>
  <c r="L235" i="77"/>
  <c r="Q241" i="77"/>
  <c r="Q236" i="77"/>
  <c r="Q234" i="77"/>
  <c r="P231" i="77"/>
  <c r="N230" i="77"/>
  <c r="N238" i="77"/>
  <c r="O236" i="77"/>
  <c r="K242" i="77"/>
  <c r="R239" i="77"/>
  <c r="K234" i="77"/>
  <c r="P239" i="77"/>
  <c r="K239" i="77"/>
  <c r="M232" i="77"/>
  <c r="Q237" i="77"/>
  <c r="T84" i="47"/>
  <c r="F68" i="54"/>
  <c r="F45" i="54"/>
  <c r="T72" i="47"/>
  <c r="T80" i="47"/>
  <c r="F58" i="47"/>
  <c r="F61" i="72" s="1"/>
  <c r="F60" i="47"/>
  <c r="F63" i="72" s="1"/>
  <c r="F59" i="47"/>
  <c r="F62" i="72" s="1"/>
  <c r="F84" i="47"/>
  <c r="F87" i="72" s="1"/>
  <c r="F75" i="47"/>
  <c r="F78" i="72" s="1"/>
  <c r="F78" i="47"/>
  <c r="F81" i="72" s="1"/>
  <c r="F48" i="47"/>
  <c r="F51" i="72" s="1"/>
  <c r="F73" i="47"/>
  <c r="F76" i="72" s="1"/>
  <c r="F55" i="47"/>
  <c r="F58" i="72" s="1"/>
  <c r="F47" i="47"/>
  <c r="F50" i="72" s="1"/>
  <c r="F69" i="47"/>
  <c r="F72" i="72" s="1"/>
  <c r="F87" i="47"/>
  <c r="F90" i="72" s="1"/>
  <c r="F70" i="47"/>
  <c r="F73" i="72" s="1"/>
  <c r="F57" i="47"/>
  <c r="F60" i="72" s="1"/>
  <c r="F86" i="47"/>
  <c r="F89" i="72" s="1"/>
  <c r="F53" i="47"/>
  <c r="F56" i="72" s="1"/>
  <c r="F52" i="47"/>
  <c r="F55" i="72" s="1"/>
  <c r="F61" i="47"/>
  <c r="F64" i="72" s="1"/>
  <c r="F77" i="47"/>
  <c r="F80" i="72" s="1"/>
  <c r="F46" i="47"/>
  <c r="F49" i="72" s="1"/>
  <c r="F85" i="47"/>
  <c r="F88" i="72" s="1"/>
  <c r="F56" i="47"/>
  <c r="F59" i="72" s="1"/>
  <c r="F74" i="47"/>
  <c r="F77" i="72" s="1"/>
  <c r="F51" i="47"/>
  <c r="F54" i="72" s="1"/>
  <c r="F81" i="47"/>
  <c r="F84" i="72" s="1"/>
  <c r="F83" i="47"/>
  <c r="F86" i="72" s="1"/>
  <c r="F82" i="47"/>
  <c r="F85" i="72" s="1"/>
  <c r="F49" i="47"/>
  <c r="F52" i="72" s="1"/>
  <c r="F72" i="47"/>
  <c r="F75" i="72" s="1"/>
  <c r="F54" i="47"/>
  <c r="F57" i="72" s="1"/>
  <c r="F79" i="47"/>
  <c r="F82" i="72" s="1"/>
  <c r="F76" i="47"/>
  <c r="F79" i="72" s="1"/>
  <c r="F50" i="47"/>
  <c r="F53" i="72" s="1"/>
  <c r="F80" i="47"/>
  <c r="F83" i="72" s="1"/>
  <c r="F62" i="47"/>
  <c r="F65" i="72" s="1"/>
  <c r="F64" i="47"/>
  <c r="F67" i="72" s="1"/>
  <c r="F63" i="47"/>
  <c r="F66" i="72" s="1"/>
  <c r="F71" i="47"/>
  <c r="F74" i="72" s="1"/>
  <c r="T76" i="47"/>
  <c r="Y233" i="47"/>
  <c r="H233" i="47" s="1"/>
  <c r="I238" i="72" s="1"/>
  <c r="M233" i="47"/>
  <c r="Y232" i="47"/>
  <c r="H232" i="47" s="1"/>
  <c r="I237" i="72" s="1"/>
  <c r="M232" i="47"/>
  <c r="Y261" i="47"/>
  <c r="H261" i="47" s="1"/>
  <c r="I266" i="72" s="1"/>
  <c r="M261" i="47"/>
  <c r="Y224" i="47"/>
  <c r="H224" i="47" s="1"/>
  <c r="I229" i="72" s="1"/>
  <c r="M224" i="47"/>
  <c r="Y229" i="47"/>
  <c r="H229" i="47" s="1"/>
  <c r="I234" i="72" s="1"/>
  <c r="M229" i="47"/>
  <c r="Y250" i="47"/>
  <c r="H250" i="47" s="1"/>
  <c r="I255" i="72" s="1"/>
  <c r="M250" i="47"/>
  <c r="Y252" i="47"/>
  <c r="H252" i="47" s="1"/>
  <c r="I257" i="72" s="1"/>
  <c r="M252" i="47"/>
  <c r="Y237" i="47"/>
  <c r="H237" i="47" s="1"/>
  <c r="I242" i="72" s="1"/>
  <c r="M237" i="47"/>
  <c r="Y259" i="47"/>
  <c r="H259" i="47" s="1"/>
  <c r="I264" i="72" s="1"/>
  <c r="M259" i="47"/>
  <c r="Y246" i="47"/>
  <c r="H246" i="47" s="1"/>
  <c r="I251" i="72" s="1"/>
  <c r="M246" i="47"/>
  <c r="Y264" i="47"/>
  <c r="H264" i="47" s="1"/>
  <c r="I269" i="72" s="1"/>
  <c r="M264" i="47"/>
  <c r="Y225" i="47"/>
  <c r="H225" i="47" s="1"/>
  <c r="I230" i="72" s="1"/>
  <c r="M225" i="47"/>
  <c r="Y260" i="47"/>
  <c r="H260" i="47" s="1"/>
  <c r="I265" i="72" s="1"/>
  <c r="M260" i="47"/>
  <c r="Y228" i="47"/>
  <c r="H228" i="47" s="1"/>
  <c r="I233" i="72" s="1"/>
  <c r="M228" i="47"/>
  <c r="Y256" i="47"/>
  <c r="H256" i="47" s="1"/>
  <c r="I261" i="72" s="1"/>
  <c r="M256" i="47"/>
  <c r="Y223" i="47"/>
  <c r="H223" i="47" s="1"/>
  <c r="I228" i="72" s="1"/>
  <c r="M223" i="47"/>
  <c r="Y247" i="47"/>
  <c r="H247" i="47" s="1"/>
  <c r="I252" i="72" s="1"/>
  <c r="M247" i="47"/>
  <c r="R58" i="47"/>
  <c r="Q58" i="47"/>
  <c r="P61" i="72" s="1"/>
  <c r="S58" i="47"/>
  <c r="P58" i="47"/>
  <c r="O61" i="72" s="1"/>
  <c r="T58" i="47"/>
  <c r="S59" i="47"/>
  <c r="Q59" i="47"/>
  <c r="P62" i="72" s="1"/>
  <c r="R59" i="47"/>
  <c r="P59" i="47"/>
  <c r="O62" i="72" s="1"/>
  <c r="T59" i="47"/>
  <c r="S51" i="47"/>
  <c r="Q84" i="47"/>
  <c r="P87" i="72" s="1"/>
  <c r="R84" i="47"/>
  <c r="S84" i="47"/>
  <c r="P84" i="47"/>
  <c r="O87" i="72" s="1"/>
  <c r="S82" i="47"/>
  <c r="P82" i="47"/>
  <c r="O85" i="72" s="1"/>
  <c r="T82" i="47"/>
  <c r="Q82" i="47"/>
  <c r="P85" i="72" s="1"/>
  <c r="R82" i="47"/>
  <c r="S54" i="47"/>
  <c r="S53" i="47"/>
  <c r="Q61" i="47"/>
  <c r="P64" i="72" s="1"/>
  <c r="T61" i="47"/>
  <c r="R61" i="47"/>
  <c r="S61" i="47"/>
  <c r="P61" i="47"/>
  <c r="O64" i="72" s="1"/>
  <c r="T79" i="47"/>
  <c r="R79" i="47"/>
  <c r="S79" i="47"/>
  <c r="Q79" i="47"/>
  <c r="P82" i="72" s="1"/>
  <c r="P79" i="47"/>
  <c r="O82" i="72" s="1"/>
  <c r="Q76" i="47"/>
  <c r="P79" i="72" s="1"/>
  <c r="R76" i="47"/>
  <c r="S76" i="47"/>
  <c r="P76" i="47"/>
  <c r="O79" i="72" s="1"/>
  <c r="S50" i="47"/>
  <c r="S48" i="47"/>
  <c r="T56" i="47"/>
  <c r="R56" i="47"/>
  <c r="S56" i="47"/>
  <c r="P56" i="47"/>
  <c r="O59" i="72" s="1"/>
  <c r="Q56" i="47"/>
  <c r="P59" i="72" s="1"/>
  <c r="S74" i="47"/>
  <c r="P74" i="47"/>
  <c r="O77" i="72" s="1"/>
  <c r="T74" i="47"/>
  <c r="Q74" i="47"/>
  <c r="P77" i="72" s="1"/>
  <c r="R74" i="47"/>
  <c r="T71" i="47"/>
  <c r="R71" i="47"/>
  <c r="S71" i="47"/>
  <c r="Q71" i="47"/>
  <c r="P74" i="72" s="1"/>
  <c r="P71" i="47"/>
  <c r="O74" i="72" s="1"/>
  <c r="R62" i="47"/>
  <c r="T62" i="47"/>
  <c r="Q62" i="47"/>
  <c r="P65" i="72" s="1"/>
  <c r="S62" i="47"/>
  <c r="P62" i="47"/>
  <c r="O65" i="72" s="1"/>
  <c r="T64" i="47"/>
  <c r="P64" i="47"/>
  <c r="O67" i="72" s="1"/>
  <c r="Q64" i="47"/>
  <c r="P67" i="72" s="1"/>
  <c r="R64" i="47"/>
  <c r="S64" i="47"/>
  <c r="S45" i="47"/>
  <c r="S69" i="47"/>
  <c r="T87" i="47"/>
  <c r="R87" i="47"/>
  <c r="S87" i="47"/>
  <c r="P87" i="47"/>
  <c r="O90" i="72" s="1"/>
  <c r="Q87" i="47"/>
  <c r="P90" i="72" s="1"/>
  <c r="Y231" i="47"/>
  <c r="H231" i="47" s="1"/>
  <c r="I236" i="72" s="1"/>
  <c r="M231" i="47"/>
  <c r="Y245" i="47"/>
  <c r="H245" i="47" s="1"/>
  <c r="I250" i="72" s="1"/>
  <c r="M245" i="47"/>
  <c r="Y234" i="47"/>
  <c r="H234" i="47" s="1"/>
  <c r="I239" i="72" s="1"/>
  <c r="M234" i="47"/>
  <c r="Y249" i="47"/>
  <c r="H249" i="47" s="1"/>
  <c r="I254" i="72" s="1"/>
  <c r="M249" i="47"/>
  <c r="J59" i="47"/>
  <c r="O59" i="47" s="1"/>
  <c r="J54" i="47"/>
  <c r="O54" i="47" s="1"/>
  <c r="J76" i="47"/>
  <c r="O76" i="47" s="1"/>
  <c r="J85" i="47"/>
  <c r="O85" i="47" s="1"/>
  <c r="M88" i="72" s="1"/>
  <c r="J75" i="47"/>
  <c r="O75" i="47" s="1"/>
  <c r="J56" i="47"/>
  <c r="O56" i="47" s="1"/>
  <c r="J74" i="47"/>
  <c r="O74" i="47" s="1"/>
  <c r="J71" i="47"/>
  <c r="O71" i="47" s="1"/>
  <c r="J47" i="47"/>
  <c r="O47" i="47" s="1"/>
  <c r="J86" i="47"/>
  <c r="O86" i="47" s="1"/>
  <c r="J49" i="47"/>
  <c r="O49" i="47" s="1"/>
  <c r="J50" i="47"/>
  <c r="O50" i="47" s="1"/>
  <c r="J48" i="47"/>
  <c r="O48" i="47" s="1"/>
  <c r="J78" i="47"/>
  <c r="O78" i="47" s="1"/>
  <c r="J87" i="47"/>
  <c r="O87" i="47" s="1"/>
  <c r="J61" i="47"/>
  <c r="O61" i="47" s="1"/>
  <c r="J60" i="47"/>
  <c r="O60" i="47" s="1"/>
  <c r="J57" i="47"/>
  <c r="O57" i="47" s="1"/>
  <c r="J80" i="47"/>
  <c r="O80" i="47" s="1"/>
  <c r="Y226" i="47"/>
  <c r="H226" i="47" s="1"/>
  <c r="I231" i="72" s="1"/>
  <c r="M226" i="47"/>
  <c r="Y235" i="47"/>
  <c r="H235" i="47" s="1"/>
  <c r="I240" i="72" s="1"/>
  <c r="M235" i="47"/>
  <c r="Y257" i="47"/>
  <c r="H257" i="47" s="1"/>
  <c r="I262" i="72" s="1"/>
  <c r="M257" i="47"/>
  <c r="Y248" i="47"/>
  <c r="H248" i="47" s="1"/>
  <c r="I253" i="72" s="1"/>
  <c r="M248" i="47"/>
  <c r="Y239" i="47"/>
  <c r="H239" i="47" s="1"/>
  <c r="I244" i="72" s="1"/>
  <c r="M239" i="47"/>
  <c r="Y222" i="47"/>
  <c r="H222" i="47" s="1"/>
  <c r="I227" i="72" s="1"/>
  <c r="M222" i="47"/>
  <c r="Y241" i="47"/>
  <c r="H241" i="47" s="1"/>
  <c r="I246" i="72" s="1"/>
  <c r="M241" i="47"/>
  <c r="Y230" i="47"/>
  <c r="H230" i="47" s="1"/>
  <c r="I235" i="72" s="1"/>
  <c r="M230" i="47"/>
  <c r="Y227" i="47"/>
  <c r="H227" i="47" s="1"/>
  <c r="I232" i="72" s="1"/>
  <c r="M227" i="47"/>
  <c r="Y258" i="47"/>
  <c r="H258" i="47" s="1"/>
  <c r="I263" i="72" s="1"/>
  <c r="M258" i="47"/>
  <c r="Y254" i="47"/>
  <c r="H254" i="47" s="1"/>
  <c r="I259" i="72" s="1"/>
  <c r="M254" i="47"/>
  <c r="Y251" i="47"/>
  <c r="H251" i="47" s="1"/>
  <c r="I256" i="72" s="1"/>
  <c r="M251" i="47"/>
  <c r="Y263" i="47"/>
  <c r="H263" i="47" s="1"/>
  <c r="I268" i="72" s="1"/>
  <c r="M263" i="47"/>
  <c r="Y253" i="47"/>
  <c r="H253" i="47" s="1"/>
  <c r="I258" i="72" s="1"/>
  <c r="M253" i="47"/>
  <c r="Y238" i="47"/>
  <c r="H238" i="47" s="1"/>
  <c r="I243" i="72" s="1"/>
  <c r="M238" i="47"/>
  <c r="J79" i="47"/>
  <c r="O79" i="47" s="1"/>
  <c r="T60" i="47"/>
  <c r="Q60" i="47"/>
  <c r="P63" i="72" s="1"/>
  <c r="R60" i="47"/>
  <c r="S60" i="47"/>
  <c r="P60" i="47"/>
  <c r="O63" i="72" s="1"/>
  <c r="Q57" i="47"/>
  <c r="P60" i="72" s="1"/>
  <c r="R57" i="47"/>
  <c r="S57" i="47"/>
  <c r="P57" i="47"/>
  <c r="O60" i="72" s="1"/>
  <c r="T57" i="47"/>
  <c r="R81" i="47"/>
  <c r="T81" i="47"/>
  <c r="P81" i="47"/>
  <c r="O84" i="72" s="1"/>
  <c r="S81" i="47"/>
  <c r="Q81" i="47"/>
  <c r="P84" i="72" s="1"/>
  <c r="T83" i="47"/>
  <c r="S83" i="47"/>
  <c r="P83" i="47"/>
  <c r="O86" i="72" s="1"/>
  <c r="R83" i="47"/>
  <c r="Q83" i="47"/>
  <c r="P86" i="72" s="1"/>
  <c r="T75" i="47"/>
  <c r="S75" i="47"/>
  <c r="Q75" i="47"/>
  <c r="P78" i="72" s="1"/>
  <c r="R75" i="47"/>
  <c r="P75" i="47"/>
  <c r="O78" i="72" s="1"/>
  <c r="S55" i="47"/>
  <c r="R55" i="47"/>
  <c r="P55" i="47"/>
  <c r="O58" i="72" s="1"/>
  <c r="T55" i="47"/>
  <c r="Q55" i="47"/>
  <c r="P58" i="72" s="1"/>
  <c r="S52" i="47"/>
  <c r="R77" i="47"/>
  <c r="T77" i="47"/>
  <c r="P77" i="47"/>
  <c r="O80" i="72" s="1"/>
  <c r="S77" i="47"/>
  <c r="Q77" i="47"/>
  <c r="P80" i="72" s="1"/>
  <c r="S78" i="47"/>
  <c r="P78" i="47"/>
  <c r="O81" i="72" s="1"/>
  <c r="T78" i="47"/>
  <c r="Q78" i="47"/>
  <c r="P81" i="72" s="1"/>
  <c r="R78" i="47"/>
  <c r="S86" i="47"/>
  <c r="P86" i="47"/>
  <c r="O89" i="72" s="1"/>
  <c r="T86" i="47"/>
  <c r="R86" i="47"/>
  <c r="Q86" i="47"/>
  <c r="P89" i="72" s="1"/>
  <c r="S49" i="47"/>
  <c r="S47" i="47"/>
  <c r="R73" i="47"/>
  <c r="T73" i="47"/>
  <c r="P73" i="47"/>
  <c r="O76" i="72" s="1"/>
  <c r="S73" i="47"/>
  <c r="Q73" i="47"/>
  <c r="P76" i="72" s="1"/>
  <c r="Q72" i="47"/>
  <c r="P75" i="72" s="1"/>
  <c r="R72" i="47"/>
  <c r="S72" i="47"/>
  <c r="P72" i="47"/>
  <c r="O75" i="72" s="1"/>
  <c r="Q80" i="47"/>
  <c r="P83" i="72" s="1"/>
  <c r="R80" i="47"/>
  <c r="S80" i="47"/>
  <c r="P80" i="47"/>
  <c r="O83" i="72" s="1"/>
  <c r="S46" i="47"/>
  <c r="S63" i="47"/>
  <c r="T63" i="47"/>
  <c r="Q63" i="47"/>
  <c r="P66" i="72" s="1"/>
  <c r="R63" i="47"/>
  <c r="P63" i="47"/>
  <c r="O66" i="72" s="1"/>
  <c r="R85" i="47"/>
  <c r="T85" i="47"/>
  <c r="P85" i="47"/>
  <c r="O88" i="72" s="1"/>
  <c r="S85" i="47"/>
  <c r="Q85" i="47"/>
  <c r="P88" i="72" s="1"/>
  <c r="S68" i="47"/>
  <c r="S70" i="47"/>
  <c r="P70" i="47"/>
  <c r="O73" i="72" s="1"/>
  <c r="T70" i="47"/>
  <c r="Q70" i="47"/>
  <c r="P73" i="72" s="1"/>
  <c r="R70" i="47"/>
  <c r="Y236" i="47"/>
  <c r="H236" i="47" s="1"/>
  <c r="I241" i="72" s="1"/>
  <c r="M236" i="47"/>
  <c r="Y255" i="47"/>
  <c r="H255" i="47" s="1"/>
  <c r="I260" i="72" s="1"/>
  <c r="M255" i="47"/>
  <c r="Y262" i="47"/>
  <c r="H262" i="47" s="1"/>
  <c r="I267" i="72" s="1"/>
  <c r="M262" i="47"/>
  <c r="Y240" i="47"/>
  <c r="H240" i="47" s="1"/>
  <c r="I245" i="72" s="1"/>
  <c r="M240" i="47"/>
  <c r="J53" i="47"/>
  <c r="O53" i="47" s="1"/>
  <c r="J58" i="47"/>
  <c r="O58" i="47" s="1"/>
  <c r="J64" i="47"/>
  <c r="O64" i="47" s="1"/>
  <c r="J82" i="47"/>
  <c r="O82" i="47" s="1"/>
  <c r="J69" i="47"/>
  <c r="O69" i="47" s="1"/>
  <c r="J51" i="47"/>
  <c r="O51" i="47" s="1"/>
  <c r="J84" i="47"/>
  <c r="O84" i="47" s="1"/>
  <c r="J77" i="47"/>
  <c r="O77" i="47" s="1"/>
  <c r="J63" i="47"/>
  <c r="O63" i="47" s="1"/>
  <c r="J52" i="47"/>
  <c r="O52" i="47" s="1"/>
  <c r="L73" i="47"/>
  <c r="L76" i="72" s="1"/>
  <c r="J73" i="47"/>
  <c r="J55" i="47"/>
  <c r="O55" i="47" s="1"/>
  <c r="J46" i="47"/>
  <c r="O46" i="47" s="1"/>
  <c r="J72" i="47"/>
  <c r="O72" i="47" s="1"/>
  <c r="J81" i="47"/>
  <c r="O81" i="47" s="1"/>
  <c r="J83" i="47"/>
  <c r="O83" i="47" s="1"/>
  <c r="J45" i="47"/>
  <c r="O45" i="47" s="1"/>
  <c r="J68" i="47"/>
  <c r="O68" i="47" s="1"/>
  <c r="J62" i="47"/>
  <c r="O62" i="47" s="1"/>
  <c r="J70" i="47"/>
  <c r="O70" i="47" s="1"/>
  <c r="O71" i="11"/>
  <c r="O45" i="11"/>
  <c r="O70" i="11"/>
  <c r="O61" i="11"/>
  <c r="O55" i="11"/>
  <c r="O60" i="11"/>
  <c r="O64" i="11"/>
  <c r="O78" i="11"/>
  <c r="O81" i="11"/>
  <c r="O59" i="11"/>
  <c r="O82" i="11"/>
  <c r="O54" i="11"/>
  <c r="O73" i="11"/>
  <c r="O50" i="11"/>
  <c r="O68" i="11"/>
  <c r="O57" i="11"/>
  <c r="O74" i="11"/>
  <c r="O80" i="11"/>
  <c r="O56" i="11"/>
  <c r="Y294" i="11"/>
  <c r="H294" i="11" s="1"/>
  <c r="I299" i="63" s="1"/>
  <c r="M294" i="11"/>
  <c r="Y225" i="11"/>
  <c r="H225" i="11" s="1"/>
  <c r="I230" i="63" s="1"/>
  <c r="M225" i="11"/>
  <c r="Y258" i="11"/>
  <c r="H258" i="11" s="1"/>
  <c r="I263" i="63" s="1"/>
  <c r="M258" i="11"/>
  <c r="T56" i="11"/>
  <c r="Q56" i="11"/>
  <c r="R56" i="11"/>
  <c r="P56" i="11"/>
  <c r="S56" i="11"/>
  <c r="Q57" i="11"/>
  <c r="R57" i="11"/>
  <c r="S57" i="11"/>
  <c r="P57" i="11"/>
  <c r="T57" i="11"/>
  <c r="S59" i="11"/>
  <c r="P59" i="11"/>
  <c r="T59" i="11"/>
  <c r="Q59" i="11"/>
  <c r="R59" i="11"/>
  <c r="R85" i="11"/>
  <c r="S85" i="11"/>
  <c r="T85" i="11"/>
  <c r="Q85" i="11"/>
  <c r="P85" i="11"/>
  <c r="Q86" i="11"/>
  <c r="S86" i="11"/>
  <c r="R86" i="11"/>
  <c r="P86" i="11"/>
  <c r="T86" i="11"/>
  <c r="Q74" i="11"/>
  <c r="T74" i="11"/>
  <c r="S74" i="11"/>
  <c r="R74" i="11"/>
  <c r="P74" i="11"/>
  <c r="Q53" i="11"/>
  <c r="R53" i="11"/>
  <c r="S53" i="11"/>
  <c r="T53" i="11"/>
  <c r="P53" i="11"/>
  <c r="S55" i="11"/>
  <c r="P55" i="11"/>
  <c r="T55" i="11"/>
  <c r="R55" i="11"/>
  <c r="Q55" i="11"/>
  <c r="T79" i="11"/>
  <c r="R79" i="11"/>
  <c r="Q79" i="11"/>
  <c r="S79" i="11"/>
  <c r="P79" i="11"/>
  <c r="Q78" i="11"/>
  <c r="P78" i="11"/>
  <c r="T78" i="11"/>
  <c r="S78" i="11"/>
  <c r="R78" i="11"/>
  <c r="Q72" i="11"/>
  <c r="R72" i="11"/>
  <c r="P72" i="11"/>
  <c r="T72" i="11"/>
  <c r="S72" i="11"/>
  <c r="T64" i="11"/>
  <c r="R64" i="11"/>
  <c r="S64" i="11"/>
  <c r="Q64" i="11"/>
  <c r="P64" i="11"/>
  <c r="S47" i="11"/>
  <c r="Q61" i="11"/>
  <c r="R61" i="11"/>
  <c r="S61" i="11"/>
  <c r="P61" i="11"/>
  <c r="T61" i="11"/>
  <c r="T60" i="11"/>
  <c r="S60" i="11"/>
  <c r="Q60" i="11"/>
  <c r="R60" i="11"/>
  <c r="P60" i="11"/>
  <c r="R62" i="11"/>
  <c r="P62" i="11"/>
  <c r="T62" i="11"/>
  <c r="S62" i="11"/>
  <c r="Q62" i="11"/>
  <c r="R50" i="11"/>
  <c r="P50" i="11"/>
  <c r="T50" i="11"/>
  <c r="S50" i="11"/>
  <c r="Q50" i="11"/>
  <c r="T71" i="11"/>
  <c r="Q71" i="11"/>
  <c r="R71" i="11"/>
  <c r="P71" i="11"/>
  <c r="S71" i="11"/>
  <c r="S68" i="11"/>
  <c r="R73" i="11"/>
  <c r="S73" i="11"/>
  <c r="T73" i="11"/>
  <c r="Q73" i="11"/>
  <c r="P73" i="11"/>
  <c r="Y259" i="11"/>
  <c r="H259" i="11" s="1"/>
  <c r="I264" i="63" s="1"/>
  <c r="M259" i="11"/>
  <c r="Y248" i="11"/>
  <c r="H248" i="11" s="1"/>
  <c r="I253" i="63" s="1"/>
  <c r="M248" i="11"/>
  <c r="Y322" i="11"/>
  <c r="H322" i="11" s="1"/>
  <c r="I327" i="63" s="1"/>
  <c r="M322" i="11"/>
  <c r="Y327" i="11"/>
  <c r="H327" i="11" s="1"/>
  <c r="I332" i="63" s="1"/>
  <c r="M327" i="11"/>
  <c r="Y262" i="11"/>
  <c r="H262" i="11" s="1"/>
  <c r="I267" i="63" s="1"/>
  <c r="M262" i="11"/>
  <c r="Y328" i="11"/>
  <c r="H328" i="11" s="1"/>
  <c r="I333" i="63" s="1"/>
  <c r="M328" i="11"/>
  <c r="Y325" i="11"/>
  <c r="H325" i="11" s="1"/>
  <c r="I330" i="63" s="1"/>
  <c r="M325" i="11"/>
  <c r="Y234" i="11"/>
  <c r="H234" i="11" s="1"/>
  <c r="I239" i="63" s="1"/>
  <c r="M234" i="11"/>
  <c r="Y261" i="11"/>
  <c r="H261" i="11" s="1"/>
  <c r="I266" i="63" s="1"/>
  <c r="M261" i="11"/>
  <c r="Y250" i="11"/>
  <c r="H250" i="11" s="1"/>
  <c r="I255" i="63" s="1"/>
  <c r="M250" i="11"/>
  <c r="Y324" i="11"/>
  <c r="H324" i="11" s="1"/>
  <c r="I329" i="63" s="1"/>
  <c r="M324" i="11"/>
  <c r="Y329" i="11"/>
  <c r="H329" i="11" s="1"/>
  <c r="I334" i="63" s="1"/>
  <c r="M329" i="11"/>
  <c r="Y235" i="11"/>
  <c r="H235" i="11" s="1"/>
  <c r="I240" i="63" s="1"/>
  <c r="M235" i="11"/>
  <c r="Y236" i="11"/>
  <c r="H236" i="11" s="1"/>
  <c r="I241" i="63" s="1"/>
  <c r="M236" i="11"/>
  <c r="Y263" i="11"/>
  <c r="H263" i="11" s="1"/>
  <c r="I268" i="63" s="1"/>
  <c r="M263" i="11"/>
  <c r="Y326" i="11"/>
  <c r="H326" i="11" s="1"/>
  <c r="I331" i="63" s="1"/>
  <c r="M326" i="11"/>
  <c r="Y315" i="11"/>
  <c r="H315" i="11" s="1"/>
  <c r="I320" i="63" s="1"/>
  <c r="M315" i="11"/>
  <c r="O62" i="11"/>
  <c r="O85" i="11"/>
  <c r="Y229" i="11"/>
  <c r="H229" i="11" s="1"/>
  <c r="I234" i="63" s="1"/>
  <c r="M229" i="11"/>
  <c r="Y277" i="11"/>
  <c r="H277" i="11" s="1"/>
  <c r="I282" i="63" s="1"/>
  <c r="M277" i="11"/>
  <c r="Y310" i="11"/>
  <c r="H310" i="11" s="1"/>
  <c r="I315" i="63" s="1"/>
  <c r="M310" i="11"/>
  <c r="Y230" i="11"/>
  <c r="H230" i="11" s="1"/>
  <c r="I235" i="63" s="1"/>
  <c r="M230" i="11"/>
  <c r="Y249" i="11"/>
  <c r="H249" i="11" s="1"/>
  <c r="I254" i="63" s="1"/>
  <c r="M249" i="11"/>
  <c r="Y293" i="11"/>
  <c r="H293" i="11" s="1"/>
  <c r="I298" i="63" s="1"/>
  <c r="M293" i="11"/>
  <c r="Y323" i="11"/>
  <c r="H323" i="11" s="1"/>
  <c r="I328" i="63" s="1"/>
  <c r="M323" i="11"/>
  <c r="Y274" i="11"/>
  <c r="H274" i="11" s="1"/>
  <c r="I279" i="63" s="1"/>
  <c r="M274" i="11"/>
  <c r="Y307" i="11"/>
  <c r="H307" i="11" s="1"/>
  <c r="I312" i="63" s="1"/>
  <c r="M307" i="11"/>
  <c r="Y296" i="11"/>
  <c r="H296" i="11" s="1"/>
  <c r="I301" i="63" s="1"/>
  <c r="M296" i="11"/>
  <c r="Y286" i="11"/>
  <c r="H286" i="11" s="1"/>
  <c r="I291" i="63" s="1"/>
  <c r="M286" i="11"/>
  <c r="Y303" i="11"/>
  <c r="H303" i="11" s="1"/>
  <c r="I308" i="63" s="1"/>
  <c r="M303" i="11"/>
  <c r="Y317" i="11"/>
  <c r="H317" i="11" s="1"/>
  <c r="I322" i="63" s="1"/>
  <c r="M317" i="11"/>
  <c r="Y309" i="11"/>
  <c r="H309" i="11" s="1"/>
  <c r="I314" i="63" s="1"/>
  <c r="M309" i="11"/>
  <c r="Y223" i="11"/>
  <c r="H223" i="11" s="1"/>
  <c r="I228" i="63" s="1"/>
  <c r="Y224" i="11"/>
  <c r="H224" i="11" s="1"/>
  <c r="I229" i="63" s="1"/>
  <c r="M224" i="11"/>
  <c r="Y280" i="11"/>
  <c r="H280" i="11" s="1"/>
  <c r="I285" i="63" s="1"/>
  <c r="M280" i="11"/>
  <c r="Y285" i="11"/>
  <c r="H285" i="11" s="1"/>
  <c r="I290" i="63" s="1"/>
  <c r="M285" i="11"/>
  <c r="Y269" i="11"/>
  <c r="H269" i="11" s="1"/>
  <c r="I274" i="63" s="1"/>
  <c r="M269" i="11"/>
  <c r="Y297" i="11"/>
  <c r="H297" i="11" s="1"/>
  <c r="I302" i="63" s="1"/>
  <c r="M297" i="11"/>
  <c r="Y302" i="11"/>
  <c r="H302" i="11" s="1"/>
  <c r="I307" i="63" s="1"/>
  <c r="M302" i="11"/>
  <c r="Y251" i="11"/>
  <c r="H251" i="11" s="1"/>
  <c r="I256" i="63" s="1"/>
  <c r="M251" i="11"/>
  <c r="Y270" i="11"/>
  <c r="H270" i="11" s="1"/>
  <c r="I275" i="63" s="1"/>
  <c r="M270" i="11"/>
  <c r="Y300" i="11"/>
  <c r="H300" i="11" s="1"/>
  <c r="I305" i="63" s="1"/>
  <c r="M300" i="11"/>
  <c r="Y254" i="11"/>
  <c r="H254" i="11" s="1"/>
  <c r="I259" i="63" s="1"/>
  <c r="M254" i="11"/>
  <c r="Y228" i="11"/>
  <c r="H228" i="11" s="1"/>
  <c r="I233" i="63" s="1"/>
  <c r="M228" i="11"/>
  <c r="Y276" i="11"/>
  <c r="H276" i="11" s="1"/>
  <c r="I281" i="63" s="1"/>
  <c r="M276" i="11"/>
  <c r="Y273" i="11"/>
  <c r="H273" i="11" s="1"/>
  <c r="I278" i="63" s="1"/>
  <c r="M273" i="11"/>
  <c r="Y298" i="11"/>
  <c r="H298" i="11" s="1"/>
  <c r="I303" i="63" s="1"/>
  <c r="M298" i="11"/>
  <c r="Y318" i="11"/>
  <c r="H318" i="11" s="1"/>
  <c r="I323" i="63" s="1"/>
  <c r="M318" i="11"/>
  <c r="Y226" i="11"/>
  <c r="H226" i="11" s="1"/>
  <c r="I231" i="63" s="1"/>
  <c r="M226" i="11"/>
  <c r="Y282" i="11"/>
  <c r="H282" i="11" s="1"/>
  <c r="I287" i="63" s="1"/>
  <c r="M282" i="11"/>
  <c r="Y287" i="11"/>
  <c r="H287" i="11" s="1"/>
  <c r="I292" i="63" s="1"/>
  <c r="M287" i="11"/>
  <c r="Y271" i="11"/>
  <c r="H271" i="11" s="1"/>
  <c r="I276" i="63" s="1"/>
  <c r="M271" i="11"/>
  <c r="Y299" i="11"/>
  <c r="H299" i="11" s="1"/>
  <c r="I304" i="63" s="1"/>
  <c r="M299" i="11"/>
  <c r="Y304" i="11"/>
  <c r="H304" i="11" s="1"/>
  <c r="I309" i="63" s="1"/>
  <c r="M304" i="11"/>
  <c r="Y253" i="11"/>
  <c r="H253" i="11" s="1"/>
  <c r="I258" i="63" s="1"/>
  <c r="M253" i="11"/>
  <c r="Y227" i="11"/>
  <c r="H227" i="11" s="1"/>
  <c r="I232" i="63" s="1"/>
  <c r="M227" i="11"/>
  <c r="Y278" i="11"/>
  <c r="H278" i="11" s="1"/>
  <c r="I283" i="63" s="1"/>
  <c r="M278" i="11"/>
  <c r="Y275" i="11"/>
  <c r="H275" i="11" s="1"/>
  <c r="I280" i="63" s="1"/>
  <c r="M275" i="11"/>
  <c r="Y308" i="11"/>
  <c r="H308" i="11" s="1"/>
  <c r="I313" i="63" s="1"/>
  <c r="M308" i="11"/>
  <c r="Y333" i="11"/>
  <c r="H333" i="11" s="1"/>
  <c r="I338" i="63" s="1"/>
  <c r="M333" i="11"/>
  <c r="Y233" i="11"/>
  <c r="H233" i="11" s="1"/>
  <c r="I238" i="63" s="1"/>
  <c r="M233" i="11"/>
  <c r="Y268" i="11"/>
  <c r="H268" i="11" s="1"/>
  <c r="I273" i="63" s="1"/>
  <c r="M268" i="11"/>
  <c r="Y301" i="11"/>
  <c r="H301" i="11" s="1"/>
  <c r="I306" i="63" s="1"/>
  <c r="M301" i="11"/>
  <c r="Y247" i="11"/>
  <c r="H247" i="11" s="1"/>
  <c r="I252" i="63" s="1"/>
  <c r="M247" i="11"/>
  <c r="O84" i="11"/>
  <c r="O52" i="11"/>
  <c r="O63" i="11"/>
  <c r="O69" i="11"/>
  <c r="O51" i="11"/>
  <c r="O58" i="11"/>
  <c r="O77" i="11"/>
  <c r="O46" i="11"/>
  <c r="R58" i="11"/>
  <c r="P58" i="11"/>
  <c r="T58" i="11"/>
  <c r="S58" i="11"/>
  <c r="Q58" i="11"/>
  <c r="S49" i="11"/>
  <c r="T83" i="11"/>
  <c r="Q83" i="11"/>
  <c r="P83" i="11"/>
  <c r="R83" i="11"/>
  <c r="S83" i="11"/>
  <c r="Q84" i="11"/>
  <c r="R84" i="11"/>
  <c r="P84" i="11"/>
  <c r="T84" i="11"/>
  <c r="S84" i="11"/>
  <c r="Q82" i="11"/>
  <c r="R82" i="11"/>
  <c r="P82" i="11"/>
  <c r="T82" i="11"/>
  <c r="S82" i="11"/>
  <c r="T52" i="11"/>
  <c r="P52" i="11"/>
  <c r="R52" i="11"/>
  <c r="S52" i="11"/>
  <c r="Q52" i="11"/>
  <c r="S51" i="11"/>
  <c r="P51" i="11"/>
  <c r="T51" i="11"/>
  <c r="Q51" i="11"/>
  <c r="R51" i="11"/>
  <c r="S45" i="11"/>
  <c r="Q80" i="11"/>
  <c r="R80" i="11"/>
  <c r="P80" i="11"/>
  <c r="T80" i="11"/>
  <c r="S80" i="11"/>
  <c r="Q76" i="11"/>
  <c r="R76" i="11"/>
  <c r="P76" i="11"/>
  <c r="T76" i="11"/>
  <c r="S76" i="11"/>
  <c r="Q70" i="11"/>
  <c r="S70" i="11"/>
  <c r="R70" i="11"/>
  <c r="P70" i="11"/>
  <c r="T70" i="11"/>
  <c r="S48" i="11"/>
  <c r="S46" i="11"/>
  <c r="T75" i="11"/>
  <c r="R75" i="11"/>
  <c r="Q75" i="11"/>
  <c r="P75" i="11"/>
  <c r="S75" i="11"/>
  <c r="S63" i="11"/>
  <c r="P63" i="11"/>
  <c r="T63" i="11"/>
  <c r="R63" i="11"/>
  <c r="Q63" i="11"/>
  <c r="R54" i="11"/>
  <c r="P54" i="11"/>
  <c r="T54" i="11"/>
  <c r="S54" i="11"/>
  <c r="Q54" i="11"/>
  <c r="T87" i="11"/>
  <c r="Q87" i="11"/>
  <c r="R87" i="11"/>
  <c r="P87" i="11"/>
  <c r="S87" i="11"/>
  <c r="R69" i="11"/>
  <c r="S69" i="11"/>
  <c r="T69" i="11"/>
  <c r="Q69" i="11"/>
  <c r="P69" i="11"/>
  <c r="R77" i="11"/>
  <c r="S77" i="11"/>
  <c r="T77" i="11"/>
  <c r="Q77" i="11"/>
  <c r="P77" i="11"/>
  <c r="R81" i="11"/>
  <c r="S81" i="11"/>
  <c r="T81" i="11"/>
  <c r="Q81" i="11"/>
  <c r="P81" i="11"/>
  <c r="Y240" i="11"/>
  <c r="H240" i="11" s="1"/>
  <c r="I245" i="63" s="1"/>
  <c r="M240" i="11"/>
  <c r="Y272" i="11"/>
  <c r="H272" i="11" s="1"/>
  <c r="I277" i="63" s="1"/>
  <c r="M272" i="11"/>
  <c r="Y305" i="11"/>
  <c r="H305" i="11" s="1"/>
  <c r="I310" i="63" s="1"/>
  <c r="M305" i="11"/>
  <c r="Y256" i="11"/>
  <c r="H256" i="11" s="1"/>
  <c r="I261" i="63" s="1"/>
  <c r="M256" i="11"/>
  <c r="Y295" i="11"/>
  <c r="H295" i="11" s="1"/>
  <c r="I300" i="63" s="1"/>
  <c r="M295" i="11"/>
  <c r="Y281" i="11"/>
  <c r="H281" i="11" s="1"/>
  <c r="I286" i="63" s="1"/>
  <c r="M281" i="11"/>
  <c r="Y260" i="11"/>
  <c r="H260" i="11" s="1"/>
  <c r="I265" i="63" s="1"/>
  <c r="M260" i="11"/>
  <c r="Y231" i="11"/>
  <c r="H231" i="11" s="1"/>
  <c r="I236" i="63" s="1"/>
  <c r="M231" i="11"/>
  <c r="Y279" i="11"/>
  <c r="H279" i="11" s="1"/>
  <c r="I284" i="63" s="1"/>
  <c r="M279" i="11"/>
  <c r="Y291" i="11"/>
  <c r="H291" i="11" s="1"/>
  <c r="I296" i="63" s="1"/>
  <c r="M291" i="11"/>
  <c r="Y238" i="11"/>
  <c r="H238" i="11" s="1"/>
  <c r="I243" i="63" s="1"/>
  <c r="M238" i="11"/>
  <c r="Y283" i="11"/>
  <c r="H283" i="11" s="1"/>
  <c r="I288" i="63" s="1"/>
  <c r="M283" i="11"/>
  <c r="Y292" i="11"/>
  <c r="H292" i="11" s="1"/>
  <c r="I297" i="63" s="1"/>
  <c r="M292" i="11"/>
  <c r="Y284" i="11"/>
  <c r="H284" i="11" s="1"/>
  <c r="I289" i="63" s="1"/>
  <c r="M284" i="11"/>
  <c r="Y306" i="11"/>
  <c r="H306" i="11" s="1"/>
  <c r="I311" i="63" s="1"/>
  <c r="M306" i="11"/>
  <c r="Y232" i="11"/>
  <c r="H232" i="11" s="1"/>
  <c r="I237" i="63" s="1"/>
  <c r="M232" i="11"/>
  <c r="Y222" i="11"/>
  <c r="H222" i="11" s="1"/>
  <c r="I227" i="63" s="1"/>
  <c r="Y237" i="11"/>
  <c r="H237" i="11" s="1"/>
  <c r="I242" i="63" s="1"/>
  <c r="M237" i="11"/>
  <c r="Y264" i="11"/>
  <c r="H264" i="11" s="1"/>
  <c r="I269" i="63" s="1"/>
  <c r="M264" i="11"/>
  <c r="Y330" i="11"/>
  <c r="H330" i="11" s="1"/>
  <c r="I335" i="63" s="1"/>
  <c r="M330" i="11"/>
  <c r="Y314" i="11"/>
  <c r="H314" i="11" s="1"/>
  <c r="I319" i="63" s="1"/>
  <c r="M314" i="11"/>
  <c r="S314" i="11" s="1"/>
  <c r="Y319" i="11"/>
  <c r="H319" i="11" s="1"/>
  <c r="I324" i="63" s="1"/>
  <c r="M319" i="11"/>
  <c r="Y257" i="11"/>
  <c r="H257" i="11" s="1"/>
  <c r="I262" i="63" s="1"/>
  <c r="M257" i="11"/>
  <c r="Y246" i="11"/>
  <c r="H246" i="11" s="1"/>
  <c r="I251" i="63" s="1"/>
  <c r="M246" i="11"/>
  <c r="Y320" i="11"/>
  <c r="H320" i="11" s="1"/>
  <c r="I325" i="63" s="1"/>
  <c r="M320" i="11"/>
  <c r="Y241" i="11"/>
  <c r="H241" i="11" s="1"/>
  <c r="I246" i="63" s="1"/>
  <c r="M241" i="11"/>
  <c r="Y255" i="11"/>
  <c r="H255" i="11" s="1"/>
  <c r="I260" i="63" s="1"/>
  <c r="M255" i="11"/>
  <c r="Y239" i="11"/>
  <c r="H239" i="11" s="1"/>
  <c r="I244" i="63" s="1"/>
  <c r="M239" i="11"/>
  <c r="Y245" i="11"/>
  <c r="H245" i="11" s="1"/>
  <c r="I250" i="63" s="1"/>
  <c r="M245" i="11"/>
  <c r="Y332" i="11"/>
  <c r="H332" i="11" s="1"/>
  <c r="I337" i="63" s="1"/>
  <c r="M332" i="11"/>
  <c r="Y316" i="11"/>
  <c r="H316" i="11" s="1"/>
  <c r="I321" i="63" s="1"/>
  <c r="M316" i="11"/>
  <c r="Y321" i="11"/>
  <c r="H321" i="11" s="1"/>
  <c r="I326" i="63" s="1"/>
  <c r="M321" i="11"/>
  <c r="Y252" i="11"/>
  <c r="H252" i="11" s="1"/>
  <c r="I257" i="63" s="1"/>
  <c r="M252" i="11"/>
  <c r="Y331" i="11"/>
  <c r="H331" i="11" s="1"/>
  <c r="I336" i="63" s="1"/>
  <c r="M331" i="11"/>
  <c r="O48" i="11"/>
  <c r="O49" i="11"/>
  <c r="O87" i="11"/>
  <c r="O75" i="11"/>
  <c r="O76" i="11"/>
  <c r="O53" i="11"/>
  <c r="O86" i="11"/>
  <c r="O47" i="11"/>
  <c r="O83" i="11"/>
  <c r="O72" i="11"/>
  <c r="O79" i="54"/>
  <c r="O60" i="54"/>
  <c r="O84" i="54"/>
  <c r="O80" i="54"/>
  <c r="O64" i="54"/>
  <c r="O70" i="54"/>
  <c r="O61" i="54"/>
  <c r="O48" i="54"/>
  <c r="O55" i="54"/>
  <c r="O62" i="54"/>
  <c r="O53" i="54"/>
  <c r="O46" i="54"/>
  <c r="O72" i="54"/>
  <c r="O47" i="54"/>
  <c r="O68" i="54"/>
  <c r="O45" i="54"/>
  <c r="O75" i="54"/>
  <c r="O49" i="54"/>
  <c r="O52" i="54"/>
  <c r="O74" i="54"/>
  <c r="O51" i="54"/>
  <c r="O56" i="54"/>
  <c r="N80" i="54"/>
  <c r="N68" i="54"/>
  <c r="AH68" i="54" s="1"/>
  <c r="AQ68" i="54" s="1"/>
  <c r="O63" i="54"/>
  <c r="N74" i="54"/>
  <c r="AH74" i="54" s="1"/>
  <c r="AQ74" i="54" s="1"/>
  <c r="O73" i="54"/>
  <c r="N57" i="54"/>
  <c r="N48" i="54"/>
  <c r="AH48" i="54" s="1"/>
  <c r="AQ48" i="54" s="1"/>
  <c r="O58" i="54"/>
  <c r="N82" i="54"/>
  <c r="AH82" i="54" s="1"/>
  <c r="AQ82" i="54" s="1"/>
  <c r="N54" i="54"/>
  <c r="AH54" i="54" s="1"/>
  <c r="AQ54" i="54" s="1"/>
  <c r="N55" i="54"/>
  <c r="AH55" i="54" s="1"/>
  <c r="AQ55" i="54" s="1"/>
  <c r="O59" i="54"/>
  <c r="O87" i="54"/>
  <c r="N75" i="54"/>
  <c r="AH75" i="54" s="1"/>
  <c r="AQ75" i="54" s="1"/>
  <c r="Q64" i="54"/>
  <c r="T64" i="54"/>
  <c r="P72" i="54"/>
  <c r="N56" i="54"/>
  <c r="AH56" i="54" s="1"/>
  <c r="AQ56" i="54" s="1"/>
  <c r="N46" i="54"/>
  <c r="N63" i="54"/>
  <c r="AH63" i="54" s="1"/>
  <c r="AQ63" i="54" s="1"/>
  <c r="N73" i="54"/>
  <c r="N58" i="54"/>
  <c r="AH58" i="54" s="1"/>
  <c r="AQ58" i="54" s="1"/>
  <c r="N76" i="54"/>
  <c r="N81" i="54"/>
  <c r="AH81" i="54" s="1"/>
  <c r="AQ81" i="54" s="1"/>
  <c r="N51" i="54"/>
  <c r="N83" i="54"/>
  <c r="AH83" i="54" s="1"/>
  <c r="AQ83" i="54" s="1"/>
  <c r="Q72" i="54"/>
  <c r="N85" i="54"/>
  <c r="AH85" i="54" s="1"/>
  <c r="AQ85" i="54" s="1"/>
  <c r="N61" i="54"/>
  <c r="AH61" i="54" s="1"/>
  <c r="AQ61" i="54" s="1"/>
  <c r="O50" i="54"/>
  <c r="N62" i="54"/>
  <c r="AH62" i="54" s="1"/>
  <c r="AQ62" i="54" s="1"/>
  <c r="N53" i="54"/>
  <c r="O85" i="54"/>
  <c r="N77" i="54"/>
  <c r="AH77" i="54" s="1"/>
  <c r="AQ77" i="54" s="1"/>
  <c r="O57" i="54"/>
  <c r="N69" i="54"/>
  <c r="AH69" i="54" s="1"/>
  <c r="AQ69" i="54" s="1"/>
  <c r="N84" i="54"/>
  <c r="O78" i="54"/>
  <c r="O81" i="54"/>
  <c r="O83" i="54"/>
  <c r="O54" i="54"/>
  <c r="N59" i="54"/>
  <c r="AH59" i="54" s="1"/>
  <c r="AQ59" i="54" s="1"/>
  <c r="N79" i="54"/>
  <c r="N50" i="54"/>
  <c r="AH50" i="54" s="1"/>
  <c r="AQ50" i="54" s="1"/>
  <c r="N86" i="54"/>
  <c r="N71" i="54"/>
  <c r="AH71" i="54" s="1"/>
  <c r="AQ71" i="54" s="1"/>
  <c r="O71" i="54"/>
  <c r="N49" i="54"/>
  <c r="AH49" i="54" s="1"/>
  <c r="AQ49" i="54" s="1"/>
  <c r="N45" i="54"/>
  <c r="AH45" i="54" s="1"/>
  <c r="AQ45" i="54" s="1"/>
  <c r="O77" i="54"/>
  <c r="N52" i="54"/>
  <c r="AH52" i="54" s="1"/>
  <c r="AQ52" i="54" s="1"/>
  <c r="N60" i="54"/>
  <c r="O69" i="54"/>
  <c r="N78" i="54"/>
  <c r="AH78" i="54" s="1"/>
  <c r="AQ78" i="54" s="1"/>
  <c r="N47" i="54"/>
  <c r="AH47" i="54" s="1"/>
  <c r="AQ47" i="54" s="1"/>
  <c r="N70" i="54"/>
  <c r="AH70" i="54" s="1"/>
  <c r="AQ70" i="54" s="1"/>
  <c r="N87" i="54"/>
  <c r="AH87" i="54" s="1"/>
  <c r="AQ87" i="54" s="1"/>
  <c r="X232" i="47"/>
  <c r="G232" i="47" s="1"/>
  <c r="H237" i="72" s="1"/>
  <c r="W232" i="47"/>
  <c r="W229" i="47"/>
  <c r="X229" i="47"/>
  <c r="G229" i="47" s="1"/>
  <c r="H234" i="72" s="1"/>
  <c r="W237" i="47"/>
  <c r="X237" i="47"/>
  <c r="G237" i="47" s="1"/>
  <c r="H242" i="72" s="1"/>
  <c r="X259" i="47"/>
  <c r="G259" i="47" s="1"/>
  <c r="H264" i="72" s="1"/>
  <c r="W259" i="47"/>
  <c r="X246" i="47"/>
  <c r="G246" i="47" s="1"/>
  <c r="H251" i="72" s="1"/>
  <c r="W246" i="47"/>
  <c r="X264" i="47"/>
  <c r="G264" i="47" s="1"/>
  <c r="H269" i="72" s="1"/>
  <c r="W264" i="47"/>
  <c r="W225" i="47"/>
  <c r="X225" i="47"/>
  <c r="G225" i="47" s="1"/>
  <c r="H230" i="72" s="1"/>
  <c r="W260" i="47"/>
  <c r="X260" i="47"/>
  <c r="G260" i="47" s="1"/>
  <c r="H265" i="72" s="1"/>
  <c r="X228" i="47"/>
  <c r="G228" i="47" s="1"/>
  <c r="H233" i="72" s="1"/>
  <c r="W228" i="47"/>
  <c r="F228" i="47" s="1"/>
  <c r="F233" i="72" s="1"/>
  <c r="X256" i="47"/>
  <c r="G256" i="47" s="1"/>
  <c r="H261" i="72" s="1"/>
  <c r="W256" i="47"/>
  <c r="W223" i="47"/>
  <c r="X223" i="47"/>
  <c r="G223" i="47" s="1"/>
  <c r="H228" i="72" s="1"/>
  <c r="X240" i="47"/>
  <c r="G240" i="47" s="1"/>
  <c r="H245" i="72" s="1"/>
  <c r="W240" i="47"/>
  <c r="X236" i="47"/>
  <c r="G236" i="47" s="1"/>
  <c r="H241" i="72" s="1"/>
  <c r="W236" i="47"/>
  <c r="X261" i="47"/>
  <c r="G261" i="47" s="1"/>
  <c r="H266" i="72" s="1"/>
  <c r="W261" i="47"/>
  <c r="X224" i="47"/>
  <c r="G224" i="47" s="1"/>
  <c r="H229" i="72" s="1"/>
  <c r="W224" i="47"/>
  <c r="W250" i="47"/>
  <c r="X250" i="47"/>
  <c r="G250" i="47" s="1"/>
  <c r="H255" i="72" s="1"/>
  <c r="W252" i="47"/>
  <c r="F252" i="47" s="1"/>
  <c r="F257" i="72" s="1"/>
  <c r="X252" i="47"/>
  <c r="G252" i="47" s="1"/>
  <c r="H257" i="72" s="1"/>
  <c r="X262" i="47"/>
  <c r="G262" i="47" s="1"/>
  <c r="H267" i="72" s="1"/>
  <c r="W262" i="47"/>
  <c r="X245" i="47"/>
  <c r="G245" i="47" s="1"/>
  <c r="H250" i="72" s="1"/>
  <c r="W245" i="47"/>
  <c r="F245" i="47" s="1"/>
  <c r="X234" i="47"/>
  <c r="G234" i="47" s="1"/>
  <c r="H239" i="72" s="1"/>
  <c r="W234" i="47"/>
  <c r="W233" i="47"/>
  <c r="X233" i="47"/>
  <c r="G233" i="47" s="1"/>
  <c r="H238" i="72" s="1"/>
  <c r="X255" i="47"/>
  <c r="G255" i="47" s="1"/>
  <c r="H260" i="72" s="1"/>
  <c r="W255" i="47"/>
  <c r="X247" i="47"/>
  <c r="G247" i="47" s="1"/>
  <c r="H252" i="72" s="1"/>
  <c r="W247" i="47"/>
  <c r="X226" i="47"/>
  <c r="G226" i="47" s="1"/>
  <c r="H231" i="72" s="1"/>
  <c r="W226" i="47"/>
  <c r="W235" i="47"/>
  <c r="X235" i="47"/>
  <c r="G235" i="47" s="1"/>
  <c r="H240" i="72" s="1"/>
  <c r="W231" i="47"/>
  <c r="X231" i="47"/>
  <c r="G231" i="47" s="1"/>
  <c r="H236" i="72" s="1"/>
  <c r="X257" i="47"/>
  <c r="G257" i="47" s="1"/>
  <c r="H262" i="72" s="1"/>
  <c r="W257" i="47"/>
  <c r="X249" i="47"/>
  <c r="G249" i="47" s="1"/>
  <c r="H254" i="72" s="1"/>
  <c r="W249" i="47"/>
  <c r="X248" i="47"/>
  <c r="G248" i="47" s="1"/>
  <c r="H253" i="72" s="1"/>
  <c r="W248" i="47"/>
  <c r="W239" i="47"/>
  <c r="X239" i="47"/>
  <c r="G239" i="47" s="1"/>
  <c r="H244" i="72" s="1"/>
  <c r="X222" i="47"/>
  <c r="G222" i="47" s="1"/>
  <c r="H227" i="72" s="1"/>
  <c r="W222" i="47"/>
  <c r="F222" i="47" s="1"/>
  <c r="W241" i="47"/>
  <c r="X241" i="47"/>
  <c r="G241" i="47" s="1"/>
  <c r="H246" i="72" s="1"/>
  <c r="X230" i="47"/>
  <c r="G230" i="47" s="1"/>
  <c r="H235" i="72" s="1"/>
  <c r="W230" i="47"/>
  <c r="W227" i="47"/>
  <c r="X227" i="47"/>
  <c r="G227" i="47" s="1"/>
  <c r="H232" i="72" s="1"/>
  <c r="W258" i="47"/>
  <c r="X258" i="47"/>
  <c r="G258" i="47" s="1"/>
  <c r="H263" i="72" s="1"/>
  <c r="X254" i="47"/>
  <c r="G254" i="47" s="1"/>
  <c r="H259" i="72" s="1"/>
  <c r="W254" i="47"/>
  <c r="X251" i="47"/>
  <c r="G251" i="47" s="1"/>
  <c r="H256" i="72" s="1"/>
  <c r="W251" i="47"/>
  <c r="X263" i="47"/>
  <c r="G263" i="47" s="1"/>
  <c r="H268" i="72" s="1"/>
  <c r="W263" i="47"/>
  <c r="X253" i="47"/>
  <c r="G253" i="47" s="1"/>
  <c r="H258" i="72" s="1"/>
  <c r="W253" i="47"/>
  <c r="X238" i="47"/>
  <c r="G238" i="47" s="1"/>
  <c r="H243" i="72" s="1"/>
  <c r="W238" i="47"/>
  <c r="W224" i="11"/>
  <c r="F224" i="11" s="1"/>
  <c r="X224" i="11"/>
  <c r="G224" i="11" s="1"/>
  <c r="X280" i="11"/>
  <c r="G280" i="11" s="1"/>
  <c r="W280" i="11"/>
  <c r="F280" i="11" s="1"/>
  <c r="W285" i="11"/>
  <c r="F285" i="11" s="1"/>
  <c r="X285" i="11"/>
  <c r="G285" i="11" s="1"/>
  <c r="W269" i="11"/>
  <c r="F269" i="11" s="1"/>
  <c r="X269" i="11"/>
  <c r="G269" i="11" s="1"/>
  <c r="W297" i="11"/>
  <c r="F297" i="11" s="1"/>
  <c r="X297" i="11"/>
  <c r="G297" i="11" s="1"/>
  <c r="X310" i="11"/>
  <c r="G310" i="11" s="1"/>
  <c r="W310" i="11"/>
  <c r="F310" i="11" s="1"/>
  <c r="W294" i="11"/>
  <c r="F294" i="11" s="1"/>
  <c r="X294" i="11"/>
  <c r="G294" i="11" s="1"/>
  <c r="W256" i="11"/>
  <c r="F256" i="11" s="1"/>
  <c r="X256" i="11"/>
  <c r="G256" i="11" s="1"/>
  <c r="X230" i="11"/>
  <c r="G230" i="11" s="1"/>
  <c r="W230" i="11"/>
  <c r="F230" i="11" s="1"/>
  <c r="X295" i="11"/>
  <c r="G295" i="11" s="1"/>
  <c r="W295" i="11"/>
  <c r="F295" i="11" s="1"/>
  <c r="X249" i="11"/>
  <c r="G249" i="11" s="1"/>
  <c r="W249" i="11"/>
  <c r="F249" i="11" s="1"/>
  <c r="W228" i="11"/>
  <c r="F228" i="11" s="1"/>
  <c r="X228" i="11"/>
  <c r="G228" i="11" s="1"/>
  <c r="X276" i="11"/>
  <c r="G276" i="11" s="1"/>
  <c r="W276" i="11"/>
  <c r="F276" i="11" s="1"/>
  <c r="W273" i="11"/>
  <c r="F273" i="11" s="1"/>
  <c r="X273" i="11"/>
  <c r="G273" i="11" s="1"/>
  <c r="W298" i="11"/>
  <c r="F298" i="11" s="1"/>
  <c r="X298" i="11"/>
  <c r="G298" i="11" s="1"/>
  <c r="X323" i="11"/>
  <c r="G323" i="11" s="1"/>
  <c r="W323" i="11"/>
  <c r="F323" i="11" s="1"/>
  <c r="W282" i="11"/>
  <c r="F282" i="11" s="1"/>
  <c r="X282" i="11"/>
  <c r="G282" i="11" s="1"/>
  <c r="W287" i="11"/>
  <c r="F287" i="11" s="1"/>
  <c r="X287" i="11"/>
  <c r="G287" i="11" s="1"/>
  <c r="W271" i="11"/>
  <c r="F271" i="11" s="1"/>
  <c r="X271" i="11"/>
  <c r="G271" i="11" s="1"/>
  <c r="X299" i="11"/>
  <c r="G299" i="11" s="1"/>
  <c r="W299" i="11"/>
  <c r="F299" i="11" s="1"/>
  <c r="X304" i="11"/>
  <c r="G304" i="11" s="1"/>
  <c r="W304" i="11"/>
  <c r="F304" i="11" s="1"/>
  <c r="X253" i="11"/>
  <c r="G253" i="11" s="1"/>
  <c r="W253" i="11"/>
  <c r="F253" i="11" s="1"/>
  <c r="W258" i="11"/>
  <c r="F258" i="11" s="1"/>
  <c r="X258" i="11"/>
  <c r="G258" i="11" s="1"/>
  <c r="W227" i="11"/>
  <c r="F227" i="11" s="1"/>
  <c r="X227" i="11"/>
  <c r="G227" i="11" s="1"/>
  <c r="W278" i="11"/>
  <c r="F278" i="11" s="1"/>
  <c r="X278" i="11"/>
  <c r="G278" i="11" s="1"/>
  <c r="W275" i="11"/>
  <c r="F275" i="11" s="1"/>
  <c r="X275" i="11"/>
  <c r="G275" i="11" s="1"/>
  <c r="X308" i="11"/>
  <c r="G308" i="11" s="1"/>
  <c r="W308" i="11"/>
  <c r="F308" i="11" s="1"/>
  <c r="X333" i="11"/>
  <c r="G333" i="11" s="1"/>
  <c r="W333" i="11"/>
  <c r="F333" i="11" s="1"/>
  <c r="W233" i="11"/>
  <c r="F233" i="11" s="1"/>
  <c r="X233" i="11"/>
  <c r="G233" i="11" s="1"/>
  <c r="X268" i="11"/>
  <c r="G268" i="11" s="1"/>
  <c r="W268" i="11"/>
  <c r="F268" i="11" s="1"/>
  <c r="X309" i="11"/>
  <c r="G309" i="11" s="1"/>
  <c r="W309" i="11"/>
  <c r="F309" i="11" s="1"/>
  <c r="X306" i="11"/>
  <c r="G306" i="11" s="1"/>
  <c r="W306" i="11"/>
  <c r="F306" i="11" s="1"/>
  <c r="W247" i="11"/>
  <c r="F247" i="11" s="1"/>
  <c r="X247" i="11"/>
  <c r="G247" i="11" s="1"/>
  <c r="X222" i="11"/>
  <c r="G222" i="11" s="1"/>
  <c r="W222" i="11"/>
  <c r="F222" i="11" s="1"/>
  <c r="W232" i="11"/>
  <c r="F232" i="11" s="1"/>
  <c r="X232" i="11"/>
  <c r="G232" i="11" s="1"/>
  <c r="W237" i="11"/>
  <c r="F237" i="11" s="1"/>
  <c r="X237" i="11"/>
  <c r="G237" i="11" s="1"/>
  <c r="W259" i="11"/>
  <c r="F259" i="11" s="1"/>
  <c r="X259" i="11"/>
  <c r="G259" i="11" s="1"/>
  <c r="W264" i="11"/>
  <c r="F264" i="11" s="1"/>
  <c r="X264" i="11"/>
  <c r="G264" i="11" s="1"/>
  <c r="W248" i="11"/>
  <c r="F248" i="11" s="1"/>
  <c r="X248" i="11"/>
  <c r="G248" i="11" s="1"/>
  <c r="X330" i="11"/>
  <c r="G330" i="11" s="1"/>
  <c r="W330" i="11"/>
  <c r="F330" i="11" s="1"/>
  <c r="X322" i="11"/>
  <c r="G322" i="11" s="1"/>
  <c r="W322" i="11"/>
  <c r="F322" i="11" s="1"/>
  <c r="X314" i="11"/>
  <c r="G314" i="11" s="1"/>
  <c r="W314" i="11"/>
  <c r="F314" i="11" s="1"/>
  <c r="X327" i="11"/>
  <c r="G327" i="11" s="1"/>
  <c r="W327" i="11"/>
  <c r="F327" i="11" s="1"/>
  <c r="X319" i="11"/>
  <c r="G319" i="11" s="1"/>
  <c r="W319" i="11"/>
  <c r="F319" i="11" s="1"/>
  <c r="X257" i="11"/>
  <c r="G257" i="11" s="1"/>
  <c r="W257" i="11"/>
  <c r="F257" i="11" s="1"/>
  <c r="W262" i="11"/>
  <c r="F262" i="11" s="1"/>
  <c r="X262" i="11"/>
  <c r="G262" i="11" s="1"/>
  <c r="W246" i="11"/>
  <c r="F246" i="11" s="1"/>
  <c r="X246" i="11"/>
  <c r="G246" i="11" s="1"/>
  <c r="X328" i="11"/>
  <c r="G328" i="11" s="1"/>
  <c r="W328" i="11"/>
  <c r="F328" i="11" s="1"/>
  <c r="X320" i="11"/>
  <c r="G320" i="11" s="1"/>
  <c r="W320" i="11"/>
  <c r="F320" i="11" s="1"/>
  <c r="X325" i="11"/>
  <c r="G325" i="11" s="1"/>
  <c r="W325" i="11"/>
  <c r="F325" i="11" s="1"/>
  <c r="W241" i="11"/>
  <c r="F241" i="11" s="1"/>
  <c r="X241" i="11"/>
  <c r="G241" i="11" s="1"/>
  <c r="W255" i="11"/>
  <c r="F255" i="11" s="1"/>
  <c r="X255" i="11"/>
  <c r="G255" i="11" s="1"/>
  <c r="X234" i="11"/>
  <c r="G234" i="11" s="1"/>
  <c r="W234" i="11"/>
  <c r="F234" i="11" s="1"/>
  <c r="W239" i="11"/>
  <c r="F239" i="11" s="1"/>
  <c r="X239" i="11"/>
  <c r="G239" i="11" s="1"/>
  <c r="W240" i="11"/>
  <c r="F240" i="11" s="1"/>
  <c r="X240" i="11"/>
  <c r="G240" i="11" s="1"/>
  <c r="W229" i="11"/>
  <c r="F229" i="11" s="1"/>
  <c r="X229" i="11"/>
  <c r="G229" i="11" s="1"/>
  <c r="X272" i="11"/>
  <c r="G272" i="11" s="1"/>
  <c r="W272" i="11"/>
  <c r="F272" i="11" s="1"/>
  <c r="W277" i="11"/>
  <c r="F277" i="11" s="1"/>
  <c r="X277" i="11"/>
  <c r="G277" i="11" s="1"/>
  <c r="X305" i="11"/>
  <c r="G305" i="11" s="1"/>
  <c r="W305" i="11"/>
  <c r="F305" i="11" s="1"/>
  <c r="X302" i="11"/>
  <c r="G302" i="11" s="1"/>
  <c r="W302" i="11"/>
  <c r="F302" i="11" s="1"/>
  <c r="W251" i="11"/>
  <c r="F251" i="11" s="1"/>
  <c r="X251" i="11"/>
  <c r="G251" i="11" s="1"/>
  <c r="W270" i="11"/>
  <c r="F270" i="11" s="1"/>
  <c r="X270" i="11"/>
  <c r="G270" i="11" s="1"/>
  <c r="X300" i="11"/>
  <c r="G300" i="11" s="1"/>
  <c r="W300" i="11"/>
  <c r="F300" i="11" s="1"/>
  <c r="W254" i="11"/>
  <c r="F254" i="11" s="1"/>
  <c r="X254" i="11"/>
  <c r="G254" i="11" s="1"/>
  <c r="W225" i="11"/>
  <c r="F225" i="11" s="1"/>
  <c r="X225" i="11"/>
  <c r="G225" i="11" s="1"/>
  <c r="W281" i="11"/>
  <c r="F281" i="11" s="1"/>
  <c r="X281" i="11"/>
  <c r="G281" i="11" s="1"/>
  <c r="W293" i="11"/>
  <c r="F293" i="11" s="1"/>
  <c r="X293" i="11"/>
  <c r="G293" i="11" s="1"/>
  <c r="W260" i="11"/>
  <c r="F260" i="11" s="1"/>
  <c r="X260" i="11"/>
  <c r="G260" i="11" s="1"/>
  <c r="X318" i="11"/>
  <c r="G318" i="11" s="1"/>
  <c r="W318" i="11"/>
  <c r="F318" i="11" s="1"/>
  <c r="X226" i="11"/>
  <c r="G226" i="11" s="1"/>
  <c r="W226" i="11"/>
  <c r="F226" i="11" s="1"/>
  <c r="W231" i="11"/>
  <c r="F231" i="11" s="1"/>
  <c r="X231" i="11"/>
  <c r="G231" i="11" s="1"/>
  <c r="W223" i="11"/>
  <c r="F223" i="11" s="1"/>
  <c r="X223" i="11"/>
  <c r="G223" i="11" s="1"/>
  <c r="W274" i="11"/>
  <c r="F274" i="11" s="1"/>
  <c r="X274" i="11"/>
  <c r="G274" i="11" s="1"/>
  <c r="W279" i="11"/>
  <c r="F279" i="11" s="1"/>
  <c r="X279" i="11"/>
  <c r="G279" i="11" s="1"/>
  <c r="X307" i="11"/>
  <c r="G307" i="11" s="1"/>
  <c r="W307" i="11"/>
  <c r="F307" i="11" s="1"/>
  <c r="X291" i="11"/>
  <c r="G291" i="11" s="1"/>
  <c r="W291" i="11"/>
  <c r="F291" i="11" s="1"/>
  <c r="W296" i="11"/>
  <c r="F296" i="11" s="1"/>
  <c r="X296" i="11"/>
  <c r="G296" i="11" s="1"/>
  <c r="X238" i="11"/>
  <c r="G238" i="11" s="1"/>
  <c r="W238" i="11"/>
  <c r="F238" i="11" s="1"/>
  <c r="W286" i="11"/>
  <c r="F286" i="11" s="1"/>
  <c r="X286" i="11"/>
  <c r="G286" i="11" s="1"/>
  <c r="W283" i="11"/>
  <c r="F283" i="11" s="1"/>
  <c r="X283" i="11"/>
  <c r="G283" i="11" s="1"/>
  <c r="X303" i="11"/>
  <c r="G303" i="11" s="1"/>
  <c r="W303" i="11"/>
  <c r="F303" i="11" s="1"/>
  <c r="W292" i="11"/>
  <c r="F292" i="11" s="1"/>
  <c r="X292" i="11"/>
  <c r="G292" i="11" s="1"/>
  <c r="X317" i="11"/>
  <c r="G317" i="11" s="1"/>
  <c r="W317" i="11"/>
  <c r="F317" i="11" s="1"/>
  <c r="X284" i="11"/>
  <c r="G284" i="11" s="1"/>
  <c r="W284" i="11"/>
  <c r="F284" i="11" s="1"/>
  <c r="X301" i="11"/>
  <c r="G301" i="11" s="1"/>
  <c r="W301" i="11"/>
  <c r="F301" i="11" s="1"/>
  <c r="X261" i="11"/>
  <c r="G261" i="11" s="1"/>
  <c r="W261" i="11"/>
  <c r="F261" i="11" s="1"/>
  <c r="X245" i="11"/>
  <c r="G245" i="11" s="1"/>
  <c r="W245" i="11"/>
  <c r="F245" i="11" s="1"/>
  <c r="W250" i="11"/>
  <c r="F250" i="11" s="1"/>
  <c r="X250" i="11"/>
  <c r="G250" i="11" s="1"/>
  <c r="X332" i="11"/>
  <c r="G332" i="11" s="1"/>
  <c r="W332" i="11"/>
  <c r="F332" i="11" s="1"/>
  <c r="X324" i="11"/>
  <c r="G324" i="11" s="1"/>
  <c r="W324" i="11"/>
  <c r="F324" i="11" s="1"/>
  <c r="X316" i="11"/>
  <c r="G316" i="11" s="1"/>
  <c r="W316" i="11"/>
  <c r="F316" i="11" s="1"/>
  <c r="X329" i="11"/>
  <c r="G329" i="11" s="1"/>
  <c r="W329" i="11"/>
  <c r="F329" i="11" s="1"/>
  <c r="X321" i="11"/>
  <c r="G321" i="11" s="1"/>
  <c r="W321" i="11"/>
  <c r="F321" i="11" s="1"/>
  <c r="W235" i="11"/>
  <c r="F235" i="11" s="1"/>
  <c r="X235" i="11"/>
  <c r="G235" i="11" s="1"/>
  <c r="W236" i="11"/>
  <c r="F236" i="11" s="1"/>
  <c r="X236" i="11"/>
  <c r="G236" i="11" s="1"/>
  <c r="W263" i="11"/>
  <c r="F263" i="11" s="1"/>
  <c r="X263" i="11"/>
  <c r="G263" i="11" s="1"/>
  <c r="W252" i="11"/>
  <c r="F252" i="11" s="1"/>
  <c r="X252" i="11"/>
  <c r="G252" i="11" s="1"/>
  <c r="X326" i="11"/>
  <c r="G326" i="11" s="1"/>
  <c r="W326" i="11"/>
  <c r="F326" i="11" s="1"/>
  <c r="X331" i="11"/>
  <c r="G331" i="11" s="1"/>
  <c r="W331" i="11"/>
  <c r="F331" i="11" s="1"/>
  <c r="X315" i="11"/>
  <c r="G315" i="11" s="1"/>
  <c r="W315" i="11"/>
  <c r="F315" i="11" s="1"/>
  <c r="AU122" i="54"/>
  <c r="AZ122" i="54" s="1"/>
  <c r="AS121" i="54"/>
  <c r="AU121" i="54"/>
  <c r="AZ121" i="54" s="1"/>
  <c r="AS120" i="54"/>
  <c r="AU120" i="54"/>
  <c r="AZ120" i="54" s="1"/>
  <c r="AU123" i="54"/>
  <c r="AZ123" i="54" s="1"/>
  <c r="AS123" i="54"/>
  <c r="AS117" i="54"/>
  <c r="AU117" i="54"/>
  <c r="AZ117" i="54" s="1"/>
  <c r="AU119" i="54"/>
  <c r="AZ119" i="54" s="1"/>
  <c r="F71" i="72"/>
  <c r="AU173" i="11"/>
  <c r="AZ173" i="11" s="1"/>
  <c r="AU172" i="11"/>
  <c r="AZ172" i="11" s="1"/>
  <c r="P172" i="11" s="1"/>
  <c r="Q172" i="11" s="1"/>
  <c r="T172" i="11" s="1"/>
  <c r="R172" i="11" s="1"/>
  <c r="AU170" i="11"/>
  <c r="AZ170" i="11" s="1"/>
  <c r="L56" i="72"/>
  <c r="L85" i="72"/>
  <c r="L78" i="72"/>
  <c r="L54" i="72"/>
  <c r="L59" i="72"/>
  <c r="L87" i="72"/>
  <c r="L74" i="72"/>
  <c r="L66" i="72"/>
  <c r="L58" i="72"/>
  <c r="L49" i="72"/>
  <c r="L51" i="72"/>
  <c r="L75" i="72"/>
  <c r="L84" i="72"/>
  <c r="L90" i="72"/>
  <c r="L48" i="72"/>
  <c r="L63" i="72"/>
  <c r="L71" i="72"/>
  <c r="L65" i="72"/>
  <c r="L73" i="72"/>
  <c r="L82" i="72"/>
  <c r="L62" i="72"/>
  <c r="L61" i="72"/>
  <c r="L57" i="72"/>
  <c r="L67" i="72"/>
  <c r="L79" i="72"/>
  <c r="L72" i="72"/>
  <c r="L77" i="72"/>
  <c r="L80" i="72"/>
  <c r="L50" i="72"/>
  <c r="L55" i="72"/>
  <c r="L89" i="72"/>
  <c r="L52" i="72"/>
  <c r="L53" i="72"/>
  <c r="L81" i="72"/>
  <c r="L86" i="72"/>
  <c r="L64" i="72"/>
  <c r="L60" i="72"/>
  <c r="L83" i="72"/>
  <c r="AU167" i="11"/>
  <c r="AZ167" i="11" s="1"/>
  <c r="P167" i="11" s="1"/>
  <c r="Q167" i="11" s="1"/>
  <c r="T167" i="11" s="1"/>
  <c r="R167" i="11" s="1"/>
  <c r="AS167" i="11"/>
  <c r="AS169" i="11"/>
  <c r="AU169" i="11"/>
  <c r="AZ169" i="11" s="1"/>
  <c r="P169" i="11" s="1"/>
  <c r="Q169" i="11" s="1"/>
  <c r="T169" i="11" s="1"/>
  <c r="R169" i="11" s="1"/>
  <c r="AS171" i="11"/>
  <c r="AU171" i="11"/>
  <c r="AZ171" i="11" s="1"/>
  <c r="P171" i="11" s="1"/>
  <c r="Q171" i="11" s="1"/>
  <c r="T171" i="11" s="1"/>
  <c r="R171" i="11" s="1"/>
  <c r="AS168" i="11"/>
  <c r="AU168" i="11"/>
  <c r="AZ168" i="11" s="1"/>
  <c r="P168" i="11" s="1"/>
  <c r="Q168" i="11" s="1"/>
  <c r="T168" i="11" s="1"/>
  <c r="R168" i="11" s="1"/>
  <c r="O140" i="72"/>
  <c r="AS141" i="54"/>
  <c r="AU141" i="54"/>
  <c r="AZ141" i="54" s="1"/>
  <c r="AS140" i="54"/>
  <c r="AU140" i="54"/>
  <c r="AZ140" i="54" s="1"/>
  <c r="AS139" i="54"/>
  <c r="AU139" i="54"/>
  <c r="AZ139" i="54" s="1"/>
  <c r="N51" i="72"/>
  <c r="N64" i="72"/>
  <c r="N80" i="72"/>
  <c r="N89" i="72"/>
  <c r="N61" i="72"/>
  <c r="N58" i="72"/>
  <c r="N90" i="72"/>
  <c r="N63" i="72"/>
  <c r="N60" i="72"/>
  <c r="N73" i="72"/>
  <c r="N88" i="72"/>
  <c r="N53" i="72"/>
  <c r="N81" i="72"/>
  <c r="N86" i="72"/>
  <c r="N54" i="72"/>
  <c r="N87" i="72"/>
  <c r="N66" i="72"/>
  <c r="N55" i="72"/>
  <c r="N56" i="72"/>
  <c r="N72" i="72"/>
  <c r="N52" i="72"/>
  <c r="N84" i="72"/>
  <c r="N59" i="72"/>
  <c r="N50" i="72"/>
  <c r="N82" i="72"/>
  <c r="N85" i="72"/>
  <c r="N75" i="72"/>
  <c r="N48" i="72"/>
  <c r="N65" i="72"/>
  <c r="N74" i="72"/>
  <c r="N57" i="72"/>
  <c r="N49" i="72"/>
  <c r="N71" i="72"/>
  <c r="N77" i="72"/>
  <c r="N83" i="72"/>
  <c r="N76" i="72"/>
  <c r="N62" i="72"/>
  <c r="N79" i="72"/>
  <c r="N78" i="72"/>
  <c r="C238" i="72"/>
  <c r="BB233" i="47"/>
  <c r="I233" i="47" s="1"/>
  <c r="J238" i="72" s="1"/>
  <c r="BC233" i="47"/>
  <c r="BE233" i="47"/>
  <c r="L233" i="47" s="1"/>
  <c r="BD233" i="47"/>
  <c r="K233" i="47" s="1"/>
  <c r="Z233" i="47"/>
  <c r="N233" i="47" s="1"/>
  <c r="C241" i="72"/>
  <c r="BB236" i="47"/>
  <c r="I236" i="47" s="1"/>
  <c r="J241" i="72" s="1"/>
  <c r="BE236" i="47"/>
  <c r="L236" i="47" s="1"/>
  <c r="BD236" i="47"/>
  <c r="K236" i="47" s="1"/>
  <c r="BC236" i="47"/>
  <c r="Z236" i="47"/>
  <c r="N236" i="47" s="1"/>
  <c r="C260" i="72"/>
  <c r="BB255" i="47"/>
  <c r="I255" i="47" s="1"/>
  <c r="J260" i="72" s="1"/>
  <c r="BE255" i="47"/>
  <c r="L255" i="47" s="1"/>
  <c r="BD255" i="47"/>
  <c r="K255" i="47" s="1"/>
  <c r="BC255" i="47"/>
  <c r="Z255" i="47"/>
  <c r="N255" i="47" s="1"/>
  <c r="C237" i="72"/>
  <c r="BB232" i="47"/>
  <c r="I232" i="47" s="1"/>
  <c r="J237" i="72" s="1"/>
  <c r="BE232" i="47"/>
  <c r="L232" i="47" s="1"/>
  <c r="BC232" i="47"/>
  <c r="Z232" i="47"/>
  <c r="N232" i="47" s="1"/>
  <c r="BD232" i="47"/>
  <c r="K232" i="47" s="1"/>
  <c r="C229" i="72"/>
  <c r="BE224" i="47"/>
  <c r="L224" i="47" s="1"/>
  <c r="BB224" i="47"/>
  <c r="I224" i="47" s="1"/>
  <c r="J229" i="72" s="1"/>
  <c r="BD224" i="47"/>
  <c r="K224" i="47" s="1"/>
  <c r="BC224" i="47"/>
  <c r="Z224" i="47"/>
  <c r="N224" i="47" s="1"/>
  <c r="C257" i="72"/>
  <c r="BB252" i="47"/>
  <c r="I252" i="47" s="1"/>
  <c r="J257" i="72" s="1"/>
  <c r="BC252" i="47"/>
  <c r="BE252" i="47"/>
  <c r="L252" i="47" s="1"/>
  <c r="BD252" i="47"/>
  <c r="K252" i="47" s="1"/>
  <c r="Z252" i="47"/>
  <c r="N252" i="47" s="1"/>
  <c r="C242" i="72"/>
  <c r="BB237" i="47"/>
  <c r="I237" i="47" s="1"/>
  <c r="J242" i="72" s="1"/>
  <c r="BC237" i="47"/>
  <c r="BD237" i="47"/>
  <c r="K237" i="47" s="1"/>
  <c r="Z237" i="47"/>
  <c r="N237" i="47" s="1"/>
  <c r="BE237" i="47"/>
  <c r="L237" i="47" s="1"/>
  <c r="C252" i="72"/>
  <c r="BB247" i="47"/>
  <c r="I247" i="47" s="1"/>
  <c r="J252" i="72" s="1"/>
  <c r="BE247" i="47"/>
  <c r="L247" i="47" s="1"/>
  <c r="BD247" i="47"/>
  <c r="K247" i="47" s="1"/>
  <c r="BC247" i="47"/>
  <c r="Z247" i="47"/>
  <c r="N247" i="47" s="1"/>
  <c r="C264" i="72"/>
  <c r="BB259" i="47"/>
  <c r="I259" i="47" s="1"/>
  <c r="J264" i="72" s="1"/>
  <c r="BE259" i="47"/>
  <c r="L259" i="47" s="1"/>
  <c r="BD259" i="47"/>
  <c r="K259" i="47" s="1"/>
  <c r="BC259" i="47"/>
  <c r="Z259" i="47"/>
  <c r="N259" i="47" s="1"/>
  <c r="C230" i="72"/>
  <c r="BB225" i="47"/>
  <c r="I225" i="47" s="1"/>
  <c r="J230" i="72" s="1"/>
  <c r="BC225" i="47"/>
  <c r="BE225" i="47"/>
  <c r="L225" i="47" s="1"/>
  <c r="BD225" i="47"/>
  <c r="K225" i="47" s="1"/>
  <c r="Z225" i="47"/>
  <c r="N225" i="47" s="1"/>
  <c r="C265" i="72"/>
  <c r="BB260" i="47"/>
  <c r="I260" i="47" s="1"/>
  <c r="J265" i="72" s="1"/>
  <c r="BC260" i="47"/>
  <c r="BE260" i="47"/>
  <c r="L260" i="47" s="1"/>
  <c r="BD260" i="47"/>
  <c r="K260" i="47" s="1"/>
  <c r="Z260" i="47"/>
  <c r="N260" i="47" s="1"/>
  <c r="C233" i="72"/>
  <c r="BB228" i="47"/>
  <c r="I228" i="47" s="1"/>
  <c r="J233" i="72" s="1"/>
  <c r="BE228" i="47"/>
  <c r="L228" i="47" s="1"/>
  <c r="BD228" i="47"/>
  <c r="K228" i="47" s="1"/>
  <c r="BC228" i="47"/>
  <c r="Z228" i="47"/>
  <c r="N228" i="47" s="1"/>
  <c r="C261" i="72"/>
  <c r="BB256" i="47"/>
  <c r="I256" i="47" s="1"/>
  <c r="J261" i="72" s="1"/>
  <c r="BC256" i="47"/>
  <c r="BD256" i="47"/>
  <c r="K256" i="47" s="1"/>
  <c r="BE256" i="47"/>
  <c r="L256" i="47" s="1"/>
  <c r="Z256" i="47"/>
  <c r="N256" i="47" s="1"/>
  <c r="C228" i="72"/>
  <c r="BE223" i="47"/>
  <c r="L223" i="47" s="1"/>
  <c r="BB223" i="47"/>
  <c r="I223" i="47" s="1"/>
  <c r="J228" i="72" s="1"/>
  <c r="BD223" i="47"/>
  <c r="K223" i="47" s="1"/>
  <c r="BC223" i="47"/>
  <c r="Z223" i="47"/>
  <c r="N223" i="47" s="1"/>
  <c r="C231" i="72"/>
  <c r="BB226" i="47"/>
  <c r="I226" i="47" s="1"/>
  <c r="J231" i="72" s="1"/>
  <c r="BC226" i="47"/>
  <c r="BD226" i="47"/>
  <c r="K226" i="47" s="1"/>
  <c r="BE226" i="47"/>
  <c r="L226" i="47" s="1"/>
  <c r="Z226" i="47"/>
  <c r="N226" i="47" s="1"/>
  <c r="C240" i="72"/>
  <c r="BB235" i="47"/>
  <c r="I235" i="47" s="1"/>
  <c r="J240" i="72" s="1"/>
  <c r="BD235" i="47"/>
  <c r="K235" i="47" s="1"/>
  <c r="BE235" i="47"/>
  <c r="L235" i="47" s="1"/>
  <c r="BC235" i="47"/>
  <c r="Z235" i="47"/>
  <c r="N235" i="47" s="1"/>
  <c r="C236" i="72"/>
  <c r="BB231" i="47"/>
  <c r="I231" i="47" s="1"/>
  <c r="J236" i="72" s="1"/>
  <c r="BD231" i="47"/>
  <c r="K231" i="47" s="1"/>
  <c r="BE231" i="47"/>
  <c r="L231" i="47" s="1"/>
  <c r="BC231" i="47"/>
  <c r="Z231" i="47"/>
  <c r="N231" i="47" s="1"/>
  <c r="C250" i="72"/>
  <c r="BB245" i="47"/>
  <c r="I245" i="47" s="1"/>
  <c r="J250" i="72" s="1"/>
  <c r="BC245" i="47"/>
  <c r="BD245" i="47"/>
  <c r="K245" i="47" s="1"/>
  <c r="BE245" i="47"/>
  <c r="L245" i="47" s="1"/>
  <c r="Z245" i="47"/>
  <c r="N245" i="47" s="1"/>
  <c r="C262" i="72"/>
  <c r="BB257" i="47"/>
  <c r="I257" i="47" s="1"/>
  <c r="J262" i="72" s="1"/>
  <c r="BC257" i="47"/>
  <c r="BD257" i="47"/>
  <c r="K257" i="47" s="1"/>
  <c r="BE257" i="47"/>
  <c r="L257" i="47" s="1"/>
  <c r="Z257" i="47"/>
  <c r="N257" i="47" s="1"/>
  <c r="C239" i="72"/>
  <c r="BB234" i="47"/>
  <c r="I234" i="47" s="1"/>
  <c r="J239" i="72" s="1"/>
  <c r="BC234" i="47"/>
  <c r="BD234" i="47"/>
  <c r="K234" i="47" s="1"/>
  <c r="BE234" i="47"/>
  <c r="L234" i="47" s="1"/>
  <c r="Z234" i="47"/>
  <c r="N234" i="47" s="1"/>
  <c r="C254" i="72"/>
  <c r="BB249" i="47"/>
  <c r="I249" i="47" s="1"/>
  <c r="J254" i="72" s="1"/>
  <c r="BC249" i="47"/>
  <c r="BD249" i="47"/>
  <c r="K249" i="47" s="1"/>
  <c r="BE249" i="47"/>
  <c r="L249" i="47" s="1"/>
  <c r="Z249" i="47"/>
  <c r="N249" i="47" s="1"/>
  <c r="C253" i="72"/>
  <c r="BB248" i="47"/>
  <c r="I248" i="47" s="1"/>
  <c r="J253" i="72" s="1"/>
  <c r="BC248" i="47"/>
  <c r="BE248" i="47"/>
  <c r="L248" i="47" s="1"/>
  <c r="BD248" i="47"/>
  <c r="K248" i="47" s="1"/>
  <c r="Z248" i="47"/>
  <c r="N248" i="47" s="1"/>
  <c r="C266" i="72"/>
  <c r="BB261" i="47"/>
  <c r="I261" i="47" s="1"/>
  <c r="J266" i="72" s="1"/>
  <c r="BC261" i="47"/>
  <c r="BD261" i="47"/>
  <c r="K261" i="47" s="1"/>
  <c r="BE261" i="47"/>
  <c r="L261" i="47" s="1"/>
  <c r="Z261" i="47"/>
  <c r="N261" i="47" s="1"/>
  <c r="C234" i="72"/>
  <c r="BB229" i="47"/>
  <c r="I229" i="47" s="1"/>
  <c r="J234" i="72" s="1"/>
  <c r="BC229" i="47"/>
  <c r="BE229" i="47"/>
  <c r="L229" i="47" s="1"/>
  <c r="Z229" i="47"/>
  <c r="N229" i="47" s="1"/>
  <c r="BD229" i="47"/>
  <c r="K229" i="47" s="1"/>
  <c r="C255" i="72"/>
  <c r="BB250" i="47"/>
  <c r="I250" i="47" s="1"/>
  <c r="J255" i="72" s="1"/>
  <c r="BD250" i="47"/>
  <c r="K250" i="47" s="1"/>
  <c r="BE250" i="47"/>
  <c r="L250" i="47" s="1"/>
  <c r="BC250" i="47"/>
  <c r="Z250" i="47"/>
  <c r="C267" i="72"/>
  <c r="BB262" i="47"/>
  <c r="I262" i="47" s="1"/>
  <c r="J267" i="72" s="1"/>
  <c r="BD262" i="47"/>
  <c r="K262" i="47" s="1"/>
  <c r="BE262" i="47"/>
  <c r="L262" i="47" s="1"/>
  <c r="BC262" i="47"/>
  <c r="Z262" i="47"/>
  <c r="N262" i="47" s="1"/>
  <c r="C251" i="72"/>
  <c r="BB246" i="47"/>
  <c r="I246" i="47" s="1"/>
  <c r="J251" i="72" s="1"/>
  <c r="BD246" i="47"/>
  <c r="K246" i="47" s="1"/>
  <c r="BE246" i="47"/>
  <c r="L246" i="47" s="1"/>
  <c r="BC246" i="47"/>
  <c r="Z246" i="47"/>
  <c r="N246" i="47" s="1"/>
  <c r="C269" i="72"/>
  <c r="BB264" i="47"/>
  <c r="I264" i="47" s="1"/>
  <c r="J269" i="72" s="1"/>
  <c r="BC264" i="47"/>
  <c r="BE264" i="47"/>
  <c r="L264" i="47" s="1"/>
  <c r="Z264" i="47"/>
  <c r="N264" i="47" s="1"/>
  <c r="BD264" i="47"/>
  <c r="K264" i="47" s="1"/>
  <c r="BB240" i="47"/>
  <c r="I240" i="47" s="1"/>
  <c r="J245" i="72" s="1"/>
  <c r="BE240" i="47"/>
  <c r="L240" i="47" s="1"/>
  <c r="BD240" i="47"/>
  <c r="K240" i="47" s="1"/>
  <c r="Z240" i="47"/>
  <c r="N240" i="47" s="1"/>
  <c r="BC240" i="47"/>
  <c r="C244" i="72"/>
  <c r="BB239" i="47"/>
  <c r="I239" i="47" s="1"/>
  <c r="J244" i="72" s="1"/>
  <c r="BD239" i="47"/>
  <c r="K239" i="47" s="1"/>
  <c r="BE239" i="47"/>
  <c r="L239" i="47" s="1"/>
  <c r="BC239" i="47"/>
  <c r="Z239" i="47"/>
  <c r="C227" i="72"/>
  <c r="BE222" i="47"/>
  <c r="L222" i="47" s="1"/>
  <c r="BB222" i="47"/>
  <c r="I222" i="47" s="1"/>
  <c r="J227" i="72" s="1"/>
  <c r="BC222" i="47"/>
  <c r="BD222" i="47"/>
  <c r="K222" i="47" s="1"/>
  <c r="Z222" i="47"/>
  <c r="N222" i="47" s="1"/>
  <c r="C246" i="72"/>
  <c r="BB241" i="47"/>
  <c r="I241" i="47" s="1"/>
  <c r="J246" i="72" s="1"/>
  <c r="BC241" i="47"/>
  <c r="BE241" i="47"/>
  <c r="L241" i="47" s="1"/>
  <c r="BD241" i="47"/>
  <c r="K241" i="47" s="1"/>
  <c r="Z241" i="47"/>
  <c r="C235" i="72"/>
  <c r="BB230" i="47"/>
  <c r="I230" i="47" s="1"/>
  <c r="J235" i="72" s="1"/>
  <c r="BC230" i="47"/>
  <c r="BD230" i="47"/>
  <c r="K230" i="47" s="1"/>
  <c r="BE230" i="47"/>
  <c r="L230" i="47" s="1"/>
  <c r="Z230" i="47"/>
  <c r="C232" i="72"/>
  <c r="BB227" i="47"/>
  <c r="I227" i="47" s="1"/>
  <c r="J232" i="72" s="1"/>
  <c r="BD227" i="47"/>
  <c r="K227" i="47" s="1"/>
  <c r="BE227" i="47"/>
  <c r="L227" i="47" s="1"/>
  <c r="BC227" i="47"/>
  <c r="Z227" i="47"/>
  <c r="N227" i="47" s="1"/>
  <c r="C263" i="72"/>
  <c r="BB258" i="47"/>
  <c r="I258" i="47" s="1"/>
  <c r="J263" i="72" s="1"/>
  <c r="BD258" i="47"/>
  <c r="K258" i="47" s="1"/>
  <c r="BE258" i="47"/>
  <c r="L258" i="47" s="1"/>
  <c r="BC258" i="47"/>
  <c r="Z258" i="47"/>
  <c r="N258" i="47" s="1"/>
  <c r="C259" i="72"/>
  <c r="BB254" i="47"/>
  <c r="I254" i="47" s="1"/>
  <c r="J259" i="72" s="1"/>
  <c r="BD254" i="47"/>
  <c r="K254" i="47" s="1"/>
  <c r="BE254" i="47"/>
  <c r="L254" i="47" s="1"/>
  <c r="BC254" i="47"/>
  <c r="Z254" i="47"/>
  <c r="N254" i="47" s="1"/>
  <c r="C256" i="72"/>
  <c r="BB251" i="47"/>
  <c r="I251" i="47" s="1"/>
  <c r="J256" i="72" s="1"/>
  <c r="BE251" i="47"/>
  <c r="L251" i="47" s="1"/>
  <c r="BC251" i="47"/>
  <c r="Z251" i="47"/>
  <c r="N251" i="47" s="1"/>
  <c r="BD251" i="47"/>
  <c r="K251" i="47" s="1"/>
  <c r="C268" i="72"/>
  <c r="BB263" i="47"/>
  <c r="I263" i="47" s="1"/>
  <c r="J268" i="72" s="1"/>
  <c r="BE263" i="47"/>
  <c r="L263" i="47" s="1"/>
  <c r="BD263" i="47"/>
  <c r="K263" i="47" s="1"/>
  <c r="BC263" i="47"/>
  <c r="Z263" i="47"/>
  <c r="N263" i="47" s="1"/>
  <c r="C258" i="72"/>
  <c r="BB253" i="47"/>
  <c r="I253" i="47" s="1"/>
  <c r="J258" i="72" s="1"/>
  <c r="BC253" i="47"/>
  <c r="BD253" i="47"/>
  <c r="K253" i="47" s="1"/>
  <c r="BE253" i="47"/>
  <c r="L253" i="47" s="1"/>
  <c r="Z253" i="47"/>
  <c r="N253" i="47" s="1"/>
  <c r="C243" i="72"/>
  <c r="BB238" i="47"/>
  <c r="I238" i="47" s="1"/>
  <c r="J243" i="72" s="1"/>
  <c r="BC238" i="47"/>
  <c r="BD238" i="47"/>
  <c r="K238" i="47" s="1"/>
  <c r="BE238" i="47"/>
  <c r="L238" i="47" s="1"/>
  <c r="Z238" i="47"/>
  <c r="N238" i="47" s="1"/>
  <c r="BD282" i="11"/>
  <c r="K282" i="11" s="1"/>
  <c r="BB282" i="11"/>
  <c r="I282" i="11" s="1"/>
  <c r="BC282" i="11"/>
  <c r="J282" i="11" s="1"/>
  <c r="Z282" i="11"/>
  <c r="N282" i="11" s="1"/>
  <c r="BE282" i="11"/>
  <c r="L282" i="11" s="1"/>
  <c r="BE245" i="11"/>
  <c r="L245" i="11" s="1"/>
  <c r="BD245" i="11"/>
  <c r="K245" i="11" s="1"/>
  <c r="BC245" i="11"/>
  <c r="J245" i="11" s="1"/>
  <c r="BB245" i="11"/>
  <c r="I245" i="11" s="1"/>
  <c r="Z245" i="11"/>
  <c r="N245" i="11" s="1"/>
  <c r="BD324" i="11"/>
  <c r="K324" i="11" s="1"/>
  <c r="BB324" i="11"/>
  <c r="I324" i="11" s="1"/>
  <c r="BE324" i="11"/>
  <c r="L324" i="11" s="1"/>
  <c r="BC324" i="11"/>
  <c r="J324" i="11" s="1"/>
  <c r="Z324" i="11"/>
  <c r="N324" i="11" s="1"/>
  <c r="BD329" i="11"/>
  <c r="K329" i="11" s="1"/>
  <c r="BC329" i="11"/>
  <c r="J329" i="11" s="1"/>
  <c r="BB329" i="11"/>
  <c r="I329" i="11" s="1"/>
  <c r="BE329" i="11"/>
  <c r="L329" i="11" s="1"/>
  <c r="Z329" i="11"/>
  <c r="N329" i="11" s="1"/>
  <c r="BE238" i="11"/>
  <c r="L238" i="11" s="1"/>
  <c r="BD238" i="11"/>
  <c r="K238" i="11" s="1"/>
  <c r="BC238" i="11"/>
  <c r="J238" i="11" s="1"/>
  <c r="BB238" i="11"/>
  <c r="I238" i="11" s="1"/>
  <c r="Z238" i="11"/>
  <c r="N238" i="11" s="1"/>
  <c r="BD278" i="11"/>
  <c r="K278" i="11" s="1"/>
  <c r="BB278" i="11"/>
  <c r="I278" i="11" s="1"/>
  <c r="BE278" i="11"/>
  <c r="L278" i="11" s="1"/>
  <c r="BC278" i="11"/>
  <c r="J278" i="11" s="1"/>
  <c r="Z278" i="11"/>
  <c r="N278" i="11" s="1"/>
  <c r="BD275" i="11"/>
  <c r="K275" i="11" s="1"/>
  <c r="BC275" i="11"/>
  <c r="J275" i="11" s="1"/>
  <c r="BB275" i="11"/>
  <c r="I275" i="11" s="1"/>
  <c r="Z275" i="11"/>
  <c r="N275" i="11" s="1"/>
  <c r="BE275" i="11"/>
  <c r="L275" i="11" s="1"/>
  <c r="BD308" i="11"/>
  <c r="K308" i="11" s="1"/>
  <c r="BC308" i="11"/>
  <c r="J308" i="11" s="1"/>
  <c r="BB308" i="11"/>
  <c r="I308" i="11" s="1"/>
  <c r="BE308" i="11"/>
  <c r="L308" i="11" s="1"/>
  <c r="Z308" i="11"/>
  <c r="N308" i="11" s="1"/>
  <c r="BD284" i="11"/>
  <c r="K284" i="11" s="1"/>
  <c r="BE284" i="11"/>
  <c r="L284" i="11" s="1"/>
  <c r="BB284" i="11"/>
  <c r="I284" i="11" s="1"/>
  <c r="BC284" i="11"/>
  <c r="J284" i="11" s="1"/>
  <c r="Z284" i="11"/>
  <c r="N284" i="11" s="1"/>
  <c r="BD306" i="11"/>
  <c r="K306" i="11" s="1"/>
  <c r="BC306" i="11"/>
  <c r="J306" i="11" s="1"/>
  <c r="BE306" i="11"/>
  <c r="L306" i="11" s="1"/>
  <c r="BB306" i="11"/>
  <c r="I306" i="11" s="1"/>
  <c r="Z306" i="11"/>
  <c r="N306" i="11" s="1"/>
  <c r="BD315" i="11"/>
  <c r="K315" i="11" s="1"/>
  <c r="BB315" i="11"/>
  <c r="I315" i="11" s="1"/>
  <c r="BE315" i="11"/>
  <c r="L315" i="11" s="1"/>
  <c r="BC315" i="11"/>
  <c r="J315" i="11" s="1"/>
  <c r="Z315" i="11"/>
  <c r="N315" i="11" s="1"/>
  <c r="BE240" i="11"/>
  <c r="L240" i="11" s="1"/>
  <c r="BD240" i="11"/>
  <c r="K240" i="11" s="1"/>
  <c r="BC240" i="11"/>
  <c r="J240" i="11" s="1"/>
  <c r="BB240" i="11"/>
  <c r="I240" i="11" s="1"/>
  <c r="Z240" i="11"/>
  <c r="N240" i="11" s="1"/>
  <c r="BE229" i="11"/>
  <c r="L229" i="11" s="1"/>
  <c r="BD229" i="11"/>
  <c r="K229" i="11" s="1"/>
  <c r="BB229" i="11"/>
  <c r="I229" i="11" s="1"/>
  <c r="Z229" i="11"/>
  <c r="N229" i="11" s="1"/>
  <c r="BC229" i="11"/>
  <c r="J229" i="11" s="1"/>
  <c r="BD305" i="11"/>
  <c r="K305" i="11" s="1"/>
  <c r="BB305" i="11"/>
  <c r="I305" i="11" s="1"/>
  <c r="BE305" i="11"/>
  <c r="L305" i="11" s="1"/>
  <c r="BC305" i="11"/>
  <c r="J305" i="11" s="1"/>
  <c r="Z305" i="11"/>
  <c r="N305" i="11" s="1"/>
  <c r="BD294" i="11"/>
  <c r="K294" i="11" s="1"/>
  <c r="BC294" i="11"/>
  <c r="J294" i="11" s="1"/>
  <c r="BB294" i="11"/>
  <c r="I294" i="11" s="1"/>
  <c r="BE294" i="11"/>
  <c r="L294" i="11" s="1"/>
  <c r="Z294" i="11"/>
  <c r="N294" i="11" s="1"/>
  <c r="BE256" i="11"/>
  <c r="L256" i="11" s="1"/>
  <c r="BD256" i="11"/>
  <c r="K256" i="11" s="1"/>
  <c r="BC256" i="11"/>
  <c r="J256" i="11" s="1"/>
  <c r="Z256" i="11"/>
  <c r="N256" i="11" s="1"/>
  <c r="BB256" i="11"/>
  <c r="I256" i="11" s="1"/>
  <c r="BD314" i="11"/>
  <c r="K314" i="11" s="1"/>
  <c r="BE314" i="11"/>
  <c r="L314" i="11" s="1"/>
  <c r="BC314" i="11"/>
  <c r="J314" i="11" s="1"/>
  <c r="Z314" i="11"/>
  <c r="N314" i="11" s="1"/>
  <c r="BB314" i="11"/>
  <c r="I314" i="11" s="1"/>
  <c r="BD319" i="11"/>
  <c r="K319" i="11" s="1"/>
  <c r="BE319" i="11"/>
  <c r="L319" i="11" s="1"/>
  <c r="BC319" i="11"/>
  <c r="J319" i="11" s="1"/>
  <c r="BB319" i="11"/>
  <c r="I319" i="11" s="1"/>
  <c r="Z319" i="11"/>
  <c r="N319" i="11" s="1"/>
  <c r="BE270" i="11"/>
  <c r="L270" i="11" s="1"/>
  <c r="BD270" i="11"/>
  <c r="K270" i="11" s="1"/>
  <c r="BC270" i="11"/>
  <c r="J270" i="11" s="1"/>
  <c r="BB270" i="11"/>
  <c r="I270" i="11" s="1"/>
  <c r="Z270" i="11"/>
  <c r="N270" i="11" s="1"/>
  <c r="BD300" i="11"/>
  <c r="K300" i="11" s="1"/>
  <c r="BE300" i="11"/>
  <c r="L300" i="11" s="1"/>
  <c r="BC300" i="11"/>
  <c r="J300" i="11" s="1"/>
  <c r="Z300" i="11"/>
  <c r="N300" i="11" s="1"/>
  <c r="BB300" i="11"/>
  <c r="I300" i="11" s="1"/>
  <c r="BE254" i="11"/>
  <c r="L254" i="11" s="1"/>
  <c r="BC254" i="11"/>
  <c r="J254" i="11" s="1"/>
  <c r="BB254" i="11"/>
  <c r="I254" i="11" s="1"/>
  <c r="BD254" i="11"/>
  <c r="K254" i="11" s="1"/>
  <c r="Z254" i="11"/>
  <c r="N254" i="11" s="1"/>
  <c r="BD328" i="11"/>
  <c r="K328" i="11" s="1"/>
  <c r="BB328" i="11"/>
  <c r="I328" i="11" s="1"/>
  <c r="BE328" i="11"/>
  <c r="L328" i="11" s="1"/>
  <c r="BC328" i="11"/>
  <c r="J328" i="11" s="1"/>
  <c r="Z328" i="11"/>
  <c r="N328" i="11" s="1"/>
  <c r="BE241" i="11"/>
  <c r="L241" i="11" s="1"/>
  <c r="BD241" i="11"/>
  <c r="K241" i="11" s="1"/>
  <c r="BB241" i="11"/>
  <c r="I241" i="11" s="1"/>
  <c r="BC241" i="11"/>
  <c r="J241" i="11" s="1"/>
  <c r="Z241" i="11"/>
  <c r="N241" i="11" s="1"/>
  <c r="BD298" i="11"/>
  <c r="K298" i="11" s="1"/>
  <c r="BC298" i="11"/>
  <c r="J298" i="11" s="1"/>
  <c r="BE298" i="11"/>
  <c r="L298" i="11" s="1"/>
  <c r="BB298" i="11"/>
  <c r="I298" i="11" s="1"/>
  <c r="Z298" i="11"/>
  <c r="N298" i="11" s="1"/>
  <c r="BE260" i="11"/>
  <c r="L260" i="11" s="1"/>
  <c r="BD260" i="11"/>
  <c r="K260" i="11" s="1"/>
  <c r="BC260" i="11"/>
  <c r="J260" i="11" s="1"/>
  <c r="BB260" i="11"/>
  <c r="I260" i="11" s="1"/>
  <c r="Z260" i="11"/>
  <c r="N260" i="11" s="1"/>
  <c r="BE226" i="11"/>
  <c r="L226" i="11" s="1"/>
  <c r="BD226" i="11"/>
  <c r="K226" i="11" s="1"/>
  <c r="BC226" i="11"/>
  <c r="J226" i="11" s="1"/>
  <c r="BB226" i="11"/>
  <c r="I226" i="11" s="1"/>
  <c r="Z226" i="11"/>
  <c r="N226" i="11" s="1"/>
  <c r="BD223" i="11"/>
  <c r="K223" i="11" s="1"/>
  <c r="BB223" i="11"/>
  <c r="I223" i="11" s="1"/>
  <c r="BE223" i="11"/>
  <c r="L223" i="11" s="1"/>
  <c r="BC223" i="11"/>
  <c r="J223" i="11" s="1"/>
  <c r="Z223" i="11"/>
  <c r="N223" i="11" s="1"/>
  <c r="BD274" i="11"/>
  <c r="K274" i="11" s="1"/>
  <c r="BB274" i="11"/>
  <c r="I274" i="11" s="1"/>
  <c r="BE274" i="11"/>
  <c r="L274" i="11" s="1"/>
  <c r="BC274" i="11"/>
  <c r="J274" i="11" s="1"/>
  <c r="Z274" i="11"/>
  <c r="N274" i="11" s="1"/>
  <c r="BD279" i="11"/>
  <c r="K279" i="11" s="1"/>
  <c r="BC279" i="11"/>
  <c r="J279" i="11" s="1"/>
  <c r="BB279" i="11"/>
  <c r="I279" i="11" s="1"/>
  <c r="BE279" i="11"/>
  <c r="L279" i="11" s="1"/>
  <c r="Z279" i="11"/>
  <c r="N279" i="11" s="1"/>
  <c r="BD307" i="11"/>
  <c r="K307" i="11" s="1"/>
  <c r="BE307" i="11"/>
  <c r="L307" i="11" s="1"/>
  <c r="BC307" i="11"/>
  <c r="J307" i="11" s="1"/>
  <c r="Z307" i="11"/>
  <c r="N307" i="11" s="1"/>
  <c r="BB307" i="11"/>
  <c r="I307" i="11" s="1"/>
  <c r="BD291" i="11"/>
  <c r="K291" i="11" s="1"/>
  <c r="BE291" i="11"/>
  <c r="L291" i="11" s="1"/>
  <c r="BC291" i="11"/>
  <c r="J291" i="11" s="1"/>
  <c r="BB291" i="11"/>
  <c r="I291" i="11" s="1"/>
  <c r="Z291" i="11"/>
  <c r="N291" i="11" s="1"/>
  <c r="BD296" i="11"/>
  <c r="K296" i="11" s="1"/>
  <c r="BB296" i="11"/>
  <c r="I296" i="11" s="1"/>
  <c r="BC296" i="11"/>
  <c r="J296" i="11" s="1"/>
  <c r="BE296" i="11"/>
  <c r="L296" i="11" s="1"/>
  <c r="Z296" i="11"/>
  <c r="N296" i="11" s="1"/>
  <c r="BE253" i="11"/>
  <c r="L253" i="11" s="1"/>
  <c r="BB253" i="11"/>
  <c r="I253" i="11" s="1"/>
  <c r="BC253" i="11"/>
  <c r="J253" i="11" s="1"/>
  <c r="BD253" i="11"/>
  <c r="K253" i="11" s="1"/>
  <c r="Z253" i="11"/>
  <c r="N253" i="11" s="1"/>
  <c r="BE258" i="11"/>
  <c r="L258" i="11" s="1"/>
  <c r="BC258" i="11"/>
  <c r="J258" i="11" s="1"/>
  <c r="BB258" i="11"/>
  <c r="I258" i="11" s="1"/>
  <c r="BD258" i="11"/>
  <c r="K258" i="11" s="1"/>
  <c r="Z258" i="11"/>
  <c r="N258" i="11" s="1"/>
  <c r="BD332" i="11"/>
  <c r="K332" i="11" s="1"/>
  <c r="BB332" i="11"/>
  <c r="I332" i="11" s="1"/>
  <c r="BE332" i="11"/>
  <c r="L332" i="11" s="1"/>
  <c r="BC332" i="11"/>
  <c r="J332" i="11" s="1"/>
  <c r="Z332" i="11"/>
  <c r="N332" i="11" s="1"/>
  <c r="BD316" i="11"/>
  <c r="K316" i="11" s="1"/>
  <c r="BB316" i="11"/>
  <c r="I316" i="11" s="1"/>
  <c r="BE316" i="11"/>
  <c r="L316" i="11" s="1"/>
  <c r="BC316" i="11"/>
  <c r="J316" i="11" s="1"/>
  <c r="Z316" i="11"/>
  <c r="N316" i="11" s="1"/>
  <c r="BD321" i="11"/>
  <c r="K321" i="11" s="1"/>
  <c r="BC321" i="11"/>
  <c r="J321" i="11" s="1"/>
  <c r="BE321" i="11"/>
  <c r="L321" i="11" s="1"/>
  <c r="Z321" i="11"/>
  <c r="N321" i="11" s="1"/>
  <c r="BB321" i="11"/>
  <c r="I321" i="11" s="1"/>
  <c r="BE235" i="11"/>
  <c r="L235" i="11" s="1"/>
  <c r="BD235" i="11"/>
  <c r="K235" i="11" s="1"/>
  <c r="BC235" i="11"/>
  <c r="J235" i="11" s="1"/>
  <c r="BB235" i="11"/>
  <c r="I235" i="11" s="1"/>
  <c r="Z235" i="11"/>
  <c r="N235" i="11" s="1"/>
  <c r="BD286" i="11"/>
  <c r="K286" i="11" s="1"/>
  <c r="BB286" i="11"/>
  <c r="I286" i="11" s="1"/>
  <c r="BC286" i="11"/>
  <c r="J286" i="11" s="1"/>
  <c r="BE286" i="11"/>
  <c r="L286" i="11" s="1"/>
  <c r="Z286" i="11"/>
  <c r="N286" i="11" s="1"/>
  <c r="BD283" i="11"/>
  <c r="K283" i="11" s="1"/>
  <c r="BC283" i="11"/>
  <c r="J283" i="11" s="1"/>
  <c r="BE283" i="11"/>
  <c r="L283" i="11" s="1"/>
  <c r="BB283" i="11"/>
  <c r="I283" i="11" s="1"/>
  <c r="Z283" i="11"/>
  <c r="N283" i="11" s="1"/>
  <c r="BD303" i="11"/>
  <c r="K303" i="11" s="1"/>
  <c r="BE303" i="11"/>
  <c r="L303" i="11" s="1"/>
  <c r="BB303" i="11"/>
  <c r="I303" i="11" s="1"/>
  <c r="BC303" i="11"/>
  <c r="J303" i="11" s="1"/>
  <c r="Z303" i="11"/>
  <c r="N303" i="11" s="1"/>
  <c r="BD292" i="11"/>
  <c r="K292" i="11" s="1"/>
  <c r="BC292" i="11"/>
  <c r="J292" i="11" s="1"/>
  <c r="BB292" i="11"/>
  <c r="I292" i="11" s="1"/>
  <c r="Z292" i="11"/>
  <c r="N292" i="11" s="1"/>
  <c r="BE292" i="11"/>
  <c r="L292" i="11" s="1"/>
  <c r="BD317" i="11"/>
  <c r="K317" i="11" s="1"/>
  <c r="BC317" i="11"/>
  <c r="J317" i="11" s="1"/>
  <c r="BE317" i="11"/>
  <c r="L317" i="11" s="1"/>
  <c r="BB317" i="11"/>
  <c r="I317" i="11" s="1"/>
  <c r="Z317" i="11"/>
  <c r="N317" i="11" s="1"/>
  <c r="BE233" i="11"/>
  <c r="L233" i="11" s="1"/>
  <c r="BD233" i="11"/>
  <c r="K233" i="11" s="1"/>
  <c r="BB233" i="11"/>
  <c r="I233" i="11" s="1"/>
  <c r="BC233" i="11"/>
  <c r="J233" i="11" s="1"/>
  <c r="Z233" i="11"/>
  <c r="N233" i="11" s="1"/>
  <c r="BE268" i="11"/>
  <c r="L268" i="11" s="1"/>
  <c r="BB268" i="11"/>
  <c r="I268" i="11" s="1"/>
  <c r="BD268" i="11"/>
  <c r="K268" i="11" s="1"/>
  <c r="BC268" i="11"/>
  <c r="J268" i="11" s="1"/>
  <c r="Z268" i="11"/>
  <c r="N268" i="11" s="1"/>
  <c r="BD301" i="11"/>
  <c r="K301" i="11" s="1"/>
  <c r="BB301" i="11"/>
  <c r="I301" i="11" s="1"/>
  <c r="BC301" i="11"/>
  <c r="J301" i="11" s="1"/>
  <c r="BE301" i="11"/>
  <c r="L301" i="11" s="1"/>
  <c r="Z301" i="11"/>
  <c r="N301" i="11" s="1"/>
  <c r="BE263" i="11"/>
  <c r="L263" i="11" s="1"/>
  <c r="BD263" i="11"/>
  <c r="K263" i="11" s="1"/>
  <c r="BC263" i="11"/>
  <c r="J263" i="11" s="1"/>
  <c r="BB263" i="11"/>
  <c r="I263" i="11" s="1"/>
  <c r="Z263" i="11"/>
  <c r="N263" i="11" s="1"/>
  <c r="BE252" i="11"/>
  <c r="L252" i="11" s="1"/>
  <c r="BD252" i="11"/>
  <c r="K252" i="11" s="1"/>
  <c r="BC252" i="11"/>
  <c r="J252" i="11" s="1"/>
  <c r="BB252" i="11"/>
  <c r="I252" i="11" s="1"/>
  <c r="Z252" i="11"/>
  <c r="N252" i="11" s="1"/>
  <c r="BD331" i="11"/>
  <c r="K331" i="11" s="1"/>
  <c r="BB331" i="11"/>
  <c r="I331" i="11" s="1"/>
  <c r="BE331" i="11"/>
  <c r="L331" i="11" s="1"/>
  <c r="Z331" i="11"/>
  <c r="N331" i="11" s="1"/>
  <c r="BC331" i="11"/>
  <c r="J331" i="11" s="1"/>
  <c r="BD287" i="11"/>
  <c r="K287" i="11" s="1"/>
  <c r="BC287" i="11"/>
  <c r="J287" i="11" s="1"/>
  <c r="BE287" i="11"/>
  <c r="L287" i="11" s="1"/>
  <c r="BB287" i="11"/>
  <c r="I287" i="11" s="1"/>
  <c r="Z287" i="11"/>
  <c r="N287" i="11" s="1"/>
  <c r="BE271" i="11"/>
  <c r="L271" i="11" s="1"/>
  <c r="BD271" i="11"/>
  <c r="K271" i="11" s="1"/>
  <c r="BC271" i="11"/>
  <c r="J271" i="11" s="1"/>
  <c r="BB271" i="11"/>
  <c r="I271" i="11" s="1"/>
  <c r="Z271" i="11"/>
  <c r="N271" i="11" s="1"/>
  <c r="BD299" i="11"/>
  <c r="K299" i="11" s="1"/>
  <c r="BE299" i="11"/>
  <c r="L299" i="11" s="1"/>
  <c r="BC299" i="11"/>
  <c r="J299" i="11" s="1"/>
  <c r="BB299" i="11"/>
  <c r="I299" i="11" s="1"/>
  <c r="Z299" i="11"/>
  <c r="N299" i="11" s="1"/>
  <c r="BD304" i="11"/>
  <c r="K304" i="11" s="1"/>
  <c r="BE304" i="11"/>
  <c r="L304" i="11" s="1"/>
  <c r="BC304" i="11"/>
  <c r="J304" i="11" s="1"/>
  <c r="Z304" i="11"/>
  <c r="N304" i="11" s="1"/>
  <c r="BB304" i="11"/>
  <c r="I304" i="11" s="1"/>
  <c r="BE261" i="11"/>
  <c r="L261" i="11" s="1"/>
  <c r="BB261" i="11"/>
  <c r="I261" i="11" s="1"/>
  <c r="BD261" i="11"/>
  <c r="K261" i="11" s="1"/>
  <c r="BC261" i="11"/>
  <c r="J261" i="11" s="1"/>
  <c r="Z261" i="11"/>
  <c r="N261" i="11" s="1"/>
  <c r="BE250" i="11"/>
  <c r="L250" i="11" s="1"/>
  <c r="BC250" i="11"/>
  <c r="J250" i="11" s="1"/>
  <c r="BB250" i="11"/>
  <c r="I250" i="11" s="1"/>
  <c r="BD250" i="11"/>
  <c r="K250" i="11" s="1"/>
  <c r="Z250" i="11"/>
  <c r="N250" i="11" s="1"/>
  <c r="BE227" i="11"/>
  <c r="L227" i="11" s="1"/>
  <c r="BD227" i="11"/>
  <c r="K227" i="11" s="1"/>
  <c r="BC227" i="11"/>
  <c r="J227" i="11" s="1"/>
  <c r="Z227" i="11"/>
  <c r="N227" i="11" s="1"/>
  <c r="BB227" i="11"/>
  <c r="I227" i="11" s="1"/>
  <c r="BD333" i="11"/>
  <c r="K333" i="11" s="1"/>
  <c r="BC333" i="11"/>
  <c r="J333" i="11" s="1"/>
  <c r="BE333" i="11"/>
  <c r="L333" i="11" s="1"/>
  <c r="BB333" i="11"/>
  <c r="I333" i="11" s="1"/>
  <c r="Z333" i="11"/>
  <c r="N333" i="11" s="1"/>
  <c r="BE236" i="11"/>
  <c r="L236" i="11" s="1"/>
  <c r="BD236" i="11"/>
  <c r="K236" i="11" s="1"/>
  <c r="BC236" i="11"/>
  <c r="J236" i="11" s="1"/>
  <c r="BB236" i="11"/>
  <c r="I236" i="11" s="1"/>
  <c r="Z236" i="11"/>
  <c r="N236" i="11" s="1"/>
  <c r="BD309" i="11"/>
  <c r="K309" i="11" s="1"/>
  <c r="BB309" i="11"/>
  <c r="I309" i="11" s="1"/>
  <c r="BE309" i="11"/>
  <c r="L309" i="11" s="1"/>
  <c r="BC309" i="11"/>
  <c r="J309" i="11" s="1"/>
  <c r="Z309" i="11"/>
  <c r="N309" i="11" s="1"/>
  <c r="BE247" i="11"/>
  <c r="L247" i="11" s="1"/>
  <c r="BD247" i="11"/>
  <c r="K247" i="11" s="1"/>
  <c r="BC247" i="11"/>
  <c r="J247" i="11" s="1"/>
  <c r="BB247" i="11"/>
  <c r="I247" i="11" s="1"/>
  <c r="Z247" i="11"/>
  <c r="N247" i="11" s="1"/>
  <c r="BD326" i="11"/>
  <c r="K326" i="11" s="1"/>
  <c r="BE326" i="11"/>
  <c r="L326" i="11" s="1"/>
  <c r="BC326" i="11"/>
  <c r="J326" i="11" s="1"/>
  <c r="BB326" i="11"/>
  <c r="I326" i="11" s="1"/>
  <c r="Z326" i="11"/>
  <c r="N326" i="11" s="1"/>
  <c r="BE224" i="11"/>
  <c r="L224" i="11" s="1"/>
  <c r="BD224" i="11"/>
  <c r="K224" i="11" s="1"/>
  <c r="BC224" i="11"/>
  <c r="J224" i="11" s="1"/>
  <c r="BB224" i="11"/>
  <c r="I224" i="11" s="1"/>
  <c r="Z224" i="11"/>
  <c r="N224" i="11" s="1"/>
  <c r="BE272" i="11"/>
  <c r="L272" i="11" s="1"/>
  <c r="BB272" i="11"/>
  <c r="I272" i="11" s="1"/>
  <c r="BC272" i="11"/>
  <c r="J272" i="11" s="1"/>
  <c r="Z272" i="11"/>
  <c r="N272" i="11" s="1"/>
  <c r="BD272" i="11"/>
  <c r="K272" i="11" s="1"/>
  <c r="BD277" i="11"/>
  <c r="K277" i="11" s="1"/>
  <c r="BB277" i="11"/>
  <c r="I277" i="11" s="1"/>
  <c r="BE277" i="11"/>
  <c r="L277" i="11" s="1"/>
  <c r="BC277" i="11"/>
  <c r="J277" i="11" s="1"/>
  <c r="Z277" i="11"/>
  <c r="N277" i="11" s="1"/>
  <c r="BD310" i="11"/>
  <c r="K310" i="11" s="1"/>
  <c r="BC310" i="11"/>
  <c r="J310" i="11" s="1"/>
  <c r="BB310" i="11"/>
  <c r="I310" i="11" s="1"/>
  <c r="BE310" i="11"/>
  <c r="L310" i="11" s="1"/>
  <c r="Z310" i="11"/>
  <c r="N310" i="11" s="1"/>
  <c r="BE251" i="11"/>
  <c r="L251" i="11" s="1"/>
  <c r="BD251" i="11"/>
  <c r="K251" i="11" s="1"/>
  <c r="BC251" i="11"/>
  <c r="J251" i="11" s="1"/>
  <c r="BB251" i="11"/>
  <c r="I251" i="11" s="1"/>
  <c r="Z251" i="11"/>
  <c r="N251" i="11" s="1"/>
  <c r="BD330" i="11"/>
  <c r="K330" i="11" s="1"/>
  <c r="BE330" i="11"/>
  <c r="L330" i="11" s="1"/>
  <c r="BC330" i="11"/>
  <c r="J330" i="11" s="1"/>
  <c r="BB330" i="11"/>
  <c r="I330" i="11" s="1"/>
  <c r="Z330" i="11"/>
  <c r="N330" i="11" s="1"/>
  <c r="BE249" i="11"/>
  <c r="L249" i="11" s="1"/>
  <c r="BB249" i="11"/>
  <c r="I249" i="11" s="1"/>
  <c r="BD249" i="11"/>
  <c r="K249" i="11" s="1"/>
  <c r="BC249" i="11"/>
  <c r="J249" i="11" s="1"/>
  <c r="Z249" i="11"/>
  <c r="N249" i="11" s="1"/>
  <c r="BD325" i="11"/>
  <c r="K325" i="11" s="1"/>
  <c r="BC325" i="11"/>
  <c r="J325" i="11" s="1"/>
  <c r="BE325" i="11"/>
  <c r="L325" i="11" s="1"/>
  <c r="BB325" i="11"/>
  <c r="I325" i="11" s="1"/>
  <c r="Z325" i="11"/>
  <c r="N325" i="11" s="1"/>
  <c r="BD276" i="11"/>
  <c r="K276" i="11" s="1"/>
  <c r="BE276" i="11"/>
  <c r="L276" i="11" s="1"/>
  <c r="BC276" i="11"/>
  <c r="J276" i="11" s="1"/>
  <c r="BB276" i="11"/>
  <c r="I276" i="11" s="1"/>
  <c r="Z276" i="11"/>
  <c r="N276" i="11" s="1"/>
  <c r="BD273" i="11"/>
  <c r="K273" i="11" s="1"/>
  <c r="BC273" i="11"/>
  <c r="J273" i="11" s="1"/>
  <c r="BB273" i="11"/>
  <c r="I273" i="11" s="1"/>
  <c r="BE273" i="11"/>
  <c r="L273" i="11" s="1"/>
  <c r="Z273" i="11"/>
  <c r="N273" i="11" s="1"/>
  <c r="BD323" i="11"/>
  <c r="K323" i="11" s="1"/>
  <c r="BE323" i="11"/>
  <c r="L323" i="11" s="1"/>
  <c r="BC323" i="11"/>
  <c r="J323" i="11" s="1"/>
  <c r="BB323" i="11"/>
  <c r="I323" i="11" s="1"/>
  <c r="Z323" i="11"/>
  <c r="N323" i="11" s="1"/>
  <c r="BE231" i="11"/>
  <c r="L231" i="11" s="1"/>
  <c r="BD231" i="11"/>
  <c r="K231" i="11" s="1"/>
  <c r="BC231" i="11"/>
  <c r="J231" i="11" s="1"/>
  <c r="BB231" i="11"/>
  <c r="I231" i="11" s="1"/>
  <c r="Z231" i="11"/>
  <c r="N231" i="11" s="1"/>
  <c r="BD222" i="11"/>
  <c r="K222" i="11" s="1"/>
  <c r="BE222" i="11"/>
  <c r="L222" i="11" s="1"/>
  <c r="BB222" i="11"/>
  <c r="I222" i="11" s="1"/>
  <c r="Z222" i="11"/>
  <c r="N222" i="11" s="1"/>
  <c r="BC222" i="11"/>
  <c r="J222" i="11" s="1"/>
  <c r="BE232" i="11"/>
  <c r="L232" i="11" s="1"/>
  <c r="BD232" i="11"/>
  <c r="K232" i="11" s="1"/>
  <c r="BC232" i="11"/>
  <c r="J232" i="11" s="1"/>
  <c r="BB232" i="11"/>
  <c r="I232" i="11" s="1"/>
  <c r="Z232" i="11"/>
  <c r="N232" i="11" s="1"/>
  <c r="BE237" i="11"/>
  <c r="L237" i="11" s="1"/>
  <c r="BD237" i="11"/>
  <c r="K237" i="11" s="1"/>
  <c r="BB237" i="11"/>
  <c r="I237" i="11" s="1"/>
  <c r="Z237" i="11"/>
  <c r="N237" i="11" s="1"/>
  <c r="BC237" i="11"/>
  <c r="J237" i="11" s="1"/>
  <c r="BD280" i="11"/>
  <c r="K280" i="11" s="1"/>
  <c r="BE280" i="11"/>
  <c r="L280" i="11" s="1"/>
  <c r="BC280" i="11"/>
  <c r="J280" i="11" s="1"/>
  <c r="BB280" i="11"/>
  <c r="I280" i="11" s="1"/>
  <c r="Z280" i="11"/>
  <c r="N280" i="11" s="1"/>
  <c r="BD285" i="11"/>
  <c r="K285" i="11" s="1"/>
  <c r="BE285" i="11"/>
  <c r="L285" i="11" s="1"/>
  <c r="BC285" i="11"/>
  <c r="J285" i="11" s="1"/>
  <c r="BB285" i="11"/>
  <c r="I285" i="11" s="1"/>
  <c r="Z285" i="11"/>
  <c r="N285" i="11" s="1"/>
  <c r="BE269" i="11"/>
  <c r="L269" i="11" s="1"/>
  <c r="BC269" i="11"/>
  <c r="J269" i="11" s="1"/>
  <c r="BB269" i="11"/>
  <c r="I269" i="11" s="1"/>
  <c r="Z269" i="11"/>
  <c r="N269" i="11" s="1"/>
  <c r="BD269" i="11"/>
  <c r="K269" i="11" s="1"/>
  <c r="BD297" i="11"/>
  <c r="K297" i="11" s="1"/>
  <c r="BB297" i="11"/>
  <c r="I297" i="11" s="1"/>
  <c r="BE297" i="11"/>
  <c r="L297" i="11" s="1"/>
  <c r="BC297" i="11"/>
  <c r="J297" i="11" s="1"/>
  <c r="Z297" i="11"/>
  <c r="N297" i="11" s="1"/>
  <c r="BD302" i="11"/>
  <c r="K302" i="11" s="1"/>
  <c r="BC302" i="11"/>
  <c r="J302" i="11" s="1"/>
  <c r="BE302" i="11"/>
  <c r="L302" i="11" s="1"/>
  <c r="BB302" i="11"/>
  <c r="I302" i="11" s="1"/>
  <c r="Z302" i="11"/>
  <c r="N302" i="11" s="1"/>
  <c r="BE259" i="11"/>
  <c r="L259" i="11" s="1"/>
  <c r="BD259" i="11"/>
  <c r="K259" i="11" s="1"/>
  <c r="BC259" i="11"/>
  <c r="J259" i="11" s="1"/>
  <c r="Z259" i="11"/>
  <c r="N259" i="11" s="1"/>
  <c r="BB259" i="11"/>
  <c r="I259" i="11" s="1"/>
  <c r="BE264" i="11"/>
  <c r="L264" i="11" s="1"/>
  <c r="BD264" i="11"/>
  <c r="K264" i="11" s="1"/>
  <c r="BB264" i="11"/>
  <c r="I264" i="11" s="1"/>
  <c r="BC264" i="11"/>
  <c r="J264" i="11" s="1"/>
  <c r="Z264" i="11"/>
  <c r="N264" i="11" s="1"/>
  <c r="BE248" i="11"/>
  <c r="L248" i="11" s="1"/>
  <c r="BD248" i="11"/>
  <c r="K248" i="11" s="1"/>
  <c r="BB248" i="11"/>
  <c r="I248" i="11" s="1"/>
  <c r="Z248" i="11"/>
  <c r="N248" i="11" s="1"/>
  <c r="BC248" i="11"/>
  <c r="J248" i="11" s="1"/>
  <c r="BD322" i="11"/>
  <c r="K322" i="11" s="1"/>
  <c r="BE322" i="11"/>
  <c r="L322" i="11" s="1"/>
  <c r="BB322" i="11"/>
  <c r="I322" i="11" s="1"/>
  <c r="BC322" i="11"/>
  <c r="J322" i="11" s="1"/>
  <c r="Z322" i="11"/>
  <c r="N322" i="11" s="1"/>
  <c r="BD327" i="11"/>
  <c r="K327" i="11" s="1"/>
  <c r="BC327" i="11"/>
  <c r="J327" i="11" s="1"/>
  <c r="BB327" i="11"/>
  <c r="I327" i="11" s="1"/>
  <c r="BE327" i="11"/>
  <c r="L327" i="11" s="1"/>
  <c r="Z327" i="11"/>
  <c r="N327" i="11" s="1"/>
  <c r="BE230" i="11"/>
  <c r="L230" i="11" s="1"/>
  <c r="BD230" i="11"/>
  <c r="K230" i="11" s="1"/>
  <c r="BC230" i="11"/>
  <c r="J230" i="11" s="1"/>
  <c r="BB230" i="11"/>
  <c r="I230" i="11" s="1"/>
  <c r="Z230" i="11"/>
  <c r="N230" i="11" s="1"/>
  <c r="BD295" i="11"/>
  <c r="K295" i="11" s="1"/>
  <c r="BE295" i="11"/>
  <c r="L295" i="11" s="1"/>
  <c r="BC295" i="11"/>
  <c r="J295" i="11" s="1"/>
  <c r="BB295" i="11"/>
  <c r="I295" i="11" s="1"/>
  <c r="Z295" i="11"/>
  <c r="N295" i="11" s="1"/>
  <c r="BE257" i="11"/>
  <c r="L257" i="11" s="1"/>
  <c r="BB257" i="11"/>
  <c r="I257" i="11" s="1"/>
  <c r="BD257" i="11"/>
  <c r="K257" i="11" s="1"/>
  <c r="BC257" i="11"/>
  <c r="J257" i="11" s="1"/>
  <c r="Z257" i="11"/>
  <c r="N257" i="11" s="1"/>
  <c r="BE262" i="11"/>
  <c r="L262" i="11" s="1"/>
  <c r="BC262" i="11"/>
  <c r="J262" i="11" s="1"/>
  <c r="BB262" i="11"/>
  <c r="I262" i="11" s="1"/>
  <c r="BD262" i="11"/>
  <c r="K262" i="11" s="1"/>
  <c r="Z262" i="11"/>
  <c r="N262" i="11" s="1"/>
  <c r="BE246" i="11"/>
  <c r="L246" i="11" s="1"/>
  <c r="BD246" i="11"/>
  <c r="K246" i="11" s="1"/>
  <c r="BC246" i="11"/>
  <c r="J246" i="11" s="1"/>
  <c r="Z246" i="11"/>
  <c r="N246" i="11" s="1"/>
  <c r="BB246" i="11"/>
  <c r="I246" i="11" s="1"/>
  <c r="BD320" i="11"/>
  <c r="K320" i="11" s="1"/>
  <c r="BB320" i="11"/>
  <c r="I320" i="11" s="1"/>
  <c r="BC320" i="11"/>
  <c r="J320" i="11" s="1"/>
  <c r="BE320" i="11"/>
  <c r="L320" i="11" s="1"/>
  <c r="Z320" i="11"/>
  <c r="N320" i="11" s="1"/>
  <c r="BE228" i="11"/>
  <c r="L228" i="11" s="1"/>
  <c r="BD228" i="11"/>
  <c r="K228" i="11" s="1"/>
  <c r="BC228" i="11"/>
  <c r="J228" i="11" s="1"/>
  <c r="BB228" i="11"/>
  <c r="I228" i="11" s="1"/>
  <c r="Z228" i="11"/>
  <c r="N228" i="11" s="1"/>
  <c r="BE225" i="11"/>
  <c r="L225" i="11" s="1"/>
  <c r="BD225" i="11"/>
  <c r="K225" i="11" s="1"/>
  <c r="BB225" i="11"/>
  <c r="I225" i="11" s="1"/>
  <c r="BC225" i="11"/>
  <c r="J225" i="11" s="1"/>
  <c r="Z225" i="11"/>
  <c r="N225" i="11" s="1"/>
  <c r="BD281" i="11"/>
  <c r="K281" i="11" s="1"/>
  <c r="BE281" i="11"/>
  <c r="L281" i="11" s="1"/>
  <c r="BC281" i="11"/>
  <c r="J281" i="11" s="1"/>
  <c r="BB281" i="11"/>
  <c r="I281" i="11" s="1"/>
  <c r="Z281" i="11"/>
  <c r="N281" i="11" s="1"/>
  <c r="BD293" i="11"/>
  <c r="K293" i="11" s="1"/>
  <c r="BB293" i="11"/>
  <c r="I293" i="11" s="1"/>
  <c r="BE293" i="11"/>
  <c r="L293" i="11" s="1"/>
  <c r="BC293" i="11"/>
  <c r="J293" i="11" s="1"/>
  <c r="Z293" i="11"/>
  <c r="N293" i="11" s="1"/>
  <c r="BE255" i="11"/>
  <c r="L255" i="11" s="1"/>
  <c r="BD255" i="11"/>
  <c r="K255" i="11" s="1"/>
  <c r="BC255" i="11"/>
  <c r="J255" i="11" s="1"/>
  <c r="BB255" i="11"/>
  <c r="I255" i="11" s="1"/>
  <c r="Z255" i="11"/>
  <c r="N255" i="11" s="1"/>
  <c r="BD318" i="11"/>
  <c r="K318" i="11" s="1"/>
  <c r="BE318" i="11"/>
  <c r="L318" i="11" s="1"/>
  <c r="BC318" i="11"/>
  <c r="J318" i="11" s="1"/>
  <c r="BB318" i="11"/>
  <c r="I318" i="11" s="1"/>
  <c r="Z318" i="11"/>
  <c r="N318" i="11" s="1"/>
  <c r="BE234" i="11"/>
  <c r="L234" i="11" s="1"/>
  <c r="BD234" i="11"/>
  <c r="K234" i="11" s="1"/>
  <c r="BC234" i="11"/>
  <c r="J234" i="11" s="1"/>
  <c r="BB234" i="11"/>
  <c r="I234" i="11" s="1"/>
  <c r="Z234" i="11"/>
  <c r="N234" i="11" s="1"/>
  <c r="BE239" i="11"/>
  <c r="L239" i="11" s="1"/>
  <c r="BD239" i="11"/>
  <c r="K239" i="11" s="1"/>
  <c r="BC239" i="11"/>
  <c r="J239" i="11" s="1"/>
  <c r="BB239" i="11"/>
  <c r="I239" i="11" s="1"/>
  <c r="Z239" i="11"/>
  <c r="N239" i="11" s="1"/>
  <c r="O94" i="72"/>
  <c r="O164" i="72"/>
  <c r="O166" i="72"/>
  <c r="O296" i="72"/>
  <c r="O273" i="72"/>
  <c r="O117" i="72"/>
  <c r="D236" i="47"/>
  <c r="D241" i="72" s="1"/>
  <c r="D62" i="72"/>
  <c r="D260" i="47"/>
  <c r="D265" i="72" s="1"/>
  <c r="D86" i="72"/>
  <c r="D223" i="47"/>
  <c r="D228" i="72" s="1"/>
  <c r="D49" i="72"/>
  <c r="E238" i="47"/>
  <c r="G243" i="72" s="1"/>
  <c r="G64" i="72"/>
  <c r="E234" i="47"/>
  <c r="G239" i="72" s="1"/>
  <c r="G60" i="72"/>
  <c r="AH76" i="47"/>
  <c r="AQ76" i="47" s="1"/>
  <c r="E79" i="72"/>
  <c r="AH78" i="47"/>
  <c r="AQ78" i="47" s="1"/>
  <c r="E81" i="72"/>
  <c r="AH86" i="47"/>
  <c r="AQ86" i="47" s="1"/>
  <c r="E89" i="72"/>
  <c r="AH73" i="47"/>
  <c r="AQ73" i="47" s="1"/>
  <c r="E76" i="72"/>
  <c r="AH79" i="47"/>
  <c r="AQ79" i="47" s="1"/>
  <c r="E82" i="72"/>
  <c r="D254" i="47"/>
  <c r="D259" i="72" s="1"/>
  <c r="D80" i="72"/>
  <c r="D232" i="47"/>
  <c r="D237" i="72" s="1"/>
  <c r="D58" i="72"/>
  <c r="D247" i="47"/>
  <c r="D252" i="72" s="1"/>
  <c r="D73" i="72"/>
  <c r="D235" i="47"/>
  <c r="D240" i="72" s="1"/>
  <c r="D61" i="72"/>
  <c r="D262" i="47"/>
  <c r="D267" i="72" s="1"/>
  <c r="D88" i="72"/>
  <c r="AH59" i="47"/>
  <c r="AQ59" i="47" s="1"/>
  <c r="E62" i="72"/>
  <c r="E235" i="47"/>
  <c r="G240" i="72" s="1"/>
  <c r="G61" i="72"/>
  <c r="E241" i="47"/>
  <c r="G246" i="72" s="1"/>
  <c r="G67" i="72"/>
  <c r="AH46" i="47"/>
  <c r="AQ46" i="47" s="1"/>
  <c r="E49" i="72"/>
  <c r="E239" i="47"/>
  <c r="G244" i="72" s="1"/>
  <c r="G65" i="72"/>
  <c r="AH61" i="47"/>
  <c r="AQ61" i="47" s="1"/>
  <c r="E64" i="72"/>
  <c r="AH63" i="47"/>
  <c r="AQ63" i="47" s="1"/>
  <c r="E66" i="72"/>
  <c r="AH72" i="47"/>
  <c r="AQ72" i="47" s="1"/>
  <c r="E75" i="72"/>
  <c r="E261" i="47"/>
  <c r="G266" i="72" s="1"/>
  <c r="G87" i="72"/>
  <c r="E254" i="47"/>
  <c r="G259" i="72" s="1"/>
  <c r="G80" i="72"/>
  <c r="AH71" i="47"/>
  <c r="AQ71" i="47" s="1"/>
  <c r="E74" i="72"/>
  <c r="E248" i="47"/>
  <c r="G253" i="72" s="1"/>
  <c r="G74" i="72"/>
  <c r="D225" i="47"/>
  <c r="D230" i="72" s="1"/>
  <c r="D51" i="72"/>
  <c r="D233" i="47"/>
  <c r="D238" i="72" s="1"/>
  <c r="D59" i="72"/>
  <c r="D226" i="47"/>
  <c r="D231" i="72" s="1"/>
  <c r="D52" i="72"/>
  <c r="D253" i="47"/>
  <c r="D258" i="72" s="1"/>
  <c r="D79" i="72"/>
  <c r="D245" i="47"/>
  <c r="D250" i="72" s="1"/>
  <c r="D71" i="72"/>
  <c r="D227" i="47"/>
  <c r="D232" i="72" s="1"/>
  <c r="D53" i="72"/>
  <c r="D251" i="47"/>
  <c r="D256" i="72" s="1"/>
  <c r="D77" i="72"/>
  <c r="D256" i="47"/>
  <c r="D261" i="72" s="1"/>
  <c r="D82" i="72"/>
  <c r="D239" i="47"/>
  <c r="D244" i="72" s="1"/>
  <c r="D65" i="72"/>
  <c r="D258" i="47"/>
  <c r="D263" i="72" s="1"/>
  <c r="D84" i="72"/>
  <c r="N67" i="72"/>
  <c r="E230" i="47"/>
  <c r="G235" i="72" s="1"/>
  <c r="G56" i="72"/>
  <c r="AH53" i="47"/>
  <c r="AQ53" i="47" s="1"/>
  <c r="E56" i="72"/>
  <c r="E236" i="47"/>
  <c r="G241" i="72" s="1"/>
  <c r="G62" i="72"/>
  <c r="E231" i="47"/>
  <c r="G236" i="72" s="1"/>
  <c r="G57" i="72"/>
  <c r="AH64" i="47"/>
  <c r="AQ64" i="47" s="1"/>
  <c r="E67" i="72"/>
  <c r="E226" i="47"/>
  <c r="G231" i="72" s="1"/>
  <c r="G52" i="72"/>
  <c r="AH55" i="47"/>
  <c r="AQ55" i="47" s="1"/>
  <c r="E58" i="72"/>
  <c r="E227" i="47"/>
  <c r="G232" i="72" s="1"/>
  <c r="G53" i="72"/>
  <c r="E225" i="47"/>
  <c r="G230" i="72" s="1"/>
  <c r="G51" i="72"/>
  <c r="E222" i="47"/>
  <c r="G227" i="72" s="1"/>
  <c r="G48" i="72"/>
  <c r="E228" i="47"/>
  <c r="G233" i="72" s="1"/>
  <c r="G54" i="72"/>
  <c r="AH60" i="47"/>
  <c r="AQ60" i="47" s="1"/>
  <c r="E63" i="72"/>
  <c r="AH57" i="47"/>
  <c r="AQ57" i="47" s="1"/>
  <c r="E60" i="72"/>
  <c r="AH47" i="47"/>
  <c r="AQ47" i="47" s="1"/>
  <c r="E50" i="72"/>
  <c r="AH52" i="47"/>
  <c r="AQ52" i="47" s="1"/>
  <c r="E55" i="72"/>
  <c r="E259" i="47"/>
  <c r="G264" i="72" s="1"/>
  <c r="G85" i="72"/>
  <c r="AH85" i="47"/>
  <c r="AQ85" i="47" s="1"/>
  <c r="E88" i="72"/>
  <c r="AH75" i="47"/>
  <c r="AQ75" i="47" s="1"/>
  <c r="E78" i="72"/>
  <c r="E249" i="47"/>
  <c r="G254" i="72" s="1"/>
  <c r="G75" i="72"/>
  <c r="AH87" i="47"/>
  <c r="AQ87" i="47" s="1"/>
  <c r="E90" i="72"/>
  <c r="AH83" i="47"/>
  <c r="AQ83" i="47" s="1"/>
  <c r="E86" i="72"/>
  <c r="AH84" i="47"/>
  <c r="AQ84" i="47" s="1"/>
  <c r="E87" i="72"/>
  <c r="E245" i="47"/>
  <c r="G250" i="72" s="1"/>
  <c r="G71" i="72"/>
  <c r="AH74" i="47"/>
  <c r="AQ74" i="47" s="1"/>
  <c r="E77" i="72"/>
  <c r="E263" i="47"/>
  <c r="G268" i="72" s="1"/>
  <c r="G89" i="72"/>
  <c r="AH70" i="47"/>
  <c r="AQ70" i="47" s="1"/>
  <c r="E73" i="72"/>
  <c r="E256" i="47"/>
  <c r="G261" i="72" s="1"/>
  <c r="G82" i="72"/>
  <c r="D222" i="47"/>
  <c r="D227" i="72" s="1"/>
  <c r="D48" i="72"/>
  <c r="D264" i="47"/>
  <c r="D269" i="72" s="1"/>
  <c r="D90" i="72"/>
  <c r="D248" i="47"/>
  <c r="D253" i="72" s="1"/>
  <c r="D74" i="72"/>
  <c r="D257" i="47"/>
  <c r="D262" i="72" s="1"/>
  <c r="D83" i="72"/>
  <c r="D263" i="47"/>
  <c r="D268" i="72" s="1"/>
  <c r="D89" i="72"/>
  <c r="D231" i="47"/>
  <c r="D236" i="72" s="1"/>
  <c r="D57" i="72"/>
  <c r="D241" i="47"/>
  <c r="D246" i="72" s="1"/>
  <c r="D67" i="72"/>
  <c r="AH58" i="47"/>
  <c r="AQ58" i="47" s="1"/>
  <c r="E61" i="72"/>
  <c r="AH54" i="47"/>
  <c r="AQ54" i="47" s="1"/>
  <c r="E57" i="72"/>
  <c r="E232" i="47"/>
  <c r="G237" i="72" s="1"/>
  <c r="G58" i="72"/>
  <c r="AH50" i="47"/>
  <c r="AQ50" i="47" s="1"/>
  <c r="E53" i="72"/>
  <c r="AH45" i="47"/>
  <c r="AQ45" i="47" s="1"/>
  <c r="E48" i="72"/>
  <c r="AH56" i="47"/>
  <c r="AQ56" i="47" s="1"/>
  <c r="E59" i="72"/>
  <c r="E237" i="47"/>
  <c r="G242" i="72" s="1"/>
  <c r="G63" i="72"/>
  <c r="E229" i="47"/>
  <c r="G234" i="72" s="1"/>
  <c r="G55" i="72"/>
  <c r="E262" i="47"/>
  <c r="G267" i="72" s="1"/>
  <c r="G88" i="72"/>
  <c r="AH81" i="47"/>
  <c r="AQ81" i="47" s="1"/>
  <c r="E84" i="72"/>
  <c r="E260" i="47"/>
  <c r="G265" i="72" s="1"/>
  <c r="G86" i="72"/>
  <c r="E257" i="47"/>
  <c r="G262" i="72" s="1"/>
  <c r="G83" i="72"/>
  <c r="D240" i="47"/>
  <c r="D245" i="72" s="1"/>
  <c r="D66" i="72"/>
  <c r="D238" i="47"/>
  <c r="D243" i="72" s="1"/>
  <c r="D64" i="72"/>
  <c r="D234" i="47"/>
  <c r="D239" i="72" s="1"/>
  <c r="D60" i="72"/>
  <c r="D259" i="47"/>
  <c r="D264" i="72" s="1"/>
  <c r="D85" i="72"/>
  <c r="AH51" i="47"/>
  <c r="AQ51" i="47" s="1"/>
  <c r="E54" i="72"/>
  <c r="E224" i="47"/>
  <c r="G229" i="72" s="1"/>
  <c r="G50" i="72"/>
  <c r="E253" i="47"/>
  <c r="G258" i="72" s="1"/>
  <c r="G79" i="72"/>
  <c r="E246" i="47"/>
  <c r="G251" i="72" s="1"/>
  <c r="G72" i="72"/>
  <c r="E258" i="47"/>
  <c r="G263" i="72" s="1"/>
  <c r="G84" i="72"/>
  <c r="E251" i="47"/>
  <c r="G256" i="72" s="1"/>
  <c r="G77" i="72"/>
  <c r="D230" i="47"/>
  <c r="D235" i="72" s="1"/>
  <c r="D56" i="72"/>
  <c r="D229" i="47"/>
  <c r="D234" i="72" s="1"/>
  <c r="D55" i="72"/>
  <c r="D246" i="47"/>
  <c r="D251" i="72" s="1"/>
  <c r="D72" i="72"/>
  <c r="D261" i="47"/>
  <c r="D266" i="72" s="1"/>
  <c r="D87" i="72"/>
  <c r="D249" i="47"/>
  <c r="D254" i="72" s="1"/>
  <c r="D75" i="72"/>
  <c r="D237" i="47"/>
  <c r="D242" i="72" s="1"/>
  <c r="D63" i="72"/>
  <c r="D224" i="47"/>
  <c r="D229" i="72" s="1"/>
  <c r="D50" i="72"/>
  <c r="D250" i="47"/>
  <c r="D255" i="72" s="1"/>
  <c r="D76" i="72"/>
  <c r="D252" i="47"/>
  <c r="D257" i="72" s="1"/>
  <c r="D78" i="72"/>
  <c r="D255" i="47"/>
  <c r="D260" i="72" s="1"/>
  <c r="D81" i="72"/>
  <c r="D228" i="47"/>
  <c r="D233" i="72" s="1"/>
  <c r="D54" i="72"/>
  <c r="C245" i="72"/>
  <c r="AH49" i="47"/>
  <c r="AQ49" i="47" s="1"/>
  <c r="E52" i="72"/>
  <c r="E223" i="47"/>
  <c r="G228" i="72" s="1"/>
  <c r="G49" i="72"/>
  <c r="AH48" i="47"/>
  <c r="AQ48" i="47" s="1"/>
  <c r="E51" i="72"/>
  <c r="AH62" i="47"/>
  <c r="AQ62" i="47" s="1"/>
  <c r="E65" i="72"/>
  <c r="E233" i="47"/>
  <c r="G238" i="72" s="1"/>
  <c r="G59" i="72"/>
  <c r="E240" i="47"/>
  <c r="G245" i="72" s="1"/>
  <c r="G66" i="72"/>
  <c r="AH82" i="47"/>
  <c r="AQ82" i="47" s="1"/>
  <c r="E85" i="72"/>
  <c r="L88" i="72"/>
  <c r="AH69" i="47"/>
  <c r="AQ69" i="47" s="1"/>
  <c r="E72" i="72"/>
  <c r="E252" i="47"/>
  <c r="G257" i="72" s="1"/>
  <c r="G78" i="72"/>
  <c r="E255" i="47"/>
  <c r="G260" i="72" s="1"/>
  <c r="G81" i="72"/>
  <c r="E264" i="47"/>
  <c r="G269" i="72" s="1"/>
  <c r="G90" i="72"/>
  <c r="AH68" i="47"/>
  <c r="AQ68" i="47" s="1"/>
  <c r="E71" i="72"/>
  <c r="AH77" i="47"/>
  <c r="AQ77" i="47" s="1"/>
  <c r="E80" i="72"/>
  <c r="AH80" i="47"/>
  <c r="AQ80" i="47" s="1"/>
  <c r="E83" i="72"/>
  <c r="E247" i="47"/>
  <c r="G252" i="72" s="1"/>
  <c r="G73" i="72"/>
  <c r="E250" i="47"/>
  <c r="G255" i="72" s="1"/>
  <c r="G76" i="72"/>
  <c r="A224" i="47"/>
  <c r="A229" i="72" s="1"/>
  <c r="A50" i="72"/>
  <c r="A230" i="47"/>
  <c r="A235" i="72" s="1"/>
  <c r="A56" i="72"/>
  <c r="A223" i="47"/>
  <c r="A228" i="72" s="1"/>
  <c r="A49" i="72"/>
  <c r="A254" i="47"/>
  <c r="A259" i="72" s="1"/>
  <c r="A80" i="72"/>
  <c r="A262" i="47"/>
  <c r="A267" i="72" s="1"/>
  <c r="A88" i="72"/>
  <c r="A237" i="47"/>
  <c r="A242" i="72" s="1"/>
  <c r="A63" i="72"/>
  <c r="A264" i="47"/>
  <c r="A269" i="72" s="1"/>
  <c r="A90" i="72"/>
  <c r="A227" i="47"/>
  <c r="A232" i="72" s="1"/>
  <c r="A53" i="72"/>
  <c r="A256" i="47"/>
  <c r="A261" i="72" s="1"/>
  <c r="A82" i="72"/>
  <c r="A250" i="47"/>
  <c r="A255" i="72" s="1"/>
  <c r="A76" i="72"/>
  <c r="A225" i="47"/>
  <c r="A230" i="72" s="1"/>
  <c r="A51" i="72"/>
  <c r="A228" i="47"/>
  <c r="A233" i="72" s="1"/>
  <c r="A54" i="72"/>
  <c r="A252" i="47"/>
  <c r="A257" i="72" s="1"/>
  <c r="A78" i="72"/>
  <c r="A253" i="47"/>
  <c r="A258" i="72" s="1"/>
  <c r="A79" i="72"/>
  <c r="A249" i="47"/>
  <c r="A254" i="72" s="1"/>
  <c r="A75" i="72"/>
  <c r="A263" i="47"/>
  <c r="A268" i="72" s="1"/>
  <c r="A89" i="72"/>
  <c r="A234" i="47"/>
  <c r="A239" i="72" s="1"/>
  <c r="A60" i="72"/>
  <c r="A258" i="47"/>
  <c r="A263" i="72" s="1"/>
  <c r="A84" i="72"/>
  <c r="A44" i="47"/>
  <c r="A65" i="47" s="1"/>
  <c r="A242" i="47" s="1"/>
  <c r="A48" i="72"/>
  <c r="A233" i="47"/>
  <c r="A238" i="72" s="1"/>
  <c r="A59" i="72"/>
  <c r="A261" i="47"/>
  <c r="A266" i="72" s="1"/>
  <c r="A87" i="72"/>
  <c r="A238" i="47"/>
  <c r="A243" i="72" s="1"/>
  <c r="A64" i="72"/>
  <c r="A248" i="47"/>
  <c r="A253" i="72" s="1"/>
  <c r="A74" i="72"/>
  <c r="A255" i="47"/>
  <c r="A260" i="72" s="1"/>
  <c r="A81" i="72"/>
  <c r="A247" i="47"/>
  <c r="A252" i="72" s="1"/>
  <c r="A73" i="72"/>
  <c r="A246" i="47"/>
  <c r="A251" i="72" s="1"/>
  <c r="A72" i="72"/>
  <c r="A259" i="47"/>
  <c r="A264" i="72" s="1"/>
  <c r="A85" i="72"/>
  <c r="A241" i="47"/>
  <c r="A246" i="72" s="1"/>
  <c r="A67" i="72"/>
  <c r="A236" i="47"/>
  <c r="A241" i="72" s="1"/>
  <c r="A62" i="72"/>
  <c r="A226" i="47"/>
  <c r="A231" i="72" s="1"/>
  <c r="A52" i="72"/>
  <c r="A229" i="47"/>
  <c r="A234" i="72" s="1"/>
  <c r="A55" i="72"/>
  <c r="A251" i="47"/>
  <c r="A256" i="72" s="1"/>
  <c r="A77" i="72"/>
  <c r="A67" i="47"/>
  <c r="A244" i="47" s="1"/>
  <c r="A71" i="72"/>
  <c r="A239" i="47"/>
  <c r="A244" i="72" s="1"/>
  <c r="A65" i="72"/>
  <c r="A257" i="47"/>
  <c r="A262" i="72" s="1"/>
  <c r="A83" i="72"/>
  <c r="A240" i="47"/>
  <c r="A245" i="72" s="1"/>
  <c r="A66" i="72"/>
  <c r="A231" i="47"/>
  <c r="A236" i="72" s="1"/>
  <c r="A57" i="72"/>
  <c r="A260" i="47"/>
  <c r="A265" i="72" s="1"/>
  <c r="A86" i="72"/>
  <c r="A232" i="47"/>
  <c r="A237" i="72" s="1"/>
  <c r="A58" i="72"/>
  <c r="A235" i="47"/>
  <c r="A240" i="72" s="1"/>
  <c r="A61" i="72"/>
  <c r="E112" i="63"/>
  <c r="F134" i="63"/>
  <c r="F108" i="63"/>
  <c r="E106" i="63"/>
  <c r="H103" i="63"/>
  <c r="E131" i="63"/>
  <c r="H120" i="63"/>
  <c r="F156" i="63"/>
  <c r="E145" i="63"/>
  <c r="C242" i="63"/>
  <c r="C302" i="63"/>
  <c r="K121" i="63"/>
  <c r="C262" i="63"/>
  <c r="L146" i="63"/>
  <c r="C230" i="63"/>
  <c r="C286" i="63"/>
  <c r="C298" i="63"/>
  <c r="C260" i="63"/>
  <c r="C239" i="63"/>
  <c r="J125" i="63"/>
  <c r="J150" i="63"/>
  <c r="K127" i="63"/>
  <c r="L157" i="63"/>
  <c r="K60" i="63"/>
  <c r="L63" i="63"/>
  <c r="H54" i="63"/>
  <c r="J53" i="63"/>
  <c r="F65" i="63"/>
  <c r="K61" i="63"/>
  <c r="L66" i="63"/>
  <c r="K52" i="63"/>
  <c r="F62" i="63"/>
  <c r="G48" i="63"/>
  <c r="L81" i="63"/>
  <c r="K89" i="63"/>
  <c r="L73" i="63"/>
  <c r="F88" i="63"/>
  <c r="K80" i="63"/>
  <c r="L86" i="63"/>
  <c r="J74" i="63"/>
  <c r="K87" i="63"/>
  <c r="L84" i="63"/>
  <c r="F82" i="63"/>
  <c r="K76" i="63"/>
  <c r="F104" i="63"/>
  <c r="F101" i="63"/>
  <c r="E118" i="63"/>
  <c r="H102" i="63"/>
  <c r="H99" i="63"/>
  <c r="F127" i="63"/>
  <c r="H132" i="63"/>
  <c r="F144" i="63"/>
  <c r="F100" i="63"/>
  <c r="E158" i="63"/>
  <c r="H142" i="63"/>
  <c r="F106" i="63"/>
  <c r="H95" i="63"/>
  <c r="E123" i="63"/>
  <c r="H128" i="63"/>
  <c r="J136" i="63"/>
  <c r="K148" i="63"/>
  <c r="L153" i="63"/>
  <c r="J145" i="63"/>
  <c r="J96" i="63"/>
  <c r="L121" i="63"/>
  <c r="J126" i="63"/>
  <c r="J154" i="63"/>
  <c r="K146" i="63"/>
  <c r="J151" i="63"/>
  <c r="J102" i="63"/>
  <c r="L107" i="63"/>
  <c r="J99" i="63"/>
  <c r="L119" i="63"/>
  <c r="J124" i="63"/>
  <c r="J149" i="63"/>
  <c r="C287" i="63"/>
  <c r="K100" i="63"/>
  <c r="C292" i="63"/>
  <c r="L105" i="63"/>
  <c r="K97" i="63"/>
  <c r="C276" i="63"/>
  <c r="L133" i="63"/>
  <c r="L125" i="63"/>
  <c r="C304" i="63"/>
  <c r="C309" i="63"/>
  <c r="L122" i="63"/>
  <c r="C266" i="63"/>
  <c r="C250" i="63"/>
  <c r="C255" i="63"/>
  <c r="L158" i="63"/>
  <c r="L150" i="63"/>
  <c r="C329" i="63"/>
  <c r="K155" i="63"/>
  <c r="C334" i="63"/>
  <c r="C243" i="63"/>
  <c r="C232" i="63"/>
  <c r="K112" i="63"/>
  <c r="J104" i="63"/>
  <c r="C283" i="63"/>
  <c r="K109" i="63"/>
  <c r="K101" i="63"/>
  <c r="C280" i="63"/>
  <c r="K134" i="63"/>
  <c r="C313" i="63"/>
  <c r="K159" i="63"/>
  <c r="C338" i="63"/>
  <c r="C241" i="63"/>
  <c r="C289" i="63"/>
  <c r="L94" i="63"/>
  <c r="C314" i="63"/>
  <c r="K132" i="63"/>
  <c r="C311" i="63"/>
  <c r="C252" i="63"/>
  <c r="C331" i="63"/>
  <c r="K141" i="63"/>
  <c r="C320" i="63"/>
  <c r="J58" i="63"/>
  <c r="K58" i="63"/>
  <c r="H60" i="63"/>
  <c r="E55" i="63"/>
  <c r="F55" i="63"/>
  <c r="J51" i="63"/>
  <c r="H51" i="63"/>
  <c r="E63" i="63"/>
  <c r="F63" i="63"/>
  <c r="E54" i="63"/>
  <c r="F56" i="63"/>
  <c r="L53" i="63"/>
  <c r="H53" i="63"/>
  <c r="E65" i="63"/>
  <c r="L61" i="63"/>
  <c r="H61" i="63"/>
  <c r="E59" i="63"/>
  <c r="F59" i="63"/>
  <c r="E66" i="63"/>
  <c r="J50" i="63"/>
  <c r="K50" i="63"/>
  <c r="H52" i="63"/>
  <c r="E67" i="63"/>
  <c r="F67" i="63"/>
  <c r="L57" i="63"/>
  <c r="H57" i="63"/>
  <c r="J62" i="63"/>
  <c r="K62" i="63"/>
  <c r="L64" i="63"/>
  <c r="H64" i="63"/>
  <c r="L49" i="63"/>
  <c r="H49" i="63"/>
  <c r="J81" i="63"/>
  <c r="F81" i="63"/>
  <c r="H85" i="63"/>
  <c r="E85" i="63"/>
  <c r="E79" i="63"/>
  <c r="F83" i="63"/>
  <c r="E89" i="63"/>
  <c r="J73" i="63"/>
  <c r="F73" i="63"/>
  <c r="H77" i="63"/>
  <c r="E77" i="63"/>
  <c r="E80" i="63"/>
  <c r="K86" i="63"/>
  <c r="K74" i="63"/>
  <c r="E72" i="63"/>
  <c r="F75" i="63"/>
  <c r="E87" i="63"/>
  <c r="K82" i="63"/>
  <c r="E76" i="63"/>
  <c r="A289" i="63"/>
  <c r="A273" i="63"/>
  <c r="A278" i="63"/>
  <c r="A306" i="63"/>
  <c r="A311" i="63"/>
  <c r="A331" i="63"/>
  <c r="A336" i="63"/>
  <c r="A320" i="63"/>
  <c r="A366" i="63"/>
  <c r="A368" i="63"/>
  <c r="A365" i="63"/>
  <c r="A285" i="63"/>
  <c r="A274" i="63"/>
  <c r="A319" i="63"/>
  <c r="A364" i="63"/>
  <c r="A275" i="63"/>
  <c r="A297" i="63"/>
  <c r="A347" i="63"/>
  <c r="A279" i="63"/>
  <c r="A284" i="63"/>
  <c r="A312" i="63"/>
  <c r="A296" i="63"/>
  <c r="A301" i="63"/>
  <c r="A329" i="63"/>
  <c r="A334" i="63"/>
  <c r="A361" i="63"/>
  <c r="A358" i="63"/>
  <c r="A359" i="63"/>
  <c r="A282" i="63"/>
  <c r="A302" i="63"/>
  <c r="A307" i="63"/>
  <c r="A327" i="63"/>
  <c r="A324" i="63"/>
  <c r="A370" i="63"/>
  <c r="A288" i="63"/>
  <c r="A308" i="63"/>
  <c r="A305" i="63"/>
  <c r="A325" i="63"/>
  <c r="A330" i="63"/>
  <c r="A371" i="63"/>
  <c r="F109" i="63"/>
  <c r="H126" i="63"/>
  <c r="H154" i="63"/>
  <c r="F151" i="63"/>
  <c r="H107" i="63"/>
  <c r="F135" i="63"/>
  <c r="F152" i="63"/>
  <c r="E149" i="63"/>
  <c r="E108" i="63"/>
  <c r="F133" i="63"/>
  <c r="H130" i="63"/>
  <c r="C237" i="63"/>
  <c r="C285" i="63"/>
  <c r="C290" i="63"/>
  <c r="K128" i="63"/>
  <c r="L120" i="63"/>
  <c r="C253" i="63"/>
  <c r="C327" i="63"/>
  <c r="C332" i="63"/>
  <c r="C235" i="63"/>
  <c r="L126" i="63"/>
  <c r="C251" i="63"/>
  <c r="K107" i="63"/>
  <c r="L99" i="63"/>
  <c r="L144" i="63"/>
  <c r="J130" i="63"/>
  <c r="K142" i="63"/>
  <c r="L112" i="63"/>
  <c r="L109" i="63"/>
  <c r="L129" i="63"/>
  <c r="L118" i="63"/>
  <c r="L143" i="63"/>
  <c r="J152" i="63"/>
  <c r="J141" i="63"/>
  <c r="L55" i="63"/>
  <c r="J61" i="63"/>
  <c r="L59" i="63"/>
  <c r="G50" i="63"/>
  <c r="L52" i="63"/>
  <c r="L67" i="63"/>
  <c r="K57" i="63"/>
  <c r="J64" i="63"/>
  <c r="E48" i="63"/>
  <c r="K49" i="63"/>
  <c r="L71" i="63"/>
  <c r="K79" i="63"/>
  <c r="L83" i="63"/>
  <c r="K77" i="63"/>
  <c r="L88" i="63"/>
  <c r="J86" i="63"/>
  <c r="E90" i="63"/>
  <c r="L74" i="63"/>
  <c r="K72" i="63"/>
  <c r="L75" i="63"/>
  <c r="F84" i="63"/>
  <c r="E78" i="63"/>
  <c r="H76" i="63"/>
  <c r="F121" i="63"/>
  <c r="E134" i="63"/>
  <c r="F143" i="63"/>
  <c r="E110" i="63"/>
  <c r="F107" i="63"/>
  <c r="E135" i="63"/>
  <c r="E100" i="63"/>
  <c r="H105" i="63"/>
  <c r="F125" i="63"/>
  <c r="F111" i="63"/>
  <c r="H140" i="63"/>
  <c r="J98" i="63"/>
  <c r="L95" i="63"/>
  <c r="J131" i="63"/>
  <c r="H104" i="63"/>
  <c r="E101" i="63"/>
  <c r="E126" i="63"/>
  <c r="E154" i="63"/>
  <c r="E94" i="63"/>
  <c r="E127" i="63"/>
  <c r="F132" i="63"/>
  <c r="E144" i="63"/>
  <c r="H141" i="63"/>
  <c r="E113" i="63"/>
  <c r="E117" i="63"/>
  <c r="H122" i="63"/>
  <c r="F103" i="63"/>
  <c r="E140" i="63"/>
  <c r="H145" i="63"/>
  <c r="C229" i="63"/>
  <c r="K106" i="63"/>
  <c r="C277" i="63"/>
  <c r="K123" i="63"/>
  <c r="L128" i="63"/>
  <c r="C299" i="63"/>
  <c r="C261" i="63"/>
  <c r="C335" i="63"/>
  <c r="C319" i="63"/>
  <c r="K126" i="63"/>
  <c r="K154" i="63"/>
  <c r="K151" i="63"/>
  <c r="L102" i="63"/>
  <c r="K119" i="63"/>
  <c r="K144" i="63"/>
  <c r="C231" i="63"/>
  <c r="J100" i="63"/>
  <c r="J133" i="63"/>
  <c r="J117" i="63"/>
  <c r="L130" i="63"/>
  <c r="J112" i="63"/>
  <c r="J109" i="63"/>
  <c r="J118" i="63"/>
  <c r="J94" i="63"/>
  <c r="K135" i="63"/>
  <c r="L152" i="63"/>
  <c r="J157" i="63"/>
  <c r="L58" i="63"/>
  <c r="H58" i="63"/>
  <c r="E60" i="63"/>
  <c r="J55" i="63"/>
  <c r="K55" i="63"/>
  <c r="G51" i="63"/>
  <c r="L51" i="63"/>
  <c r="J63" i="63"/>
  <c r="K63" i="63"/>
  <c r="F54" i="63"/>
  <c r="J56" i="63"/>
  <c r="K56" i="63"/>
  <c r="F53" i="63"/>
  <c r="J65" i="63"/>
  <c r="K65" i="63"/>
  <c r="F61" i="63"/>
  <c r="K59" i="63"/>
  <c r="F66" i="63"/>
  <c r="L50" i="63"/>
  <c r="H50" i="63"/>
  <c r="E52" i="63"/>
  <c r="K67" i="63"/>
  <c r="J57" i="63"/>
  <c r="F57" i="63"/>
  <c r="L62" i="63"/>
  <c r="H62" i="63"/>
  <c r="E64" i="63"/>
  <c r="J48" i="63"/>
  <c r="K48" i="63"/>
  <c r="G49" i="63"/>
  <c r="K81" i="63"/>
  <c r="L85" i="63"/>
  <c r="J71" i="63"/>
  <c r="K71" i="63"/>
  <c r="H79" i="63"/>
  <c r="L79" i="63"/>
  <c r="J83" i="63"/>
  <c r="K83" i="63"/>
  <c r="H89" i="63"/>
  <c r="L89" i="63"/>
  <c r="K73" i="63"/>
  <c r="L77" i="63"/>
  <c r="H88" i="63"/>
  <c r="K88" i="63"/>
  <c r="J80" i="63"/>
  <c r="F80" i="63"/>
  <c r="L80" i="63"/>
  <c r="H86" i="63"/>
  <c r="E86" i="63"/>
  <c r="J90" i="63"/>
  <c r="F90" i="63"/>
  <c r="L90" i="63"/>
  <c r="H74" i="63"/>
  <c r="E74" i="63"/>
  <c r="J72" i="63"/>
  <c r="L72" i="63"/>
  <c r="J75" i="63"/>
  <c r="K75" i="63"/>
  <c r="H87" i="63"/>
  <c r="L87" i="63"/>
  <c r="H84" i="63"/>
  <c r="K84" i="63"/>
  <c r="J78" i="63"/>
  <c r="F78" i="63"/>
  <c r="L78" i="63"/>
  <c r="H82" i="63"/>
  <c r="E82" i="63"/>
  <c r="J76" i="63"/>
  <c r="F76" i="63"/>
  <c r="L76" i="63"/>
  <c r="F112" i="63"/>
  <c r="E96" i="63"/>
  <c r="E121" i="63"/>
  <c r="E159" i="63"/>
  <c r="H143" i="63"/>
  <c r="H110" i="63"/>
  <c r="F94" i="63"/>
  <c r="E99" i="63"/>
  <c r="H127" i="63"/>
  <c r="H119" i="63"/>
  <c r="E124" i="63"/>
  <c r="H144" i="63"/>
  <c r="H157" i="63"/>
  <c r="E141" i="63"/>
  <c r="E97" i="63"/>
  <c r="H125" i="63"/>
  <c r="E122" i="63"/>
  <c r="F158" i="63"/>
  <c r="H150" i="63"/>
  <c r="E155" i="63"/>
  <c r="F147" i="63"/>
  <c r="H98" i="63"/>
  <c r="G95" i="63"/>
  <c r="F123" i="63"/>
  <c r="E120" i="63"/>
  <c r="H148" i="63"/>
  <c r="C227" i="63"/>
  <c r="L98" i="63"/>
  <c r="K95" i="63"/>
  <c r="C274" i="63"/>
  <c r="L123" i="63"/>
  <c r="L136" i="63"/>
  <c r="C307" i="63"/>
  <c r="C264" i="63"/>
  <c r="C269" i="63"/>
  <c r="L148" i="63"/>
  <c r="K153" i="63"/>
  <c r="K96" i="63"/>
  <c r="C300" i="63"/>
  <c r="C267" i="63"/>
  <c r="C325" i="63"/>
  <c r="C233" i="63"/>
  <c r="L124" i="63"/>
  <c r="C323" i="63"/>
  <c r="L149" i="63"/>
  <c r="C244" i="63"/>
  <c r="J108" i="63"/>
  <c r="L100" i="63"/>
  <c r="J113" i="63"/>
  <c r="J97" i="63"/>
  <c r="L117" i="63"/>
  <c r="J155" i="63"/>
  <c r="L147" i="63"/>
  <c r="J101" i="63"/>
  <c r="J134" i="63"/>
  <c r="J159" i="63"/>
  <c r="J110" i="63"/>
  <c r="J135" i="63"/>
  <c r="L135" i="63"/>
  <c r="J132" i="63"/>
  <c r="F58" i="63"/>
  <c r="L60" i="63"/>
  <c r="K51" i="63"/>
  <c r="L54" i="63"/>
  <c r="E56" i="63"/>
  <c r="K53" i="63"/>
  <c r="H66" i="63"/>
  <c r="E57" i="63"/>
  <c r="K64" i="63"/>
  <c r="J49" i="63"/>
  <c r="H81" i="63"/>
  <c r="K85" i="63"/>
  <c r="H71" i="63"/>
  <c r="J79" i="63"/>
  <c r="H83" i="63"/>
  <c r="H73" i="63"/>
  <c r="J88" i="63"/>
  <c r="H80" i="63"/>
  <c r="F86" i="63"/>
  <c r="H90" i="63"/>
  <c r="F74" i="63"/>
  <c r="H72" i="63"/>
  <c r="H75" i="63"/>
  <c r="J87" i="63"/>
  <c r="J84" i="63"/>
  <c r="H78" i="63"/>
  <c r="J82" i="63"/>
  <c r="L82" i="63"/>
  <c r="H112" i="63"/>
  <c r="E104" i="63"/>
  <c r="E109" i="63"/>
  <c r="H129" i="63"/>
  <c r="F126" i="63"/>
  <c r="F154" i="63"/>
  <c r="H146" i="63"/>
  <c r="E151" i="63"/>
  <c r="H94" i="63"/>
  <c r="H124" i="63"/>
  <c r="E152" i="63"/>
  <c r="F113" i="63"/>
  <c r="H97" i="63"/>
  <c r="E133" i="63"/>
  <c r="H117" i="63"/>
  <c r="F150" i="63"/>
  <c r="E147" i="63"/>
  <c r="E98" i="63"/>
  <c r="F136" i="63"/>
  <c r="E156" i="63"/>
  <c r="F148" i="63"/>
  <c r="H153" i="63"/>
  <c r="L106" i="63"/>
  <c r="K98" i="63"/>
  <c r="L111" i="63"/>
  <c r="L103" i="63"/>
  <c r="J120" i="63"/>
  <c r="J156" i="63"/>
  <c r="H96" i="63"/>
  <c r="H109" i="63"/>
  <c r="H101" i="63"/>
  <c r="F129" i="63"/>
  <c r="F146" i="63"/>
  <c r="H159" i="63"/>
  <c r="E143" i="63"/>
  <c r="F110" i="63"/>
  <c r="F102" i="63"/>
  <c r="E102" i="63"/>
  <c r="F99" i="63"/>
  <c r="E119" i="63"/>
  <c r="F157" i="63"/>
  <c r="H149" i="63"/>
  <c r="H108" i="63"/>
  <c r="F105" i="63"/>
  <c r="E125" i="63"/>
  <c r="F130" i="63"/>
  <c r="E150" i="63"/>
  <c r="F142" i="63"/>
  <c r="H155" i="63"/>
  <c r="F98" i="63"/>
  <c r="E111" i="63"/>
  <c r="H131" i="63"/>
  <c r="E136" i="63"/>
  <c r="F128" i="63"/>
  <c r="E148" i="63"/>
  <c r="F153" i="63"/>
  <c r="C245" i="63"/>
  <c r="C234" i="63"/>
  <c r="K111" i="63"/>
  <c r="J103" i="63"/>
  <c r="C282" i="63"/>
  <c r="K131" i="63"/>
  <c r="C310" i="63"/>
  <c r="K136" i="63"/>
  <c r="C315" i="63"/>
  <c r="K120" i="63"/>
  <c r="C256" i="63"/>
  <c r="K156" i="63"/>
  <c r="L140" i="63"/>
  <c r="K145" i="63"/>
  <c r="C324" i="63"/>
  <c r="C275" i="63"/>
  <c r="C305" i="63"/>
  <c r="C254" i="63"/>
  <c r="C259" i="63"/>
  <c r="C333" i="63"/>
  <c r="C330" i="63"/>
  <c r="C246" i="63"/>
  <c r="C281" i="63"/>
  <c r="K99" i="63"/>
  <c r="C278" i="63"/>
  <c r="K124" i="63"/>
  <c r="C303" i="63"/>
  <c r="C265" i="63"/>
  <c r="K149" i="63"/>
  <c r="C328" i="63"/>
  <c r="C236" i="63"/>
  <c r="L108" i="63"/>
  <c r="L113" i="63"/>
  <c r="J105" i="63"/>
  <c r="L97" i="63"/>
  <c r="K125" i="63"/>
  <c r="K117" i="63"/>
  <c r="J122" i="63"/>
  <c r="K122" i="63"/>
  <c r="J158" i="63"/>
  <c r="J142" i="63"/>
  <c r="J147" i="63"/>
  <c r="L104" i="63"/>
  <c r="J129" i="63"/>
  <c r="L134" i="63"/>
  <c r="L159" i="63"/>
  <c r="J143" i="63"/>
  <c r="L110" i="63"/>
  <c r="K94" i="63"/>
  <c r="J127" i="63"/>
  <c r="L141" i="63"/>
  <c r="E129" i="63"/>
  <c r="H121" i="63"/>
  <c r="H134" i="63"/>
  <c r="H118" i="63"/>
  <c r="E146" i="63"/>
  <c r="F159" i="63"/>
  <c r="H151" i="63"/>
  <c r="E107" i="63"/>
  <c r="H135" i="63"/>
  <c r="E132" i="63"/>
  <c r="F124" i="63"/>
  <c r="H152" i="63"/>
  <c r="E157" i="63"/>
  <c r="F149" i="63"/>
  <c r="H100" i="63"/>
  <c r="H113" i="63"/>
  <c r="E105" i="63"/>
  <c r="F97" i="63"/>
  <c r="H133" i="63"/>
  <c r="G117" i="63"/>
  <c r="E130" i="63"/>
  <c r="F122" i="63"/>
  <c r="H158" i="63"/>
  <c r="E142" i="63"/>
  <c r="F155" i="63"/>
  <c r="H147" i="63"/>
  <c r="H106" i="63"/>
  <c r="H111" i="63"/>
  <c r="E103" i="63"/>
  <c r="E95" i="63"/>
  <c r="F131" i="63"/>
  <c r="H123" i="63"/>
  <c r="H136" i="63"/>
  <c r="E128" i="63"/>
  <c r="F120" i="63"/>
  <c r="H156" i="63"/>
  <c r="E153" i="63"/>
  <c r="F145" i="63"/>
  <c r="C228" i="63"/>
  <c r="J106" i="63"/>
  <c r="J111" i="63"/>
  <c r="K103" i="63"/>
  <c r="J95" i="63"/>
  <c r="L131" i="63"/>
  <c r="J123" i="63"/>
  <c r="J128" i="63"/>
  <c r="L156" i="63"/>
  <c r="J148" i="63"/>
  <c r="K140" i="63"/>
  <c r="J153" i="63"/>
  <c r="L145" i="63"/>
  <c r="L96" i="63"/>
  <c r="J121" i="63"/>
  <c r="L154" i="63"/>
  <c r="J146" i="63"/>
  <c r="L151" i="63"/>
  <c r="K102" i="63"/>
  <c r="J107" i="63"/>
  <c r="J119" i="63"/>
  <c r="J144" i="63"/>
  <c r="K108" i="63"/>
  <c r="C279" i="63"/>
  <c r="K113" i="63"/>
  <c r="K105" i="63"/>
  <c r="C284" i="63"/>
  <c r="K133" i="63"/>
  <c r="C312" i="63"/>
  <c r="C296" i="63"/>
  <c r="K130" i="63"/>
  <c r="C301" i="63"/>
  <c r="C258" i="63"/>
  <c r="C263" i="63"/>
  <c r="K158" i="63"/>
  <c r="C337" i="63"/>
  <c r="K150" i="63"/>
  <c r="L142" i="63"/>
  <c r="C321" i="63"/>
  <c r="L155" i="63"/>
  <c r="K147" i="63"/>
  <c r="C326" i="63"/>
  <c r="C240" i="63"/>
  <c r="C291" i="63"/>
  <c r="K104" i="63"/>
  <c r="C288" i="63"/>
  <c r="L101" i="63"/>
  <c r="K129" i="63"/>
  <c r="C308" i="63"/>
  <c r="K118" i="63"/>
  <c r="C297" i="63"/>
  <c r="K143" i="63"/>
  <c r="C322" i="63"/>
  <c r="C238" i="63"/>
  <c r="K110" i="63"/>
  <c r="C273" i="63"/>
  <c r="L127" i="63"/>
  <c r="C306" i="63"/>
  <c r="L132" i="63"/>
  <c r="C268" i="63"/>
  <c r="C257" i="63"/>
  <c r="K152" i="63"/>
  <c r="K157" i="63"/>
  <c r="C336" i="63"/>
  <c r="E58" i="63"/>
  <c r="J60" i="63"/>
  <c r="F60" i="63"/>
  <c r="H55" i="63"/>
  <c r="E51" i="63"/>
  <c r="F51" i="63"/>
  <c r="H63" i="63"/>
  <c r="J54" i="63"/>
  <c r="K54" i="63"/>
  <c r="L56" i="63"/>
  <c r="H56" i="63"/>
  <c r="E53" i="63"/>
  <c r="L65" i="63"/>
  <c r="H65" i="63"/>
  <c r="E61" i="63"/>
  <c r="J59" i="63"/>
  <c r="H59" i="63"/>
  <c r="J66" i="63"/>
  <c r="K66" i="63"/>
  <c r="E50" i="63"/>
  <c r="J52" i="63"/>
  <c r="F52" i="63"/>
  <c r="J67" i="63"/>
  <c r="H67" i="63"/>
  <c r="E62" i="63"/>
  <c r="F64" i="63"/>
  <c r="L48" i="63"/>
  <c r="H48" i="63"/>
  <c r="E49" i="63"/>
  <c r="E81" i="63"/>
  <c r="J85" i="63"/>
  <c r="F85" i="63"/>
  <c r="E71" i="63"/>
  <c r="F79" i="63"/>
  <c r="E83" i="63"/>
  <c r="J89" i="63"/>
  <c r="F89" i="63"/>
  <c r="E73" i="63"/>
  <c r="J77" i="63"/>
  <c r="F77" i="63"/>
  <c r="E88" i="63"/>
  <c r="K90" i="63"/>
  <c r="E75" i="63"/>
  <c r="F87" i="63"/>
  <c r="E84" i="63"/>
  <c r="K78" i="63"/>
  <c r="A281" i="63"/>
  <c r="A286" i="63"/>
  <c r="A314" i="63"/>
  <c r="A298" i="63"/>
  <c r="A303" i="63"/>
  <c r="A323" i="63"/>
  <c r="A328" i="63"/>
  <c r="A369" i="63"/>
  <c r="A346" i="63"/>
  <c r="A344" i="63"/>
  <c r="A362" i="63"/>
  <c r="A290" i="63"/>
  <c r="A299" i="63"/>
  <c r="A372" i="63"/>
  <c r="A291" i="63"/>
  <c r="A313" i="63"/>
  <c r="A322" i="63"/>
  <c r="A287" i="63"/>
  <c r="A292" i="63"/>
  <c r="A276" i="63"/>
  <c r="A304" i="63"/>
  <c r="A309" i="63"/>
  <c r="A337" i="63"/>
  <c r="A321" i="63"/>
  <c r="A326" i="63"/>
  <c r="A345" i="63"/>
  <c r="A367" i="63"/>
  <c r="A277" i="63"/>
  <c r="A310" i="63"/>
  <c r="A315" i="63"/>
  <c r="A335" i="63"/>
  <c r="A332" i="63"/>
  <c r="A363" i="63"/>
  <c r="A283" i="63"/>
  <c r="A280" i="63"/>
  <c r="A300" i="63"/>
  <c r="A333" i="63"/>
  <c r="A338" i="63"/>
  <c r="A360" i="63"/>
  <c r="AE45" i="47"/>
  <c r="AF45" i="47" s="1"/>
  <c r="P45" i="47" s="1"/>
  <c r="AI62" i="47"/>
  <c r="AL62" i="47" s="1"/>
  <c r="AE68" i="47"/>
  <c r="AF68" i="47" s="1"/>
  <c r="P68" i="47" s="1"/>
  <c r="AE80" i="47"/>
  <c r="AF80" i="47" s="1"/>
  <c r="AI76" i="47"/>
  <c r="AJ76" i="47" s="1"/>
  <c r="AI57" i="47"/>
  <c r="AJ57" i="47" s="1"/>
  <c r="AI81" i="47"/>
  <c r="AL81" i="47" s="1"/>
  <c r="AI47" i="47"/>
  <c r="AJ47" i="47" s="1"/>
  <c r="AI86" i="47"/>
  <c r="AL86" i="47" s="1"/>
  <c r="AI79" i="47"/>
  <c r="AL79" i="47" s="1"/>
  <c r="AE58" i="47"/>
  <c r="AF58" i="47" s="1"/>
  <c r="AI75" i="47"/>
  <c r="AL75" i="47" s="1"/>
  <c r="AE51" i="47"/>
  <c r="AF51" i="47" s="1"/>
  <c r="P51" i="47" s="1"/>
  <c r="O54" i="72" s="1"/>
  <c r="AI84" i="47"/>
  <c r="AJ84" i="47" s="1"/>
  <c r="AK84" i="47" s="1"/>
  <c r="AI53" i="47"/>
  <c r="AJ53" i="47" s="1"/>
  <c r="N48" i="63"/>
  <c r="N98" i="63"/>
  <c r="N105" i="63"/>
  <c r="N79" i="63"/>
  <c r="N142" i="63"/>
  <c r="N147" i="63"/>
  <c r="N112" i="63"/>
  <c r="N106" i="63"/>
  <c r="N95" i="63"/>
  <c r="N90" i="63"/>
  <c r="N153" i="63"/>
  <c r="N56" i="63"/>
  <c r="N83" i="63"/>
  <c r="N72" i="63"/>
  <c r="N146" i="63"/>
  <c r="N51" i="63"/>
  <c r="N65" i="63"/>
  <c r="N100" i="63"/>
  <c r="N122" i="63"/>
  <c r="N133" i="63"/>
  <c r="N109" i="63"/>
  <c r="N129" i="63"/>
  <c r="N143" i="63"/>
  <c r="N59" i="63"/>
  <c r="N127" i="63"/>
  <c r="N89" i="63"/>
  <c r="N58" i="63"/>
  <c r="N111" i="63"/>
  <c r="N128" i="63"/>
  <c r="N85" i="63"/>
  <c r="N148" i="63"/>
  <c r="N121" i="63"/>
  <c r="N88" i="63"/>
  <c r="N119" i="63"/>
  <c r="N81" i="63"/>
  <c r="N60" i="63"/>
  <c r="N49" i="63"/>
  <c r="N141" i="63"/>
  <c r="N140" i="63"/>
  <c r="N108" i="63"/>
  <c r="N113" i="63"/>
  <c r="N125" i="63"/>
  <c r="N130" i="63"/>
  <c r="N87" i="63"/>
  <c r="N71" i="63"/>
  <c r="N76" i="63"/>
  <c r="N158" i="63"/>
  <c r="N64" i="63"/>
  <c r="N53" i="63"/>
  <c r="N104" i="63"/>
  <c r="N101" i="63"/>
  <c r="N134" i="63"/>
  <c r="N159" i="63"/>
  <c r="N62" i="63"/>
  <c r="N110" i="63"/>
  <c r="N132" i="63"/>
  <c r="N73" i="63"/>
  <c r="N84" i="63"/>
  <c r="N150" i="63"/>
  <c r="N155" i="63"/>
  <c r="N61" i="63"/>
  <c r="N118" i="63"/>
  <c r="N78" i="63"/>
  <c r="N157" i="63"/>
  <c r="N63" i="63"/>
  <c r="N74" i="63"/>
  <c r="N54" i="63"/>
  <c r="N107" i="63"/>
  <c r="N149" i="63"/>
  <c r="N97" i="63"/>
  <c r="N94" i="63"/>
  <c r="N66" i="63"/>
  <c r="N50" i="63"/>
  <c r="N55" i="63"/>
  <c r="N103" i="63"/>
  <c r="N131" i="63"/>
  <c r="N123" i="63"/>
  <c r="N136" i="63"/>
  <c r="N120" i="63"/>
  <c r="N77" i="63"/>
  <c r="N82" i="63"/>
  <c r="N156" i="63"/>
  <c r="N145" i="63"/>
  <c r="N96" i="63"/>
  <c r="N126" i="63"/>
  <c r="N75" i="63"/>
  <c r="N80" i="63"/>
  <c r="N154" i="63"/>
  <c r="N151" i="63"/>
  <c r="N67" i="63"/>
  <c r="N102" i="63"/>
  <c r="N99" i="63"/>
  <c r="N124" i="63"/>
  <c r="N86" i="63"/>
  <c r="N144" i="63"/>
  <c r="N52" i="63"/>
  <c r="N57" i="63"/>
  <c r="N117" i="63"/>
  <c r="N135" i="63"/>
  <c r="N152" i="63"/>
  <c r="D240" i="11"/>
  <c r="D66" i="63"/>
  <c r="D229" i="11"/>
  <c r="D55" i="63"/>
  <c r="D310" i="11"/>
  <c r="D136" i="63"/>
  <c r="D251" i="11"/>
  <c r="D77" i="63"/>
  <c r="D330" i="11"/>
  <c r="D156" i="63"/>
  <c r="D319" i="11"/>
  <c r="D145" i="63"/>
  <c r="D292" i="11"/>
  <c r="D118" i="63"/>
  <c r="D325" i="11"/>
  <c r="D151" i="63"/>
  <c r="D281" i="11"/>
  <c r="D107" i="63"/>
  <c r="D318" i="11"/>
  <c r="D144" i="63"/>
  <c r="D274" i="11"/>
  <c r="D100" i="63"/>
  <c r="D296" i="11"/>
  <c r="D122" i="63"/>
  <c r="D316" i="11"/>
  <c r="D142" i="63"/>
  <c r="D303" i="11"/>
  <c r="D129" i="63"/>
  <c r="D317" i="11"/>
  <c r="D143" i="63"/>
  <c r="D315" i="11"/>
  <c r="D141" i="63"/>
  <c r="D232" i="11"/>
  <c r="D58" i="63"/>
  <c r="D280" i="11"/>
  <c r="D106" i="63"/>
  <c r="D302" i="11"/>
  <c r="D128" i="63"/>
  <c r="D322" i="11"/>
  <c r="D148" i="63"/>
  <c r="D286" i="11"/>
  <c r="D112" i="63"/>
  <c r="D236" i="11"/>
  <c r="D62" i="63"/>
  <c r="D298" i="11"/>
  <c r="D124" i="63"/>
  <c r="D231" i="11"/>
  <c r="D57" i="63"/>
  <c r="D299" i="11"/>
  <c r="D125" i="63"/>
  <c r="D329" i="11"/>
  <c r="D155" i="63"/>
  <c r="D268" i="11"/>
  <c r="D94" i="63"/>
  <c r="D224" i="11"/>
  <c r="D50" i="63"/>
  <c r="D272" i="11"/>
  <c r="D98" i="63"/>
  <c r="D305" i="11"/>
  <c r="D131" i="63"/>
  <c r="D294" i="11"/>
  <c r="D120" i="63"/>
  <c r="D256" i="11"/>
  <c r="D82" i="63"/>
  <c r="D314" i="11"/>
  <c r="D140" i="63"/>
  <c r="D230" i="11"/>
  <c r="D56" i="63"/>
  <c r="D270" i="11"/>
  <c r="D96" i="63"/>
  <c r="D328" i="11"/>
  <c r="D154" i="63"/>
  <c r="D241" i="11"/>
  <c r="D67" i="63"/>
  <c r="D309" i="11"/>
  <c r="D135" i="63"/>
  <c r="D255" i="11"/>
  <c r="D81" i="63"/>
  <c r="D234" i="11"/>
  <c r="D60" i="63"/>
  <c r="D223" i="11"/>
  <c r="D49" i="63"/>
  <c r="D279" i="11"/>
  <c r="D105" i="63"/>
  <c r="D291" i="11"/>
  <c r="D117" i="63"/>
  <c r="D253" i="11"/>
  <c r="D79" i="63"/>
  <c r="D332" i="11"/>
  <c r="D158" i="63"/>
  <c r="D321" i="11"/>
  <c r="D147" i="63"/>
  <c r="D283" i="11"/>
  <c r="D109" i="63"/>
  <c r="D300" i="11"/>
  <c r="D126" i="63"/>
  <c r="D254" i="11"/>
  <c r="D80" i="63"/>
  <c r="D233" i="11"/>
  <c r="D59" i="63"/>
  <c r="D306" i="11"/>
  <c r="D132" i="63"/>
  <c r="D326" i="11"/>
  <c r="D152" i="63"/>
  <c r="D277" i="11"/>
  <c r="D103" i="63"/>
  <c r="D293" i="11"/>
  <c r="D119" i="63"/>
  <c r="D239" i="11"/>
  <c r="D65" i="63"/>
  <c r="D307" i="11"/>
  <c r="D133" i="63"/>
  <c r="D258" i="11"/>
  <c r="D84" i="63"/>
  <c r="D227" i="11"/>
  <c r="D53" i="63"/>
  <c r="D249" i="11"/>
  <c r="D75" i="63"/>
  <c r="D276" i="11"/>
  <c r="D102" i="63"/>
  <c r="D247" i="11"/>
  <c r="D73" i="63"/>
  <c r="D269" i="11"/>
  <c r="D95" i="63"/>
  <c r="D264" i="11"/>
  <c r="D90" i="63"/>
  <c r="D238" i="11"/>
  <c r="D64" i="63"/>
  <c r="D246" i="11"/>
  <c r="D72" i="63"/>
  <c r="D273" i="11"/>
  <c r="D99" i="63"/>
  <c r="D323" i="11"/>
  <c r="D149" i="63"/>
  <c r="D287" i="11"/>
  <c r="D113" i="63"/>
  <c r="D261" i="11"/>
  <c r="D87" i="63"/>
  <c r="D250" i="11"/>
  <c r="D76" i="63"/>
  <c r="D278" i="11"/>
  <c r="D104" i="63"/>
  <c r="D295" i="11"/>
  <c r="D121" i="63"/>
  <c r="D262" i="11"/>
  <c r="D88" i="63"/>
  <c r="D228" i="11"/>
  <c r="D54" i="63"/>
  <c r="D252" i="11"/>
  <c r="D78" i="63"/>
  <c r="D237" i="11"/>
  <c r="D63" i="63"/>
  <c r="D285" i="11"/>
  <c r="D111" i="63"/>
  <c r="D297" i="11"/>
  <c r="D123" i="63"/>
  <c r="D259" i="11"/>
  <c r="D85" i="63"/>
  <c r="D248" i="11"/>
  <c r="D74" i="63"/>
  <c r="D327" i="11"/>
  <c r="D153" i="63"/>
  <c r="D222" i="11"/>
  <c r="D48" i="63"/>
  <c r="D308" i="11"/>
  <c r="D134" i="63"/>
  <c r="D320" i="11"/>
  <c r="D146" i="63"/>
  <c r="D225" i="11"/>
  <c r="D51" i="63"/>
  <c r="D301" i="11"/>
  <c r="D127" i="63"/>
  <c r="D260" i="11"/>
  <c r="D86" i="63"/>
  <c r="D226" i="11"/>
  <c r="D52" i="63"/>
  <c r="D282" i="11"/>
  <c r="D108" i="63"/>
  <c r="D271" i="11"/>
  <c r="D97" i="63"/>
  <c r="D304" i="11"/>
  <c r="D130" i="63"/>
  <c r="D245" i="11"/>
  <c r="D71" i="63"/>
  <c r="D324" i="11"/>
  <c r="D150" i="63"/>
  <c r="D235" i="11"/>
  <c r="D61" i="63"/>
  <c r="D275" i="11"/>
  <c r="D101" i="63"/>
  <c r="D257" i="11"/>
  <c r="D83" i="63"/>
  <c r="D333" i="11"/>
  <c r="D159" i="63"/>
  <c r="D284" i="11"/>
  <c r="D110" i="63"/>
  <c r="D263" i="11"/>
  <c r="D89" i="63"/>
  <c r="D331" i="11"/>
  <c r="D157" i="63"/>
  <c r="J140" i="63"/>
  <c r="A234" i="11"/>
  <c r="A60" i="63"/>
  <c r="A228" i="11"/>
  <c r="A54" i="63"/>
  <c r="A240" i="11"/>
  <c r="A66" i="63"/>
  <c r="A231" i="11"/>
  <c r="A57" i="63"/>
  <c r="A223" i="11"/>
  <c r="A49" i="63"/>
  <c r="A259" i="11"/>
  <c r="A85" i="63"/>
  <c r="A251" i="11"/>
  <c r="A77" i="63"/>
  <c r="A264" i="11"/>
  <c r="A90" i="63"/>
  <c r="A261" i="11"/>
  <c r="A87" i="63"/>
  <c r="A250" i="11"/>
  <c r="A76" i="63"/>
  <c r="O169" i="63"/>
  <c r="O348" i="63"/>
  <c r="A225" i="11"/>
  <c r="A51" i="63"/>
  <c r="A227" i="11"/>
  <c r="A53" i="63"/>
  <c r="A235" i="11"/>
  <c r="A61" i="63"/>
  <c r="A226" i="11"/>
  <c r="A52" i="63"/>
  <c r="A238" i="11"/>
  <c r="A64" i="63"/>
  <c r="A253" i="11"/>
  <c r="A79" i="63"/>
  <c r="A263" i="11"/>
  <c r="A89" i="63"/>
  <c r="A254" i="11"/>
  <c r="A80" i="63"/>
  <c r="A246" i="11"/>
  <c r="A72" i="63"/>
  <c r="A252" i="11"/>
  <c r="A78" i="63"/>
  <c r="A232" i="11"/>
  <c r="A58" i="63"/>
  <c r="A229" i="11"/>
  <c r="A55" i="63"/>
  <c r="A237" i="11"/>
  <c r="A63" i="63"/>
  <c r="A230" i="11"/>
  <c r="A56" i="63"/>
  <c r="A239" i="11"/>
  <c r="A65" i="63"/>
  <c r="A233" i="11"/>
  <c r="A59" i="63"/>
  <c r="A224" i="11"/>
  <c r="A50" i="63"/>
  <c r="A241" i="11"/>
  <c r="A67" i="63"/>
  <c r="A236" i="11"/>
  <c r="A62" i="63"/>
  <c r="A222" i="11"/>
  <c r="A48" i="63"/>
  <c r="A255" i="11"/>
  <c r="A81" i="63"/>
  <c r="A245" i="11"/>
  <c r="A71" i="63"/>
  <c r="A257" i="11"/>
  <c r="A83" i="63"/>
  <c r="A247" i="11"/>
  <c r="A73" i="63"/>
  <c r="A262" i="11"/>
  <c r="A88" i="63"/>
  <c r="A260" i="11"/>
  <c r="A86" i="63"/>
  <c r="A248" i="11"/>
  <c r="A74" i="63"/>
  <c r="A249" i="11"/>
  <c r="A75" i="63"/>
  <c r="A258" i="11"/>
  <c r="A84" i="63"/>
  <c r="A256" i="11"/>
  <c r="A82" i="63"/>
  <c r="E317" i="11"/>
  <c r="G143" i="63"/>
  <c r="E326" i="11"/>
  <c r="G152" i="63"/>
  <c r="E315" i="11"/>
  <c r="G141" i="63"/>
  <c r="E321" i="11"/>
  <c r="G147" i="63"/>
  <c r="E305" i="11"/>
  <c r="G131" i="63"/>
  <c r="E327" i="11"/>
  <c r="G153" i="63"/>
  <c r="E232" i="11"/>
  <c r="G58" i="63"/>
  <c r="E229" i="11"/>
  <c r="G55" i="63"/>
  <c r="E239" i="11"/>
  <c r="G65" i="63"/>
  <c r="E233" i="11"/>
  <c r="G59" i="63"/>
  <c r="E241" i="11"/>
  <c r="G67" i="63"/>
  <c r="E236" i="11"/>
  <c r="G62" i="63"/>
  <c r="E262" i="11"/>
  <c r="G88" i="63"/>
  <c r="E260" i="11"/>
  <c r="G86" i="63"/>
  <c r="E248" i="11"/>
  <c r="G74" i="63"/>
  <c r="E258" i="11"/>
  <c r="G84" i="63"/>
  <c r="E256" i="11"/>
  <c r="G82" i="63"/>
  <c r="E273" i="11"/>
  <c r="G99" i="63"/>
  <c r="E298" i="11"/>
  <c r="G124" i="63"/>
  <c r="E331" i="11"/>
  <c r="G157" i="63"/>
  <c r="E282" i="11"/>
  <c r="G108" i="63"/>
  <c r="E304" i="11"/>
  <c r="G130" i="63"/>
  <c r="E324" i="11"/>
  <c r="G150" i="63"/>
  <c r="E272" i="11"/>
  <c r="G98" i="63"/>
  <c r="E277" i="11"/>
  <c r="G103" i="63"/>
  <c r="E302" i="11"/>
  <c r="G128" i="63"/>
  <c r="E322" i="11"/>
  <c r="G148" i="63"/>
  <c r="E234" i="11"/>
  <c r="G60" i="63"/>
  <c r="E228" i="11"/>
  <c r="G54" i="63"/>
  <c r="E227" i="11"/>
  <c r="G53" i="63"/>
  <c r="E235" i="11"/>
  <c r="G61" i="63"/>
  <c r="E240" i="11"/>
  <c r="G66" i="63"/>
  <c r="E226" i="11"/>
  <c r="G52" i="63"/>
  <c r="E238" i="11"/>
  <c r="G64" i="63"/>
  <c r="E259" i="11"/>
  <c r="G85" i="63"/>
  <c r="E253" i="11"/>
  <c r="G79" i="63"/>
  <c r="E263" i="11"/>
  <c r="G89" i="63"/>
  <c r="E251" i="11"/>
  <c r="G77" i="63"/>
  <c r="E261" i="11"/>
  <c r="G87" i="63"/>
  <c r="E286" i="11"/>
  <c r="G112" i="63"/>
  <c r="E283" i="11"/>
  <c r="G109" i="63"/>
  <c r="E328" i="11"/>
  <c r="G154" i="63"/>
  <c r="E309" i="11"/>
  <c r="G135" i="63"/>
  <c r="E307" i="11"/>
  <c r="G133" i="63"/>
  <c r="E294" i="11"/>
  <c r="G120" i="63"/>
  <c r="E264" i="11"/>
  <c r="G90" i="63"/>
  <c r="E237" i="11"/>
  <c r="G63" i="63"/>
  <c r="E230" i="11"/>
  <c r="G56" i="63"/>
  <c r="E255" i="11"/>
  <c r="G81" i="63"/>
  <c r="E257" i="11"/>
  <c r="G83" i="63"/>
  <c r="E249" i="11"/>
  <c r="G75" i="63"/>
  <c r="E278" i="11"/>
  <c r="G104" i="63"/>
  <c r="E275" i="11"/>
  <c r="G101" i="63"/>
  <c r="E303" i="11"/>
  <c r="G129" i="63"/>
  <c r="E320" i="11"/>
  <c r="G146" i="63"/>
  <c r="E284" i="11"/>
  <c r="G110" i="63"/>
  <c r="E281" i="11"/>
  <c r="G107" i="63"/>
  <c r="E301" i="11"/>
  <c r="G127" i="63"/>
  <c r="E306" i="11"/>
  <c r="G132" i="63"/>
  <c r="E318" i="11"/>
  <c r="G144" i="63"/>
  <c r="E287" i="11"/>
  <c r="G113" i="63"/>
  <c r="E299" i="11"/>
  <c r="G125" i="63"/>
  <c r="E332" i="11"/>
  <c r="G158" i="63"/>
  <c r="E280" i="11"/>
  <c r="G106" i="63"/>
  <c r="E285" i="11"/>
  <c r="G111" i="63"/>
  <c r="E297" i="11"/>
  <c r="G123" i="63"/>
  <c r="E310" i="11"/>
  <c r="G136" i="63"/>
  <c r="E330" i="11"/>
  <c r="G156" i="63"/>
  <c r="E319" i="11"/>
  <c r="G145" i="63"/>
  <c r="E333" i="11"/>
  <c r="G159" i="63"/>
  <c r="E276" i="11"/>
  <c r="G102" i="63"/>
  <c r="E295" i="11"/>
  <c r="G121" i="63"/>
  <c r="E308" i="11"/>
  <c r="G134" i="63"/>
  <c r="E300" i="11"/>
  <c r="G126" i="63"/>
  <c r="E325" i="11"/>
  <c r="G151" i="63"/>
  <c r="E293" i="11"/>
  <c r="G119" i="63"/>
  <c r="E323" i="11"/>
  <c r="G149" i="63"/>
  <c r="E274" i="11"/>
  <c r="G100" i="63"/>
  <c r="E279" i="11"/>
  <c r="G105" i="63"/>
  <c r="E271" i="11"/>
  <c r="G97" i="63"/>
  <c r="E296" i="11"/>
  <c r="G122" i="63"/>
  <c r="E316" i="11"/>
  <c r="G142" i="63"/>
  <c r="E329" i="11"/>
  <c r="G155" i="63"/>
  <c r="E314" i="11"/>
  <c r="G140" i="63"/>
  <c r="E231" i="11"/>
  <c r="G57" i="63"/>
  <c r="E254" i="11"/>
  <c r="G80" i="63"/>
  <c r="E252" i="11"/>
  <c r="G78" i="63"/>
  <c r="E250" i="11"/>
  <c r="G76" i="63"/>
  <c r="A44" i="11"/>
  <c r="A65" i="11" s="1"/>
  <c r="A242" i="11" s="1"/>
  <c r="AS138" i="54"/>
  <c r="A67" i="11"/>
  <c r="A88" i="11" s="1"/>
  <c r="A265" i="11" s="1"/>
  <c r="AB259" i="47"/>
  <c r="AC259" i="47" s="1"/>
  <c r="AB264" i="47"/>
  <c r="AC264" i="47" s="1"/>
  <c r="AB261" i="47"/>
  <c r="AC261" i="47" s="1"/>
  <c r="AB257" i="47"/>
  <c r="AC257" i="47" s="1"/>
  <c r="AB256" i="47"/>
  <c r="AC256" i="47" s="1"/>
  <c r="AB247" i="47"/>
  <c r="AC247" i="47" s="1"/>
  <c r="AB258" i="47"/>
  <c r="AC258" i="47" s="1"/>
  <c r="AB263" i="47"/>
  <c r="AC263" i="47" s="1"/>
  <c r="AB262" i="47"/>
  <c r="AC262" i="47" s="1"/>
  <c r="AB246" i="47"/>
  <c r="AC246" i="47" s="1"/>
  <c r="AB245" i="47"/>
  <c r="AC245" i="47" s="1"/>
  <c r="AB249" i="47"/>
  <c r="AC249" i="47" s="1"/>
  <c r="AB255" i="47"/>
  <c r="AC255" i="47" s="1"/>
  <c r="AB260" i="47"/>
  <c r="AC260" i="47" s="1"/>
  <c r="AB254" i="47"/>
  <c r="AC254" i="47" s="1"/>
  <c r="AB251" i="47"/>
  <c r="AC251" i="47" s="1"/>
  <c r="AB250" i="47"/>
  <c r="AC250" i="47" s="1"/>
  <c r="AB253" i="47"/>
  <c r="AC253" i="47" s="1"/>
  <c r="AB252" i="47"/>
  <c r="AC252" i="47" s="1"/>
  <c r="AB248" i="47"/>
  <c r="AC248" i="47" s="1"/>
  <c r="AB226" i="47"/>
  <c r="AC226" i="47" s="1"/>
  <c r="AB239" i="47"/>
  <c r="AC239" i="47" s="1"/>
  <c r="AB222" i="47"/>
  <c r="AC222" i="47" s="1"/>
  <c r="AB231" i="47"/>
  <c r="AC231" i="47" s="1"/>
  <c r="AB227" i="47"/>
  <c r="AC227" i="47" s="1"/>
  <c r="AB228" i="47"/>
  <c r="AC228" i="47" s="1"/>
  <c r="AB238" i="47"/>
  <c r="AC238" i="47" s="1"/>
  <c r="AB240" i="47"/>
  <c r="AC240" i="47" s="1"/>
  <c r="AB233" i="47"/>
  <c r="AC233" i="47" s="1"/>
  <c r="AB241" i="47"/>
  <c r="AC241" i="47" s="1"/>
  <c r="AB230" i="47"/>
  <c r="AC230" i="47" s="1"/>
  <c r="AB234" i="47"/>
  <c r="AC234" i="47" s="1"/>
  <c r="AB236" i="47"/>
  <c r="AC236" i="47" s="1"/>
  <c r="AB225" i="47"/>
  <c r="AC225" i="47" s="1"/>
  <c r="AB229" i="47"/>
  <c r="AC229" i="47" s="1"/>
  <c r="AB223" i="47"/>
  <c r="AC223" i="47" s="1"/>
  <c r="AB237" i="47"/>
  <c r="AC237" i="47" s="1"/>
  <c r="AB235" i="47"/>
  <c r="AC235" i="47" s="1"/>
  <c r="AB232" i="47"/>
  <c r="AC232" i="47" s="1"/>
  <c r="AB224" i="47"/>
  <c r="AC224" i="47" s="1"/>
  <c r="AB332" i="11"/>
  <c r="AC332" i="11" s="1"/>
  <c r="AB316" i="11"/>
  <c r="AC316" i="11" s="1"/>
  <c r="AB321" i="11"/>
  <c r="AC321" i="11" s="1"/>
  <c r="AB333" i="11"/>
  <c r="AC333" i="11" s="1"/>
  <c r="AB331" i="11"/>
  <c r="AC331" i="11" s="1"/>
  <c r="AB322" i="11"/>
  <c r="AC322" i="11" s="1"/>
  <c r="AB327" i="11"/>
  <c r="AC327" i="11" s="1"/>
  <c r="AB320" i="11"/>
  <c r="AC320" i="11" s="1"/>
  <c r="AB318" i="11"/>
  <c r="AC318" i="11" s="1"/>
  <c r="AB324" i="11"/>
  <c r="AC324" i="11" s="1"/>
  <c r="AB329" i="11"/>
  <c r="AC329" i="11" s="1"/>
  <c r="AB317" i="11"/>
  <c r="AC317" i="11" s="1"/>
  <c r="AB326" i="11"/>
  <c r="AC326" i="11" s="1"/>
  <c r="AB315" i="11"/>
  <c r="AC315" i="11" s="1"/>
  <c r="AB330" i="11"/>
  <c r="AC330" i="11" s="1"/>
  <c r="AB314" i="11"/>
  <c r="AC314" i="11" s="1"/>
  <c r="AB319" i="11"/>
  <c r="AC319" i="11" s="1"/>
  <c r="AB328" i="11"/>
  <c r="AC328" i="11" s="1"/>
  <c r="AB325" i="11"/>
  <c r="AC325" i="11" s="1"/>
  <c r="AB323" i="11"/>
  <c r="AC323" i="11" s="1"/>
  <c r="AB305" i="11"/>
  <c r="AC305" i="11" s="1"/>
  <c r="AB310" i="11"/>
  <c r="AC310" i="11" s="1"/>
  <c r="AB294" i="11"/>
  <c r="AC294" i="11" s="1"/>
  <c r="AB295" i="11"/>
  <c r="AC295" i="11" s="1"/>
  <c r="AB298" i="11"/>
  <c r="AC298" i="11" s="1"/>
  <c r="AB308" i="11"/>
  <c r="AC308" i="11" s="1"/>
  <c r="AB307" i="11"/>
  <c r="AC307" i="11" s="1"/>
  <c r="AB291" i="11"/>
  <c r="AC291" i="11" s="1"/>
  <c r="AB296" i="11"/>
  <c r="AC296" i="11" s="1"/>
  <c r="AB309" i="11"/>
  <c r="AC309" i="11" s="1"/>
  <c r="AB306" i="11"/>
  <c r="AC306" i="11" s="1"/>
  <c r="AB297" i="11"/>
  <c r="AC297" i="11" s="1"/>
  <c r="AB302" i="11"/>
  <c r="AC302" i="11" s="1"/>
  <c r="AB300" i="11"/>
  <c r="AC300" i="11" s="1"/>
  <c r="AB293" i="11"/>
  <c r="AC293" i="11" s="1"/>
  <c r="AB303" i="11"/>
  <c r="AC303" i="11" s="1"/>
  <c r="AB292" i="11"/>
  <c r="AC292" i="11" s="1"/>
  <c r="AB299" i="11"/>
  <c r="AC299" i="11" s="1"/>
  <c r="AB304" i="11"/>
  <c r="AC304" i="11" s="1"/>
  <c r="AB301" i="11"/>
  <c r="AC301" i="11" s="1"/>
  <c r="AB272" i="11"/>
  <c r="AC272" i="11" s="1"/>
  <c r="AB277" i="11"/>
  <c r="AC277" i="11" s="1"/>
  <c r="AB276" i="11"/>
  <c r="AC276" i="11" s="1"/>
  <c r="AB273" i="11"/>
  <c r="AC273" i="11" s="1"/>
  <c r="AB278" i="11"/>
  <c r="AC278" i="11" s="1"/>
  <c r="AB275" i="11"/>
  <c r="AC275" i="11" s="1"/>
  <c r="AB274" i="11"/>
  <c r="AC274" i="11" s="1"/>
  <c r="AB279" i="11"/>
  <c r="AC279" i="11" s="1"/>
  <c r="AB284" i="11"/>
  <c r="AC284" i="11" s="1"/>
  <c r="AB280" i="11"/>
  <c r="AC280" i="11" s="1"/>
  <c r="AB285" i="11"/>
  <c r="AC285" i="11" s="1"/>
  <c r="AB269" i="11"/>
  <c r="AC269" i="11" s="1"/>
  <c r="AB270" i="11"/>
  <c r="AC270" i="11" s="1"/>
  <c r="AB281" i="11"/>
  <c r="AC281" i="11" s="1"/>
  <c r="AB286" i="11"/>
  <c r="AC286" i="11" s="1"/>
  <c r="AB283" i="11"/>
  <c r="AC283" i="11" s="1"/>
  <c r="AB282" i="11"/>
  <c r="AC282" i="11" s="1"/>
  <c r="AB287" i="11"/>
  <c r="AC287" i="11" s="1"/>
  <c r="AB271" i="11"/>
  <c r="AC271" i="11" s="1"/>
  <c r="AB268" i="11"/>
  <c r="AC268" i="11" s="1"/>
  <c r="AB257" i="11"/>
  <c r="AC257" i="11" s="1"/>
  <c r="AB262" i="11"/>
  <c r="AC262" i="11" s="1"/>
  <c r="AB246" i="11"/>
  <c r="AC246" i="11" s="1"/>
  <c r="AB263" i="11"/>
  <c r="AC263" i="11" s="1"/>
  <c r="AB252" i="11"/>
  <c r="AC252" i="11" s="1"/>
  <c r="AB259" i="11"/>
  <c r="AC259" i="11" s="1"/>
  <c r="AB264" i="11"/>
  <c r="AC264" i="11" s="1"/>
  <c r="AB248" i="11"/>
  <c r="AC248" i="11" s="1"/>
  <c r="AB255" i="11"/>
  <c r="AC255" i="11" s="1"/>
  <c r="AB253" i="11"/>
  <c r="AC253" i="11" s="1"/>
  <c r="AB258" i="11"/>
  <c r="AC258" i="11" s="1"/>
  <c r="AB249" i="11"/>
  <c r="AC249" i="11" s="1"/>
  <c r="AB254" i="11"/>
  <c r="AC254" i="11" s="1"/>
  <c r="AB247" i="11"/>
  <c r="AC247" i="11" s="1"/>
  <c r="AB251" i="11"/>
  <c r="AC251" i="11" s="1"/>
  <c r="AB256" i="11"/>
  <c r="AC256" i="11" s="1"/>
  <c r="AB260" i="11"/>
  <c r="AC260" i="11" s="1"/>
  <c r="AB261" i="11"/>
  <c r="AC261" i="11" s="1"/>
  <c r="AB245" i="11"/>
  <c r="AC245" i="11" s="1"/>
  <c r="AB250" i="11"/>
  <c r="AC250" i="11" s="1"/>
  <c r="AB235" i="11"/>
  <c r="AC235" i="11" s="1"/>
  <c r="AB233" i="11"/>
  <c r="AC233" i="11" s="1"/>
  <c r="AB234" i="11"/>
  <c r="AC234" i="11" s="1"/>
  <c r="AB239" i="11"/>
  <c r="AC239" i="11" s="1"/>
  <c r="AB238" i="11"/>
  <c r="AC238" i="11" s="1"/>
  <c r="AB227" i="11"/>
  <c r="AC227" i="11" s="1"/>
  <c r="AB236" i="11"/>
  <c r="AC236" i="11" s="1"/>
  <c r="AB232" i="11"/>
  <c r="AC232" i="11" s="1"/>
  <c r="AB237" i="11"/>
  <c r="AC237" i="11" s="1"/>
  <c r="AB230" i="11"/>
  <c r="AC230" i="11" s="1"/>
  <c r="AB228" i="11"/>
  <c r="AC228" i="11" s="1"/>
  <c r="AB225" i="11"/>
  <c r="AC225" i="11" s="1"/>
  <c r="AB240" i="11"/>
  <c r="AC240" i="11" s="1"/>
  <c r="AB224" i="11"/>
  <c r="AC224" i="11" s="1"/>
  <c r="AB229" i="11"/>
  <c r="AC229" i="11" s="1"/>
  <c r="AB241" i="11"/>
  <c r="AC241" i="11" s="1"/>
  <c r="AB226" i="11"/>
  <c r="AC226" i="11" s="1"/>
  <c r="AB231" i="11"/>
  <c r="AC231" i="11" s="1"/>
  <c r="AE75" i="47"/>
  <c r="AF75" i="47" s="1"/>
  <c r="AU116" i="54"/>
  <c r="AZ116" i="54" s="1"/>
  <c r="AE52" i="47"/>
  <c r="AF52" i="47" s="1"/>
  <c r="P52" i="47" s="1"/>
  <c r="O55" i="72" s="1"/>
  <c r="AE56" i="47"/>
  <c r="AF56" i="47" s="1"/>
  <c r="AE46" i="47"/>
  <c r="AF46" i="47" s="1"/>
  <c r="P46" i="47" s="1"/>
  <c r="O49" i="72" s="1"/>
  <c r="AI46" i="47"/>
  <c r="AL46" i="47" s="1"/>
  <c r="AE72" i="47"/>
  <c r="AF72" i="47" s="1"/>
  <c r="AE81" i="47"/>
  <c r="AF81" i="47" s="1"/>
  <c r="AI72" i="47"/>
  <c r="AJ72" i="47" s="1"/>
  <c r="AI52" i="47"/>
  <c r="AL52" i="47" s="1"/>
  <c r="AI56" i="47"/>
  <c r="AL56" i="47" s="1"/>
  <c r="AI61" i="47"/>
  <c r="AL61" i="47" s="1"/>
  <c r="AE61" i="47"/>
  <c r="AF61" i="47" s="1"/>
  <c r="AE85" i="47"/>
  <c r="AF85" i="47" s="1"/>
  <c r="AI85" i="47"/>
  <c r="AL85" i="47" s="1"/>
  <c r="AE76" i="47"/>
  <c r="AF76" i="47" s="1"/>
  <c r="AE60" i="47"/>
  <c r="AF60" i="47" s="1"/>
  <c r="AI83" i="47"/>
  <c r="AL83" i="47" s="1"/>
  <c r="A245" i="47"/>
  <c r="A250" i="72" s="1"/>
  <c r="A222" i="47"/>
  <c r="A227" i="72" s="1"/>
  <c r="AE83" i="47"/>
  <c r="AF83" i="47" s="1"/>
  <c r="AI54" i="47"/>
  <c r="AJ54" i="47" s="1"/>
  <c r="AI64" i="47"/>
  <c r="AL64" i="47" s="1"/>
  <c r="AI80" i="47"/>
  <c r="AJ80" i="47" s="1"/>
  <c r="AI78" i="47"/>
  <c r="AJ78" i="47" s="1"/>
  <c r="AK78" i="47" s="1"/>
  <c r="AE78" i="47"/>
  <c r="AF78" i="47" s="1"/>
  <c r="AI48" i="47"/>
  <c r="AJ48" i="47" s="1"/>
  <c r="AE63" i="47"/>
  <c r="AF63" i="47" s="1"/>
  <c r="AE79" i="47"/>
  <c r="AF79" i="47" s="1"/>
  <c r="AI69" i="47"/>
  <c r="AL69" i="47" s="1"/>
  <c r="F48" i="72"/>
  <c r="AE53" i="47"/>
  <c r="AF53" i="47" s="1"/>
  <c r="P53" i="47" s="1"/>
  <c r="O56" i="72" s="1"/>
  <c r="AE77" i="47"/>
  <c r="AF77" i="47" s="1"/>
  <c r="AE54" i="47"/>
  <c r="AF54" i="47" s="1"/>
  <c r="P54" i="47" s="1"/>
  <c r="O57" i="72" s="1"/>
  <c r="AI63" i="47"/>
  <c r="AJ63" i="47" s="1"/>
  <c r="AI87" i="47"/>
  <c r="AJ87" i="47" s="1"/>
  <c r="AS137" i="54"/>
  <c r="AE48" i="47"/>
  <c r="AF48" i="47" s="1"/>
  <c r="P48" i="47" s="1"/>
  <c r="O51" i="72" s="1"/>
  <c r="AI82" i="47"/>
  <c r="AL82" i="47" s="1"/>
  <c r="AE69" i="47"/>
  <c r="AF69" i="47" s="1"/>
  <c r="P69" i="47" s="1"/>
  <c r="AE87" i="47"/>
  <c r="AF87" i="47" s="1"/>
  <c r="AE82" i="47"/>
  <c r="AF82" i="47" s="1"/>
  <c r="AE84" i="47"/>
  <c r="AF84" i="47" s="1"/>
  <c r="AE62" i="47"/>
  <c r="AF62" i="47" s="1"/>
  <c r="AE49" i="47"/>
  <c r="AF49" i="47" s="1"/>
  <c r="P49" i="47" s="1"/>
  <c r="AI58" i="47"/>
  <c r="AL58" i="47" s="1"/>
  <c r="AE74" i="47"/>
  <c r="AF74" i="47" s="1"/>
  <c r="AE47" i="47"/>
  <c r="AF47" i="47" s="1"/>
  <c r="P47" i="47" s="1"/>
  <c r="O50" i="72" s="1"/>
  <c r="AI77" i="47"/>
  <c r="AL77" i="47" s="1"/>
  <c r="AI50" i="47"/>
  <c r="AL50" i="47" s="1"/>
  <c r="AI68" i="47"/>
  <c r="AJ68" i="47" s="1"/>
  <c r="AE50" i="47"/>
  <c r="AF50" i="47" s="1"/>
  <c r="P50" i="47" s="1"/>
  <c r="O53" i="72" s="1"/>
  <c r="AE57" i="47"/>
  <c r="AF57" i="47" s="1"/>
  <c r="AI49" i="47"/>
  <c r="AJ49" i="47" s="1"/>
  <c r="AU92" i="54"/>
  <c r="AZ92" i="54" s="1"/>
  <c r="AE73" i="47"/>
  <c r="AF73" i="47" s="1"/>
  <c r="AI74" i="47"/>
  <c r="AL74" i="47" s="1"/>
  <c r="AE64" i="47"/>
  <c r="AF64" i="47" s="1"/>
  <c r="AI45" i="47"/>
  <c r="AJ45" i="47" s="1"/>
  <c r="AE71" i="47"/>
  <c r="AF71" i="47" s="1"/>
  <c r="AE70" i="47"/>
  <c r="AF70" i="47" s="1"/>
  <c r="AI70" i="47"/>
  <c r="AJ70" i="47" s="1"/>
  <c r="AK70" i="47" s="1"/>
  <c r="AI60" i="47"/>
  <c r="AL60" i="47" s="1"/>
  <c r="AI73" i="47"/>
  <c r="AJ73" i="47" s="1"/>
  <c r="AK73" i="47" s="1"/>
  <c r="AI71" i="47"/>
  <c r="AL71" i="47" s="1"/>
  <c r="AE86" i="47"/>
  <c r="AF86" i="47" s="1"/>
  <c r="AE55" i="47"/>
  <c r="AF55" i="47" s="1"/>
  <c r="AI55" i="47"/>
  <c r="AJ55" i="47" s="1"/>
  <c r="AK55" i="47" s="1"/>
  <c r="AE59" i="47"/>
  <c r="AF59" i="47" s="1"/>
  <c r="AI51" i="47"/>
  <c r="AL51" i="47" s="1"/>
  <c r="AI59" i="47"/>
  <c r="AJ59" i="47" s="1"/>
  <c r="AS93" i="54"/>
  <c r="AU115" i="54"/>
  <c r="AZ115" i="54" s="1"/>
  <c r="AI60" i="54"/>
  <c r="AE60" i="54"/>
  <c r="AF60" i="54" s="1"/>
  <c r="AE86" i="54"/>
  <c r="AF86" i="54" s="1"/>
  <c r="AI86" i="54"/>
  <c r="AE61" i="54"/>
  <c r="AF61" i="54" s="1"/>
  <c r="AI61" i="54"/>
  <c r="AI46" i="54"/>
  <c r="AE46" i="54"/>
  <c r="AF46" i="54" s="1"/>
  <c r="AI70" i="54"/>
  <c r="AE70" i="54"/>
  <c r="AF70" i="54" s="1"/>
  <c r="AI85" i="54"/>
  <c r="AE85" i="54"/>
  <c r="AF85" i="54" s="1"/>
  <c r="AH64" i="54"/>
  <c r="AQ64" i="54" s="1"/>
  <c r="AE76" i="54"/>
  <c r="AF76" i="54" s="1"/>
  <c r="AI76" i="54"/>
  <c r="AI69" i="54"/>
  <c r="AE69" i="54"/>
  <c r="AF69" i="54" s="1"/>
  <c r="AE80" i="54"/>
  <c r="AF80" i="54" s="1"/>
  <c r="AI80" i="54"/>
  <c r="AH72" i="54"/>
  <c r="AQ72" i="54" s="1"/>
  <c r="AE68" i="54"/>
  <c r="AF68" i="54" s="1"/>
  <c r="AI68" i="54"/>
  <c r="AE50" i="54"/>
  <c r="AF50" i="54" s="1"/>
  <c r="AI50" i="54"/>
  <c r="AE74" i="54"/>
  <c r="AF74" i="54" s="1"/>
  <c r="AI74" i="54"/>
  <c r="AI47" i="54"/>
  <c r="AE47" i="54"/>
  <c r="AF47" i="54" s="1"/>
  <c r="AE49" i="54"/>
  <c r="AF49" i="54" s="1"/>
  <c r="AI49" i="54"/>
  <c r="AI54" i="54"/>
  <c r="AE54" i="54"/>
  <c r="AF54" i="54" s="1"/>
  <c r="AE82" i="54"/>
  <c r="AF82" i="54" s="1"/>
  <c r="AI82" i="54"/>
  <c r="AE78" i="54"/>
  <c r="AF78" i="54" s="1"/>
  <c r="AI78" i="54"/>
  <c r="AI48" i="54"/>
  <c r="AE48" i="54"/>
  <c r="AF48" i="54" s="1"/>
  <c r="AI81" i="54"/>
  <c r="AE81" i="54"/>
  <c r="AF81" i="54" s="1"/>
  <c r="AI62" i="54"/>
  <c r="AE62" i="54"/>
  <c r="AF62" i="54" s="1"/>
  <c r="AI71" i="54"/>
  <c r="AE71" i="54"/>
  <c r="AF71" i="54" s="1"/>
  <c r="AE63" i="54"/>
  <c r="AF63" i="54" s="1"/>
  <c r="AI63" i="54"/>
  <c r="AE64" i="54"/>
  <c r="AF64" i="54" s="1"/>
  <c r="AI64" i="54"/>
  <c r="AE53" i="54"/>
  <c r="AF53" i="54" s="1"/>
  <c r="AI53" i="54"/>
  <c r="AI51" i="54"/>
  <c r="AE51" i="54"/>
  <c r="AF51" i="54" s="1"/>
  <c r="AU114" i="54"/>
  <c r="AZ114" i="54" s="1"/>
  <c r="AS114" i="54"/>
  <c r="AE79" i="54"/>
  <c r="AF79" i="54" s="1"/>
  <c r="AI79" i="54"/>
  <c r="AI75" i="54"/>
  <c r="AE75" i="54"/>
  <c r="AF75" i="54" s="1"/>
  <c r="AE55" i="54"/>
  <c r="AF55" i="54" s="1"/>
  <c r="AI55" i="54"/>
  <c r="AE84" i="54"/>
  <c r="AF84" i="54" s="1"/>
  <c r="AI84" i="54"/>
  <c r="AI52" i="54"/>
  <c r="AE52" i="54"/>
  <c r="AF52" i="54" s="1"/>
  <c r="AI57" i="54"/>
  <c r="AE57" i="54"/>
  <c r="AF57" i="54" s="1"/>
  <c r="AE58" i="54"/>
  <c r="AF58" i="54" s="1"/>
  <c r="AI58" i="54"/>
  <c r="AI72" i="54"/>
  <c r="AE72" i="54"/>
  <c r="AF72" i="54" s="1"/>
  <c r="A88" i="54"/>
  <c r="AE56" i="54"/>
  <c r="AF56" i="54" s="1"/>
  <c r="AI56" i="54"/>
  <c r="AE83" i="54"/>
  <c r="AF83" i="54" s="1"/>
  <c r="AI83" i="54"/>
  <c r="AE73" i="54"/>
  <c r="AF73" i="54" s="1"/>
  <c r="AI73" i="54"/>
  <c r="AE87" i="54"/>
  <c r="AF87" i="54" s="1"/>
  <c r="AI87" i="54"/>
  <c r="AI77" i="54"/>
  <c r="AE77" i="54"/>
  <c r="AF77" i="54" s="1"/>
  <c r="A65" i="54"/>
  <c r="AE45" i="54"/>
  <c r="AF45" i="54" s="1"/>
  <c r="AI45" i="54"/>
  <c r="AE59" i="54"/>
  <c r="AF59" i="54" s="1"/>
  <c r="AI59" i="54"/>
  <c r="AU269" i="47"/>
  <c r="AZ269" i="47" s="1"/>
  <c r="AS291" i="47"/>
  <c r="AS269" i="47"/>
  <c r="AU270" i="47"/>
  <c r="AZ270" i="47" s="1"/>
  <c r="AU93" i="47"/>
  <c r="AZ93" i="47" s="1"/>
  <c r="AU314" i="47"/>
  <c r="AZ314" i="47" s="1"/>
  <c r="AU337" i="47"/>
  <c r="AZ337" i="47" s="1"/>
  <c r="AU161" i="47"/>
  <c r="AZ161" i="47" s="1"/>
  <c r="AS91" i="47"/>
  <c r="AS115" i="47"/>
  <c r="AS114" i="47"/>
  <c r="AU338" i="47"/>
  <c r="AZ338" i="47" s="1"/>
  <c r="AU292" i="47"/>
  <c r="AZ292" i="47" s="1"/>
  <c r="AS292" i="47"/>
  <c r="AS92" i="47"/>
  <c r="AU92" i="47"/>
  <c r="AZ92" i="47" s="1"/>
  <c r="AU339" i="47"/>
  <c r="AZ339" i="47" s="1"/>
  <c r="AS339" i="47"/>
  <c r="A290" i="11"/>
  <c r="A267" i="11"/>
  <c r="A313" i="11"/>
  <c r="AU166" i="11"/>
  <c r="AZ166" i="11" s="1"/>
  <c r="P166" i="11" s="1"/>
  <c r="Q166" i="11" s="1"/>
  <c r="T166" i="11" s="1"/>
  <c r="R166" i="11" s="1"/>
  <c r="AS166" i="11"/>
  <c r="AU343" i="11"/>
  <c r="AZ343" i="11" s="1"/>
  <c r="P343" i="11" s="1"/>
  <c r="Q343" i="11" s="1"/>
  <c r="T343" i="11" s="1"/>
  <c r="R343" i="11" s="1"/>
  <c r="AS343" i="11"/>
  <c r="AS342" i="11"/>
  <c r="AS165" i="11"/>
  <c r="AI86" i="11"/>
  <c r="AL86" i="11" s="1"/>
  <c r="AH47" i="11"/>
  <c r="AQ47" i="11" s="1"/>
  <c r="AH45" i="11"/>
  <c r="AQ45" i="11" s="1"/>
  <c r="E269" i="11"/>
  <c r="AH46" i="11"/>
  <c r="AQ46" i="11" s="1"/>
  <c r="E224" i="11"/>
  <c r="E222" i="11"/>
  <c r="E225" i="11"/>
  <c r="E223" i="11"/>
  <c r="E291" i="11"/>
  <c r="AK175" i="11"/>
  <c r="AE126" i="11"/>
  <c r="AF126" i="11" s="1"/>
  <c r="AE118" i="11"/>
  <c r="AF118" i="11" s="1"/>
  <c r="AE131" i="11"/>
  <c r="AF131" i="11" s="1"/>
  <c r="AE115" i="11"/>
  <c r="AF115" i="11" s="1"/>
  <c r="AE72" i="11"/>
  <c r="AF72" i="11" s="1"/>
  <c r="AE77" i="11"/>
  <c r="AF77" i="11" s="1"/>
  <c r="AE156" i="11"/>
  <c r="AF156" i="11" s="1"/>
  <c r="AE148" i="11"/>
  <c r="AF148" i="11" s="1"/>
  <c r="AE124" i="11"/>
  <c r="AF124" i="11" s="1"/>
  <c r="AE129" i="11"/>
  <c r="AF129" i="11" s="1"/>
  <c r="AE83" i="11"/>
  <c r="AF83" i="11" s="1"/>
  <c r="AE146" i="11"/>
  <c r="AF146" i="11" s="1"/>
  <c r="AE105" i="11"/>
  <c r="AF105" i="11" s="1"/>
  <c r="AE127" i="11"/>
  <c r="AF127" i="11" s="1"/>
  <c r="AE68" i="11"/>
  <c r="AF68" i="11" s="1"/>
  <c r="P68" i="11" s="1"/>
  <c r="Q68" i="11" s="1"/>
  <c r="AE73" i="11"/>
  <c r="AF73" i="11" s="1"/>
  <c r="AE100" i="11"/>
  <c r="AF100" i="11" s="1"/>
  <c r="AE125" i="11"/>
  <c r="AF125" i="11" s="1"/>
  <c r="AE117" i="11"/>
  <c r="AF117" i="11" s="1"/>
  <c r="AE74" i="11"/>
  <c r="AF74" i="11" s="1"/>
  <c r="AE87" i="11"/>
  <c r="AF87" i="11" s="1"/>
  <c r="AE363" i="11"/>
  <c r="AF363" i="11" s="1"/>
  <c r="AE366" i="11"/>
  <c r="AF366" i="11" s="1"/>
  <c r="AE109" i="11"/>
  <c r="AF109" i="11" s="1"/>
  <c r="AE93" i="11"/>
  <c r="AF93" i="11" s="1"/>
  <c r="AE98" i="11"/>
  <c r="AF98" i="11" s="1"/>
  <c r="AE85" i="11"/>
  <c r="AF85" i="11" s="1"/>
  <c r="AE143" i="11"/>
  <c r="AF143" i="11" s="1"/>
  <c r="AE140" i="11"/>
  <c r="AF140" i="11" s="1"/>
  <c r="AE107" i="11"/>
  <c r="AF107" i="11" s="1"/>
  <c r="AE99" i="11"/>
  <c r="AF99" i="11" s="1"/>
  <c r="AE96" i="11"/>
  <c r="AF96" i="11" s="1"/>
  <c r="AE132" i="11"/>
  <c r="AF132" i="11" s="1"/>
  <c r="AE149" i="11"/>
  <c r="AF149" i="11" s="1"/>
  <c r="AE130" i="11"/>
  <c r="AF130" i="11" s="1"/>
  <c r="AE119" i="11"/>
  <c r="AF119" i="11" s="1"/>
  <c r="AE81" i="11"/>
  <c r="AF81" i="11" s="1"/>
  <c r="AE95" i="11"/>
  <c r="AF95" i="11" s="1"/>
  <c r="AE108" i="11"/>
  <c r="AF108" i="11" s="1"/>
  <c r="AE128" i="11"/>
  <c r="AF128" i="11" s="1"/>
  <c r="AE133" i="11"/>
  <c r="AF133" i="11" s="1"/>
  <c r="AE82" i="11"/>
  <c r="AF82" i="11" s="1"/>
  <c r="AE153" i="11"/>
  <c r="AF153" i="11" s="1"/>
  <c r="AE364" i="11"/>
  <c r="AF364" i="11" s="1"/>
  <c r="AE365" i="11"/>
  <c r="AF365" i="11" s="1"/>
  <c r="AE101" i="11"/>
  <c r="AF101" i="11" s="1"/>
  <c r="AE106" i="11"/>
  <c r="AF106" i="11" s="1"/>
  <c r="AE151" i="11"/>
  <c r="AF151" i="11" s="1"/>
  <c r="AE104" i="11"/>
  <c r="AF104" i="11" s="1"/>
  <c r="AE70" i="11"/>
  <c r="AF70" i="11" s="1"/>
  <c r="AE141" i="11"/>
  <c r="AF141" i="11" s="1"/>
  <c r="AE154" i="11"/>
  <c r="AF154" i="11" s="1"/>
  <c r="AE110" i="11"/>
  <c r="AF110" i="11" s="1"/>
  <c r="AE94" i="11"/>
  <c r="AF94" i="11" s="1"/>
  <c r="AE155" i="11"/>
  <c r="AF155" i="11" s="1"/>
  <c r="AE147" i="11"/>
  <c r="AF147" i="11" s="1"/>
  <c r="AE103" i="11"/>
  <c r="AF103" i="11" s="1"/>
  <c r="AE120" i="11"/>
  <c r="AF120" i="11" s="1"/>
  <c r="AE71" i="11"/>
  <c r="AF71" i="11" s="1"/>
  <c r="AE145" i="11"/>
  <c r="AF145" i="11" s="1"/>
  <c r="AE142" i="11"/>
  <c r="AF142" i="11" s="1"/>
  <c r="AE123" i="11"/>
  <c r="AF123" i="11" s="1"/>
  <c r="AE80" i="11"/>
  <c r="AF80" i="11" s="1"/>
  <c r="AE69" i="11"/>
  <c r="AF69" i="11" s="1"/>
  <c r="AE91" i="11"/>
  <c r="AF91" i="11" s="1"/>
  <c r="P91" i="11" s="1"/>
  <c r="Q91" i="11" s="1"/>
  <c r="AE116" i="11"/>
  <c r="AF116" i="11" s="1"/>
  <c r="AE121" i="11"/>
  <c r="AF121" i="11" s="1"/>
  <c r="AE86" i="11"/>
  <c r="AF86" i="11" s="1"/>
  <c r="AE78" i="11"/>
  <c r="AF78" i="11" s="1"/>
  <c r="AE75" i="11"/>
  <c r="AF75" i="11" s="1"/>
  <c r="AE138" i="11"/>
  <c r="AF138" i="11" s="1"/>
  <c r="P138" i="11" s="1"/>
  <c r="Q138" i="11" s="1"/>
  <c r="AE97" i="11"/>
  <c r="AF97" i="11" s="1"/>
  <c r="AE102" i="11"/>
  <c r="AF102" i="11" s="1"/>
  <c r="AE122" i="11"/>
  <c r="AF122" i="11" s="1"/>
  <c r="AE114" i="11"/>
  <c r="AF114" i="11" s="1"/>
  <c r="AE84" i="11"/>
  <c r="AF84" i="11" s="1"/>
  <c r="AE76" i="11"/>
  <c r="AF76" i="11" s="1"/>
  <c r="AE139" i="11"/>
  <c r="AF139" i="11" s="1"/>
  <c r="AE152" i="11"/>
  <c r="AF152" i="11" s="1"/>
  <c r="AE144" i="11"/>
  <c r="AF144" i="11" s="1"/>
  <c r="AE92" i="11"/>
  <c r="AF92" i="11" s="1"/>
  <c r="AE79" i="11"/>
  <c r="AF79" i="11" s="1"/>
  <c r="AE137" i="11"/>
  <c r="AF137" i="11" s="1"/>
  <c r="AE150" i="11"/>
  <c r="AF150" i="11" s="1"/>
  <c r="AL163" i="11"/>
  <c r="AM163" i="11" s="1"/>
  <c r="AN163" i="11" s="1"/>
  <c r="AI55" i="11"/>
  <c r="AJ55" i="11" s="1"/>
  <c r="AE55" i="11"/>
  <c r="AF55" i="11" s="1"/>
  <c r="AE53" i="11"/>
  <c r="AF53" i="11" s="1"/>
  <c r="AE64" i="11"/>
  <c r="AF64" i="11" s="1"/>
  <c r="AE49" i="11"/>
  <c r="AF49" i="11" s="1"/>
  <c r="P49" i="11" s="1"/>
  <c r="AE59" i="11"/>
  <c r="AF59" i="11" s="1"/>
  <c r="AH49" i="11"/>
  <c r="AQ49" i="11" s="1"/>
  <c r="AH62" i="11"/>
  <c r="AQ62" i="11" s="1"/>
  <c r="AI54" i="11"/>
  <c r="AL54" i="11" s="1"/>
  <c r="AE54" i="11"/>
  <c r="AF54" i="11" s="1"/>
  <c r="AE63" i="11"/>
  <c r="AF63" i="11" s="1"/>
  <c r="AE60" i="11"/>
  <c r="AF60" i="11" s="1"/>
  <c r="AE61" i="11"/>
  <c r="AF61" i="11" s="1"/>
  <c r="AE45" i="11"/>
  <c r="AF45" i="11" s="1"/>
  <c r="P45" i="11" s="1"/>
  <c r="AE58" i="11"/>
  <c r="AF58" i="11" s="1"/>
  <c r="AI50" i="11"/>
  <c r="AL50" i="11" s="1"/>
  <c r="AE50" i="11"/>
  <c r="AF50" i="11" s="1"/>
  <c r="AI56" i="11"/>
  <c r="AJ56" i="11" s="1"/>
  <c r="AK56" i="11" s="1"/>
  <c r="AE56" i="11"/>
  <c r="AF56" i="11" s="1"/>
  <c r="AI57" i="11"/>
  <c r="AJ57" i="11" s="1"/>
  <c r="AK57" i="11" s="1"/>
  <c r="AE57" i="11"/>
  <c r="AF57" i="11" s="1"/>
  <c r="AE46" i="11"/>
  <c r="AF46" i="11" s="1"/>
  <c r="P46" i="11" s="1"/>
  <c r="AE52" i="11"/>
  <c r="AF52" i="11" s="1"/>
  <c r="AI48" i="11"/>
  <c r="AL48" i="11" s="1"/>
  <c r="AE48" i="11"/>
  <c r="AF48" i="11" s="1"/>
  <c r="P48" i="11" s="1"/>
  <c r="AE47" i="11"/>
  <c r="AF47" i="11" s="1"/>
  <c r="P47" i="11" s="1"/>
  <c r="AH51" i="11"/>
  <c r="AQ51" i="11" s="1"/>
  <c r="AE51" i="11"/>
  <c r="AF51" i="11" s="1"/>
  <c r="AH57" i="11"/>
  <c r="AQ57" i="11" s="1"/>
  <c r="AI62" i="11"/>
  <c r="AL62" i="11" s="1"/>
  <c r="AE62" i="11"/>
  <c r="AF62" i="11" s="1"/>
  <c r="AK164" i="11"/>
  <c r="AL187" i="11"/>
  <c r="AV187" i="11" s="1"/>
  <c r="AW187" i="11" s="1"/>
  <c r="AX187" i="11" s="1"/>
  <c r="AK176" i="11"/>
  <c r="AJ161" i="11"/>
  <c r="AM161" i="11" s="1"/>
  <c r="AN161" i="11" s="1"/>
  <c r="AL181" i="11"/>
  <c r="AM181" i="11" s="1"/>
  <c r="AN181" i="11" s="1"/>
  <c r="AJ185" i="11"/>
  <c r="AK185" i="11" s="1"/>
  <c r="AO185" i="11" s="1"/>
  <c r="AJ188" i="11"/>
  <c r="AM188" i="11" s="1"/>
  <c r="AN188" i="11" s="1"/>
  <c r="AJ186" i="11"/>
  <c r="AK186" i="11" s="1"/>
  <c r="AO186" i="11" s="1"/>
  <c r="AL184" i="11"/>
  <c r="AO184" i="11" s="1"/>
  <c r="AJ179" i="11"/>
  <c r="AM179" i="11" s="1"/>
  <c r="AN179" i="11" s="1"/>
  <c r="AJ162" i="11"/>
  <c r="AM162" i="11" s="1"/>
  <c r="AN162" i="11" s="1"/>
  <c r="AK182" i="11"/>
  <c r="AJ177" i="11"/>
  <c r="AK177" i="11" s="1"/>
  <c r="AJ180" i="11"/>
  <c r="AM180" i="11" s="1"/>
  <c r="AN180" i="11" s="1"/>
  <c r="AK181" i="11"/>
  <c r="AL183" i="11"/>
  <c r="AM183" i="11" s="1"/>
  <c r="AN183" i="11" s="1"/>
  <c r="AL182" i="11"/>
  <c r="AL177" i="11"/>
  <c r="AL175" i="11"/>
  <c r="AL176" i="11"/>
  <c r="AJ189" i="11"/>
  <c r="AK189" i="11" s="1"/>
  <c r="AV189" i="11" s="1"/>
  <c r="AW189" i="11" s="1"/>
  <c r="AX189" i="11" s="1"/>
  <c r="AK183" i="11"/>
  <c r="AL178" i="11"/>
  <c r="AH86" i="11"/>
  <c r="AQ86" i="11" s="1"/>
  <c r="AI128" i="11"/>
  <c r="AL128" i="11" s="1"/>
  <c r="AH114" i="11"/>
  <c r="AQ114" i="11" s="1"/>
  <c r="AI115" i="11"/>
  <c r="AL115" i="11" s="1"/>
  <c r="AH68" i="11"/>
  <c r="AQ68" i="11" s="1"/>
  <c r="AH70" i="11"/>
  <c r="AQ70" i="11" s="1"/>
  <c r="AI363" i="11"/>
  <c r="AJ363" i="11" s="1"/>
  <c r="AK363" i="11" s="1"/>
  <c r="AH152" i="11"/>
  <c r="AQ152" i="11" s="1"/>
  <c r="AH117" i="11"/>
  <c r="AQ117" i="11" s="1"/>
  <c r="AI63" i="11"/>
  <c r="AH108" i="11"/>
  <c r="AQ108" i="11" s="1"/>
  <c r="AI91" i="11"/>
  <c r="AL91" i="11" s="1"/>
  <c r="AH69" i="11"/>
  <c r="AQ69" i="11" s="1"/>
  <c r="AI105" i="11"/>
  <c r="AL105" i="11" s="1"/>
  <c r="AH142" i="11"/>
  <c r="AQ142" i="11" s="1"/>
  <c r="AH363" i="11"/>
  <c r="AQ363" i="11" s="1"/>
  <c r="AH100" i="11"/>
  <c r="AQ100" i="11" s="1"/>
  <c r="AI104" i="11"/>
  <c r="AL104" i="11" s="1"/>
  <c r="AI147" i="11"/>
  <c r="AL147" i="11" s="1"/>
  <c r="AL164" i="11"/>
  <c r="AK163" i="11"/>
  <c r="AJ178" i="11"/>
  <c r="AH364" i="11"/>
  <c r="AQ364" i="11" s="1"/>
  <c r="AI364" i="11"/>
  <c r="AJ364" i="11" s="1"/>
  <c r="AH115" i="11"/>
  <c r="AQ115" i="11" s="1"/>
  <c r="AI69" i="11"/>
  <c r="AJ69" i="11" s="1"/>
  <c r="AI365" i="11"/>
  <c r="AL365" i="11" s="1"/>
  <c r="AH138" i="11"/>
  <c r="AQ138" i="11" s="1"/>
  <c r="AI149" i="11"/>
  <c r="AL149" i="11" s="1"/>
  <c r="AH63" i="11"/>
  <c r="AQ63" i="11" s="1"/>
  <c r="AI114" i="11"/>
  <c r="AL114" i="11" s="1"/>
  <c r="AH50" i="11"/>
  <c r="AQ50" i="11" s="1"/>
  <c r="AH96" i="11"/>
  <c r="AQ96" i="11" s="1"/>
  <c r="AI46" i="11"/>
  <c r="AJ46" i="11" s="1"/>
  <c r="AK46" i="11" s="1"/>
  <c r="AI144" i="11"/>
  <c r="AJ144" i="11" s="1"/>
  <c r="AH110" i="11"/>
  <c r="AQ110" i="11" s="1"/>
  <c r="AH48" i="11"/>
  <c r="AQ48" i="11" s="1"/>
  <c r="AI100" i="11"/>
  <c r="AJ100" i="11" s="1"/>
  <c r="AK100" i="11" s="1"/>
  <c r="AH104" i="11"/>
  <c r="AQ104" i="11" s="1"/>
  <c r="AH107" i="11"/>
  <c r="AQ107" i="11" s="1"/>
  <c r="AH74" i="11"/>
  <c r="AQ74" i="11" s="1"/>
  <c r="AI366" i="11"/>
  <c r="AH365" i="11"/>
  <c r="AQ365" i="11" s="1"/>
  <c r="AH366" i="11"/>
  <c r="AQ366" i="11" s="1"/>
  <c r="AH156" i="11"/>
  <c r="AQ156" i="11" s="1"/>
  <c r="AH128" i="11"/>
  <c r="AQ128" i="11" s="1"/>
  <c r="AH116" i="11"/>
  <c r="AQ116" i="11" s="1"/>
  <c r="AI116" i="11"/>
  <c r="AI125" i="11"/>
  <c r="AI61" i="11"/>
  <c r="AI71" i="11"/>
  <c r="AI98" i="11"/>
  <c r="AH98" i="11"/>
  <c r="AQ98" i="11" s="1"/>
  <c r="AH78" i="11"/>
  <c r="AQ78" i="11" s="1"/>
  <c r="AH56" i="11"/>
  <c r="AQ56" i="11" s="1"/>
  <c r="AH126" i="11"/>
  <c r="AQ126" i="11" s="1"/>
  <c r="AI92" i="11"/>
  <c r="AH76" i="11"/>
  <c r="AQ76" i="11" s="1"/>
  <c r="AI109" i="11"/>
  <c r="AH99" i="11"/>
  <c r="AQ99" i="11" s="1"/>
  <c r="AI82" i="11"/>
  <c r="AH52" i="11"/>
  <c r="AQ52" i="11" s="1"/>
  <c r="AI51" i="11"/>
  <c r="AH124" i="11"/>
  <c r="AQ124" i="11" s="1"/>
  <c r="AI129" i="11"/>
  <c r="AH122" i="11"/>
  <c r="AQ122" i="11" s="1"/>
  <c r="AH72" i="11"/>
  <c r="AQ72" i="11" s="1"/>
  <c r="AI148" i="11"/>
  <c r="AH148" i="11"/>
  <c r="AQ148" i="11" s="1"/>
  <c r="AH151" i="11"/>
  <c r="AQ151" i="11" s="1"/>
  <c r="AI68" i="11"/>
  <c r="AH105" i="11"/>
  <c r="AQ105" i="11" s="1"/>
  <c r="AH95" i="11"/>
  <c r="AQ95" i="11" s="1"/>
  <c r="AH97" i="11"/>
  <c r="AQ97" i="11" s="1"/>
  <c r="AI97" i="11"/>
  <c r="AH102" i="11"/>
  <c r="AQ102" i="11" s="1"/>
  <c r="AI49" i="11"/>
  <c r="AI120" i="11"/>
  <c r="AI123" i="11"/>
  <c r="AH123" i="11"/>
  <c r="AQ123" i="11" s="1"/>
  <c r="AI96" i="11"/>
  <c r="AI154" i="11"/>
  <c r="AH119" i="11"/>
  <c r="AQ119" i="11" s="1"/>
  <c r="AI121" i="11"/>
  <c r="AH130" i="11"/>
  <c r="AQ130" i="11" s="1"/>
  <c r="AI81" i="11"/>
  <c r="AI73" i="11"/>
  <c r="AH84" i="11"/>
  <c r="AQ84" i="11" s="1"/>
  <c r="AI84" i="11"/>
  <c r="AI85" i="11"/>
  <c r="AH85" i="11"/>
  <c r="AQ85" i="11" s="1"/>
  <c r="AH139" i="11"/>
  <c r="AQ139" i="11" s="1"/>
  <c r="AI93" i="11"/>
  <c r="AH103" i="11"/>
  <c r="AQ103" i="11" s="1"/>
  <c r="AI142" i="11"/>
  <c r="AI70" i="11"/>
  <c r="AI94" i="11"/>
  <c r="AI153" i="11"/>
  <c r="AH64" i="11"/>
  <c r="AQ64" i="11" s="1"/>
  <c r="AH147" i="11"/>
  <c r="AQ147" i="11" s="1"/>
  <c r="AI101" i="11"/>
  <c r="AI87" i="11"/>
  <c r="AH141" i="11"/>
  <c r="AQ141" i="11" s="1"/>
  <c r="AH59" i="11"/>
  <c r="AQ59" i="11" s="1"/>
  <c r="AI59" i="11"/>
  <c r="AI45" i="11"/>
  <c r="AI155" i="11"/>
  <c r="AH155" i="11"/>
  <c r="AQ155" i="11" s="1"/>
  <c r="AI145" i="11"/>
  <c r="AH132" i="11"/>
  <c r="AQ132" i="11" s="1"/>
  <c r="AI117" i="11"/>
  <c r="AI77" i="11"/>
  <c r="AH79" i="11"/>
  <c r="AQ79" i="11" s="1"/>
  <c r="AI106" i="11"/>
  <c r="AH149" i="11"/>
  <c r="AQ149" i="11" s="1"/>
  <c r="AH60" i="11"/>
  <c r="AQ60" i="11" s="1"/>
  <c r="AI156" i="11"/>
  <c r="AH127" i="11"/>
  <c r="AQ127" i="11" s="1"/>
  <c r="AI127" i="11"/>
  <c r="AH125" i="11"/>
  <c r="AQ125" i="11" s="1"/>
  <c r="AH118" i="11"/>
  <c r="AQ118" i="11" s="1"/>
  <c r="AI118" i="11"/>
  <c r="AI143" i="11"/>
  <c r="AH143" i="11"/>
  <c r="AQ143" i="11" s="1"/>
  <c r="AI108" i="11"/>
  <c r="AH61" i="11"/>
  <c r="AQ61" i="11" s="1"/>
  <c r="AH71" i="11"/>
  <c r="AQ71" i="11" s="1"/>
  <c r="AH53" i="11"/>
  <c r="AQ53" i="11" s="1"/>
  <c r="AI53" i="11"/>
  <c r="AH137" i="11"/>
  <c r="AQ137" i="11" s="1"/>
  <c r="AI137" i="11"/>
  <c r="AI47" i="11"/>
  <c r="AH91" i="11"/>
  <c r="AQ91" i="11" s="1"/>
  <c r="AI78" i="11"/>
  <c r="AH133" i="11"/>
  <c r="AQ133" i="11" s="1"/>
  <c r="AI133" i="11"/>
  <c r="AI126" i="11"/>
  <c r="AH92" i="11"/>
  <c r="AQ92" i="11" s="1"/>
  <c r="AI76" i="11"/>
  <c r="AI58" i="11"/>
  <c r="AH58" i="11"/>
  <c r="AQ58" i="11" s="1"/>
  <c r="AH109" i="11"/>
  <c r="AQ109" i="11" s="1"/>
  <c r="AI99" i="11"/>
  <c r="AH82" i="11"/>
  <c r="AQ82" i="11" s="1"/>
  <c r="AI52" i="11"/>
  <c r="AI124" i="11"/>
  <c r="AH129" i="11"/>
  <c r="AQ129" i="11" s="1"/>
  <c r="AI122" i="11"/>
  <c r="AI72" i="11"/>
  <c r="AI151" i="11"/>
  <c r="AI95" i="11"/>
  <c r="AI102" i="11"/>
  <c r="AH120" i="11"/>
  <c r="AQ120" i="11" s="1"/>
  <c r="AH154" i="11"/>
  <c r="AQ154" i="11" s="1"/>
  <c r="AH131" i="11"/>
  <c r="AQ131" i="11" s="1"/>
  <c r="AI131" i="11"/>
  <c r="AI119" i="11"/>
  <c r="AH121" i="11"/>
  <c r="AQ121" i="11" s="1"/>
  <c r="AI130" i="11"/>
  <c r="AH81" i="11"/>
  <c r="AQ81" i="11" s="1"/>
  <c r="AH73" i="11"/>
  <c r="AQ73" i="11" s="1"/>
  <c r="AH80" i="11"/>
  <c r="AQ80" i="11" s="1"/>
  <c r="AI80" i="11"/>
  <c r="AH144" i="11"/>
  <c r="AQ144" i="11" s="1"/>
  <c r="AI139" i="11"/>
  <c r="AH93" i="11"/>
  <c r="AQ93" i="11" s="1"/>
  <c r="AI83" i="11"/>
  <c r="AH83" i="11"/>
  <c r="AQ83" i="11" s="1"/>
  <c r="AI103" i="11"/>
  <c r="AH94" i="11"/>
  <c r="AQ94" i="11" s="1"/>
  <c r="AI110" i="11"/>
  <c r="AH153" i="11"/>
  <c r="AQ153" i="11" s="1"/>
  <c r="AI64" i="11"/>
  <c r="AI152" i="11"/>
  <c r="AH101" i="11"/>
  <c r="AQ101" i="11" s="1"/>
  <c r="AH87" i="11"/>
  <c r="AQ87" i="11" s="1"/>
  <c r="AI107" i="11"/>
  <c r="AI146" i="11"/>
  <c r="AH146" i="11"/>
  <c r="AQ146" i="11" s="1"/>
  <c r="AI74" i="11"/>
  <c r="AI141" i="11"/>
  <c r="AH54" i="11"/>
  <c r="AQ54" i="11" s="1"/>
  <c r="AI75" i="11"/>
  <c r="AH75" i="11"/>
  <c r="AQ75" i="11" s="1"/>
  <c r="AI150" i="11"/>
  <c r="AH150" i="11"/>
  <c r="AQ150" i="11" s="1"/>
  <c r="AH145" i="11"/>
  <c r="AQ145" i="11" s="1"/>
  <c r="AH55" i="11"/>
  <c r="AQ55" i="11" s="1"/>
  <c r="AI132" i="11"/>
  <c r="AI140" i="11"/>
  <c r="AH140" i="11"/>
  <c r="AQ140" i="11" s="1"/>
  <c r="AH77" i="11"/>
  <c r="AQ77" i="11" s="1"/>
  <c r="AI79" i="11"/>
  <c r="AI138" i="11"/>
  <c r="AH106" i="11"/>
  <c r="AQ106" i="11" s="1"/>
  <c r="AI60" i="11"/>
  <c r="T318" i="11" l="1"/>
  <c r="Q54" i="47"/>
  <c r="T54" i="47" s="1"/>
  <c r="Q53" i="47"/>
  <c r="Q52" i="47"/>
  <c r="Q51" i="47"/>
  <c r="Q50" i="47"/>
  <c r="O52" i="72"/>
  <c r="Q49" i="47"/>
  <c r="Q48" i="47"/>
  <c r="Q47" i="47"/>
  <c r="P50" i="72" s="1"/>
  <c r="Q46" i="47"/>
  <c r="Q45" i="47"/>
  <c r="T45" i="47" s="1"/>
  <c r="Q45" i="11"/>
  <c r="T45" i="11" s="1"/>
  <c r="Q47" i="11"/>
  <c r="R47" i="11" s="1"/>
  <c r="Q46" i="11"/>
  <c r="T46" i="11" s="1"/>
  <c r="Q49" i="11"/>
  <c r="P52" i="63" s="1"/>
  <c r="Q48" i="11"/>
  <c r="P51" i="63" s="1"/>
  <c r="T138" i="11"/>
  <c r="R138" i="11"/>
  <c r="A259" i="77"/>
  <c r="C267" i="77"/>
  <c r="A267" i="77" s="1"/>
  <c r="A256" i="77"/>
  <c r="C264" i="77"/>
  <c r="A264" i="77" s="1"/>
  <c r="A258" i="77"/>
  <c r="C266" i="77"/>
  <c r="A266" i="77" s="1"/>
  <c r="A257" i="77"/>
  <c r="C265" i="77"/>
  <c r="A265" i="77" s="1"/>
  <c r="L229" i="77"/>
  <c r="O229" i="11"/>
  <c r="O248" i="11"/>
  <c r="O237" i="11"/>
  <c r="T91" i="11"/>
  <c r="R91" i="11"/>
  <c r="Q68" i="47"/>
  <c r="T68" i="11"/>
  <c r="R68" i="11"/>
  <c r="Q69" i="47"/>
  <c r="H229" i="77"/>
  <c r="G240" i="77"/>
  <c r="G229" i="77"/>
  <c r="H240" i="77"/>
  <c r="C254" i="77"/>
  <c r="M229" i="77"/>
  <c r="A25" i="77"/>
  <c r="J229" i="77"/>
  <c r="M37" i="77"/>
  <c r="O229" i="77"/>
  <c r="I229" i="77"/>
  <c r="C255" i="77"/>
  <c r="Q37" i="77"/>
  <c r="J240" i="77"/>
  <c r="K229" i="77"/>
  <c r="P229" i="77"/>
  <c r="P240" i="77"/>
  <c r="K240" i="77"/>
  <c r="M240" i="77"/>
  <c r="Q229" i="77"/>
  <c r="A29" i="77"/>
  <c r="R229" i="77"/>
  <c r="O33" i="77"/>
  <c r="R240" i="77"/>
  <c r="N240" i="77"/>
  <c r="A28" i="77"/>
  <c r="T330" i="11"/>
  <c r="F238" i="47"/>
  <c r="F243" i="72" s="1"/>
  <c r="F263" i="47"/>
  <c r="F268" i="72" s="1"/>
  <c r="F254" i="47"/>
  <c r="F259" i="72" s="1"/>
  <c r="F249" i="47"/>
  <c r="F254" i="72" s="1"/>
  <c r="F226" i="47"/>
  <c r="F231" i="72" s="1"/>
  <c r="F255" i="47"/>
  <c r="F260" i="72" s="1"/>
  <c r="F234" i="47"/>
  <c r="F239" i="72" s="1"/>
  <c r="F262" i="47"/>
  <c r="F267" i="72" s="1"/>
  <c r="F261" i="47"/>
  <c r="F266" i="72" s="1"/>
  <c r="F240" i="47"/>
  <c r="F245" i="72" s="1"/>
  <c r="F256" i="47"/>
  <c r="F261" i="72" s="1"/>
  <c r="F264" i="47"/>
  <c r="F269" i="72" s="1"/>
  <c r="F259" i="47"/>
  <c r="F264" i="72" s="1"/>
  <c r="F227" i="47"/>
  <c r="F232" i="72" s="1"/>
  <c r="F241" i="47"/>
  <c r="F246" i="72" s="1"/>
  <c r="F239" i="47"/>
  <c r="F244" i="72" s="1"/>
  <c r="F231" i="47"/>
  <c r="F236" i="72" s="1"/>
  <c r="F250" i="47"/>
  <c r="F255" i="72" s="1"/>
  <c r="F260" i="47"/>
  <c r="F265" i="72" s="1"/>
  <c r="F229" i="47"/>
  <c r="F234" i="72" s="1"/>
  <c r="F253" i="47"/>
  <c r="F258" i="72" s="1"/>
  <c r="F251" i="47"/>
  <c r="F256" i="72" s="1"/>
  <c r="F230" i="47"/>
  <c r="F235" i="72" s="1"/>
  <c r="F248" i="47"/>
  <c r="F253" i="72" s="1"/>
  <c r="F257" i="47"/>
  <c r="F262" i="72" s="1"/>
  <c r="F247" i="47"/>
  <c r="F252" i="72" s="1"/>
  <c r="F224" i="47"/>
  <c r="F229" i="72" s="1"/>
  <c r="F236" i="47"/>
  <c r="F241" i="72" s="1"/>
  <c r="F246" i="47"/>
  <c r="F251" i="72" s="1"/>
  <c r="F232" i="47"/>
  <c r="F237" i="72" s="1"/>
  <c r="F258" i="47"/>
  <c r="F263" i="72" s="1"/>
  <c r="F235" i="47"/>
  <c r="F240" i="72" s="1"/>
  <c r="F233" i="47"/>
  <c r="F238" i="72" s="1"/>
  <c r="F223" i="47"/>
  <c r="F228" i="72" s="1"/>
  <c r="F225" i="47"/>
  <c r="F230" i="72" s="1"/>
  <c r="F237" i="47"/>
  <c r="F242" i="72" s="1"/>
  <c r="O73" i="47"/>
  <c r="M76" i="72" s="1"/>
  <c r="K62" i="72"/>
  <c r="T284" i="11"/>
  <c r="K75" i="72"/>
  <c r="K63" i="72"/>
  <c r="K73" i="72"/>
  <c r="K87" i="72"/>
  <c r="K50" i="72"/>
  <c r="K71" i="72"/>
  <c r="K58" i="72"/>
  <c r="K51" i="72"/>
  <c r="K72" i="72"/>
  <c r="K78" i="72"/>
  <c r="K86" i="72"/>
  <c r="K66" i="72"/>
  <c r="K56" i="72"/>
  <c r="K82" i="72"/>
  <c r="K83" i="72"/>
  <c r="K52" i="72"/>
  <c r="K79" i="72"/>
  <c r="K67" i="72"/>
  <c r="K90" i="72"/>
  <c r="K77" i="72"/>
  <c r="K65" i="72"/>
  <c r="K48" i="72"/>
  <c r="K84" i="72"/>
  <c r="K49" i="72"/>
  <c r="K76" i="72"/>
  <c r="K55" i="72"/>
  <c r="K80" i="72"/>
  <c r="K54" i="72"/>
  <c r="K85" i="72"/>
  <c r="K61" i="72"/>
  <c r="K60" i="72"/>
  <c r="K64" i="72"/>
  <c r="K81" i="72"/>
  <c r="K53" i="72"/>
  <c r="K89" i="72"/>
  <c r="K74" i="72"/>
  <c r="K59" i="72"/>
  <c r="K88" i="72"/>
  <c r="K57" i="72"/>
  <c r="J253" i="47"/>
  <c r="O253" i="47" s="1"/>
  <c r="J263" i="47"/>
  <c r="O263" i="47" s="1"/>
  <c r="J254" i="47"/>
  <c r="O254" i="47" s="1"/>
  <c r="J227" i="47"/>
  <c r="O227" i="47" s="1"/>
  <c r="J230" i="47"/>
  <c r="O230" i="47" s="1"/>
  <c r="J239" i="47"/>
  <c r="O239" i="47" s="1"/>
  <c r="N250" i="47"/>
  <c r="E255" i="72" s="1"/>
  <c r="J228" i="47"/>
  <c r="K233" i="72" s="1"/>
  <c r="J260" i="47"/>
  <c r="K265" i="72" s="1"/>
  <c r="J247" i="47"/>
  <c r="O247" i="47" s="1"/>
  <c r="J237" i="47"/>
  <c r="O237" i="47" s="1"/>
  <c r="R240" i="47"/>
  <c r="S240" i="47"/>
  <c r="T240" i="47"/>
  <c r="P240" i="47"/>
  <c r="O245" i="72" s="1"/>
  <c r="Q240" i="47"/>
  <c r="P245" i="72" s="1"/>
  <c r="Q255" i="47"/>
  <c r="P260" i="72" s="1"/>
  <c r="R255" i="47"/>
  <c r="S255" i="47"/>
  <c r="T255" i="47"/>
  <c r="P255" i="47"/>
  <c r="O260" i="72" s="1"/>
  <c r="Q238" i="47"/>
  <c r="P243" i="72" s="1"/>
  <c r="R238" i="47"/>
  <c r="T238" i="47"/>
  <c r="P238" i="47"/>
  <c r="O243" i="72" s="1"/>
  <c r="S238" i="47"/>
  <c r="Q263" i="47"/>
  <c r="P268" i="72" s="1"/>
  <c r="S263" i="47"/>
  <c r="R263" i="47"/>
  <c r="P263" i="47"/>
  <c r="O268" i="72" s="1"/>
  <c r="T263" i="47"/>
  <c r="Q254" i="47"/>
  <c r="P259" i="72" s="1"/>
  <c r="R254" i="47"/>
  <c r="T254" i="47"/>
  <c r="S254" i="47"/>
  <c r="P254" i="47"/>
  <c r="O259" i="72" s="1"/>
  <c r="S227" i="47"/>
  <c r="R241" i="47"/>
  <c r="S241" i="47"/>
  <c r="R239" i="47"/>
  <c r="S239" i="47"/>
  <c r="Q257" i="47"/>
  <c r="P262" i="72" s="1"/>
  <c r="S257" i="47"/>
  <c r="P257" i="47"/>
  <c r="O262" i="72" s="1"/>
  <c r="R257" i="47"/>
  <c r="T257" i="47"/>
  <c r="S226" i="47"/>
  <c r="Q249" i="47"/>
  <c r="P254" i="72" s="1"/>
  <c r="R249" i="47"/>
  <c r="S249" i="47"/>
  <c r="P249" i="47"/>
  <c r="O254" i="72" s="1"/>
  <c r="T249" i="47"/>
  <c r="S245" i="47"/>
  <c r="S223" i="47"/>
  <c r="S228" i="47"/>
  <c r="S225" i="47"/>
  <c r="S246" i="47"/>
  <c r="T237" i="47"/>
  <c r="R237" i="47"/>
  <c r="Q237" i="47"/>
  <c r="P242" i="72" s="1"/>
  <c r="S237" i="47"/>
  <c r="P237" i="47"/>
  <c r="O242" i="72" s="1"/>
  <c r="R250" i="47"/>
  <c r="S250" i="47"/>
  <c r="S224" i="47"/>
  <c r="R232" i="47"/>
  <c r="S232" i="47"/>
  <c r="P232" i="47"/>
  <c r="O237" i="72" s="1"/>
  <c r="T232" i="47"/>
  <c r="Q232" i="47"/>
  <c r="P237" i="72" s="1"/>
  <c r="N230" i="47"/>
  <c r="E235" i="72" s="1"/>
  <c r="J240" i="47"/>
  <c r="O240" i="47" s="1"/>
  <c r="J264" i="47"/>
  <c r="O264" i="47" s="1"/>
  <c r="J246" i="47"/>
  <c r="O246" i="47" s="1"/>
  <c r="J250" i="47"/>
  <c r="O250" i="47" s="1"/>
  <c r="J229" i="47"/>
  <c r="O229" i="47" s="1"/>
  <c r="J248" i="47"/>
  <c r="K253" i="72" s="1"/>
  <c r="J234" i="47"/>
  <c r="O234" i="47" s="1"/>
  <c r="J245" i="47"/>
  <c r="O245" i="47" s="1"/>
  <c r="Q245" i="47" s="1"/>
  <c r="J231" i="47"/>
  <c r="O231" i="47" s="1"/>
  <c r="J236" i="47"/>
  <c r="K241" i="72" s="1"/>
  <c r="J233" i="47"/>
  <c r="O233" i="47" s="1"/>
  <c r="J238" i="47"/>
  <c r="O238" i="47" s="1"/>
  <c r="J258" i="47"/>
  <c r="O258" i="47" s="1"/>
  <c r="J241" i="47"/>
  <c r="O241" i="47" s="1"/>
  <c r="J225" i="47"/>
  <c r="O225" i="47" s="1"/>
  <c r="J259" i="47"/>
  <c r="O259" i="47" s="1"/>
  <c r="J232" i="47"/>
  <c r="K237" i="72" s="1"/>
  <c r="R262" i="47"/>
  <c r="S262" i="47"/>
  <c r="P262" i="47"/>
  <c r="O267" i="72" s="1"/>
  <c r="T262" i="47"/>
  <c r="Q262" i="47"/>
  <c r="P267" i="72" s="1"/>
  <c r="R236" i="47"/>
  <c r="P236" i="47"/>
  <c r="O241" i="72" s="1"/>
  <c r="T236" i="47"/>
  <c r="S236" i="47"/>
  <c r="Q236" i="47"/>
  <c r="P241" i="72" s="1"/>
  <c r="Q253" i="47"/>
  <c r="P258" i="72" s="1"/>
  <c r="T253" i="47"/>
  <c r="P253" i="47"/>
  <c r="O258" i="72" s="1"/>
  <c r="R253" i="47"/>
  <c r="S253" i="47"/>
  <c r="Q251" i="47"/>
  <c r="P256" i="72" s="1"/>
  <c r="R251" i="47"/>
  <c r="S251" i="47"/>
  <c r="P251" i="47"/>
  <c r="O256" i="72" s="1"/>
  <c r="T251" i="47"/>
  <c r="R258" i="47"/>
  <c r="T258" i="47"/>
  <c r="P258" i="47"/>
  <c r="O263" i="72" s="1"/>
  <c r="S258" i="47"/>
  <c r="Q258" i="47"/>
  <c r="P263" i="72" s="1"/>
  <c r="S230" i="47"/>
  <c r="S222" i="47"/>
  <c r="R248" i="47"/>
  <c r="T248" i="47"/>
  <c r="P248" i="47"/>
  <c r="O253" i="72" s="1"/>
  <c r="S248" i="47"/>
  <c r="Q248" i="47"/>
  <c r="P253" i="72" s="1"/>
  <c r="Q235" i="47"/>
  <c r="P240" i="72" s="1"/>
  <c r="S235" i="47"/>
  <c r="R235" i="47"/>
  <c r="P235" i="47"/>
  <c r="O240" i="72" s="1"/>
  <c r="T235" i="47"/>
  <c r="Q234" i="47"/>
  <c r="P239" i="72" s="1"/>
  <c r="R234" i="47"/>
  <c r="S234" i="47"/>
  <c r="P234" i="47"/>
  <c r="O239" i="72" s="1"/>
  <c r="T234" i="47"/>
  <c r="S231" i="47"/>
  <c r="Q247" i="47"/>
  <c r="P252" i="72" s="1"/>
  <c r="S247" i="47"/>
  <c r="R247" i="47"/>
  <c r="P247" i="47"/>
  <c r="O252" i="72" s="1"/>
  <c r="T247" i="47"/>
  <c r="R256" i="47"/>
  <c r="S256" i="47"/>
  <c r="P256" i="47"/>
  <c r="O261" i="72" s="1"/>
  <c r="T256" i="47"/>
  <c r="Q256" i="47"/>
  <c r="P261" i="72" s="1"/>
  <c r="R260" i="47"/>
  <c r="P260" i="47"/>
  <c r="O265" i="72" s="1"/>
  <c r="T260" i="47"/>
  <c r="S260" i="47"/>
  <c r="Q260" i="47"/>
  <c r="P265" i="72" s="1"/>
  <c r="R264" i="47"/>
  <c r="T264" i="47"/>
  <c r="S264" i="47"/>
  <c r="P264" i="47"/>
  <c r="O269" i="72" s="1"/>
  <c r="Q264" i="47"/>
  <c r="P269" i="72" s="1"/>
  <c r="Q259" i="47"/>
  <c r="P264" i="72" s="1"/>
  <c r="S259" i="47"/>
  <c r="R259" i="47"/>
  <c r="P259" i="47"/>
  <c r="O264" i="72" s="1"/>
  <c r="T259" i="47"/>
  <c r="R252" i="47"/>
  <c r="T252" i="47"/>
  <c r="S252" i="47"/>
  <c r="P252" i="47"/>
  <c r="O257" i="72" s="1"/>
  <c r="Q252" i="47"/>
  <c r="P257" i="72" s="1"/>
  <c r="S229" i="47"/>
  <c r="Q261" i="47"/>
  <c r="P266" i="72" s="1"/>
  <c r="S261" i="47"/>
  <c r="P261" i="47"/>
  <c r="O266" i="72" s="1"/>
  <c r="R261" i="47"/>
  <c r="T261" i="47"/>
  <c r="T233" i="47"/>
  <c r="R233" i="47"/>
  <c r="P233" i="47"/>
  <c r="O238" i="72" s="1"/>
  <c r="S233" i="47"/>
  <c r="Q233" i="47"/>
  <c r="P238" i="72" s="1"/>
  <c r="J251" i="47"/>
  <c r="O251" i="47" s="1"/>
  <c r="N241" i="47"/>
  <c r="T241" i="47" s="1"/>
  <c r="J222" i="47"/>
  <c r="O222" i="47" s="1"/>
  <c r="N239" i="47"/>
  <c r="T239" i="47" s="1"/>
  <c r="J262" i="47"/>
  <c r="O262" i="47" s="1"/>
  <c r="J261" i="47"/>
  <c r="O261" i="47" s="1"/>
  <c r="J249" i="47"/>
  <c r="O249" i="47" s="1"/>
  <c r="J257" i="47"/>
  <c r="O257" i="47" s="1"/>
  <c r="J235" i="47"/>
  <c r="O235" i="47" s="1"/>
  <c r="J226" i="47"/>
  <c r="O226" i="47" s="1"/>
  <c r="J223" i="47"/>
  <c r="O223" i="47" s="1"/>
  <c r="J256" i="47"/>
  <c r="O256" i="47" s="1"/>
  <c r="J252" i="47"/>
  <c r="O252" i="47" s="1"/>
  <c r="J224" i="47"/>
  <c r="O224" i="47" s="1"/>
  <c r="J255" i="47"/>
  <c r="O255" i="47" s="1"/>
  <c r="O322" i="11"/>
  <c r="O259" i="11"/>
  <c r="O273" i="11"/>
  <c r="O294" i="11"/>
  <c r="O318" i="11"/>
  <c r="O269" i="11"/>
  <c r="O285" i="11"/>
  <c r="O276" i="11"/>
  <c r="O250" i="11"/>
  <c r="O234" i="11"/>
  <c r="O272" i="11"/>
  <c r="O271" i="11"/>
  <c r="O331" i="11"/>
  <c r="O263" i="11"/>
  <c r="O308" i="11"/>
  <c r="O329" i="11"/>
  <c r="O246" i="11"/>
  <c r="O251" i="11"/>
  <c r="O224" i="11"/>
  <c r="O236" i="11"/>
  <c r="O303" i="11"/>
  <c r="O235" i="11"/>
  <c r="O226" i="11"/>
  <c r="O284" i="11"/>
  <c r="O245" i="11"/>
  <c r="O293" i="11"/>
  <c r="O262" i="11"/>
  <c r="O297" i="11"/>
  <c r="O280" i="11"/>
  <c r="O277" i="11"/>
  <c r="O326" i="11"/>
  <c r="O304" i="11"/>
  <c r="O292" i="11"/>
  <c r="O316" i="11"/>
  <c r="O258" i="11"/>
  <c r="O274" i="11"/>
  <c r="O314" i="11"/>
  <c r="P170" i="11"/>
  <c r="Q170" i="11" s="1"/>
  <c r="T170" i="11" s="1"/>
  <c r="R170" i="11" s="1"/>
  <c r="T276" i="11"/>
  <c r="O281" i="11"/>
  <c r="O225" i="11"/>
  <c r="O230" i="11"/>
  <c r="P280" i="11"/>
  <c r="O232" i="11"/>
  <c r="O330" i="11"/>
  <c r="O261" i="11"/>
  <c r="O283" i="11"/>
  <c r="O286" i="11"/>
  <c r="O291" i="11"/>
  <c r="O298" i="11"/>
  <c r="O328" i="11"/>
  <c r="O270" i="11"/>
  <c r="O305" i="11"/>
  <c r="O278" i="11"/>
  <c r="O307" i="11"/>
  <c r="O319" i="11"/>
  <c r="O275" i="11"/>
  <c r="O257" i="11"/>
  <c r="O301" i="11"/>
  <c r="O268" i="11"/>
  <c r="O317" i="11"/>
  <c r="T252" i="11"/>
  <c r="P252" i="11"/>
  <c r="R252" i="11"/>
  <c r="Q252" i="11"/>
  <c r="S252" i="11"/>
  <c r="Q316" i="11"/>
  <c r="T316" i="11"/>
  <c r="R316" i="11"/>
  <c r="S316" i="11"/>
  <c r="P316" i="11"/>
  <c r="S245" i="11"/>
  <c r="R255" i="11"/>
  <c r="P255" i="11"/>
  <c r="S255" i="11"/>
  <c r="T255" i="11"/>
  <c r="Q255" i="11"/>
  <c r="T320" i="11"/>
  <c r="S320" i="11"/>
  <c r="R320" i="11"/>
  <c r="P320" i="11"/>
  <c r="Q320" i="11"/>
  <c r="Q257" i="11"/>
  <c r="T257" i="11"/>
  <c r="P257" i="11"/>
  <c r="R257" i="11"/>
  <c r="S257" i="11"/>
  <c r="T264" i="11"/>
  <c r="P264" i="11"/>
  <c r="S264" i="11"/>
  <c r="Q264" i="11"/>
  <c r="R264" i="11"/>
  <c r="T306" i="11"/>
  <c r="Q306" i="11"/>
  <c r="S306" i="11"/>
  <c r="R306" i="11"/>
  <c r="P306" i="11"/>
  <c r="T292" i="11"/>
  <c r="S292" i="11"/>
  <c r="R292" i="11"/>
  <c r="P292" i="11"/>
  <c r="Q292" i="11"/>
  <c r="S238" i="11"/>
  <c r="R238" i="11"/>
  <c r="Q238" i="11"/>
  <c r="P238" i="11"/>
  <c r="T238" i="11"/>
  <c r="T279" i="11"/>
  <c r="Q279" i="11"/>
  <c r="R279" i="11"/>
  <c r="S279" i="11"/>
  <c r="P279" i="11"/>
  <c r="T260" i="11"/>
  <c r="P260" i="11"/>
  <c r="R260" i="11"/>
  <c r="S260" i="11"/>
  <c r="Q260" i="11"/>
  <c r="Q295" i="11"/>
  <c r="S295" i="11"/>
  <c r="R295" i="11"/>
  <c r="P295" i="11"/>
  <c r="T295" i="11"/>
  <c r="P305" i="11"/>
  <c r="O310" i="63" s="1"/>
  <c r="Q305" i="11"/>
  <c r="T305" i="11"/>
  <c r="S305" i="11"/>
  <c r="R305" i="11"/>
  <c r="S240" i="11"/>
  <c r="Q240" i="11"/>
  <c r="P240" i="11"/>
  <c r="T240" i="11"/>
  <c r="R240" i="11"/>
  <c r="S301" i="11"/>
  <c r="P301" i="11"/>
  <c r="T301" i="11"/>
  <c r="Q301" i="11"/>
  <c r="R301" i="11"/>
  <c r="T233" i="11"/>
  <c r="R233" i="11"/>
  <c r="S233" i="11"/>
  <c r="Q233" i="11"/>
  <c r="P233" i="11"/>
  <c r="T308" i="11"/>
  <c r="S308" i="11"/>
  <c r="R308" i="11"/>
  <c r="P308" i="11"/>
  <c r="Q308" i="11"/>
  <c r="P278" i="11"/>
  <c r="T278" i="11"/>
  <c r="S278" i="11"/>
  <c r="Q278" i="11"/>
  <c r="R278" i="11"/>
  <c r="T253" i="11"/>
  <c r="P253" i="11"/>
  <c r="Q253" i="11"/>
  <c r="S253" i="11"/>
  <c r="R253" i="11"/>
  <c r="Q299" i="11"/>
  <c r="S299" i="11"/>
  <c r="R299" i="11"/>
  <c r="T299" i="11"/>
  <c r="P299" i="11"/>
  <c r="T287" i="11"/>
  <c r="R287" i="11"/>
  <c r="S287" i="11"/>
  <c r="P287" i="11"/>
  <c r="Q287" i="11"/>
  <c r="S226" i="11"/>
  <c r="T298" i="11"/>
  <c r="P298" i="11"/>
  <c r="R298" i="11"/>
  <c r="S298" i="11"/>
  <c r="Q298" i="11"/>
  <c r="Q276" i="11"/>
  <c r="S276" i="11"/>
  <c r="R276" i="11"/>
  <c r="P276" i="11"/>
  <c r="R254" i="11"/>
  <c r="Q254" i="11"/>
  <c r="P254" i="11"/>
  <c r="T254" i="11"/>
  <c r="S254" i="11"/>
  <c r="T270" i="11"/>
  <c r="S270" i="11"/>
  <c r="R270" i="11"/>
  <c r="P270" i="11"/>
  <c r="Q270" i="11"/>
  <c r="T302" i="11"/>
  <c r="Q302" i="11"/>
  <c r="P302" i="11"/>
  <c r="R302" i="11"/>
  <c r="S302" i="11"/>
  <c r="T269" i="11"/>
  <c r="S269" i="11"/>
  <c r="R269" i="11"/>
  <c r="P269" i="11"/>
  <c r="Q269" i="11"/>
  <c r="Q280" i="11"/>
  <c r="S280" i="11"/>
  <c r="R280" i="11"/>
  <c r="T280" i="11"/>
  <c r="T317" i="11"/>
  <c r="Q317" i="11"/>
  <c r="R317" i="11"/>
  <c r="P317" i="11"/>
  <c r="S317" i="11"/>
  <c r="S286" i="11"/>
  <c r="T286" i="11"/>
  <c r="P286" i="11"/>
  <c r="Q286" i="11"/>
  <c r="R286" i="11"/>
  <c r="Q307" i="11"/>
  <c r="S307" i="11"/>
  <c r="R307" i="11"/>
  <c r="P307" i="11"/>
  <c r="T307" i="11"/>
  <c r="T323" i="11"/>
  <c r="S323" i="11"/>
  <c r="R323" i="11"/>
  <c r="P323" i="11"/>
  <c r="Q323" i="11"/>
  <c r="Q249" i="11"/>
  <c r="T249" i="11"/>
  <c r="P249" i="11"/>
  <c r="R249" i="11"/>
  <c r="S249" i="11"/>
  <c r="T310" i="11"/>
  <c r="Q310" i="11"/>
  <c r="S310" i="11"/>
  <c r="R310" i="11"/>
  <c r="P310" i="11"/>
  <c r="T229" i="11"/>
  <c r="S229" i="11"/>
  <c r="R229" i="11"/>
  <c r="P229" i="11"/>
  <c r="Q229" i="11"/>
  <c r="S315" i="11"/>
  <c r="Q263" i="11"/>
  <c r="S263" i="11"/>
  <c r="R263" i="11"/>
  <c r="P263" i="11"/>
  <c r="T263" i="11"/>
  <c r="P235" i="11"/>
  <c r="R235" i="11"/>
  <c r="T235" i="11"/>
  <c r="S235" i="11"/>
  <c r="Q235" i="11"/>
  <c r="S324" i="11"/>
  <c r="P324" i="11"/>
  <c r="Q324" i="11"/>
  <c r="T324" i="11"/>
  <c r="R324" i="11"/>
  <c r="T261" i="11"/>
  <c r="P261" i="11"/>
  <c r="Q261" i="11"/>
  <c r="R261" i="11"/>
  <c r="S261" i="11"/>
  <c r="T325" i="11"/>
  <c r="S325" i="11"/>
  <c r="P325" i="11"/>
  <c r="R325" i="11"/>
  <c r="Q325" i="11"/>
  <c r="R262" i="11"/>
  <c r="T262" i="11"/>
  <c r="S262" i="11"/>
  <c r="Q262" i="11"/>
  <c r="P262" i="11"/>
  <c r="Q322" i="11"/>
  <c r="S322" i="11"/>
  <c r="R322" i="11"/>
  <c r="P322" i="11"/>
  <c r="T322" i="11"/>
  <c r="S259" i="11"/>
  <c r="R259" i="11"/>
  <c r="P259" i="11"/>
  <c r="T259" i="11"/>
  <c r="Q259" i="11"/>
  <c r="S225" i="11"/>
  <c r="O255" i="11"/>
  <c r="O228" i="11"/>
  <c r="O327" i="11"/>
  <c r="O231" i="11"/>
  <c r="O249" i="11"/>
  <c r="O287" i="11"/>
  <c r="O233" i="11"/>
  <c r="O253" i="11"/>
  <c r="O260" i="11"/>
  <c r="O306" i="11"/>
  <c r="O238" i="11"/>
  <c r="O282" i="11"/>
  <c r="O239" i="11"/>
  <c r="O320" i="11"/>
  <c r="O295" i="11"/>
  <c r="O264" i="11"/>
  <c r="O302" i="11"/>
  <c r="O222" i="11"/>
  <c r="O323" i="11"/>
  <c r="O325" i="11"/>
  <c r="O310" i="11"/>
  <c r="O247" i="11"/>
  <c r="O309" i="11"/>
  <c r="O333" i="11"/>
  <c r="O227" i="11"/>
  <c r="O299" i="11"/>
  <c r="O252" i="11"/>
  <c r="O321" i="11"/>
  <c r="O332" i="11"/>
  <c r="O296" i="11"/>
  <c r="O279" i="11"/>
  <c r="O223" i="11"/>
  <c r="O241" i="11"/>
  <c r="O254" i="11"/>
  <c r="O300" i="11"/>
  <c r="O256" i="11"/>
  <c r="O240" i="11"/>
  <c r="O315" i="11"/>
  <c r="O324" i="11"/>
  <c r="P331" i="11"/>
  <c r="T331" i="11"/>
  <c r="S331" i="11"/>
  <c r="R331" i="11"/>
  <c r="Q331" i="11"/>
  <c r="T321" i="11"/>
  <c r="R321" i="11"/>
  <c r="Q321" i="11"/>
  <c r="S321" i="11"/>
  <c r="P321" i="11"/>
  <c r="S332" i="11"/>
  <c r="R332" i="11"/>
  <c r="T332" i="11"/>
  <c r="P332" i="11"/>
  <c r="Q332" i="11"/>
  <c r="S239" i="11"/>
  <c r="R239" i="11"/>
  <c r="P239" i="11"/>
  <c r="T239" i="11"/>
  <c r="Q239" i="11"/>
  <c r="T241" i="11"/>
  <c r="R241" i="11"/>
  <c r="Q241" i="11"/>
  <c r="S241" i="11"/>
  <c r="P241" i="11"/>
  <c r="R246" i="11"/>
  <c r="T246" i="11"/>
  <c r="S246" i="11"/>
  <c r="Q246" i="11"/>
  <c r="P246" i="11"/>
  <c r="T319" i="11"/>
  <c r="S319" i="11"/>
  <c r="R319" i="11"/>
  <c r="P319" i="11"/>
  <c r="Q319" i="11"/>
  <c r="R330" i="11"/>
  <c r="Q330" i="11"/>
  <c r="S330" i="11"/>
  <c r="P330" i="11"/>
  <c r="T237" i="11"/>
  <c r="S237" i="11"/>
  <c r="R237" i="11"/>
  <c r="P237" i="11"/>
  <c r="Q237" i="11"/>
  <c r="Q232" i="11"/>
  <c r="R232" i="11"/>
  <c r="S232" i="11"/>
  <c r="T232" i="11"/>
  <c r="P232" i="11"/>
  <c r="Q284" i="11"/>
  <c r="S284" i="11"/>
  <c r="R284" i="11"/>
  <c r="P284" i="11"/>
  <c r="T283" i="11"/>
  <c r="S283" i="11"/>
  <c r="P283" i="11"/>
  <c r="Q283" i="11"/>
  <c r="R283" i="11"/>
  <c r="Q291" i="11"/>
  <c r="S291" i="11"/>
  <c r="R291" i="11"/>
  <c r="P291" i="11"/>
  <c r="T291" i="11"/>
  <c r="P231" i="11"/>
  <c r="R231" i="11"/>
  <c r="T231" i="11"/>
  <c r="S231" i="11"/>
  <c r="Q231" i="11"/>
  <c r="T281" i="11"/>
  <c r="S281" i="11"/>
  <c r="R281" i="11"/>
  <c r="P281" i="11"/>
  <c r="Q281" i="11"/>
  <c r="T256" i="11"/>
  <c r="P256" i="11"/>
  <c r="S256" i="11"/>
  <c r="Q256" i="11"/>
  <c r="R256" i="11"/>
  <c r="Q272" i="11"/>
  <c r="S272" i="11"/>
  <c r="R272" i="11"/>
  <c r="P272" i="11"/>
  <c r="T272" i="11"/>
  <c r="Q247" i="11"/>
  <c r="S247" i="11"/>
  <c r="R247" i="11"/>
  <c r="P247" i="11"/>
  <c r="T247" i="11"/>
  <c r="S268" i="11"/>
  <c r="T333" i="11"/>
  <c r="Q333" i="11"/>
  <c r="R333" i="11"/>
  <c r="S333" i="11"/>
  <c r="P333" i="11"/>
  <c r="T275" i="11"/>
  <c r="S275" i="11"/>
  <c r="R275" i="11"/>
  <c r="Q275" i="11"/>
  <c r="P275" i="11"/>
  <c r="P227" i="11"/>
  <c r="R227" i="11"/>
  <c r="T227" i="11"/>
  <c r="S227" i="11"/>
  <c r="Q227" i="11"/>
  <c r="T304" i="11"/>
  <c r="P304" i="11"/>
  <c r="R304" i="11"/>
  <c r="S304" i="11"/>
  <c r="Q304" i="11"/>
  <c r="T271" i="11"/>
  <c r="R271" i="11"/>
  <c r="Q271" i="11"/>
  <c r="P271" i="11"/>
  <c r="S271" i="11"/>
  <c r="S282" i="11"/>
  <c r="Q282" i="11"/>
  <c r="P282" i="11"/>
  <c r="T282" i="11"/>
  <c r="R282" i="11"/>
  <c r="Q318" i="11"/>
  <c r="S318" i="11"/>
  <c r="R318" i="11"/>
  <c r="P318" i="11"/>
  <c r="T273" i="11"/>
  <c r="S273" i="11"/>
  <c r="R273" i="11"/>
  <c r="P273" i="11"/>
  <c r="Q273" i="11"/>
  <c r="S228" i="11"/>
  <c r="P228" i="11"/>
  <c r="Q228" i="11"/>
  <c r="T228" i="11"/>
  <c r="R228" i="11"/>
  <c r="T300" i="11"/>
  <c r="S300" i="11"/>
  <c r="R300" i="11"/>
  <c r="P300" i="11"/>
  <c r="O305" i="63" s="1"/>
  <c r="Q300" i="11"/>
  <c r="T251" i="11"/>
  <c r="Q251" i="11"/>
  <c r="S251" i="11"/>
  <c r="R251" i="11"/>
  <c r="P251" i="11"/>
  <c r="S297" i="11"/>
  <c r="Q297" i="11"/>
  <c r="T297" i="11"/>
  <c r="R297" i="11"/>
  <c r="P297" i="11"/>
  <c r="T285" i="11"/>
  <c r="S285" i="11"/>
  <c r="R285" i="11"/>
  <c r="P285" i="11"/>
  <c r="Q285" i="11"/>
  <c r="S224" i="11"/>
  <c r="R309" i="11"/>
  <c r="S309" i="11"/>
  <c r="P309" i="11"/>
  <c r="O314" i="63" s="1"/>
  <c r="Q309" i="11"/>
  <c r="T309" i="11"/>
  <c r="Q303" i="11"/>
  <c r="S303" i="11"/>
  <c r="R303" i="11"/>
  <c r="P303" i="11"/>
  <c r="O308" i="63" s="1"/>
  <c r="T303" i="11"/>
  <c r="T296" i="11"/>
  <c r="S296" i="11"/>
  <c r="R296" i="11"/>
  <c r="P296" i="11"/>
  <c r="Q296" i="11"/>
  <c r="T274" i="11"/>
  <c r="Q274" i="11"/>
  <c r="S274" i="11"/>
  <c r="P274" i="11"/>
  <c r="R274" i="11"/>
  <c r="P293" i="11"/>
  <c r="R293" i="11"/>
  <c r="S293" i="11"/>
  <c r="Q293" i="11"/>
  <c r="T293" i="11"/>
  <c r="R230" i="11"/>
  <c r="S230" i="11"/>
  <c r="Q230" i="11"/>
  <c r="P230" i="11"/>
  <c r="T230" i="11"/>
  <c r="T277" i="11"/>
  <c r="S277" i="11"/>
  <c r="R277" i="11"/>
  <c r="P277" i="11"/>
  <c r="O282" i="63" s="1"/>
  <c r="Q277" i="11"/>
  <c r="S326" i="11"/>
  <c r="R326" i="11"/>
  <c r="Q326" i="11"/>
  <c r="P326" i="11"/>
  <c r="O331" i="63" s="1"/>
  <c r="T326" i="11"/>
  <c r="P236" i="11"/>
  <c r="R236" i="11"/>
  <c r="S236" i="11"/>
  <c r="Q236" i="11"/>
  <c r="T236" i="11"/>
  <c r="T329" i="11"/>
  <c r="R329" i="11"/>
  <c r="S329" i="11"/>
  <c r="P329" i="11"/>
  <c r="Q329" i="11"/>
  <c r="R250" i="11"/>
  <c r="Q250" i="11"/>
  <c r="S250" i="11"/>
  <c r="P250" i="11"/>
  <c r="T250" i="11"/>
  <c r="R234" i="11"/>
  <c r="S234" i="11"/>
  <c r="Q234" i="11"/>
  <c r="P234" i="11"/>
  <c r="T234" i="11"/>
  <c r="R328" i="11"/>
  <c r="S328" i="11"/>
  <c r="P328" i="11"/>
  <c r="T328" i="11"/>
  <c r="Q328" i="11"/>
  <c r="S327" i="11"/>
  <c r="R327" i="11"/>
  <c r="P327" i="11"/>
  <c r="T327" i="11"/>
  <c r="Q327" i="11"/>
  <c r="T248" i="11"/>
  <c r="P248" i="11"/>
  <c r="S248" i="11"/>
  <c r="Q248" i="11"/>
  <c r="R248" i="11"/>
  <c r="R258" i="11"/>
  <c r="S258" i="11"/>
  <c r="P258" i="11"/>
  <c r="T258" i="11"/>
  <c r="Q258" i="11"/>
  <c r="T294" i="11"/>
  <c r="S294" i="11"/>
  <c r="Q294" i="11"/>
  <c r="R294" i="11"/>
  <c r="P294" i="11"/>
  <c r="T87" i="54"/>
  <c r="Q87" i="54"/>
  <c r="P87" i="54"/>
  <c r="P47" i="54"/>
  <c r="Q47" i="54" s="1"/>
  <c r="R47" i="54" s="1"/>
  <c r="P49" i="54"/>
  <c r="Q49" i="54" s="1"/>
  <c r="R49" i="54" s="1"/>
  <c r="Q85" i="54"/>
  <c r="T85" i="54"/>
  <c r="P85" i="54"/>
  <c r="T75" i="54"/>
  <c r="P75" i="54"/>
  <c r="Q75" i="54"/>
  <c r="T55" i="54"/>
  <c r="Q55" i="54"/>
  <c r="P55" i="54"/>
  <c r="Q82" i="54"/>
  <c r="P82" i="54"/>
  <c r="T82" i="54"/>
  <c r="T74" i="54"/>
  <c r="Q74" i="54"/>
  <c r="P74" i="54"/>
  <c r="T60" i="54"/>
  <c r="P60" i="54"/>
  <c r="Q60" i="54"/>
  <c r="Q86" i="54"/>
  <c r="P86" i="54"/>
  <c r="T86" i="54"/>
  <c r="Q79" i="54"/>
  <c r="T79" i="54"/>
  <c r="P79" i="54"/>
  <c r="T84" i="54"/>
  <c r="Q84" i="54"/>
  <c r="P84" i="54"/>
  <c r="P53" i="54"/>
  <c r="Q53" i="54" s="1"/>
  <c r="P51" i="54"/>
  <c r="Q51" i="54" s="1"/>
  <c r="R51" i="54" s="1"/>
  <c r="T76" i="54"/>
  <c r="Q76" i="54"/>
  <c r="P76" i="54"/>
  <c r="P73" i="54"/>
  <c r="T73" i="54"/>
  <c r="Q73" i="54"/>
  <c r="P46" i="54"/>
  <c r="Q46" i="54" s="1"/>
  <c r="R46" i="54" s="1"/>
  <c r="T57" i="54"/>
  <c r="Q57" i="54"/>
  <c r="P57" i="54"/>
  <c r="T80" i="54"/>
  <c r="Q80" i="54"/>
  <c r="P80" i="54"/>
  <c r="T70" i="54"/>
  <c r="P70" i="54"/>
  <c r="Q70" i="54"/>
  <c r="P78" i="54"/>
  <c r="T78" i="54"/>
  <c r="Q78" i="54"/>
  <c r="AH60" i="54"/>
  <c r="AQ60" i="54" s="1"/>
  <c r="AH86" i="54"/>
  <c r="AQ86" i="54" s="1"/>
  <c r="AH79" i="54"/>
  <c r="AQ79" i="54" s="1"/>
  <c r="AH84" i="54"/>
  <c r="AQ84" i="54" s="1"/>
  <c r="T77" i="54"/>
  <c r="P77" i="54"/>
  <c r="Q77" i="54"/>
  <c r="AH53" i="54"/>
  <c r="AQ53" i="54" s="1"/>
  <c r="P61" i="54"/>
  <c r="Q61" i="54"/>
  <c r="T61" i="54"/>
  <c r="AH51" i="54"/>
  <c r="AQ51" i="54" s="1"/>
  <c r="AH76" i="54"/>
  <c r="AQ76" i="54" s="1"/>
  <c r="AH73" i="54"/>
  <c r="AQ73" i="54" s="1"/>
  <c r="AH46" i="54"/>
  <c r="AQ46" i="54" s="1"/>
  <c r="P54" i="54"/>
  <c r="Q54" i="54" s="1"/>
  <c r="R54" i="54" s="1"/>
  <c r="AH57" i="54"/>
  <c r="AQ57" i="54" s="1"/>
  <c r="AH80" i="54"/>
  <c r="AQ80" i="54" s="1"/>
  <c r="P52" i="54"/>
  <c r="Q52" i="54" s="1"/>
  <c r="P71" i="54"/>
  <c r="Q71" i="54"/>
  <c r="T71" i="54"/>
  <c r="P50" i="54"/>
  <c r="Q50" i="54" s="1"/>
  <c r="P59" i="54"/>
  <c r="T59" i="54"/>
  <c r="Q59" i="54"/>
  <c r="P69" i="54"/>
  <c r="Q69" i="54"/>
  <c r="T69" i="54"/>
  <c r="Q62" i="54"/>
  <c r="P62" i="54"/>
  <c r="T62" i="54"/>
  <c r="P83" i="54"/>
  <c r="T83" i="54"/>
  <c r="Q83" i="54"/>
  <c r="Q81" i="54"/>
  <c r="T81" i="54"/>
  <c r="P81" i="54"/>
  <c r="Q58" i="54"/>
  <c r="T58" i="54"/>
  <c r="P58" i="54"/>
  <c r="P63" i="54"/>
  <c r="Q63" i="54"/>
  <c r="T63" i="54"/>
  <c r="P56" i="54"/>
  <c r="T56" i="54"/>
  <c r="Q56" i="54"/>
  <c r="P48" i="54"/>
  <c r="Q48" i="54" s="1"/>
  <c r="R48" i="54" s="1"/>
  <c r="O177" i="63"/>
  <c r="O176" i="63"/>
  <c r="F250" i="72"/>
  <c r="M50" i="72"/>
  <c r="M58" i="72"/>
  <c r="M71" i="72"/>
  <c r="M53" i="72"/>
  <c r="M84" i="72"/>
  <c r="M60" i="72"/>
  <c r="M56" i="72"/>
  <c r="M62" i="72"/>
  <c r="M59" i="72"/>
  <c r="M79" i="72"/>
  <c r="M72" i="72"/>
  <c r="M81" i="72"/>
  <c r="M87" i="72"/>
  <c r="M74" i="72"/>
  <c r="M48" i="72"/>
  <c r="M57" i="72"/>
  <c r="M78" i="72"/>
  <c r="M77" i="72"/>
  <c r="M86" i="72"/>
  <c r="M73" i="72"/>
  <c r="M89" i="72"/>
  <c r="M63" i="72"/>
  <c r="M51" i="72"/>
  <c r="M54" i="72"/>
  <c r="M64" i="72"/>
  <c r="M66" i="72"/>
  <c r="M82" i="72"/>
  <c r="M49" i="72"/>
  <c r="M52" i="72"/>
  <c r="M75" i="72"/>
  <c r="M67" i="72"/>
  <c r="M55" i="72"/>
  <c r="M65" i="72"/>
  <c r="M80" i="72"/>
  <c r="M85" i="72"/>
  <c r="M90" i="72"/>
  <c r="M61" i="72"/>
  <c r="M83" i="72"/>
  <c r="L258" i="72"/>
  <c r="L259" i="72"/>
  <c r="L263" i="72"/>
  <c r="L232" i="72"/>
  <c r="L246" i="72"/>
  <c r="L227" i="72"/>
  <c r="L244" i="72"/>
  <c r="L266" i="72"/>
  <c r="L254" i="72"/>
  <c r="L239" i="72"/>
  <c r="L262" i="72"/>
  <c r="L250" i="72"/>
  <c r="L231" i="72"/>
  <c r="L261" i="72"/>
  <c r="L233" i="72"/>
  <c r="L264" i="72"/>
  <c r="L252" i="72"/>
  <c r="L242" i="72"/>
  <c r="L237" i="72"/>
  <c r="L260" i="72"/>
  <c r="L241" i="72"/>
  <c r="L243" i="72"/>
  <c r="L268" i="72"/>
  <c r="L256" i="72"/>
  <c r="L235" i="72"/>
  <c r="L245" i="72"/>
  <c r="L269" i="72"/>
  <c r="L251" i="72"/>
  <c r="L267" i="72"/>
  <c r="L255" i="72"/>
  <c r="L234" i="72"/>
  <c r="L253" i="72"/>
  <c r="L236" i="72"/>
  <c r="L240" i="72"/>
  <c r="L228" i="72"/>
  <c r="L265" i="72"/>
  <c r="L230" i="72"/>
  <c r="L257" i="72"/>
  <c r="L229" i="72"/>
  <c r="L238" i="72"/>
  <c r="O172" i="63"/>
  <c r="O175" i="63"/>
  <c r="O173" i="63"/>
  <c r="O171" i="63"/>
  <c r="O319" i="72"/>
  <c r="V157" i="47"/>
  <c r="P140" i="72"/>
  <c r="N240" i="72"/>
  <c r="N237" i="72"/>
  <c r="N255" i="72"/>
  <c r="N250" i="72"/>
  <c r="N241" i="72"/>
  <c r="N243" i="72"/>
  <c r="N269" i="72"/>
  <c r="N231" i="72"/>
  <c r="N229" i="72"/>
  <c r="N258" i="72"/>
  <c r="N266" i="72"/>
  <c r="N267" i="72"/>
  <c r="N228" i="72"/>
  <c r="N268" i="72"/>
  <c r="N244" i="72"/>
  <c r="N236" i="72"/>
  <c r="N246" i="72"/>
  <c r="N230" i="72"/>
  <c r="N234" i="72"/>
  <c r="N259" i="72"/>
  <c r="N263" i="72"/>
  <c r="N233" i="72"/>
  <c r="N245" i="72"/>
  <c r="N239" i="72"/>
  <c r="N251" i="72"/>
  <c r="N253" i="72"/>
  <c r="N265" i="72"/>
  <c r="N238" i="72"/>
  <c r="N232" i="72"/>
  <c r="N264" i="72"/>
  <c r="N261" i="72"/>
  <c r="N262" i="72"/>
  <c r="N227" i="72"/>
  <c r="N254" i="72"/>
  <c r="N256" i="72"/>
  <c r="N252" i="72"/>
  <c r="N242" i="72"/>
  <c r="N235" i="72"/>
  <c r="N257" i="72"/>
  <c r="N260" i="72"/>
  <c r="A221" i="47"/>
  <c r="A88" i="47"/>
  <c r="A265" i="47" s="1"/>
  <c r="V311" i="47"/>
  <c r="V288" i="47"/>
  <c r="O345" i="72"/>
  <c r="O343" i="72"/>
  <c r="O344" i="72"/>
  <c r="O165" i="72"/>
  <c r="AI240" i="47"/>
  <c r="AJ240" i="47" s="1"/>
  <c r="AK240" i="47" s="1"/>
  <c r="AH224" i="47"/>
  <c r="AQ224" i="47" s="1"/>
  <c r="E229" i="72"/>
  <c r="AH232" i="47"/>
  <c r="AQ232" i="47" s="1"/>
  <c r="E237" i="72"/>
  <c r="AH235" i="47"/>
  <c r="AQ235" i="47" s="1"/>
  <c r="E240" i="72"/>
  <c r="AH237" i="47"/>
  <c r="AQ237" i="47" s="1"/>
  <c r="E242" i="72"/>
  <c r="AH251" i="47"/>
  <c r="AQ251" i="47" s="1"/>
  <c r="E256" i="72"/>
  <c r="AH255" i="47"/>
  <c r="AQ255" i="47" s="1"/>
  <c r="E260" i="72"/>
  <c r="AH249" i="47"/>
  <c r="AQ249" i="47" s="1"/>
  <c r="E254" i="72"/>
  <c r="AH245" i="47"/>
  <c r="AQ245" i="47" s="1"/>
  <c r="E250" i="72"/>
  <c r="AH223" i="47"/>
  <c r="AQ223" i="47" s="1"/>
  <c r="E228" i="72"/>
  <c r="AH246" i="47"/>
  <c r="AQ246" i="47" s="1"/>
  <c r="E251" i="72"/>
  <c r="AH262" i="47"/>
  <c r="AQ262" i="47" s="1"/>
  <c r="E267" i="72"/>
  <c r="AH261" i="47"/>
  <c r="AQ261" i="47" s="1"/>
  <c r="E266" i="72"/>
  <c r="AH229" i="47"/>
  <c r="AQ229" i="47" s="1"/>
  <c r="E234" i="72"/>
  <c r="AH225" i="47"/>
  <c r="AQ225" i="47" s="1"/>
  <c r="E230" i="72"/>
  <c r="AH236" i="47"/>
  <c r="AQ236" i="47" s="1"/>
  <c r="E241" i="72"/>
  <c r="AH234" i="47"/>
  <c r="AQ234" i="47" s="1"/>
  <c r="E239" i="72"/>
  <c r="AH258" i="47"/>
  <c r="AQ258" i="47" s="1"/>
  <c r="E263" i="72"/>
  <c r="AH247" i="47"/>
  <c r="AQ247" i="47" s="1"/>
  <c r="E252" i="72"/>
  <c r="AH256" i="47"/>
  <c r="AQ256" i="47" s="1"/>
  <c r="E261" i="72"/>
  <c r="AH264" i="47"/>
  <c r="AQ264" i="47" s="1"/>
  <c r="E269" i="72"/>
  <c r="AH259" i="47"/>
  <c r="AQ259" i="47" s="1"/>
  <c r="E264" i="72"/>
  <c r="AH228" i="47"/>
  <c r="AQ228" i="47" s="1"/>
  <c r="E233" i="72"/>
  <c r="AH254" i="47"/>
  <c r="AQ254" i="47" s="1"/>
  <c r="E259" i="72"/>
  <c r="AH260" i="47"/>
  <c r="AQ260" i="47" s="1"/>
  <c r="E265" i="72"/>
  <c r="AH227" i="47"/>
  <c r="AQ227" i="47" s="1"/>
  <c r="E232" i="72"/>
  <c r="AH231" i="47"/>
  <c r="AQ231" i="47" s="1"/>
  <c r="E236" i="72"/>
  <c r="AH222" i="47"/>
  <c r="AQ222" i="47" s="1"/>
  <c r="E227" i="72"/>
  <c r="AH226" i="47"/>
  <c r="AQ226" i="47" s="1"/>
  <c r="E231" i="72"/>
  <c r="AH263" i="47"/>
  <c r="AQ263" i="47" s="1"/>
  <c r="E268" i="72"/>
  <c r="AH257" i="47"/>
  <c r="AQ257" i="47" s="1"/>
  <c r="E262" i="72"/>
  <c r="AE240" i="47"/>
  <c r="AF240" i="47" s="1"/>
  <c r="AH233" i="47"/>
  <c r="AQ233" i="47" s="1"/>
  <c r="E238" i="72"/>
  <c r="AH240" i="47"/>
  <c r="AQ240" i="47" s="1"/>
  <c r="E245" i="72"/>
  <c r="AH238" i="47"/>
  <c r="AQ238" i="47" s="1"/>
  <c r="E243" i="72"/>
  <c r="AH248" i="47"/>
  <c r="AQ248" i="47" s="1"/>
  <c r="E253" i="72"/>
  <c r="AH252" i="47"/>
  <c r="AQ252" i="47" s="1"/>
  <c r="E257" i="72"/>
  <c r="AH253" i="47"/>
  <c r="AQ253" i="47" s="1"/>
  <c r="E258" i="72"/>
  <c r="J234" i="63"/>
  <c r="G296" i="63"/>
  <c r="P136" i="63"/>
  <c r="P76" i="63"/>
  <c r="M86" i="63"/>
  <c r="M53" i="63"/>
  <c r="M113" i="63"/>
  <c r="M145" i="63"/>
  <c r="M124" i="63"/>
  <c r="M66" i="63"/>
  <c r="J231" i="63"/>
  <c r="G228" i="63"/>
  <c r="P152" i="63"/>
  <c r="P75" i="63"/>
  <c r="P122" i="63"/>
  <c r="P107" i="63"/>
  <c r="P132" i="63"/>
  <c r="P126" i="63"/>
  <c r="P98" i="63"/>
  <c r="P121" i="63"/>
  <c r="P100" i="63"/>
  <c r="P90" i="63"/>
  <c r="P108" i="63"/>
  <c r="P77" i="63"/>
  <c r="M81" i="63"/>
  <c r="M129" i="63"/>
  <c r="M56" i="63"/>
  <c r="M142" i="63"/>
  <c r="M154" i="63"/>
  <c r="M51" i="63"/>
  <c r="M131" i="63"/>
  <c r="M159" i="63"/>
  <c r="L229" i="63"/>
  <c r="L230" i="63"/>
  <c r="H241" i="63"/>
  <c r="L232" i="63"/>
  <c r="L228" i="63"/>
  <c r="L255" i="63"/>
  <c r="L266" i="63"/>
  <c r="L265" i="63"/>
  <c r="L259" i="63"/>
  <c r="E263" i="63"/>
  <c r="L258" i="63"/>
  <c r="F269" i="63"/>
  <c r="L264" i="63"/>
  <c r="E267" i="63"/>
  <c r="H292" i="63"/>
  <c r="L287" i="63"/>
  <c r="L291" i="63"/>
  <c r="L275" i="63"/>
  <c r="L284" i="63"/>
  <c r="H280" i="63"/>
  <c r="E278" i="63"/>
  <c r="L277" i="63"/>
  <c r="L309" i="63"/>
  <c r="L297" i="63"/>
  <c r="L298" i="63"/>
  <c r="L307" i="63"/>
  <c r="L302" i="63"/>
  <c r="F311" i="63"/>
  <c r="L311" i="63"/>
  <c r="L314" i="63"/>
  <c r="E301" i="63"/>
  <c r="L312" i="63"/>
  <c r="E313" i="63"/>
  <c r="L313" i="63"/>
  <c r="F303" i="63"/>
  <c r="L303" i="63"/>
  <c r="E300" i="63"/>
  <c r="L300" i="63"/>
  <c r="F299" i="63"/>
  <c r="L299" i="63"/>
  <c r="F315" i="63"/>
  <c r="L315" i="63"/>
  <c r="L310" i="63"/>
  <c r="E328" i="63"/>
  <c r="L328" i="63"/>
  <c r="F330" i="63"/>
  <c r="L330" i="63"/>
  <c r="L333" i="63"/>
  <c r="E324" i="63"/>
  <c r="L324" i="63"/>
  <c r="L319" i="63"/>
  <c r="L335" i="63"/>
  <c r="E320" i="63"/>
  <c r="L320" i="63"/>
  <c r="E331" i="63"/>
  <c r="L331" i="63"/>
  <c r="F322" i="63"/>
  <c r="L322" i="63"/>
  <c r="F334" i="63"/>
  <c r="L334" i="63"/>
  <c r="E329" i="63"/>
  <c r="L329" i="63"/>
  <c r="E323" i="63"/>
  <c r="L323" i="63"/>
  <c r="L325" i="63"/>
  <c r="E332" i="63"/>
  <c r="L332" i="63"/>
  <c r="L327" i="63"/>
  <c r="E336" i="63"/>
  <c r="L336" i="63"/>
  <c r="F338" i="63"/>
  <c r="L338" i="63"/>
  <c r="F326" i="63"/>
  <c r="L326" i="63"/>
  <c r="E321" i="63"/>
  <c r="L321" i="63"/>
  <c r="E337" i="63"/>
  <c r="L337" i="63"/>
  <c r="O152" i="63"/>
  <c r="O145" i="63"/>
  <c r="O82" i="63"/>
  <c r="O120" i="63"/>
  <c r="O123" i="63"/>
  <c r="O103" i="63"/>
  <c r="O155" i="63"/>
  <c r="O84" i="63"/>
  <c r="O132" i="63"/>
  <c r="O62" i="63"/>
  <c r="O134" i="63"/>
  <c r="O104" i="63"/>
  <c r="O64" i="63"/>
  <c r="O76" i="63"/>
  <c r="O81" i="63"/>
  <c r="O106" i="63"/>
  <c r="O147" i="63"/>
  <c r="O79" i="63"/>
  <c r="O98" i="63"/>
  <c r="P63" i="63"/>
  <c r="P59" i="63"/>
  <c r="P58" i="63"/>
  <c r="P149" i="63"/>
  <c r="P148" i="63"/>
  <c r="P147" i="63"/>
  <c r="M157" i="63"/>
  <c r="M75" i="63"/>
  <c r="M152" i="63"/>
  <c r="M121" i="63"/>
  <c r="M64" i="63"/>
  <c r="F48" i="63"/>
  <c r="M100" i="63"/>
  <c r="K236" i="63"/>
  <c r="E231" i="63"/>
  <c r="P124" i="63"/>
  <c r="P112" i="63"/>
  <c r="P53" i="63"/>
  <c r="P86" i="63"/>
  <c r="P145" i="63"/>
  <c r="P78" i="63"/>
  <c r="P142" i="63"/>
  <c r="M143" i="63"/>
  <c r="M85" i="63"/>
  <c r="M132" i="63"/>
  <c r="M107" i="63"/>
  <c r="M109" i="63"/>
  <c r="M156" i="63"/>
  <c r="M89" i="63"/>
  <c r="M73" i="63"/>
  <c r="M133" i="63"/>
  <c r="L236" i="63"/>
  <c r="L246" i="63"/>
  <c r="L245" i="63"/>
  <c r="H233" i="63"/>
  <c r="L242" i="63"/>
  <c r="L240" i="63"/>
  <c r="E255" i="63"/>
  <c r="L250" i="63"/>
  <c r="F261" i="63"/>
  <c r="L256" i="63"/>
  <c r="E259" i="63"/>
  <c r="L263" i="63"/>
  <c r="L253" i="63"/>
  <c r="F257" i="63"/>
  <c r="L268" i="63"/>
  <c r="L267" i="63"/>
  <c r="L262" i="63"/>
  <c r="L276" i="63"/>
  <c r="F287" i="63"/>
  <c r="L288" i="63"/>
  <c r="L286" i="63"/>
  <c r="H285" i="63"/>
  <c r="L289" i="63"/>
  <c r="L279" i="63"/>
  <c r="F283" i="63"/>
  <c r="H277" i="63"/>
  <c r="E309" i="63"/>
  <c r="E297" i="63"/>
  <c r="F307" i="63"/>
  <c r="L301" i="63"/>
  <c r="P61" i="63"/>
  <c r="P102" i="63"/>
  <c r="P125" i="63"/>
  <c r="P80" i="63"/>
  <c r="M97" i="63"/>
  <c r="F96" i="63"/>
  <c r="M101" i="63"/>
  <c r="M153" i="63"/>
  <c r="M148" i="63"/>
  <c r="M72" i="63"/>
  <c r="M106" i="63"/>
  <c r="M119" i="63"/>
  <c r="M52" i="63"/>
  <c r="F141" i="63"/>
  <c r="H236" i="63"/>
  <c r="E236" i="63"/>
  <c r="F231" i="63"/>
  <c r="H231" i="63"/>
  <c r="J246" i="63"/>
  <c r="F246" i="63"/>
  <c r="E234" i="63"/>
  <c r="F234" i="63"/>
  <c r="E229" i="63"/>
  <c r="K229" i="63"/>
  <c r="E245" i="63"/>
  <c r="K245" i="63"/>
  <c r="J230" i="63"/>
  <c r="F230" i="63"/>
  <c r="E233" i="63"/>
  <c r="K233" i="63"/>
  <c r="F235" i="63"/>
  <c r="H235" i="63"/>
  <c r="E242" i="63"/>
  <c r="F242" i="63"/>
  <c r="E237" i="63"/>
  <c r="K237" i="63"/>
  <c r="H227" i="63"/>
  <c r="E241" i="63"/>
  <c r="K241" i="63"/>
  <c r="H232" i="63"/>
  <c r="E232" i="63"/>
  <c r="F243" i="63"/>
  <c r="H243" i="63"/>
  <c r="H244" i="63"/>
  <c r="E244" i="63"/>
  <c r="F239" i="63"/>
  <c r="H239" i="63"/>
  <c r="J238" i="63"/>
  <c r="F238" i="63"/>
  <c r="H240" i="63"/>
  <c r="E240" i="63"/>
  <c r="H228" i="63"/>
  <c r="E228" i="63"/>
  <c r="H255" i="63"/>
  <c r="E250" i="63"/>
  <c r="E266" i="63"/>
  <c r="H265" i="63"/>
  <c r="K265" i="63"/>
  <c r="J261" i="63"/>
  <c r="K261" i="63"/>
  <c r="E256" i="63"/>
  <c r="F256" i="63"/>
  <c r="E252" i="63"/>
  <c r="H259" i="63"/>
  <c r="F254" i="63"/>
  <c r="H263" i="63"/>
  <c r="F258" i="63"/>
  <c r="E258" i="63"/>
  <c r="E260" i="63"/>
  <c r="J253" i="63"/>
  <c r="K253" i="63"/>
  <c r="J269" i="63"/>
  <c r="K269" i="63"/>
  <c r="E264" i="63"/>
  <c r="F264" i="63"/>
  <c r="H257" i="63"/>
  <c r="K257" i="63"/>
  <c r="E268" i="63"/>
  <c r="H251" i="63"/>
  <c r="H267" i="63"/>
  <c r="F262" i="63"/>
  <c r="J273" i="63"/>
  <c r="H273" i="63"/>
  <c r="J276" i="63"/>
  <c r="J292" i="63"/>
  <c r="E287" i="63"/>
  <c r="F288" i="63"/>
  <c r="J291" i="63"/>
  <c r="K286" i="63"/>
  <c r="J275" i="63"/>
  <c r="H274" i="63"/>
  <c r="K274" i="63"/>
  <c r="H290" i="63"/>
  <c r="K290" i="63"/>
  <c r="K285" i="63"/>
  <c r="J289" i="63"/>
  <c r="H289" i="63"/>
  <c r="J284" i="63"/>
  <c r="E279" i="63"/>
  <c r="F280" i="63"/>
  <c r="G229" i="63"/>
  <c r="P127" i="63"/>
  <c r="P56" i="63"/>
  <c r="P55" i="63"/>
  <c r="P83" i="63"/>
  <c r="P66" i="63"/>
  <c r="P84" i="63"/>
  <c r="P146" i="63"/>
  <c r="P82" i="63"/>
  <c r="P143" i="63"/>
  <c r="P62" i="63"/>
  <c r="P144" i="63"/>
  <c r="M79" i="63"/>
  <c r="M62" i="63"/>
  <c r="M155" i="63"/>
  <c r="M90" i="63"/>
  <c r="M95" i="63"/>
  <c r="M60" i="63"/>
  <c r="M67" i="63"/>
  <c r="M98" i="63"/>
  <c r="M84" i="63"/>
  <c r="M125" i="63"/>
  <c r="M78" i="63"/>
  <c r="M120" i="63"/>
  <c r="M59" i="63"/>
  <c r="F72" i="63"/>
  <c r="F236" i="63"/>
  <c r="H246" i="63"/>
  <c r="P54" i="63"/>
  <c r="P123" i="63"/>
  <c r="P57" i="63"/>
  <c r="P88" i="63"/>
  <c r="P87" i="63"/>
  <c r="P105" i="63"/>
  <c r="P64" i="63"/>
  <c r="P85" i="63"/>
  <c r="P111" i="63"/>
  <c r="P158" i="63"/>
  <c r="M87" i="63"/>
  <c r="M61" i="63"/>
  <c r="M150" i="63"/>
  <c r="M77" i="63"/>
  <c r="M50" i="63"/>
  <c r="M149" i="63"/>
  <c r="M134" i="63"/>
  <c r="M130" i="63"/>
  <c r="M108" i="63"/>
  <c r="F95" i="63"/>
  <c r="F49" i="63"/>
  <c r="L231" i="63"/>
  <c r="L234" i="63"/>
  <c r="L237" i="63"/>
  <c r="L244" i="63"/>
  <c r="L239" i="63"/>
  <c r="L238" i="63"/>
  <c r="F265" i="63"/>
  <c r="L261" i="63"/>
  <c r="L252" i="63"/>
  <c r="E254" i="63"/>
  <c r="L254" i="63"/>
  <c r="L260" i="63"/>
  <c r="F253" i="63"/>
  <c r="L269" i="63"/>
  <c r="L257" i="63"/>
  <c r="E251" i="63"/>
  <c r="L251" i="63"/>
  <c r="E262" i="63"/>
  <c r="L273" i="63"/>
  <c r="H276" i="63"/>
  <c r="L292" i="63"/>
  <c r="H288" i="63"/>
  <c r="F291" i="63"/>
  <c r="E286" i="63"/>
  <c r="L274" i="63"/>
  <c r="L290" i="63"/>
  <c r="L285" i="63"/>
  <c r="H284" i="63"/>
  <c r="F279" i="63"/>
  <c r="L280" i="63"/>
  <c r="L283" i="63"/>
  <c r="L278" i="63"/>
  <c r="L281" i="63"/>
  <c r="L282" i="63"/>
  <c r="L306" i="63"/>
  <c r="L304" i="63"/>
  <c r="E308" i="63"/>
  <c r="L308" i="63"/>
  <c r="E305" i="63"/>
  <c r="L305" i="63"/>
  <c r="L296" i="63"/>
  <c r="G230" i="63"/>
  <c r="G274" i="63"/>
  <c r="P129" i="63"/>
  <c r="P150" i="63"/>
  <c r="P154" i="63"/>
  <c r="P103" i="63"/>
  <c r="P106" i="63"/>
  <c r="P130" i="63"/>
  <c r="P134" i="63"/>
  <c r="P155" i="63"/>
  <c r="P135" i="63"/>
  <c r="P131" i="63"/>
  <c r="P104" i="63"/>
  <c r="P133" i="63"/>
  <c r="P99" i="63"/>
  <c r="P73" i="63"/>
  <c r="F118" i="63"/>
  <c r="M151" i="63"/>
  <c r="M94" i="63"/>
  <c r="M71" i="63"/>
  <c r="M54" i="63"/>
  <c r="M136" i="63"/>
  <c r="M58" i="63"/>
  <c r="M122" i="63"/>
  <c r="M99" i="63"/>
  <c r="M128" i="63"/>
  <c r="M147" i="63"/>
  <c r="M49" i="63"/>
  <c r="M83" i="63"/>
  <c r="M140" i="63"/>
  <c r="M111" i="63"/>
  <c r="M105" i="63"/>
  <c r="M135" i="63"/>
  <c r="F119" i="63"/>
  <c r="G227" i="63"/>
  <c r="P89" i="63"/>
  <c r="P81" i="63"/>
  <c r="P128" i="63"/>
  <c r="P153" i="63"/>
  <c r="P110" i="63"/>
  <c r="P159" i="63"/>
  <c r="P97" i="63"/>
  <c r="P113" i="63"/>
  <c r="P60" i="63"/>
  <c r="P156" i="63"/>
  <c r="P101" i="63"/>
  <c r="P79" i="63"/>
  <c r="P65" i="63"/>
  <c r="P120" i="63"/>
  <c r="P157" i="63"/>
  <c r="P109" i="63"/>
  <c r="P67" i="63"/>
  <c r="P151" i="63"/>
  <c r="P74" i="63"/>
  <c r="M48" i="63"/>
  <c r="M76" i="63"/>
  <c r="M65" i="63"/>
  <c r="M80" i="63"/>
  <c r="M127" i="63"/>
  <c r="M141" i="63"/>
  <c r="M110" i="63"/>
  <c r="M104" i="63"/>
  <c r="M117" i="63"/>
  <c r="M146" i="63"/>
  <c r="M82" i="63"/>
  <c r="M123" i="63"/>
  <c r="F71" i="63"/>
  <c r="M118" i="63"/>
  <c r="M57" i="63"/>
  <c r="M102" i="63"/>
  <c r="M126" i="63"/>
  <c r="M103" i="63"/>
  <c r="M158" i="63"/>
  <c r="M63" i="63"/>
  <c r="M144" i="63"/>
  <c r="M112" i="63"/>
  <c r="M96" i="63"/>
  <c r="M74" i="63"/>
  <c r="M55" i="63"/>
  <c r="M88" i="63"/>
  <c r="F117" i="63"/>
  <c r="F50" i="63"/>
  <c r="J236" i="63"/>
  <c r="K231" i="63"/>
  <c r="E246" i="63"/>
  <c r="K246" i="63"/>
  <c r="K234" i="63"/>
  <c r="J229" i="63"/>
  <c r="J245" i="63"/>
  <c r="F245" i="63"/>
  <c r="E230" i="63"/>
  <c r="K230" i="63"/>
  <c r="J233" i="63"/>
  <c r="F233" i="63"/>
  <c r="J235" i="63"/>
  <c r="K235" i="63"/>
  <c r="K242" i="63"/>
  <c r="J237" i="63"/>
  <c r="F237" i="63"/>
  <c r="J227" i="63"/>
  <c r="K227" i="63"/>
  <c r="J241" i="63"/>
  <c r="F241" i="63"/>
  <c r="F232" i="63"/>
  <c r="J243" i="63"/>
  <c r="K243" i="63"/>
  <c r="J244" i="63"/>
  <c r="K239" i="63"/>
  <c r="E238" i="63"/>
  <c r="K238" i="63"/>
  <c r="F240" i="63"/>
  <c r="J228" i="63"/>
  <c r="J255" i="63"/>
  <c r="K255" i="63"/>
  <c r="H250" i="63"/>
  <c r="F266" i="63"/>
  <c r="H266" i="63"/>
  <c r="J265" i="63"/>
  <c r="E265" i="63"/>
  <c r="H261" i="63"/>
  <c r="E261" i="63"/>
  <c r="J256" i="63"/>
  <c r="K256" i="63"/>
  <c r="J252" i="63"/>
  <c r="K252" i="63"/>
  <c r="J259" i="63"/>
  <c r="K259" i="63"/>
  <c r="H254" i="63"/>
  <c r="J263" i="63"/>
  <c r="K263" i="63"/>
  <c r="H258" i="63"/>
  <c r="J260" i="63"/>
  <c r="K260" i="63"/>
  <c r="H253" i="63"/>
  <c r="E253" i="63"/>
  <c r="H269" i="63"/>
  <c r="E269" i="63"/>
  <c r="J264" i="63"/>
  <c r="K264" i="63"/>
  <c r="J257" i="63"/>
  <c r="E257" i="63"/>
  <c r="J268" i="63"/>
  <c r="K268" i="63"/>
  <c r="J251" i="63"/>
  <c r="K251" i="63"/>
  <c r="J267" i="63"/>
  <c r="K267" i="63"/>
  <c r="H262" i="63"/>
  <c r="K273" i="63"/>
  <c r="E273" i="63"/>
  <c r="F276" i="63"/>
  <c r="E276" i="63"/>
  <c r="F292" i="63"/>
  <c r="E292" i="63"/>
  <c r="H234" i="63"/>
  <c r="H229" i="63"/>
  <c r="H245" i="63"/>
  <c r="H230" i="63"/>
  <c r="L233" i="63"/>
  <c r="L235" i="63"/>
  <c r="E235" i="63"/>
  <c r="J242" i="63"/>
  <c r="H242" i="63"/>
  <c r="H237" i="63"/>
  <c r="L227" i="63"/>
  <c r="E227" i="63"/>
  <c r="L241" i="63"/>
  <c r="J232" i="63"/>
  <c r="K232" i="63"/>
  <c r="L243" i="63"/>
  <c r="E243" i="63"/>
  <c r="F244" i="63"/>
  <c r="K244" i="63"/>
  <c r="J239" i="63"/>
  <c r="E239" i="63"/>
  <c r="H238" i="63"/>
  <c r="J240" i="63"/>
  <c r="K240" i="63"/>
  <c r="K228" i="63"/>
  <c r="F255" i="63"/>
  <c r="J250" i="63"/>
  <c r="K250" i="63"/>
  <c r="J266" i="63"/>
  <c r="K266" i="63"/>
  <c r="H256" i="63"/>
  <c r="F252" i="63"/>
  <c r="H252" i="63"/>
  <c r="F259" i="63"/>
  <c r="J254" i="63"/>
  <c r="K254" i="63"/>
  <c r="F263" i="63"/>
  <c r="J258" i="63"/>
  <c r="K258" i="63"/>
  <c r="F260" i="63"/>
  <c r="H260" i="63"/>
  <c r="H264" i="63"/>
  <c r="F268" i="63"/>
  <c r="H268" i="63"/>
  <c r="F267" i="63"/>
  <c r="J262" i="63"/>
  <c r="K262" i="63"/>
  <c r="K276" i="63"/>
  <c r="K292" i="63"/>
  <c r="K287" i="63"/>
  <c r="H287" i="63"/>
  <c r="K288" i="63"/>
  <c r="E291" i="63"/>
  <c r="H291" i="63"/>
  <c r="J286" i="63"/>
  <c r="F286" i="63"/>
  <c r="E275" i="63"/>
  <c r="H275" i="63"/>
  <c r="J274" i="63"/>
  <c r="J290" i="63"/>
  <c r="F290" i="63"/>
  <c r="J285" i="63"/>
  <c r="F289" i="63"/>
  <c r="K284" i="63"/>
  <c r="K279" i="63"/>
  <c r="H279" i="63"/>
  <c r="K280" i="63"/>
  <c r="E283" i="63"/>
  <c r="H283" i="63"/>
  <c r="J278" i="63"/>
  <c r="F278" i="63"/>
  <c r="F281" i="63"/>
  <c r="J282" i="63"/>
  <c r="F282" i="63"/>
  <c r="F277" i="63"/>
  <c r="F306" i="63"/>
  <c r="H306" i="63"/>
  <c r="F309" i="63"/>
  <c r="J304" i="63"/>
  <c r="K304" i="63"/>
  <c r="J308" i="63"/>
  <c r="K308" i="63"/>
  <c r="H298" i="63"/>
  <c r="F305" i="63"/>
  <c r="H302" i="63"/>
  <c r="F314" i="63"/>
  <c r="H314" i="63"/>
  <c r="F301" i="63"/>
  <c r="J296" i="63"/>
  <c r="K296" i="63"/>
  <c r="J312" i="63"/>
  <c r="K312" i="63"/>
  <c r="F313" i="63"/>
  <c r="J300" i="63"/>
  <c r="K300" i="63"/>
  <c r="H310" i="63"/>
  <c r="F328" i="63"/>
  <c r="H333" i="63"/>
  <c r="F324" i="63"/>
  <c r="K319" i="63"/>
  <c r="F335" i="63"/>
  <c r="K335" i="63"/>
  <c r="J331" i="63"/>
  <c r="K331" i="63"/>
  <c r="H329" i="63"/>
  <c r="J323" i="63"/>
  <c r="K323" i="63"/>
  <c r="H325" i="63"/>
  <c r="F332" i="63"/>
  <c r="F327" i="63"/>
  <c r="K327" i="63"/>
  <c r="F336" i="63"/>
  <c r="H321" i="63"/>
  <c r="H337" i="63"/>
  <c r="G255" i="63"/>
  <c r="G259" i="63"/>
  <c r="G319" i="63"/>
  <c r="G321" i="63"/>
  <c r="G276" i="63"/>
  <c r="G279" i="63"/>
  <c r="G298" i="63"/>
  <c r="G305" i="63"/>
  <c r="G300" i="63"/>
  <c r="G338" i="63"/>
  <c r="G335" i="63"/>
  <c r="G302" i="63"/>
  <c r="G285" i="63"/>
  <c r="G304" i="63"/>
  <c r="G323" i="63"/>
  <c r="G306" i="63"/>
  <c r="G289" i="63"/>
  <c r="G308" i="63"/>
  <c r="G283" i="63"/>
  <c r="G262" i="63"/>
  <c r="G235" i="63"/>
  <c r="G269" i="63"/>
  <c r="G312" i="63"/>
  <c r="G333" i="63"/>
  <c r="G291" i="63"/>
  <c r="G256" i="63"/>
  <c r="G258" i="63"/>
  <c r="G243" i="63"/>
  <c r="G245" i="63"/>
  <c r="G232" i="63"/>
  <c r="G239" i="63"/>
  <c r="G307" i="63"/>
  <c r="G277" i="63"/>
  <c r="G309" i="63"/>
  <c r="G336" i="63"/>
  <c r="G278" i="63"/>
  <c r="G263" i="63"/>
  <c r="G265" i="63"/>
  <c r="G241" i="63"/>
  <c r="G238" i="63"/>
  <c r="G234" i="63"/>
  <c r="G332" i="63"/>
  <c r="G326" i="63"/>
  <c r="G331" i="63"/>
  <c r="A261" i="63"/>
  <c r="A254" i="63"/>
  <c r="A265" i="63"/>
  <c r="A252" i="63"/>
  <c r="A250" i="63"/>
  <c r="A227" i="63"/>
  <c r="A246" i="63"/>
  <c r="A238" i="63"/>
  <c r="A235" i="63"/>
  <c r="A234" i="63"/>
  <c r="A257" i="63"/>
  <c r="A259" i="63"/>
  <c r="A258" i="63"/>
  <c r="A231" i="63"/>
  <c r="A232" i="63"/>
  <c r="A255" i="63"/>
  <c r="A269" i="63"/>
  <c r="A264" i="63"/>
  <c r="A236" i="63"/>
  <c r="A233" i="63"/>
  <c r="F140" i="63"/>
  <c r="D268" i="63"/>
  <c r="D338" i="63"/>
  <c r="D280" i="63"/>
  <c r="D329" i="63"/>
  <c r="D309" i="63"/>
  <c r="D287" i="63"/>
  <c r="D265" i="63"/>
  <c r="D230" i="63"/>
  <c r="D313" i="63"/>
  <c r="D332" i="63"/>
  <c r="D264" i="63"/>
  <c r="D290" i="63"/>
  <c r="D257" i="63"/>
  <c r="D267" i="63"/>
  <c r="D283" i="63"/>
  <c r="D266" i="63"/>
  <c r="D328" i="63"/>
  <c r="D251" i="63"/>
  <c r="D269" i="63"/>
  <c r="D252" i="63"/>
  <c r="D254" i="63"/>
  <c r="D263" i="63"/>
  <c r="D244" i="63"/>
  <c r="D282" i="63"/>
  <c r="D311" i="63"/>
  <c r="D259" i="63"/>
  <c r="D288" i="63"/>
  <c r="D337" i="63"/>
  <c r="D296" i="63"/>
  <c r="D228" i="63"/>
  <c r="D260" i="63"/>
  <c r="D246" i="63"/>
  <c r="D275" i="63"/>
  <c r="D319" i="63"/>
  <c r="D299" i="63"/>
  <c r="D277" i="63"/>
  <c r="D273" i="63"/>
  <c r="D304" i="63"/>
  <c r="D303" i="63"/>
  <c r="D291" i="63"/>
  <c r="D307" i="63"/>
  <c r="D237" i="63"/>
  <c r="D322" i="63"/>
  <c r="D321" i="63"/>
  <c r="D279" i="63"/>
  <c r="D286" i="63"/>
  <c r="D297" i="63"/>
  <c r="D335" i="63"/>
  <c r="D315" i="63"/>
  <c r="D245" i="63"/>
  <c r="O52" i="63"/>
  <c r="O86" i="63"/>
  <c r="O99" i="63"/>
  <c r="O67" i="63"/>
  <c r="O154" i="63"/>
  <c r="O75" i="63"/>
  <c r="O149" i="63"/>
  <c r="O54" i="63"/>
  <c r="O63" i="63"/>
  <c r="O78" i="63"/>
  <c r="O87" i="63"/>
  <c r="O125" i="63"/>
  <c r="O108" i="63"/>
  <c r="O88" i="63"/>
  <c r="O148" i="63"/>
  <c r="O128" i="63"/>
  <c r="O58" i="63"/>
  <c r="O127" i="63"/>
  <c r="O143" i="63"/>
  <c r="O109" i="63"/>
  <c r="O122" i="63"/>
  <c r="O65" i="63"/>
  <c r="O146" i="63"/>
  <c r="O83" i="63"/>
  <c r="O153" i="63"/>
  <c r="J283" i="63"/>
  <c r="K278" i="63"/>
  <c r="J281" i="63"/>
  <c r="H281" i="63"/>
  <c r="H282" i="63"/>
  <c r="K282" i="63"/>
  <c r="K277" i="63"/>
  <c r="E306" i="63"/>
  <c r="H309" i="63"/>
  <c r="F304" i="63"/>
  <c r="E304" i="63"/>
  <c r="J297" i="63"/>
  <c r="F308" i="63"/>
  <c r="E298" i="63"/>
  <c r="J305" i="63"/>
  <c r="J307" i="63"/>
  <c r="K307" i="63"/>
  <c r="E302" i="63"/>
  <c r="F302" i="63"/>
  <c r="J311" i="63"/>
  <c r="K311" i="63"/>
  <c r="E314" i="63"/>
  <c r="J301" i="63"/>
  <c r="E296" i="63"/>
  <c r="E312" i="63"/>
  <c r="H313" i="63"/>
  <c r="J303" i="63"/>
  <c r="K303" i="63"/>
  <c r="F300" i="63"/>
  <c r="J299" i="63"/>
  <c r="K299" i="63"/>
  <c r="J315" i="63"/>
  <c r="K315" i="63"/>
  <c r="E310" i="63"/>
  <c r="F310" i="63"/>
  <c r="H328" i="63"/>
  <c r="J330" i="63"/>
  <c r="K330" i="63"/>
  <c r="E333" i="63"/>
  <c r="F333" i="63"/>
  <c r="H324" i="63"/>
  <c r="J319" i="63"/>
  <c r="E319" i="63"/>
  <c r="J335" i="63"/>
  <c r="E335" i="63"/>
  <c r="H320" i="63"/>
  <c r="F331" i="63"/>
  <c r="J322" i="63"/>
  <c r="K322" i="63"/>
  <c r="H334" i="63"/>
  <c r="K334" i="63"/>
  <c r="J329" i="63"/>
  <c r="F323" i="63"/>
  <c r="E325" i="63"/>
  <c r="F325" i="63"/>
  <c r="H332" i="63"/>
  <c r="J327" i="63"/>
  <c r="E327" i="63"/>
  <c r="H336" i="63"/>
  <c r="J338" i="63"/>
  <c r="K338" i="63"/>
  <c r="H326" i="63"/>
  <c r="K326" i="63"/>
  <c r="J321" i="63"/>
  <c r="J337" i="63"/>
  <c r="G257" i="63"/>
  <c r="G236" i="63"/>
  <c r="G334" i="63"/>
  <c r="G301" i="63"/>
  <c r="G284" i="63"/>
  <c r="G328" i="63"/>
  <c r="G330" i="63"/>
  <c r="G313" i="63"/>
  <c r="G281" i="63"/>
  <c r="G324" i="63"/>
  <c r="G315" i="63"/>
  <c r="G290" i="63"/>
  <c r="G337" i="63"/>
  <c r="G292" i="63"/>
  <c r="G311" i="63"/>
  <c r="G286" i="63"/>
  <c r="G325" i="63"/>
  <c r="G280" i="63"/>
  <c r="G254" i="63"/>
  <c r="G260" i="63"/>
  <c r="G242" i="63"/>
  <c r="G299" i="63"/>
  <c r="G314" i="63"/>
  <c r="G288" i="63"/>
  <c r="G266" i="63"/>
  <c r="G268" i="63"/>
  <c r="G264" i="63"/>
  <c r="G231" i="63"/>
  <c r="G240" i="63"/>
  <c r="G233" i="63"/>
  <c r="G327" i="63"/>
  <c r="G282" i="63"/>
  <c r="G329" i="63"/>
  <c r="G287" i="63"/>
  <c r="G303" i="63"/>
  <c r="G261" i="63"/>
  <c r="G253" i="63"/>
  <c r="G267" i="63"/>
  <c r="G246" i="63"/>
  <c r="G244" i="63"/>
  <c r="G237" i="63"/>
  <c r="G310" i="63"/>
  <c r="G320" i="63"/>
  <c r="G322" i="63"/>
  <c r="A263" i="63"/>
  <c r="A253" i="63"/>
  <c r="A267" i="63"/>
  <c r="A262" i="63"/>
  <c r="A260" i="63"/>
  <c r="A241" i="63"/>
  <c r="A229" i="63"/>
  <c r="A244" i="63"/>
  <c r="A242" i="63"/>
  <c r="A237" i="63"/>
  <c r="A251" i="63"/>
  <c r="A268" i="63"/>
  <c r="A243" i="63"/>
  <c r="A240" i="63"/>
  <c r="A230" i="63"/>
  <c r="A266" i="63"/>
  <c r="A256" i="63"/>
  <c r="A228" i="63"/>
  <c r="A245" i="63"/>
  <c r="A239" i="63"/>
  <c r="D336" i="63"/>
  <c r="D289" i="63"/>
  <c r="D262" i="63"/>
  <c r="D240" i="63"/>
  <c r="D250" i="63"/>
  <c r="D276" i="63"/>
  <c r="D231" i="63"/>
  <c r="D306" i="63"/>
  <c r="D325" i="63"/>
  <c r="D227" i="63"/>
  <c r="D253" i="63"/>
  <c r="D302" i="63"/>
  <c r="D242" i="63"/>
  <c r="D233" i="63"/>
  <c r="D300" i="63"/>
  <c r="D255" i="63"/>
  <c r="D292" i="63"/>
  <c r="D278" i="63"/>
  <c r="D243" i="63"/>
  <c r="D274" i="63"/>
  <c r="D281" i="63"/>
  <c r="D232" i="63"/>
  <c r="D312" i="63"/>
  <c r="D298" i="63"/>
  <c r="D331" i="63"/>
  <c r="D238" i="63"/>
  <c r="D305" i="63"/>
  <c r="D326" i="63"/>
  <c r="D258" i="63"/>
  <c r="D284" i="63"/>
  <c r="D239" i="63"/>
  <c r="D314" i="63"/>
  <c r="D333" i="63"/>
  <c r="D235" i="63"/>
  <c r="D261" i="63"/>
  <c r="D310" i="63"/>
  <c r="D229" i="63"/>
  <c r="D334" i="63"/>
  <c r="D236" i="63"/>
  <c r="D241" i="63"/>
  <c r="D327" i="63"/>
  <c r="D285" i="63"/>
  <c r="D320" i="63"/>
  <c r="D308" i="63"/>
  <c r="D301" i="63"/>
  <c r="D323" i="63"/>
  <c r="D330" i="63"/>
  <c r="D324" i="63"/>
  <c r="D256" i="63"/>
  <c r="D234" i="63"/>
  <c r="O57" i="63"/>
  <c r="O144" i="63"/>
  <c r="O124" i="63"/>
  <c r="O102" i="63"/>
  <c r="O151" i="63"/>
  <c r="O80" i="63"/>
  <c r="O126" i="63"/>
  <c r="O97" i="63"/>
  <c r="O107" i="63"/>
  <c r="O74" i="63"/>
  <c r="O157" i="63"/>
  <c r="O130" i="63"/>
  <c r="O113" i="63"/>
  <c r="O121" i="63"/>
  <c r="O85" i="63"/>
  <c r="O111" i="63"/>
  <c r="O89" i="63"/>
  <c r="O59" i="63"/>
  <c r="O129" i="63"/>
  <c r="O133" i="63"/>
  <c r="O100" i="63"/>
  <c r="O51" i="63"/>
  <c r="O56" i="63"/>
  <c r="O90" i="63"/>
  <c r="J287" i="63"/>
  <c r="J288" i="63"/>
  <c r="E288" i="63"/>
  <c r="K291" i="63"/>
  <c r="H286" i="63"/>
  <c r="K275" i="63"/>
  <c r="E274" i="63"/>
  <c r="E290" i="63"/>
  <c r="F285" i="63"/>
  <c r="E285" i="63"/>
  <c r="K289" i="63"/>
  <c r="E289" i="63"/>
  <c r="F284" i="63"/>
  <c r="E284" i="63"/>
  <c r="J279" i="63"/>
  <c r="J280" i="63"/>
  <c r="E280" i="63"/>
  <c r="K283" i="63"/>
  <c r="H278" i="63"/>
  <c r="K281" i="63"/>
  <c r="E281" i="63"/>
  <c r="E282" i="63"/>
  <c r="J277" i="63"/>
  <c r="E277" i="63"/>
  <c r="J306" i="63"/>
  <c r="K306" i="63"/>
  <c r="J309" i="63"/>
  <c r="K309" i="63"/>
  <c r="H304" i="63"/>
  <c r="H297" i="63"/>
  <c r="K297" i="63"/>
  <c r="H308" i="63"/>
  <c r="J298" i="63"/>
  <c r="K298" i="63"/>
  <c r="H305" i="63"/>
  <c r="K305" i="63"/>
  <c r="H307" i="63"/>
  <c r="E307" i="63"/>
  <c r="J302" i="63"/>
  <c r="K302" i="63"/>
  <c r="H311" i="63"/>
  <c r="E311" i="63"/>
  <c r="J314" i="63"/>
  <c r="K314" i="63"/>
  <c r="H301" i="63"/>
  <c r="K301" i="63"/>
  <c r="H296" i="63"/>
  <c r="F312" i="63"/>
  <c r="H312" i="63"/>
  <c r="J313" i="63"/>
  <c r="K313" i="63"/>
  <c r="H303" i="63"/>
  <c r="E303" i="63"/>
  <c r="H300" i="63"/>
  <c r="H299" i="63"/>
  <c r="E299" i="63"/>
  <c r="H315" i="63"/>
  <c r="E315" i="63"/>
  <c r="J310" i="63"/>
  <c r="K310" i="63"/>
  <c r="J328" i="63"/>
  <c r="K328" i="63"/>
  <c r="H330" i="63"/>
  <c r="E330" i="63"/>
  <c r="J333" i="63"/>
  <c r="K333" i="63"/>
  <c r="J324" i="63"/>
  <c r="K324" i="63"/>
  <c r="H319" i="63"/>
  <c r="H335" i="63"/>
  <c r="J320" i="63"/>
  <c r="K320" i="63"/>
  <c r="H331" i="63"/>
  <c r="H322" i="63"/>
  <c r="E322" i="63"/>
  <c r="J334" i="63"/>
  <c r="E334" i="63"/>
  <c r="F329" i="63"/>
  <c r="K329" i="63"/>
  <c r="H323" i="63"/>
  <c r="J325" i="63"/>
  <c r="K325" i="63"/>
  <c r="J332" i="63"/>
  <c r="K332" i="63"/>
  <c r="H327" i="63"/>
  <c r="J336" i="63"/>
  <c r="K336" i="63"/>
  <c r="H338" i="63"/>
  <c r="E338" i="63"/>
  <c r="J326" i="63"/>
  <c r="E326" i="63"/>
  <c r="F321" i="63"/>
  <c r="K321" i="63"/>
  <c r="F337" i="63"/>
  <c r="K337" i="63"/>
  <c r="O135" i="63"/>
  <c r="O156" i="63"/>
  <c r="O77" i="63"/>
  <c r="O136" i="63"/>
  <c r="O131" i="63"/>
  <c r="O55" i="63"/>
  <c r="O66" i="63"/>
  <c r="O61" i="63"/>
  <c r="O150" i="63"/>
  <c r="O73" i="63"/>
  <c r="O110" i="63"/>
  <c r="O159" i="63"/>
  <c r="O101" i="63"/>
  <c r="O53" i="63"/>
  <c r="O158" i="63"/>
  <c r="O60" i="63"/>
  <c r="O112" i="63"/>
  <c r="O142" i="63"/>
  <c r="O105" i="63"/>
  <c r="T157" i="54"/>
  <c r="T111" i="54"/>
  <c r="AL47" i="47"/>
  <c r="AM47" i="47" s="1"/>
  <c r="AN47" i="47" s="1"/>
  <c r="AL84" i="47"/>
  <c r="AV84" i="47" s="1"/>
  <c r="AW84" i="47" s="1"/>
  <c r="AX84" i="47" s="1"/>
  <c r="AL57" i="47"/>
  <c r="AM57" i="47" s="1"/>
  <c r="AN57" i="47" s="1"/>
  <c r="AJ81" i="47"/>
  <c r="AK81" i="47" s="1"/>
  <c r="AO81" i="47" s="1"/>
  <c r="AJ79" i="47"/>
  <c r="AK79" i="47" s="1"/>
  <c r="AV79" i="47" s="1"/>
  <c r="AW79" i="47" s="1"/>
  <c r="AX79" i="47" s="1"/>
  <c r="AJ62" i="47"/>
  <c r="AM62" i="47" s="1"/>
  <c r="AN62" i="47" s="1"/>
  <c r="AL76" i="47"/>
  <c r="AM76" i="47" s="1"/>
  <c r="AN76" i="47" s="1"/>
  <c r="AJ75" i="47"/>
  <c r="AM75" i="47" s="1"/>
  <c r="AN75" i="47" s="1"/>
  <c r="AJ86" i="47"/>
  <c r="AK86" i="47" s="1"/>
  <c r="AO86" i="47" s="1"/>
  <c r="AL53" i="47"/>
  <c r="AM53" i="47" s="1"/>
  <c r="AN53" i="47" s="1"/>
  <c r="AI259" i="47"/>
  <c r="AL259" i="47" s="1"/>
  <c r="AE258" i="47"/>
  <c r="AF258" i="47" s="1"/>
  <c r="AI226" i="47"/>
  <c r="AJ226" i="47" s="1"/>
  <c r="AE238" i="47"/>
  <c r="AF238" i="47" s="1"/>
  <c r="AE232" i="47"/>
  <c r="AF232" i="47" s="1"/>
  <c r="AI222" i="47"/>
  <c r="AL222" i="47" s="1"/>
  <c r="AI254" i="47"/>
  <c r="AL254" i="47" s="1"/>
  <c r="AE224" i="47"/>
  <c r="AF224" i="47" s="1"/>
  <c r="P224" i="47" s="1"/>
  <c r="O229" i="72" s="1"/>
  <c r="AE237" i="47"/>
  <c r="AF237" i="47" s="1"/>
  <c r="AE228" i="47"/>
  <c r="AF228" i="47" s="1"/>
  <c r="P228" i="47" s="1"/>
  <c r="O233" i="72" s="1"/>
  <c r="AI225" i="47"/>
  <c r="AL225" i="47" s="1"/>
  <c r="AE229" i="47"/>
  <c r="AF229" i="47" s="1"/>
  <c r="P229" i="47" s="1"/>
  <c r="AI223" i="47"/>
  <c r="AJ223" i="47" s="1"/>
  <c r="AK223" i="47" s="1"/>
  <c r="AI252" i="47"/>
  <c r="AL252" i="47" s="1"/>
  <c r="AI246" i="47"/>
  <c r="AL246" i="47" s="1"/>
  <c r="AI230" i="47"/>
  <c r="AL230" i="47" s="1"/>
  <c r="N258" i="63"/>
  <c r="N236" i="63"/>
  <c r="N315" i="63"/>
  <c r="N323" i="63"/>
  <c r="N267" i="63"/>
  <c r="N285" i="63"/>
  <c r="N278" i="63"/>
  <c r="N261" i="63"/>
  <c r="N313" i="63"/>
  <c r="N232" i="63"/>
  <c r="N322" i="63"/>
  <c r="N334" i="63"/>
  <c r="N298" i="63"/>
  <c r="N281" i="63"/>
  <c r="N259" i="63"/>
  <c r="N324" i="63"/>
  <c r="N289" i="63"/>
  <c r="N280" i="63"/>
  <c r="N262" i="63"/>
  <c r="N327" i="63"/>
  <c r="N306" i="63"/>
  <c r="N320" i="63"/>
  <c r="N287" i="63"/>
  <c r="N319" i="63"/>
  <c r="N299" i="63"/>
  <c r="N252" i="63"/>
  <c r="N241" i="63"/>
  <c r="N283" i="63"/>
  <c r="N300" i="63"/>
  <c r="N253" i="63"/>
  <c r="N257" i="63"/>
  <c r="N288" i="63"/>
  <c r="N301" i="63"/>
  <c r="N279" i="63"/>
  <c r="N243" i="63"/>
  <c r="N276" i="63"/>
  <c r="N275" i="63"/>
  <c r="N310" i="63"/>
  <c r="N229" i="63"/>
  <c r="N314" i="63"/>
  <c r="N239" i="63"/>
  <c r="N251" i="63"/>
  <c r="N264" i="63"/>
  <c r="N291" i="63"/>
  <c r="N337" i="63"/>
  <c r="N266" i="63"/>
  <c r="N292" i="63"/>
  <c r="N302" i="63"/>
  <c r="N242" i="63"/>
  <c r="N328" i="63"/>
  <c r="N282" i="63"/>
  <c r="N307" i="63"/>
  <c r="N297" i="63"/>
  <c r="N240" i="63"/>
  <c r="N263" i="63"/>
  <c r="N312" i="63"/>
  <c r="N329" i="63"/>
  <c r="N309" i="63"/>
  <c r="N286" i="63"/>
  <c r="N274" i="63"/>
  <c r="N237" i="63"/>
  <c r="N265" i="63"/>
  <c r="N246" i="63"/>
  <c r="N254" i="63"/>
  <c r="N277" i="63"/>
  <c r="N230" i="63"/>
  <c r="N238" i="63"/>
  <c r="N321" i="63"/>
  <c r="N250" i="63"/>
  <c r="N231" i="63"/>
  <c r="N333" i="63"/>
  <c r="N332" i="63"/>
  <c r="N268" i="63"/>
  <c r="N296" i="63"/>
  <c r="N256" i="63"/>
  <c r="N245" i="63"/>
  <c r="N260" i="63"/>
  <c r="N336" i="63"/>
  <c r="N273" i="63"/>
  <c r="N308" i="63"/>
  <c r="N326" i="63"/>
  <c r="N284" i="63"/>
  <c r="N331" i="63"/>
  <c r="N255" i="63"/>
  <c r="N304" i="63"/>
  <c r="N244" i="63"/>
  <c r="N233" i="63"/>
  <c r="N290" i="63"/>
  <c r="N303" i="63"/>
  <c r="N330" i="63"/>
  <c r="N305" i="63"/>
  <c r="N335" i="63"/>
  <c r="N234" i="63"/>
  <c r="N311" i="63"/>
  <c r="N338" i="63"/>
  <c r="N325" i="63"/>
  <c r="N235" i="63"/>
  <c r="N269" i="63"/>
  <c r="P348" i="63"/>
  <c r="O349" i="63"/>
  <c r="O170" i="63"/>
  <c r="P169" i="63"/>
  <c r="E268" i="11"/>
  <c r="G94" i="63"/>
  <c r="E270" i="11"/>
  <c r="G96" i="63"/>
  <c r="E292" i="11"/>
  <c r="G118" i="63"/>
  <c r="E245" i="11"/>
  <c r="G71" i="63"/>
  <c r="E246" i="11"/>
  <c r="G72" i="63"/>
  <c r="E247" i="11"/>
  <c r="G73" i="63"/>
  <c r="A221" i="11"/>
  <c r="A244" i="11"/>
  <c r="AI255" i="47"/>
  <c r="AL255" i="47" s="1"/>
  <c r="AI238" i="47"/>
  <c r="AL238" i="47" s="1"/>
  <c r="AE263" i="47"/>
  <c r="AF263" i="47" s="1"/>
  <c r="AI263" i="47"/>
  <c r="AJ263" i="47" s="1"/>
  <c r="AK263" i="47" s="1"/>
  <c r="AE223" i="47"/>
  <c r="AF223" i="47" s="1"/>
  <c r="P223" i="47" s="1"/>
  <c r="O228" i="72" s="1"/>
  <c r="AE252" i="47"/>
  <c r="AF252" i="47" s="1"/>
  <c r="AE255" i="47"/>
  <c r="AF255" i="47" s="1"/>
  <c r="AI228" i="47"/>
  <c r="AJ228" i="47" s="1"/>
  <c r="AE230" i="47"/>
  <c r="AF230" i="47" s="1"/>
  <c r="AI237" i="47"/>
  <c r="AL237" i="47" s="1"/>
  <c r="F227" i="72"/>
  <c r="AJ56" i="47"/>
  <c r="AK56" i="47" s="1"/>
  <c r="AJ46" i="47"/>
  <c r="AK46" i="47" s="1"/>
  <c r="AI247" i="47"/>
  <c r="AJ247" i="47" s="1"/>
  <c r="AE247" i="47"/>
  <c r="AF247" i="47" s="1"/>
  <c r="AJ61" i="47"/>
  <c r="AK61" i="47" s="1"/>
  <c r="AV61" i="47" s="1"/>
  <c r="AW61" i="47" s="1"/>
  <c r="AX61" i="47" s="1"/>
  <c r="AL72" i="47"/>
  <c r="AM72" i="47" s="1"/>
  <c r="AN72" i="47" s="1"/>
  <c r="AJ52" i="47"/>
  <c r="AM52" i="47" s="1"/>
  <c r="AN52" i="47" s="1"/>
  <c r="AJ83" i="47"/>
  <c r="AK83" i="47" s="1"/>
  <c r="AV83" i="47" s="1"/>
  <c r="AW83" i="47" s="1"/>
  <c r="AX83" i="47" s="1"/>
  <c r="AJ85" i="47"/>
  <c r="AK85" i="47" s="1"/>
  <c r="AO85" i="47" s="1"/>
  <c r="AE262" i="47"/>
  <c r="AF262" i="47" s="1"/>
  <c r="AI262" i="47"/>
  <c r="AL262" i="47" s="1"/>
  <c r="AL54" i="47"/>
  <c r="AM54" i="47" s="1"/>
  <c r="AN54" i="47" s="1"/>
  <c r="AI251" i="47"/>
  <c r="AJ251" i="47" s="1"/>
  <c r="AI261" i="47"/>
  <c r="AL261" i="47" s="1"/>
  <c r="AE251" i="47"/>
  <c r="AF251" i="47" s="1"/>
  <c r="AL68" i="47"/>
  <c r="AM68" i="47" s="1"/>
  <c r="AN68" i="47" s="1"/>
  <c r="AL78" i="47"/>
  <c r="AM78" i="47" s="1"/>
  <c r="AN78" i="47" s="1"/>
  <c r="AJ64" i="47"/>
  <c r="AK64" i="47" s="1"/>
  <c r="AO64" i="47" s="1"/>
  <c r="AI258" i="47"/>
  <c r="AJ258" i="47" s="1"/>
  <c r="AK258" i="47" s="1"/>
  <c r="AE264" i="47"/>
  <c r="AF264" i="47" s="1"/>
  <c r="AL80" i="47"/>
  <c r="AM80" i="47" s="1"/>
  <c r="AN80" i="47" s="1"/>
  <c r="AL48" i="47"/>
  <c r="AM48" i="47" s="1"/>
  <c r="AN48" i="47" s="1"/>
  <c r="AE254" i="47"/>
  <c r="AF254" i="47" s="1"/>
  <c r="AI248" i="47"/>
  <c r="AJ248" i="47" s="1"/>
  <c r="AK248" i="47" s="1"/>
  <c r="AE248" i="47"/>
  <c r="AF248" i="47" s="1"/>
  <c r="AI231" i="47"/>
  <c r="AL231" i="47" s="1"/>
  <c r="AE261" i="47"/>
  <c r="AF261" i="47" s="1"/>
  <c r="AE256" i="47"/>
  <c r="AF256" i="47" s="1"/>
  <c r="AI253" i="47"/>
  <c r="AL253" i="47" s="1"/>
  <c r="AE253" i="47"/>
  <c r="AF253" i="47" s="1"/>
  <c r="AJ60" i="47"/>
  <c r="AM60" i="47" s="1"/>
  <c r="AN60" i="47" s="1"/>
  <c r="AJ69" i="47"/>
  <c r="AM69" i="47" s="1"/>
  <c r="AN69" i="47" s="1"/>
  <c r="AI236" i="47"/>
  <c r="AL236" i="47" s="1"/>
  <c r="AE225" i="47"/>
  <c r="AF225" i="47" s="1"/>
  <c r="P225" i="47" s="1"/>
  <c r="O230" i="72" s="1"/>
  <c r="AI235" i="47"/>
  <c r="AL235" i="47" s="1"/>
  <c r="AL59" i="47"/>
  <c r="AM59" i="47" s="1"/>
  <c r="AN59" i="47" s="1"/>
  <c r="AK45" i="47"/>
  <c r="AI229" i="47"/>
  <c r="AL229" i="47" s="1"/>
  <c r="AL49" i="47"/>
  <c r="AM49" i="47" s="1"/>
  <c r="AN49" i="47" s="1"/>
  <c r="AL70" i="47"/>
  <c r="AO70" i="47" s="1"/>
  <c r="AJ58" i="47"/>
  <c r="AM58" i="47" s="1"/>
  <c r="AN58" i="47" s="1"/>
  <c r="AI224" i="47"/>
  <c r="AL224" i="47" s="1"/>
  <c r="AE231" i="47"/>
  <c r="AF231" i="47" s="1"/>
  <c r="P231" i="47" s="1"/>
  <c r="O236" i="72" s="1"/>
  <c r="AE236" i="47"/>
  <c r="AF236" i="47" s="1"/>
  <c r="AJ82" i="47"/>
  <c r="AM82" i="47" s="1"/>
  <c r="AN82" i="47" s="1"/>
  <c r="AE249" i="47"/>
  <c r="AF249" i="47" s="1"/>
  <c r="AI249" i="47"/>
  <c r="AL249" i="47" s="1"/>
  <c r="AL73" i="47"/>
  <c r="AO73" i="47" s="1"/>
  <c r="AI232" i="47"/>
  <c r="AL232" i="47" s="1"/>
  <c r="AL87" i="47"/>
  <c r="AM87" i="47" s="1"/>
  <c r="AN87" i="47" s="1"/>
  <c r="AI257" i="47"/>
  <c r="AJ257" i="47" s="1"/>
  <c r="AJ71" i="47"/>
  <c r="AK71" i="47" s="1"/>
  <c r="AL63" i="47"/>
  <c r="AM63" i="47" s="1"/>
  <c r="AN63" i="47" s="1"/>
  <c r="AL55" i="47"/>
  <c r="AO55" i="47" s="1"/>
  <c r="AE235" i="47"/>
  <c r="AF235" i="47" s="1"/>
  <c r="AI256" i="47"/>
  <c r="AJ256" i="47" s="1"/>
  <c r="AK256" i="47" s="1"/>
  <c r="AL45" i="47"/>
  <c r="AE226" i="47"/>
  <c r="AF226" i="47" s="1"/>
  <c r="P226" i="47" s="1"/>
  <c r="O231" i="72" s="1"/>
  <c r="AE257" i="47"/>
  <c r="AF257" i="47" s="1"/>
  <c r="AK68" i="47"/>
  <c r="AI245" i="47"/>
  <c r="AL245" i="47" s="1"/>
  <c r="AI250" i="47"/>
  <c r="AL250" i="47" s="1"/>
  <c r="AE246" i="47"/>
  <c r="AF246" i="47" s="1"/>
  <c r="P246" i="47" s="1"/>
  <c r="AI241" i="47"/>
  <c r="AJ241" i="47" s="1"/>
  <c r="AE222" i="47"/>
  <c r="AF222" i="47" s="1"/>
  <c r="P222" i="47" s="1"/>
  <c r="AJ77" i="47"/>
  <c r="AK77" i="47" s="1"/>
  <c r="AV77" i="47" s="1"/>
  <c r="AW77" i="47" s="1"/>
  <c r="AX77" i="47" s="1"/>
  <c r="AJ50" i="47"/>
  <c r="AK50" i="47" s="1"/>
  <c r="AE239" i="47"/>
  <c r="AF239" i="47" s="1"/>
  <c r="AE241" i="47"/>
  <c r="AF241" i="47" s="1"/>
  <c r="AE245" i="47"/>
  <c r="AF245" i="47" s="1"/>
  <c r="P245" i="47" s="1"/>
  <c r="AE250" i="47"/>
  <c r="AF250" i="47" s="1"/>
  <c r="AE259" i="47"/>
  <c r="AF259" i="47" s="1"/>
  <c r="AJ74" i="47"/>
  <c r="AK74" i="47" s="1"/>
  <c r="AI264" i="47"/>
  <c r="AL264" i="47" s="1"/>
  <c r="AI260" i="47"/>
  <c r="AJ260" i="47" s="1"/>
  <c r="AI233" i="47"/>
  <c r="AJ233" i="47" s="1"/>
  <c r="AE234" i="47"/>
  <c r="AF234" i="47" s="1"/>
  <c r="AJ51" i="47"/>
  <c r="AK51" i="47" s="1"/>
  <c r="AV51" i="47" s="1"/>
  <c r="AW51" i="47" s="1"/>
  <c r="AX51" i="47" s="1"/>
  <c r="AI239" i="47"/>
  <c r="AJ239" i="47" s="1"/>
  <c r="AK239" i="47" s="1"/>
  <c r="AE260" i="47"/>
  <c r="AF260" i="47" s="1"/>
  <c r="AI234" i="47"/>
  <c r="AJ234" i="47" s="1"/>
  <c r="AK234" i="47" s="1"/>
  <c r="AE233" i="47"/>
  <c r="AF233" i="47" s="1"/>
  <c r="AI227" i="47"/>
  <c r="AL227" i="47" s="1"/>
  <c r="AE227" i="47"/>
  <c r="AF227" i="47" s="1"/>
  <c r="P227" i="47" s="1"/>
  <c r="AJ87" i="54"/>
  <c r="AL87" i="54"/>
  <c r="AL83" i="54"/>
  <c r="AJ83" i="54"/>
  <c r="AL56" i="54"/>
  <c r="AJ56" i="54"/>
  <c r="AJ72" i="54"/>
  <c r="AK72" i="54" s="1"/>
  <c r="AL72" i="54"/>
  <c r="AL58" i="54"/>
  <c r="AJ58" i="54"/>
  <c r="AK58" i="54" s="1"/>
  <c r="AL51" i="54"/>
  <c r="AJ51" i="54"/>
  <c r="AL53" i="54"/>
  <c r="AJ53" i="54"/>
  <c r="AL71" i="54"/>
  <c r="AJ71" i="54"/>
  <c r="AJ78" i="54"/>
  <c r="AK78" i="54" s="1"/>
  <c r="AL78" i="54"/>
  <c r="AJ54" i="54"/>
  <c r="AL54" i="54"/>
  <c r="AL69" i="54"/>
  <c r="AJ69" i="54"/>
  <c r="AK69" i="54" s="1"/>
  <c r="AJ46" i="54"/>
  <c r="AK46" i="54" s="1"/>
  <c r="AL46" i="54"/>
  <c r="AJ59" i="54"/>
  <c r="AK59" i="54" s="1"/>
  <c r="AL59" i="54"/>
  <c r="AJ45" i="54"/>
  <c r="AK45" i="54" s="1"/>
  <c r="AL45" i="54"/>
  <c r="AL52" i="54"/>
  <c r="AJ52" i="54"/>
  <c r="AK52" i="54" s="1"/>
  <c r="AJ84" i="54"/>
  <c r="AK84" i="54" s="1"/>
  <c r="AL84" i="54"/>
  <c r="AJ82" i="54"/>
  <c r="AK82" i="54" s="1"/>
  <c r="AL82" i="54"/>
  <c r="AJ74" i="54"/>
  <c r="AL74" i="54"/>
  <c r="AJ50" i="54"/>
  <c r="AL50" i="54"/>
  <c r="AJ76" i="54"/>
  <c r="AL76" i="54"/>
  <c r="AJ70" i="54"/>
  <c r="AK70" i="54" s="1"/>
  <c r="AL70" i="54"/>
  <c r="AJ86" i="54"/>
  <c r="AL86" i="54"/>
  <c r="AJ77" i="54"/>
  <c r="AL77" i="54"/>
  <c r="AJ73" i="54"/>
  <c r="AL73" i="54"/>
  <c r="AL57" i="54"/>
  <c r="AJ57" i="54"/>
  <c r="AL79" i="54"/>
  <c r="AJ79" i="54"/>
  <c r="AL64" i="54"/>
  <c r="AJ64" i="54"/>
  <c r="AL81" i="54"/>
  <c r="AJ81" i="54"/>
  <c r="AK81" i="54" s="1"/>
  <c r="AL48" i="54"/>
  <c r="AJ48" i="54"/>
  <c r="AJ49" i="54"/>
  <c r="AL49" i="54"/>
  <c r="AJ60" i="54"/>
  <c r="AL60" i="54"/>
  <c r="AJ55" i="54"/>
  <c r="AL55" i="54"/>
  <c r="AJ75" i="54"/>
  <c r="AK75" i="54" s="1"/>
  <c r="AL75" i="54"/>
  <c r="AL63" i="54"/>
  <c r="AJ63" i="54"/>
  <c r="AJ62" i="54"/>
  <c r="AL62" i="54"/>
  <c r="AJ47" i="54"/>
  <c r="AK47" i="54" s="1"/>
  <c r="AL47" i="54"/>
  <c r="AJ68" i="54"/>
  <c r="AK68" i="54" s="1"/>
  <c r="AL68" i="54"/>
  <c r="AJ80" i="54"/>
  <c r="AL80" i="54"/>
  <c r="AL85" i="54"/>
  <c r="AJ85" i="54"/>
  <c r="AJ61" i="54"/>
  <c r="AL61" i="54"/>
  <c r="AK76" i="47"/>
  <c r="AK49" i="47"/>
  <c r="AK47" i="47"/>
  <c r="AK59" i="47"/>
  <c r="AK72" i="47"/>
  <c r="AK80" i="47"/>
  <c r="AK53" i="47"/>
  <c r="AK63" i="47"/>
  <c r="AK48" i="47"/>
  <c r="AK57" i="47"/>
  <c r="AK54" i="47"/>
  <c r="AK87" i="47"/>
  <c r="AH240" i="11"/>
  <c r="AQ240" i="11" s="1"/>
  <c r="AJ86" i="11"/>
  <c r="AK86" i="11" s="1"/>
  <c r="AO86" i="11" s="1"/>
  <c r="AE240" i="11"/>
  <c r="AF240" i="11" s="1"/>
  <c r="AI240" i="11"/>
  <c r="AJ240" i="11" s="1"/>
  <c r="AK240" i="11" s="1"/>
  <c r="AJ48" i="11"/>
  <c r="AK48" i="11" s="1"/>
  <c r="AO48" i="11" s="1"/>
  <c r="AV175" i="11"/>
  <c r="AW175" i="11" s="1"/>
  <c r="AX175" i="11" s="1"/>
  <c r="AJ62" i="11"/>
  <c r="AK62" i="11" s="1"/>
  <c r="AV62" i="11" s="1"/>
  <c r="AW62" i="11" s="1"/>
  <c r="AX62" i="11" s="1"/>
  <c r="AO187" i="11"/>
  <c r="AL55" i="11"/>
  <c r="AM55" i="11" s="1"/>
  <c r="AN55" i="11" s="1"/>
  <c r="AJ50" i="11"/>
  <c r="AK50" i="11" s="1"/>
  <c r="AM187" i="11"/>
  <c r="AN187" i="11" s="1"/>
  <c r="AE306" i="11"/>
  <c r="AF306" i="11" s="1"/>
  <c r="AE316" i="11"/>
  <c r="AF316" i="11" s="1"/>
  <c r="AE261" i="11"/>
  <c r="AF261" i="11" s="1"/>
  <c r="AE281" i="11"/>
  <c r="AF281" i="11" s="1"/>
  <c r="AE332" i="11"/>
  <c r="AF332" i="11" s="1"/>
  <c r="AE234" i="11"/>
  <c r="AF234" i="11" s="1"/>
  <c r="AE279" i="11"/>
  <c r="AF279" i="11" s="1"/>
  <c r="AE319" i="11"/>
  <c r="AF319" i="11" s="1"/>
  <c r="AE236" i="11"/>
  <c r="AF236" i="11" s="1"/>
  <c r="AE238" i="11"/>
  <c r="AF238" i="11" s="1"/>
  <c r="AE231" i="11"/>
  <c r="AF231" i="11" s="1"/>
  <c r="AE314" i="11"/>
  <c r="AF314" i="11" s="1"/>
  <c r="AE262" i="11"/>
  <c r="AF262" i="11" s="1"/>
  <c r="AE297" i="11"/>
  <c r="AF297" i="11" s="1"/>
  <c r="AE249" i="11"/>
  <c r="AF249" i="11" s="1"/>
  <c r="AE273" i="11"/>
  <c r="AF273" i="11" s="1"/>
  <c r="AE326" i="11"/>
  <c r="AF326" i="11" s="1"/>
  <c r="AE270" i="11"/>
  <c r="AF270" i="11" s="1"/>
  <c r="AE247" i="11"/>
  <c r="AF247" i="11" s="1"/>
  <c r="AE232" i="11"/>
  <c r="AF232" i="11" s="1"/>
  <c r="AE315" i="11"/>
  <c r="AF315" i="11" s="1"/>
  <c r="P315" i="11" s="1"/>
  <c r="AE333" i="11"/>
  <c r="AF333" i="11" s="1"/>
  <c r="AE259" i="11"/>
  <c r="AF259" i="11" s="1"/>
  <c r="AE277" i="11"/>
  <c r="AF277" i="11" s="1"/>
  <c r="AE275" i="11"/>
  <c r="AF275" i="11" s="1"/>
  <c r="AE233" i="11"/>
  <c r="AF233" i="11" s="1"/>
  <c r="AE309" i="11"/>
  <c r="AF309" i="11" s="1"/>
  <c r="AE301" i="11"/>
  <c r="AF301" i="11" s="1"/>
  <c r="AE299" i="11"/>
  <c r="AF299" i="11" s="1"/>
  <c r="AE257" i="11"/>
  <c r="AF257" i="11" s="1"/>
  <c r="AE323" i="11"/>
  <c r="AF323" i="11" s="1"/>
  <c r="AE239" i="11"/>
  <c r="AF239" i="11" s="1"/>
  <c r="AE302" i="11"/>
  <c r="AF302" i="11" s="1"/>
  <c r="AE285" i="11"/>
  <c r="AF285" i="11" s="1"/>
  <c r="AE331" i="11"/>
  <c r="AF331" i="11" s="1"/>
  <c r="AE330" i="11"/>
  <c r="AF330" i="11" s="1"/>
  <c r="AE237" i="11"/>
  <c r="AF237" i="11" s="1"/>
  <c r="AE300" i="11"/>
  <c r="AF300" i="11" s="1"/>
  <c r="AE305" i="11"/>
  <c r="AF305" i="11" s="1"/>
  <c r="AE295" i="11"/>
  <c r="AF295" i="11" s="1"/>
  <c r="AE274" i="11"/>
  <c r="AF274" i="11" s="1"/>
  <c r="AE276" i="11"/>
  <c r="AF276" i="11" s="1"/>
  <c r="AE325" i="11"/>
  <c r="AF325" i="11" s="1"/>
  <c r="AE241" i="11"/>
  <c r="AF241" i="11" s="1"/>
  <c r="AE320" i="11"/>
  <c r="AF320" i="11" s="1"/>
  <c r="AE296" i="11"/>
  <c r="AF296" i="11" s="1"/>
  <c r="AE272" i="11"/>
  <c r="AF272" i="11" s="1"/>
  <c r="AE255" i="11"/>
  <c r="AF255" i="11" s="1"/>
  <c r="AE294" i="11"/>
  <c r="AF294" i="11" s="1"/>
  <c r="AE329" i="11"/>
  <c r="AF329" i="11" s="1"/>
  <c r="AE282" i="11"/>
  <c r="AF282" i="11" s="1"/>
  <c r="AE284" i="11"/>
  <c r="AF284" i="11" s="1"/>
  <c r="AE318" i="11"/>
  <c r="AF318" i="11" s="1"/>
  <c r="AE308" i="11"/>
  <c r="AF308" i="11" s="1"/>
  <c r="AE304" i="11"/>
  <c r="AF304" i="11" s="1"/>
  <c r="AE298" i="11"/>
  <c r="AF298" i="11" s="1"/>
  <c r="AE310" i="11"/>
  <c r="AF310" i="11" s="1"/>
  <c r="AE248" i="11"/>
  <c r="AF248" i="11" s="1"/>
  <c r="AE328" i="11"/>
  <c r="AF328" i="11" s="1"/>
  <c r="AE258" i="11"/>
  <c r="AF258" i="11" s="1"/>
  <c r="AE227" i="11"/>
  <c r="AF227" i="11" s="1"/>
  <c r="AE264" i="11"/>
  <c r="AF264" i="11" s="1"/>
  <c r="AE278" i="11"/>
  <c r="AF278" i="11" s="1"/>
  <c r="AE280" i="11"/>
  <c r="AF280" i="11" s="1"/>
  <c r="AE256" i="11"/>
  <c r="AF256" i="11" s="1"/>
  <c r="AO163" i="11"/>
  <c r="AP163" i="11" s="1"/>
  <c r="AY163" i="11" s="1"/>
  <c r="AE230" i="11"/>
  <c r="AF230" i="11" s="1"/>
  <c r="AE226" i="11"/>
  <c r="AF226" i="11" s="1"/>
  <c r="P226" i="11" s="1"/>
  <c r="Q226" i="11" s="1"/>
  <c r="AE317" i="11"/>
  <c r="AF317" i="11" s="1"/>
  <c r="AE321" i="11"/>
  <c r="AF321" i="11" s="1"/>
  <c r="AE322" i="11"/>
  <c r="AF322" i="11" s="1"/>
  <c r="AE235" i="11"/>
  <c r="AF235" i="11" s="1"/>
  <c r="AE252" i="11"/>
  <c r="AF252" i="11" s="1"/>
  <c r="AE229" i="11"/>
  <c r="AF229" i="11" s="1"/>
  <c r="AE228" i="11"/>
  <c r="AF228" i="11" s="1"/>
  <c r="AE303" i="11"/>
  <c r="AF303" i="11" s="1"/>
  <c r="AE287" i="11"/>
  <c r="AF287" i="11" s="1"/>
  <c r="AE327" i="11"/>
  <c r="AF327" i="11" s="1"/>
  <c r="AE271" i="11"/>
  <c r="AF271" i="11" s="1"/>
  <c r="AE307" i="11"/>
  <c r="AF307" i="11" s="1"/>
  <c r="AE286" i="11"/>
  <c r="AF286" i="11" s="1"/>
  <c r="AE250" i="11"/>
  <c r="AF250" i="11" s="1"/>
  <c r="AE260" i="11"/>
  <c r="AF260" i="11" s="1"/>
  <c r="AE324" i="11"/>
  <c r="AF324" i="11" s="1"/>
  <c r="AE253" i="11"/>
  <c r="AF253" i="11" s="1"/>
  <c r="AE293" i="11"/>
  <c r="AF293" i="11" s="1"/>
  <c r="AE283" i="11"/>
  <c r="AF283" i="11" s="1"/>
  <c r="AE254" i="11"/>
  <c r="AF254" i="11" s="1"/>
  <c r="AE251" i="11"/>
  <c r="AF251" i="11" s="1"/>
  <c r="AO164" i="11"/>
  <c r="AE263" i="11"/>
  <c r="AF263" i="11" s="1"/>
  <c r="AL56" i="11"/>
  <c r="AV56" i="11" s="1"/>
  <c r="AW56" i="11" s="1"/>
  <c r="AX56" i="11" s="1"/>
  <c r="AJ54" i="11"/>
  <c r="AK54" i="11" s="1"/>
  <c r="AO54" i="11" s="1"/>
  <c r="AL57" i="11"/>
  <c r="AM57" i="11" s="1"/>
  <c r="AN57" i="11" s="1"/>
  <c r="AK161" i="11"/>
  <c r="AV186" i="11"/>
  <c r="AW186" i="11" s="1"/>
  <c r="AX186" i="11" s="1"/>
  <c r="AK162" i="11"/>
  <c r="AO162" i="11" s="1"/>
  <c r="AP162" i="11" s="1"/>
  <c r="AH263" i="11"/>
  <c r="AQ263" i="11" s="1"/>
  <c r="AL69" i="11"/>
  <c r="AM69" i="11" s="1"/>
  <c r="AN69" i="11" s="1"/>
  <c r="AV181" i="11"/>
  <c r="AW181" i="11" s="1"/>
  <c r="AX181" i="11" s="1"/>
  <c r="AO177" i="11"/>
  <c r="AO189" i="11"/>
  <c r="AV185" i="11"/>
  <c r="AW185" i="11" s="1"/>
  <c r="AX185" i="11" s="1"/>
  <c r="AV176" i="11"/>
  <c r="AW176" i="11" s="1"/>
  <c r="AX176" i="11" s="1"/>
  <c r="AO182" i="11"/>
  <c r="AK179" i="11"/>
  <c r="AM185" i="11"/>
  <c r="AN185" i="11" s="1"/>
  <c r="AP185" i="11" s="1"/>
  <c r="AT185" i="11" s="1"/>
  <c r="AV184" i="11"/>
  <c r="AW184" i="11" s="1"/>
  <c r="AX184" i="11" s="1"/>
  <c r="AM184" i="11"/>
  <c r="AN184" i="11" s="1"/>
  <c r="AP184" i="11" s="1"/>
  <c r="AT184" i="11" s="1"/>
  <c r="AM178" i="11"/>
  <c r="AN178" i="11" s="1"/>
  <c r="AV177" i="11"/>
  <c r="AW177" i="11" s="1"/>
  <c r="AX177" i="11" s="1"/>
  <c r="AK188" i="11"/>
  <c r="AV188" i="11" s="1"/>
  <c r="AW188" i="11" s="1"/>
  <c r="AX188" i="11" s="1"/>
  <c r="AV182" i="11"/>
  <c r="AW182" i="11" s="1"/>
  <c r="AX182" i="11" s="1"/>
  <c r="AM186" i="11"/>
  <c r="AN186" i="11" s="1"/>
  <c r="AP186" i="11" s="1"/>
  <c r="AO175" i="11"/>
  <c r="AK178" i="11"/>
  <c r="AV178" i="11" s="1"/>
  <c r="AW178" i="11" s="1"/>
  <c r="AX178" i="11" s="1"/>
  <c r="AK180" i="11"/>
  <c r="AI263" i="11"/>
  <c r="AL263" i="11" s="1"/>
  <c r="AO181" i="11"/>
  <c r="AP181" i="11" s="1"/>
  <c r="AJ104" i="11"/>
  <c r="AK104" i="11" s="1"/>
  <c r="AO104" i="11" s="1"/>
  <c r="AM182" i="11"/>
  <c r="AN182" i="11" s="1"/>
  <c r="AL364" i="11"/>
  <c r="AM364" i="11" s="1"/>
  <c r="AN364" i="11" s="1"/>
  <c r="AM177" i="11"/>
  <c r="AN177" i="11" s="1"/>
  <c r="AJ147" i="11"/>
  <c r="AM147" i="11" s="1"/>
  <c r="AN147" i="11" s="1"/>
  <c r="AL363" i="11"/>
  <c r="AV363" i="11" s="1"/>
  <c r="AW363" i="11" s="1"/>
  <c r="AX363" i="11" s="1"/>
  <c r="AV183" i="11"/>
  <c r="AW183" i="11" s="1"/>
  <c r="AX183" i="11" s="1"/>
  <c r="AL100" i="11"/>
  <c r="AO100" i="11" s="1"/>
  <c r="AJ105" i="11"/>
  <c r="AK105" i="11" s="1"/>
  <c r="AJ365" i="11"/>
  <c r="AK365" i="11" s="1"/>
  <c r="AO365" i="11" s="1"/>
  <c r="AM189" i="11"/>
  <c r="AN189" i="11" s="1"/>
  <c r="AO183" i="11"/>
  <c r="AP183" i="11" s="1"/>
  <c r="AY183" i="11" s="1"/>
  <c r="AM175" i="11"/>
  <c r="AN175" i="11" s="1"/>
  <c r="AJ128" i="11"/>
  <c r="AK128" i="11" s="1"/>
  <c r="AV128" i="11" s="1"/>
  <c r="AW128" i="11" s="1"/>
  <c r="AX128" i="11" s="1"/>
  <c r="AJ114" i="11"/>
  <c r="AK114" i="11" s="1"/>
  <c r="AV163" i="11"/>
  <c r="AW163" i="11" s="1"/>
  <c r="AX163" i="11" s="1"/>
  <c r="AO176" i="11"/>
  <c r="AM176" i="11"/>
  <c r="AN176" i="11" s="1"/>
  <c r="AL46" i="11"/>
  <c r="AV46" i="11" s="1"/>
  <c r="AW46" i="11" s="1"/>
  <c r="AX46" i="11" s="1"/>
  <c r="AM164" i="11"/>
  <c r="AN164" i="11" s="1"/>
  <c r="AJ149" i="11"/>
  <c r="AK149" i="11" s="1"/>
  <c r="AI241" i="11"/>
  <c r="AJ241" i="11" s="1"/>
  <c r="AK241" i="11" s="1"/>
  <c r="AH296" i="11"/>
  <c r="AQ296" i="11" s="1"/>
  <c r="AI296" i="11"/>
  <c r="AJ296" i="11" s="1"/>
  <c r="AI327" i="11"/>
  <c r="AL327" i="11" s="1"/>
  <c r="AI247" i="11"/>
  <c r="AJ247" i="11" s="1"/>
  <c r="AH232" i="11"/>
  <c r="AQ232" i="11" s="1"/>
  <c r="AI315" i="11"/>
  <c r="AJ315" i="11" s="1"/>
  <c r="AI227" i="11"/>
  <c r="AJ227" i="11" s="1"/>
  <c r="AK227" i="11" s="1"/>
  <c r="AI228" i="11"/>
  <c r="AL228" i="11" s="1"/>
  <c r="AH300" i="11"/>
  <c r="AQ300" i="11" s="1"/>
  <c r="AH249" i="11"/>
  <c r="AQ249" i="11" s="1"/>
  <c r="AI261" i="11"/>
  <c r="AL261" i="11" s="1"/>
  <c r="AH264" i="11"/>
  <c r="AQ264" i="11" s="1"/>
  <c r="AH233" i="11"/>
  <c r="AQ233" i="11" s="1"/>
  <c r="AI236" i="11"/>
  <c r="AJ236" i="11" s="1"/>
  <c r="AK236" i="11" s="1"/>
  <c r="AI285" i="11"/>
  <c r="AL285" i="11" s="1"/>
  <c r="AH252" i="11"/>
  <c r="AQ252" i="11" s="1"/>
  <c r="AH315" i="11"/>
  <c r="AQ315" i="11" s="1"/>
  <c r="AV164" i="11"/>
  <c r="AW164" i="11" s="1"/>
  <c r="AX164" i="11" s="1"/>
  <c r="AL63" i="11"/>
  <c r="AJ63" i="11"/>
  <c r="AI260" i="11"/>
  <c r="AL260" i="11" s="1"/>
  <c r="AH237" i="11"/>
  <c r="AQ237" i="11" s="1"/>
  <c r="AI324" i="11"/>
  <c r="AJ324" i="11" s="1"/>
  <c r="AK324" i="11" s="1"/>
  <c r="AH261" i="11"/>
  <c r="AQ261" i="11" s="1"/>
  <c r="AI264" i="11"/>
  <c r="AL264" i="11" s="1"/>
  <c r="AH241" i="11"/>
  <c r="AQ241" i="11" s="1"/>
  <c r="AH327" i="11"/>
  <c r="AQ327" i="11" s="1"/>
  <c r="AH247" i="11"/>
  <c r="AQ247" i="11" s="1"/>
  <c r="AH248" i="11"/>
  <c r="AQ248" i="11" s="1"/>
  <c r="AJ115" i="11"/>
  <c r="AK115" i="11" s="1"/>
  <c r="AO115" i="11" s="1"/>
  <c r="AL144" i="11"/>
  <c r="AM144" i="11" s="1"/>
  <c r="AN144" i="11" s="1"/>
  <c r="AJ91" i="11"/>
  <c r="AM91" i="11" s="1"/>
  <c r="AN91" i="11" s="1"/>
  <c r="AI226" i="11"/>
  <c r="AL226" i="11" s="1"/>
  <c r="AH260" i="11"/>
  <c r="AQ260" i="11" s="1"/>
  <c r="AH227" i="11"/>
  <c r="AQ227" i="11" s="1"/>
  <c r="AH323" i="11"/>
  <c r="AQ323" i="11" s="1"/>
  <c r="AH239" i="11"/>
  <c r="AQ239" i="11" s="1"/>
  <c r="AH231" i="11"/>
  <c r="AQ231" i="11" s="1"/>
  <c r="AI256" i="11"/>
  <c r="AJ256" i="11" s="1"/>
  <c r="AI232" i="11"/>
  <c r="AL232" i="11" s="1"/>
  <c r="AH308" i="11"/>
  <c r="AQ308" i="11" s="1"/>
  <c r="AH226" i="11"/>
  <c r="AQ226" i="11" s="1"/>
  <c r="AH324" i="11"/>
  <c r="AQ324" i="11" s="1"/>
  <c r="AI249" i="11"/>
  <c r="AJ249" i="11" s="1"/>
  <c r="AI319" i="11"/>
  <c r="AJ319" i="11" s="1"/>
  <c r="AK319" i="11" s="1"/>
  <c r="AI331" i="11"/>
  <c r="AJ331" i="11" s="1"/>
  <c r="AI237" i="11"/>
  <c r="AL237" i="11" s="1"/>
  <c r="AH228" i="11"/>
  <c r="AQ228" i="11" s="1"/>
  <c r="AI300" i="11"/>
  <c r="AL300" i="11" s="1"/>
  <c r="AI233" i="11"/>
  <c r="AL233" i="11" s="1"/>
  <c r="AH257" i="11"/>
  <c r="AQ257" i="11" s="1"/>
  <c r="AI257" i="11"/>
  <c r="AJ257" i="11" s="1"/>
  <c r="AK257" i="11" s="1"/>
  <c r="AI323" i="11"/>
  <c r="AJ323" i="11" s="1"/>
  <c r="AK323" i="11" s="1"/>
  <c r="AH319" i="11"/>
  <c r="AQ319" i="11" s="1"/>
  <c r="AI239" i="11"/>
  <c r="AL239" i="11" s="1"/>
  <c r="AH285" i="11"/>
  <c r="AQ285" i="11" s="1"/>
  <c r="AI231" i="11"/>
  <c r="AL231" i="11" s="1"/>
  <c r="AH256" i="11"/>
  <c r="AQ256" i="11" s="1"/>
  <c r="AI252" i="11"/>
  <c r="AJ252" i="11" s="1"/>
  <c r="AK252" i="11" s="1"/>
  <c r="AI248" i="11"/>
  <c r="AL248" i="11" s="1"/>
  <c r="AK364" i="11"/>
  <c r="AL366" i="11"/>
  <c r="AJ366" i="11"/>
  <c r="AK366" i="11" s="1"/>
  <c r="AI250" i="11"/>
  <c r="AH333" i="11"/>
  <c r="AQ333" i="11" s="1"/>
  <c r="AI333" i="11"/>
  <c r="AH259" i="11"/>
  <c r="AQ259" i="11" s="1"/>
  <c r="AI259" i="11"/>
  <c r="AH258" i="11"/>
  <c r="AQ258" i="11" s="1"/>
  <c r="AH230" i="11"/>
  <c r="AQ230" i="11" s="1"/>
  <c r="AI230" i="11"/>
  <c r="AI277" i="11"/>
  <c r="AH275" i="11"/>
  <c r="AQ275" i="11" s="1"/>
  <c r="AI275" i="11"/>
  <c r="AI304" i="11"/>
  <c r="AH304" i="11"/>
  <c r="AQ304" i="11" s="1"/>
  <c r="AI253" i="11"/>
  <c r="AI298" i="11"/>
  <c r="AI293" i="11"/>
  <c r="AH306" i="11"/>
  <c r="AQ306" i="11" s="1"/>
  <c r="AI306" i="11"/>
  <c r="AH295" i="11"/>
  <c r="AQ295" i="11" s="1"/>
  <c r="AI273" i="11"/>
  <c r="AI303" i="11"/>
  <c r="AH303" i="11"/>
  <c r="AQ303" i="11" s="1"/>
  <c r="AI274" i="11"/>
  <c r="AH283" i="11"/>
  <c r="AQ283" i="11" s="1"/>
  <c r="AI326" i="11"/>
  <c r="AI276" i="11"/>
  <c r="AH332" i="11"/>
  <c r="AQ332" i="11" s="1"/>
  <c r="AI325" i="11"/>
  <c r="AH234" i="11"/>
  <c r="AQ234" i="11" s="1"/>
  <c r="AI320" i="11"/>
  <c r="AH320" i="11"/>
  <c r="AQ320" i="11" s="1"/>
  <c r="AI270" i="11"/>
  <c r="AH321" i="11"/>
  <c r="AQ321" i="11" s="1"/>
  <c r="AI278" i="11"/>
  <c r="AH278" i="11"/>
  <c r="AQ278" i="11" s="1"/>
  <c r="AI272" i="11"/>
  <c r="AH272" i="11"/>
  <c r="AQ272" i="11" s="1"/>
  <c r="AI287" i="11"/>
  <c r="AH255" i="11"/>
  <c r="AQ255" i="11" s="1"/>
  <c r="AI255" i="11"/>
  <c r="AH322" i="11"/>
  <c r="AQ322" i="11" s="1"/>
  <c r="AH294" i="11"/>
  <c r="AQ294" i="11" s="1"/>
  <c r="AI294" i="11"/>
  <c r="AI254" i="11"/>
  <c r="AI235" i="11"/>
  <c r="AH280" i="11"/>
  <c r="AQ280" i="11" s="1"/>
  <c r="AH238" i="11"/>
  <c r="AQ238" i="11" s="1"/>
  <c r="AI238" i="11"/>
  <c r="AI329" i="11"/>
  <c r="AH282" i="11"/>
  <c r="AQ282" i="11" s="1"/>
  <c r="AI282" i="11"/>
  <c r="AI284" i="11"/>
  <c r="AI318" i="11"/>
  <c r="AI314" i="11"/>
  <c r="AH314" i="11"/>
  <c r="AQ314" i="11" s="1"/>
  <c r="AI262" i="11"/>
  <c r="AI229" i="11"/>
  <c r="AH286" i="11"/>
  <c r="AQ286" i="11" s="1"/>
  <c r="AH251" i="11"/>
  <c r="AQ251" i="11" s="1"/>
  <c r="AI251" i="11"/>
  <c r="AI330" i="11"/>
  <c r="AH330" i="11"/>
  <c r="AQ330" i="11" s="1"/>
  <c r="AL106" i="11"/>
  <c r="AJ106" i="11"/>
  <c r="AK106" i="11" s="1"/>
  <c r="AJ77" i="11"/>
  <c r="AL77" i="11"/>
  <c r="AJ117" i="11"/>
  <c r="AL117" i="11"/>
  <c r="AK55" i="11"/>
  <c r="AJ153" i="11"/>
  <c r="AL153" i="11"/>
  <c r="AL94" i="11"/>
  <c r="AJ94" i="11"/>
  <c r="AK94" i="11" s="1"/>
  <c r="AJ70" i="11"/>
  <c r="AK70" i="11" s="1"/>
  <c r="AL70" i="11"/>
  <c r="AJ142" i="11"/>
  <c r="AK142" i="11" s="1"/>
  <c r="AL142" i="11"/>
  <c r="AL93" i="11"/>
  <c r="AJ93" i="11"/>
  <c r="AK93" i="11" s="1"/>
  <c r="AJ85" i="11"/>
  <c r="AL85" i="11"/>
  <c r="AL84" i="11"/>
  <c r="AJ84" i="11"/>
  <c r="AJ73" i="11"/>
  <c r="AL73" i="11"/>
  <c r="AJ81" i="11"/>
  <c r="AL81" i="11"/>
  <c r="AJ121" i="11"/>
  <c r="AL121" i="11"/>
  <c r="AJ154" i="11"/>
  <c r="AK154" i="11" s="1"/>
  <c r="AL154" i="11"/>
  <c r="AJ96" i="11"/>
  <c r="AK96" i="11" s="1"/>
  <c r="AL96" i="11"/>
  <c r="AL123" i="11"/>
  <c r="AJ123" i="11"/>
  <c r="AK123" i="11" s="1"/>
  <c r="AL120" i="11"/>
  <c r="AJ120" i="11"/>
  <c r="AK120" i="11" s="1"/>
  <c r="AL49" i="11"/>
  <c r="AJ49" i="11"/>
  <c r="AK49" i="11" s="1"/>
  <c r="AL97" i="11"/>
  <c r="AJ97" i="11"/>
  <c r="AK97" i="11" s="1"/>
  <c r="AK69" i="11"/>
  <c r="AL98" i="11"/>
  <c r="AJ98" i="11"/>
  <c r="AK98" i="11" s="1"/>
  <c r="AL71" i="11"/>
  <c r="AJ71" i="11"/>
  <c r="AK71" i="11" s="1"/>
  <c r="AH250" i="11"/>
  <c r="AQ250" i="11" s="1"/>
  <c r="AH297" i="11"/>
  <c r="AQ297" i="11" s="1"/>
  <c r="AI297" i="11"/>
  <c r="AI328" i="11"/>
  <c r="AH328" i="11"/>
  <c r="AQ328" i="11" s="1"/>
  <c r="AI258" i="11"/>
  <c r="AH277" i="11"/>
  <c r="AQ277" i="11" s="1"/>
  <c r="AH253" i="11"/>
  <c r="AQ253" i="11" s="1"/>
  <c r="AH298" i="11"/>
  <c r="AQ298" i="11" s="1"/>
  <c r="AH293" i="11"/>
  <c r="AQ293" i="11" s="1"/>
  <c r="AI305" i="11"/>
  <c r="AH305" i="11"/>
  <c r="AQ305" i="11" s="1"/>
  <c r="AI295" i="11"/>
  <c r="AH273" i="11"/>
  <c r="AQ273" i="11" s="1"/>
  <c r="AI316" i="11"/>
  <c r="AH316" i="11"/>
  <c r="AQ316" i="11" s="1"/>
  <c r="AI281" i="11"/>
  <c r="AH281" i="11"/>
  <c r="AQ281" i="11" s="1"/>
  <c r="AH274" i="11"/>
  <c r="AQ274" i="11" s="1"/>
  <c r="AI283" i="11"/>
  <c r="AH326" i="11"/>
  <c r="AQ326" i="11" s="1"/>
  <c r="AH276" i="11"/>
  <c r="AQ276" i="11" s="1"/>
  <c r="AH309" i="11"/>
  <c r="AQ309" i="11" s="1"/>
  <c r="AI309" i="11"/>
  <c r="AI332" i="11"/>
  <c r="AI301" i="11"/>
  <c r="AH301" i="11"/>
  <c r="AQ301" i="11" s="1"/>
  <c r="AH317" i="11"/>
  <c r="AQ317" i="11" s="1"/>
  <c r="AI317" i="11"/>
  <c r="AH325" i="11"/>
  <c r="AQ325" i="11" s="1"/>
  <c r="AI234" i="11"/>
  <c r="AI299" i="11"/>
  <c r="AH299" i="11"/>
  <c r="AQ299" i="11" s="1"/>
  <c r="AH270" i="11"/>
  <c r="AQ270" i="11" s="1"/>
  <c r="AI321" i="11"/>
  <c r="AH279" i="11"/>
  <c r="AQ279" i="11" s="1"/>
  <c r="AI279" i="11"/>
  <c r="AH287" i="11"/>
  <c r="AQ287" i="11" s="1"/>
  <c r="AI322" i="11"/>
  <c r="AH236" i="11"/>
  <c r="AQ236" i="11" s="1"/>
  <c r="AH310" i="11"/>
  <c r="AQ310" i="11" s="1"/>
  <c r="AI310" i="11"/>
  <c r="AH302" i="11"/>
  <c r="AQ302" i="11" s="1"/>
  <c r="AI302" i="11"/>
  <c r="AH254" i="11"/>
  <c r="AQ254" i="11" s="1"/>
  <c r="AH235" i="11"/>
  <c r="AQ235" i="11" s="1"/>
  <c r="AI280" i="11"/>
  <c r="AH329" i="11"/>
  <c r="AQ329" i="11" s="1"/>
  <c r="AH284" i="11"/>
  <c r="AQ284" i="11" s="1"/>
  <c r="AH331" i="11"/>
  <c r="AQ331" i="11" s="1"/>
  <c r="AH318" i="11"/>
  <c r="AQ318" i="11" s="1"/>
  <c r="AH271" i="11"/>
  <c r="AQ271" i="11" s="1"/>
  <c r="AI271" i="11"/>
  <c r="AI308" i="11"/>
  <c r="AI307" i="11"/>
  <c r="AH307" i="11"/>
  <c r="AQ307" i="11" s="1"/>
  <c r="AH262" i="11"/>
  <c r="AQ262" i="11" s="1"/>
  <c r="AH229" i="11"/>
  <c r="AQ229" i="11" s="1"/>
  <c r="AI286" i="11"/>
  <c r="AJ60" i="11"/>
  <c r="AK60" i="11" s="1"/>
  <c r="AL60" i="11"/>
  <c r="AJ138" i="11"/>
  <c r="AL138" i="11"/>
  <c r="AL79" i="11"/>
  <c r="AJ79" i="11"/>
  <c r="AK79" i="11" s="1"/>
  <c r="AL140" i="11"/>
  <c r="AJ140" i="11"/>
  <c r="AL132" i="11"/>
  <c r="AJ132" i="11"/>
  <c r="AJ150" i="11"/>
  <c r="AK150" i="11" s="1"/>
  <c r="AL150" i="11"/>
  <c r="AL75" i="11"/>
  <c r="AJ75" i="11"/>
  <c r="AK75" i="11" s="1"/>
  <c r="AJ141" i="11"/>
  <c r="AK141" i="11" s="1"/>
  <c r="AL141" i="11"/>
  <c r="AJ74" i="11"/>
  <c r="AK74" i="11" s="1"/>
  <c r="AL74" i="11"/>
  <c r="AJ146" i="11"/>
  <c r="AK146" i="11" s="1"/>
  <c r="AL146" i="11"/>
  <c r="AJ107" i="11"/>
  <c r="AL107" i="11"/>
  <c r="AL152" i="11"/>
  <c r="AJ152" i="11"/>
  <c r="AJ64" i="11"/>
  <c r="AK64" i="11" s="1"/>
  <c r="AL64" i="11"/>
  <c r="AL110" i="11"/>
  <c r="AJ110" i="11"/>
  <c r="AJ103" i="11"/>
  <c r="AL103" i="11"/>
  <c r="AL83" i="11"/>
  <c r="AJ83" i="11"/>
  <c r="AK83" i="11" s="1"/>
  <c r="AL139" i="11"/>
  <c r="AJ139" i="11"/>
  <c r="AL80" i="11"/>
  <c r="AJ80" i="11"/>
  <c r="AK80" i="11" s="1"/>
  <c r="AJ130" i="11"/>
  <c r="AK130" i="11" s="1"/>
  <c r="AL130" i="11"/>
  <c r="AL119" i="11"/>
  <c r="AJ119" i="11"/>
  <c r="AL131" i="11"/>
  <c r="AJ131" i="11"/>
  <c r="AL102" i="11"/>
  <c r="AJ102" i="11"/>
  <c r="AK102" i="11" s="1"/>
  <c r="AJ95" i="11"/>
  <c r="AL95" i="11"/>
  <c r="AL151" i="11"/>
  <c r="AJ151" i="11"/>
  <c r="AL72" i="11"/>
  <c r="AJ72" i="11"/>
  <c r="AJ122" i="11"/>
  <c r="AK122" i="11" s="1"/>
  <c r="AL122" i="11"/>
  <c r="AL124" i="11"/>
  <c r="AJ124" i="11"/>
  <c r="AJ52" i="11"/>
  <c r="AK52" i="11" s="1"/>
  <c r="AL52" i="11"/>
  <c r="AJ99" i="11"/>
  <c r="AL99" i="11"/>
  <c r="AL58" i="11"/>
  <c r="AJ58" i="11"/>
  <c r="AK58" i="11" s="1"/>
  <c r="AL76" i="11"/>
  <c r="AJ76" i="11"/>
  <c r="AK76" i="11" s="1"/>
  <c r="AJ126" i="11"/>
  <c r="AK126" i="11" s="1"/>
  <c r="AL126" i="11"/>
  <c r="AL133" i="11"/>
  <c r="AJ133" i="11"/>
  <c r="AK133" i="11" s="1"/>
  <c r="AJ78" i="11"/>
  <c r="AK78" i="11" s="1"/>
  <c r="AL78" i="11"/>
  <c r="AJ47" i="11"/>
  <c r="AL47" i="11"/>
  <c r="AJ137" i="11"/>
  <c r="AK137" i="11" s="1"/>
  <c r="AL137" i="11"/>
  <c r="AL53" i="11"/>
  <c r="AJ53" i="11"/>
  <c r="AJ108" i="11"/>
  <c r="AK108" i="11" s="1"/>
  <c r="AL108" i="11"/>
  <c r="AL143" i="11"/>
  <c r="AJ143" i="11"/>
  <c r="AJ118" i="11"/>
  <c r="AK118" i="11" s="1"/>
  <c r="AL118" i="11"/>
  <c r="AL127" i="11"/>
  <c r="AJ127" i="11"/>
  <c r="AL156" i="11"/>
  <c r="AJ156" i="11"/>
  <c r="AK156" i="11" s="1"/>
  <c r="AJ145" i="11"/>
  <c r="AK145" i="11" s="1"/>
  <c r="AL145" i="11"/>
  <c r="AL155" i="11"/>
  <c r="AJ155" i="11"/>
  <c r="AL45" i="11"/>
  <c r="AJ45" i="11"/>
  <c r="AK45" i="11" s="1"/>
  <c r="AJ59" i="11"/>
  <c r="AL59" i="11"/>
  <c r="AL87" i="11"/>
  <c r="AJ87" i="11"/>
  <c r="AK87" i="11" s="1"/>
  <c r="AL101" i="11"/>
  <c r="AJ101" i="11"/>
  <c r="AK101" i="11" s="1"/>
  <c r="AK144" i="11"/>
  <c r="AL68" i="11"/>
  <c r="AJ68" i="11"/>
  <c r="AL148" i="11"/>
  <c r="AJ148" i="11"/>
  <c r="AJ129" i="11"/>
  <c r="AL129" i="11"/>
  <c r="AJ51" i="11"/>
  <c r="AL51" i="11"/>
  <c r="AJ82" i="11"/>
  <c r="AK82" i="11" s="1"/>
  <c r="AL82" i="11"/>
  <c r="AL109" i="11"/>
  <c r="AJ109" i="11"/>
  <c r="AJ92" i="11"/>
  <c r="AK92" i="11" s="1"/>
  <c r="AL92" i="11"/>
  <c r="AL61" i="11"/>
  <c r="AJ61" i="11"/>
  <c r="AK61" i="11" s="1"/>
  <c r="AJ125" i="11"/>
  <c r="AL125" i="11"/>
  <c r="AL116" i="11"/>
  <c r="AJ116" i="11"/>
  <c r="T47" i="11" l="1"/>
  <c r="P57" i="72"/>
  <c r="R54" i="47"/>
  <c r="Q231" i="47"/>
  <c r="P236" i="72" s="1"/>
  <c r="P56" i="72"/>
  <c r="T53" i="47"/>
  <c r="R53" i="47"/>
  <c r="O234" i="72"/>
  <c r="Q229" i="47"/>
  <c r="P55" i="72"/>
  <c r="R52" i="47"/>
  <c r="T52" i="47"/>
  <c r="P54" i="72"/>
  <c r="T51" i="47"/>
  <c r="R51" i="47"/>
  <c r="O232" i="72"/>
  <c r="Q227" i="47"/>
  <c r="Q226" i="47"/>
  <c r="R226" i="47" s="1"/>
  <c r="P53" i="72"/>
  <c r="R50" i="47"/>
  <c r="T50" i="47"/>
  <c r="P52" i="72"/>
  <c r="T49" i="47"/>
  <c r="R49" i="47"/>
  <c r="R47" i="47"/>
  <c r="Q225" i="47"/>
  <c r="R45" i="47"/>
  <c r="T47" i="47"/>
  <c r="Q224" i="47"/>
  <c r="R224" i="47" s="1"/>
  <c r="P51" i="72"/>
  <c r="R48" i="47"/>
  <c r="T48" i="47"/>
  <c r="Q223" i="47"/>
  <c r="P228" i="72" s="1"/>
  <c r="Q222" i="47"/>
  <c r="T222" i="47" s="1"/>
  <c r="P49" i="72"/>
  <c r="R46" i="47"/>
  <c r="T46" i="47"/>
  <c r="R46" i="11"/>
  <c r="R45" i="11"/>
  <c r="R226" i="11"/>
  <c r="T226" i="11"/>
  <c r="R49" i="11"/>
  <c r="T49" i="11"/>
  <c r="T48" i="11"/>
  <c r="R48" i="11"/>
  <c r="Q315" i="11"/>
  <c r="A254" i="77"/>
  <c r="C262" i="77"/>
  <c r="A255" i="77"/>
  <c r="C263" i="77"/>
  <c r="A263" i="77" s="1"/>
  <c r="Q250" i="47"/>
  <c r="P255" i="72" s="1"/>
  <c r="Q246" i="47"/>
  <c r="R245" i="47"/>
  <c r="T245" i="47"/>
  <c r="T69" i="47"/>
  <c r="R69" i="47"/>
  <c r="R68" i="47"/>
  <c r="T68" i="47"/>
  <c r="AH250" i="47"/>
  <c r="AQ250" i="47" s="1"/>
  <c r="AH230" i="47"/>
  <c r="AQ230" i="47" s="1"/>
  <c r="T51" i="54"/>
  <c r="T54" i="54"/>
  <c r="R50" i="54"/>
  <c r="T50" i="54"/>
  <c r="R52" i="54"/>
  <c r="T52" i="54"/>
  <c r="R53" i="54"/>
  <c r="T53" i="54"/>
  <c r="T48" i="54"/>
  <c r="T46" i="54"/>
  <c r="T49" i="54"/>
  <c r="T47" i="54"/>
  <c r="O260" i="47"/>
  <c r="M265" i="72" s="1"/>
  <c r="AH239" i="47"/>
  <c r="AQ239" i="47" s="1"/>
  <c r="T250" i="47"/>
  <c r="P250" i="47"/>
  <c r="O255" i="72" s="1"/>
  <c r="O232" i="47"/>
  <c r="M237" i="72" s="1"/>
  <c r="P230" i="47"/>
  <c r="O235" i="72" s="1"/>
  <c r="AH241" i="47"/>
  <c r="AQ241" i="47" s="1"/>
  <c r="O248" i="47"/>
  <c r="M253" i="72" s="1"/>
  <c r="O236" i="47"/>
  <c r="M241" i="72" s="1"/>
  <c r="K261" i="72"/>
  <c r="K231" i="72"/>
  <c r="K262" i="72"/>
  <c r="K266" i="72"/>
  <c r="E244" i="72"/>
  <c r="E246" i="72"/>
  <c r="K230" i="72"/>
  <c r="K236" i="72"/>
  <c r="K239" i="72"/>
  <c r="K234" i="72"/>
  <c r="K251" i="72"/>
  <c r="K245" i="72"/>
  <c r="Q241" i="47"/>
  <c r="P246" i="72" s="1"/>
  <c r="K244" i="72"/>
  <c r="K232" i="72"/>
  <c r="K268" i="72"/>
  <c r="Q239" i="47"/>
  <c r="P244" i="72" s="1"/>
  <c r="K260" i="72"/>
  <c r="K228" i="72"/>
  <c r="K240" i="72"/>
  <c r="K254" i="72"/>
  <c r="K267" i="72"/>
  <c r="K227" i="72"/>
  <c r="K256" i="72"/>
  <c r="K264" i="72"/>
  <c r="K250" i="72"/>
  <c r="K255" i="72"/>
  <c r="K269" i="72"/>
  <c r="K235" i="72"/>
  <c r="K259" i="72"/>
  <c r="K258" i="72"/>
  <c r="K229" i="72"/>
  <c r="O228" i="47"/>
  <c r="K263" i="72"/>
  <c r="K238" i="72"/>
  <c r="P239" i="47"/>
  <c r="O244" i="72" s="1"/>
  <c r="P241" i="47"/>
  <c r="O246" i="72" s="1"/>
  <c r="K242" i="72"/>
  <c r="K257" i="72"/>
  <c r="K246" i="72"/>
  <c r="K243" i="72"/>
  <c r="K252" i="72"/>
  <c r="O174" i="63"/>
  <c r="P176" i="63"/>
  <c r="P177" i="63"/>
  <c r="R163" i="54"/>
  <c r="R162" i="54" s="1"/>
  <c r="J29" i="5"/>
  <c r="T163" i="54"/>
  <c r="T162" i="54" s="1"/>
  <c r="L29" i="5"/>
  <c r="M232" i="72"/>
  <c r="P174" i="63"/>
  <c r="M242" i="72"/>
  <c r="M261" i="72"/>
  <c r="M227" i="72"/>
  <c r="M259" i="72"/>
  <c r="M252" i="72"/>
  <c r="M269" i="72"/>
  <c r="M266" i="72"/>
  <c r="M250" i="72"/>
  <c r="M256" i="72"/>
  <c r="M251" i="72"/>
  <c r="AK69" i="47"/>
  <c r="AV69" i="47" s="1"/>
  <c r="AW69" i="47" s="1"/>
  <c r="AX69" i="47" s="1"/>
  <c r="M245" i="72"/>
  <c r="M255" i="72"/>
  <c r="M267" i="72"/>
  <c r="M258" i="72"/>
  <c r="M246" i="72"/>
  <c r="M234" i="72"/>
  <c r="M254" i="72"/>
  <c r="M235" i="72"/>
  <c r="M244" i="72"/>
  <c r="M231" i="72"/>
  <c r="M268" i="72"/>
  <c r="M230" i="72"/>
  <c r="M229" i="72"/>
  <c r="M236" i="72"/>
  <c r="M263" i="72"/>
  <c r="M228" i="72"/>
  <c r="M262" i="72"/>
  <c r="M238" i="72"/>
  <c r="M239" i="72"/>
  <c r="M260" i="72"/>
  <c r="M243" i="72"/>
  <c r="M264" i="72"/>
  <c r="M240" i="72"/>
  <c r="M257" i="72"/>
  <c r="P171" i="63"/>
  <c r="P173" i="63"/>
  <c r="P175" i="63"/>
  <c r="P172" i="63"/>
  <c r="T157" i="47"/>
  <c r="W157" i="47"/>
  <c r="V334" i="47"/>
  <c r="P319" i="72"/>
  <c r="P94" i="72"/>
  <c r="V111" i="47"/>
  <c r="V134" i="47"/>
  <c r="P273" i="72"/>
  <c r="P296" i="72"/>
  <c r="T288" i="47"/>
  <c r="T311" i="47"/>
  <c r="W311" i="47"/>
  <c r="T111" i="47"/>
  <c r="P164" i="72"/>
  <c r="P166" i="72"/>
  <c r="P117" i="72"/>
  <c r="T134" i="47"/>
  <c r="AL240" i="47"/>
  <c r="AO240" i="47" s="1"/>
  <c r="V190" i="47"/>
  <c r="AV76" i="47"/>
  <c r="AW76" i="47" s="1"/>
  <c r="AX76" i="47" s="1"/>
  <c r="O264" i="63"/>
  <c r="O307" i="63"/>
  <c r="O279" i="63"/>
  <c r="O255" i="63"/>
  <c r="O336" i="63"/>
  <c r="AJ259" i="47"/>
  <c r="AK259" i="47" s="1"/>
  <c r="AO259" i="47" s="1"/>
  <c r="M309" i="63"/>
  <c r="M281" i="63"/>
  <c r="M285" i="63"/>
  <c r="P279" i="63"/>
  <c r="M245" i="63"/>
  <c r="M284" i="63"/>
  <c r="M338" i="63"/>
  <c r="M267" i="63"/>
  <c r="M232" i="63"/>
  <c r="M250" i="63"/>
  <c r="M274" i="63"/>
  <c r="P288" i="63"/>
  <c r="P280" i="63"/>
  <c r="P244" i="63"/>
  <c r="F319" i="63"/>
  <c r="O300" i="63"/>
  <c r="O286" i="63"/>
  <c r="O262" i="63"/>
  <c r="O328" i="63"/>
  <c r="O313" i="63"/>
  <c r="O242" i="63"/>
  <c r="O288" i="63"/>
  <c r="O326" i="63"/>
  <c r="M319" i="63"/>
  <c r="M307" i="63"/>
  <c r="M268" i="63"/>
  <c r="M290" i="63"/>
  <c r="M233" i="63"/>
  <c r="P337" i="63"/>
  <c r="P260" i="63"/>
  <c r="P314" i="63"/>
  <c r="P287" i="63"/>
  <c r="M260" i="63"/>
  <c r="M259" i="63"/>
  <c r="M321" i="63"/>
  <c r="M332" i="63"/>
  <c r="P299" i="63"/>
  <c r="P254" i="63"/>
  <c r="P241" i="63"/>
  <c r="M253" i="63"/>
  <c r="M246" i="63"/>
  <c r="M276" i="63"/>
  <c r="M331" i="63"/>
  <c r="M291" i="63"/>
  <c r="M322" i="63"/>
  <c r="M286" i="63"/>
  <c r="P305" i="63"/>
  <c r="P261" i="63"/>
  <c r="P310" i="63"/>
  <c r="P268" i="63"/>
  <c r="M315" i="63"/>
  <c r="M280" i="63"/>
  <c r="P300" i="63"/>
  <c r="M328" i="63"/>
  <c r="M305" i="63"/>
  <c r="M228" i="63"/>
  <c r="P315" i="63"/>
  <c r="M308" i="63"/>
  <c r="M277" i="63"/>
  <c r="M336" i="63"/>
  <c r="M263" i="63"/>
  <c r="F227" i="63"/>
  <c r="P326" i="63"/>
  <c r="F251" i="63"/>
  <c r="F273" i="63"/>
  <c r="F228" i="63"/>
  <c r="F250" i="63"/>
  <c r="G251" i="63"/>
  <c r="G297" i="63"/>
  <c r="G273" i="63"/>
  <c r="O287" i="63"/>
  <c r="O322" i="63"/>
  <c r="O332" i="63"/>
  <c r="O267" i="63"/>
  <c r="O243" i="63"/>
  <c r="O315" i="63"/>
  <c r="O258" i="63"/>
  <c r="O235" i="63"/>
  <c r="O260" i="63"/>
  <c r="O302" i="63"/>
  <c r="O325" i="63"/>
  <c r="O312" i="63"/>
  <c r="O257" i="63"/>
  <c r="O311" i="63"/>
  <c r="O338" i="63"/>
  <c r="O333" i="63"/>
  <c r="M239" i="63"/>
  <c r="M304" i="63"/>
  <c r="M283" i="63"/>
  <c r="P304" i="63"/>
  <c r="P323" i="63"/>
  <c r="M301" i="63"/>
  <c r="M326" i="63"/>
  <c r="M258" i="63"/>
  <c r="P338" i="63"/>
  <c r="P267" i="63"/>
  <c r="P330" i="63"/>
  <c r="M314" i="63"/>
  <c r="M238" i="63"/>
  <c r="M240" i="63"/>
  <c r="P255" i="63"/>
  <c r="P308" i="63"/>
  <c r="P328" i="63"/>
  <c r="P245" i="63"/>
  <c r="M251" i="63"/>
  <c r="M229" i="63"/>
  <c r="M237" i="63"/>
  <c r="P313" i="63"/>
  <c r="M230" i="63"/>
  <c r="P336" i="63"/>
  <c r="M252" i="63"/>
  <c r="M244" i="63"/>
  <c r="M299" i="63"/>
  <c r="P265" i="63"/>
  <c r="M266" i="63"/>
  <c r="P283" i="63"/>
  <c r="P238" i="63"/>
  <c r="P266" i="63"/>
  <c r="F297" i="63"/>
  <c r="F296" i="63"/>
  <c r="O241" i="63"/>
  <c r="O299" i="63"/>
  <c r="O329" i="63"/>
  <c r="O306" i="63"/>
  <c r="O289" i="63"/>
  <c r="O259" i="63"/>
  <c r="O337" i="63"/>
  <c r="O278" i="63"/>
  <c r="O238" i="63"/>
  <c r="O269" i="63"/>
  <c r="O244" i="63"/>
  <c r="O268" i="63"/>
  <c r="O237" i="63"/>
  <c r="O265" i="63"/>
  <c r="O246" i="63"/>
  <c r="O292" i="63"/>
  <c r="M242" i="63"/>
  <c r="M324" i="63"/>
  <c r="M302" i="63"/>
  <c r="M327" i="63"/>
  <c r="M265" i="63"/>
  <c r="P301" i="63"/>
  <c r="M261" i="63"/>
  <c r="M273" i="63"/>
  <c r="M333" i="63"/>
  <c r="M227" i="63"/>
  <c r="M287" i="63"/>
  <c r="P334" i="63"/>
  <c r="P302" i="63"/>
  <c r="P258" i="63"/>
  <c r="P282" i="63"/>
  <c r="P246" i="63"/>
  <c r="P257" i="63"/>
  <c r="P243" i="63"/>
  <c r="M279" i="63"/>
  <c r="M264" i="63"/>
  <c r="M255" i="63"/>
  <c r="M335" i="63"/>
  <c r="P264" i="63"/>
  <c r="M306" i="63"/>
  <c r="M334" i="63"/>
  <c r="P329" i="63"/>
  <c r="P311" i="63"/>
  <c r="P236" i="63"/>
  <c r="P232" i="63"/>
  <c r="P290" i="63"/>
  <c r="P307" i="63"/>
  <c r="P235" i="63"/>
  <c r="P289" i="63"/>
  <c r="F275" i="63"/>
  <c r="M297" i="63"/>
  <c r="M262" i="63"/>
  <c r="M300" i="63"/>
  <c r="M320" i="63"/>
  <c r="P259" i="63"/>
  <c r="P325" i="63"/>
  <c r="P233" i="63"/>
  <c r="M243" i="63"/>
  <c r="M278" i="63"/>
  <c r="M234" i="63"/>
  <c r="M288" i="63"/>
  <c r="M256" i="63"/>
  <c r="M241" i="63"/>
  <c r="P281" i="63"/>
  <c r="M325" i="63"/>
  <c r="P256" i="63"/>
  <c r="P309" i="63"/>
  <c r="P242" i="63"/>
  <c r="F229" i="63"/>
  <c r="M323" i="63"/>
  <c r="F298" i="63"/>
  <c r="O253" i="63"/>
  <c r="O283" i="63"/>
  <c r="O252" i="63"/>
  <c r="O327" i="63"/>
  <c r="O280" i="63"/>
  <c r="O324" i="63"/>
  <c r="O281" i="63"/>
  <c r="O334" i="63"/>
  <c r="O261" i="63"/>
  <c r="O231" i="63"/>
  <c r="O301" i="63"/>
  <c r="O234" i="63"/>
  <c r="O245" i="63"/>
  <c r="O266" i="63"/>
  <c r="O335" i="63"/>
  <c r="O240" i="63"/>
  <c r="O290" i="63"/>
  <c r="O330" i="63"/>
  <c r="M310" i="63"/>
  <c r="M275" i="63"/>
  <c r="M330" i="63"/>
  <c r="M292" i="63"/>
  <c r="M311" i="63"/>
  <c r="P303" i="63"/>
  <c r="M312" i="63"/>
  <c r="M337" i="63"/>
  <c r="M329" i="63"/>
  <c r="M296" i="63"/>
  <c r="P234" i="63"/>
  <c r="P240" i="63"/>
  <c r="P324" i="63"/>
  <c r="P333" i="63"/>
  <c r="P286" i="63"/>
  <c r="M313" i="63"/>
  <c r="M254" i="63"/>
  <c r="P321" i="63"/>
  <c r="P253" i="63"/>
  <c r="M298" i="63"/>
  <c r="P284" i="63"/>
  <c r="M257" i="63"/>
  <c r="P312" i="63"/>
  <c r="P278" i="63"/>
  <c r="P237" i="63"/>
  <c r="M269" i="63"/>
  <c r="P332" i="63"/>
  <c r="P262" i="63"/>
  <c r="P252" i="63"/>
  <c r="P263" i="63"/>
  <c r="P322" i="63"/>
  <c r="P331" i="63"/>
  <c r="P276" i="63"/>
  <c r="P335" i="63"/>
  <c r="P292" i="63"/>
  <c r="P285" i="63"/>
  <c r="P291" i="63"/>
  <c r="M289" i="63"/>
  <c r="M236" i="63"/>
  <c r="M282" i="63"/>
  <c r="P306" i="63"/>
  <c r="M235" i="63"/>
  <c r="P327" i="63"/>
  <c r="P239" i="63"/>
  <c r="M231" i="63"/>
  <c r="M303" i="63"/>
  <c r="P277" i="63"/>
  <c r="P231" i="63"/>
  <c r="P269" i="63"/>
  <c r="F274" i="63"/>
  <c r="F320" i="63"/>
  <c r="G252" i="63"/>
  <c r="G250" i="63"/>
  <c r="G275" i="63"/>
  <c r="O254" i="63"/>
  <c r="O309" i="63"/>
  <c r="O263" i="63"/>
  <c r="O232" i="63"/>
  <c r="O239" i="63"/>
  <c r="O285" i="63"/>
  <c r="O323" i="63"/>
  <c r="O321" i="63"/>
  <c r="O236" i="63"/>
  <c r="O291" i="63"/>
  <c r="O233" i="63"/>
  <c r="O256" i="63"/>
  <c r="O304" i="63"/>
  <c r="O276" i="63"/>
  <c r="O277" i="63"/>
  <c r="O284" i="63"/>
  <c r="O303" i="63"/>
  <c r="AJ252" i="47"/>
  <c r="AK252" i="47" s="1"/>
  <c r="AV252" i="47" s="1"/>
  <c r="AW252" i="47" s="1"/>
  <c r="AX252" i="47" s="1"/>
  <c r="AV86" i="47"/>
  <c r="AW86" i="47" s="1"/>
  <c r="AX86" i="47" s="1"/>
  <c r="T134" i="54"/>
  <c r="Q374" i="47"/>
  <c r="AO84" i="47"/>
  <c r="AL223" i="47"/>
  <c r="AV223" i="47" s="1"/>
  <c r="AW223" i="47" s="1"/>
  <c r="AX223" i="47" s="1"/>
  <c r="AJ225" i="47"/>
  <c r="AK225" i="47" s="1"/>
  <c r="AO225" i="47" s="1"/>
  <c r="AM84" i="47"/>
  <c r="AN84" i="47" s="1"/>
  <c r="AK62" i="47"/>
  <c r="AO62" i="47" s="1"/>
  <c r="AP62" i="47" s="1"/>
  <c r="AJ222" i="47"/>
  <c r="AM222" i="47" s="1"/>
  <c r="AN222" i="47" s="1"/>
  <c r="AV81" i="47"/>
  <c r="AW81" i="47" s="1"/>
  <c r="AX81" i="47" s="1"/>
  <c r="AM86" i="47"/>
  <c r="AN86" i="47" s="1"/>
  <c r="AP86" i="47" s="1"/>
  <c r="AT86" i="47" s="1"/>
  <c r="AO79" i="47"/>
  <c r="AJ246" i="47"/>
  <c r="AK246" i="47" s="1"/>
  <c r="AO246" i="47" s="1"/>
  <c r="AK75" i="47"/>
  <c r="AO75" i="47" s="1"/>
  <c r="AP75" i="47" s="1"/>
  <c r="AM79" i="47"/>
  <c r="AN79" i="47" s="1"/>
  <c r="AJ254" i="47"/>
  <c r="AM254" i="47" s="1"/>
  <c r="AN254" i="47" s="1"/>
  <c r="AM81" i="47"/>
  <c r="AN81" i="47" s="1"/>
  <c r="AP81" i="47" s="1"/>
  <c r="AY81" i="47" s="1"/>
  <c r="AJ230" i="47"/>
  <c r="AM230" i="47" s="1"/>
  <c r="AN230" i="47" s="1"/>
  <c r="AL226" i="47"/>
  <c r="AM226" i="47" s="1"/>
  <c r="AN226" i="47" s="1"/>
  <c r="AJ238" i="47"/>
  <c r="AK238" i="47" s="1"/>
  <c r="P349" i="63"/>
  <c r="P170" i="63"/>
  <c r="AJ255" i="47"/>
  <c r="AK255" i="47" s="1"/>
  <c r="AO255" i="47" s="1"/>
  <c r="AL228" i="47"/>
  <c r="AM228" i="47" s="1"/>
  <c r="AN228" i="47" s="1"/>
  <c r="AL263" i="47"/>
  <c r="AO263" i="47" s="1"/>
  <c r="AM46" i="47"/>
  <c r="AN46" i="47" s="1"/>
  <c r="AM56" i="47"/>
  <c r="AN56" i="47" s="1"/>
  <c r="AJ237" i="47"/>
  <c r="AM237" i="47" s="1"/>
  <c r="AN237" i="47" s="1"/>
  <c r="AL247" i="47"/>
  <c r="AM247" i="47" s="1"/>
  <c r="AN247" i="47" s="1"/>
  <c r="AO61" i="47"/>
  <c r="AK52" i="47"/>
  <c r="AO52" i="47" s="1"/>
  <c r="AP52" i="47" s="1"/>
  <c r="AM61" i="47"/>
  <c r="AN61" i="47" s="1"/>
  <c r="AM85" i="47"/>
  <c r="AN85" i="47" s="1"/>
  <c r="AP85" i="47" s="1"/>
  <c r="AR85" i="47" s="1"/>
  <c r="AV85" i="47"/>
  <c r="AW85" i="47" s="1"/>
  <c r="AX85" i="47" s="1"/>
  <c r="AO83" i="47"/>
  <c r="AJ262" i="47"/>
  <c r="AK262" i="47" s="1"/>
  <c r="AO262" i="47" s="1"/>
  <c r="AM83" i="47"/>
  <c r="AN83" i="47" s="1"/>
  <c r="AL248" i="47"/>
  <c r="AM248" i="47" s="1"/>
  <c r="AN248" i="47" s="1"/>
  <c r="AJ261" i="47"/>
  <c r="AM261" i="47" s="1"/>
  <c r="AN261" i="47" s="1"/>
  <c r="AV55" i="47"/>
  <c r="AW55" i="47" s="1"/>
  <c r="AX55" i="47" s="1"/>
  <c r="AL258" i="47"/>
  <c r="AO258" i="47" s="1"/>
  <c r="AJ253" i="47"/>
  <c r="AM253" i="47" s="1"/>
  <c r="AN253" i="47" s="1"/>
  <c r="AL251" i="47"/>
  <c r="AM251" i="47" s="1"/>
  <c r="AN251" i="47" s="1"/>
  <c r="AJ235" i="47"/>
  <c r="AK235" i="47" s="1"/>
  <c r="AO235" i="47" s="1"/>
  <c r="AV78" i="47"/>
  <c r="AW78" i="47" s="1"/>
  <c r="AX78" i="47" s="1"/>
  <c r="AO78" i="47"/>
  <c r="AP78" i="47" s="1"/>
  <c r="AR78" i="47" s="1"/>
  <c r="AV64" i="47"/>
  <c r="AW64" i="47" s="1"/>
  <c r="AX64" i="47" s="1"/>
  <c r="AM64" i="47"/>
  <c r="AN64" i="47" s="1"/>
  <c r="AP64" i="47" s="1"/>
  <c r="AO68" i="47"/>
  <c r="AP68" i="47" s="1"/>
  <c r="AT68" i="47" s="1"/>
  <c r="AJ224" i="47"/>
  <c r="AK224" i="47" s="1"/>
  <c r="AV224" i="47" s="1"/>
  <c r="AW224" i="47" s="1"/>
  <c r="AX224" i="47" s="1"/>
  <c r="AK60" i="47"/>
  <c r="AO60" i="47" s="1"/>
  <c r="AP60" i="47" s="1"/>
  <c r="AV70" i="47"/>
  <c r="AW70" i="47" s="1"/>
  <c r="AX70" i="47" s="1"/>
  <c r="AJ231" i="47"/>
  <c r="AK231" i="47" s="1"/>
  <c r="AV231" i="47" s="1"/>
  <c r="AW231" i="47" s="1"/>
  <c r="AX231" i="47" s="1"/>
  <c r="AM70" i="47"/>
  <c r="AN70" i="47" s="1"/>
  <c r="AP70" i="47" s="1"/>
  <c r="AR70" i="47" s="1"/>
  <c r="AO45" i="47"/>
  <c r="AK82" i="47"/>
  <c r="AO82" i="47" s="1"/>
  <c r="AP82" i="47" s="1"/>
  <c r="AL257" i="47"/>
  <c r="AM257" i="47" s="1"/>
  <c r="AN257" i="47" s="1"/>
  <c r="AM71" i="47"/>
  <c r="AN71" i="47" s="1"/>
  <c r="AM73" i="47"/>
  <c r="AN73" i="47" s="1"/>
  <c r="AP73" i="47" s="1"/>
  <c r="AT73" i="47" s="1"/>
  <c r="AM55" i="47"/>
  <c r="AN55" i="47" s="1"/>
  <c r="AP55" i="47" s="1"/>
  <c r="AL256" i="47"/>
  <c r="AM256" i="47" s="1"/>
  <c r="AN256" i="47" s="1"/>
  <c r="AJ229" i="47"/>
  <c r="AK229" i="47" s="1"/>
  <c r="AM45" i="47"/>
  <c r="AN45" i="47" s="1"/>
  <c r="AV45" i="47"/>
  <c r="AW45" i="47" s="1"/>
  <c r="AX45" i="47" s="1"/>
  <c r="AJ249" i="47"/>
  <c r="AK249" i="47" s="1"/>
  <c r="AV249" i="47" s="1"/>
  <c r="AW249" i="47" s="1"/>
  <c r="AX249" i="47" s="1"/>
  <c r="AV73" i="47"/>
  <c r="AW73" i="47" s="1"/>
  <c r="AX73" i="47" s="1"/>
  <c r="AJ236" i="47"/>
  <c r="AK236" i="47" s="1"/>
  <c r="AO236" i="47" s="1"/>
  <c r="AO49" i="47"/>
  <c r="AP49" i="47" s="1"/>
  <c r="AT49" i="47" s="1"/>
  <c r="AV68" i="47"/>
  <c r="AW68" i="47" s="1"/>
  <c r="AX68" i="47" s="1"/>
  <c r="AJ232" i="47"/>
  <c r="AM232" i="47" s="1"/>
  <c r="AN232" i="47" s="1"/>
  <c r="AJ250" i="47"/>
  <c r="AK250" i="47" s="1"/>
  <c r="AO250" i="47" s="1"/>
  <c r="AK58" i="47"/>
  <c r="AO58" i="47" s="1"/>
  <c r="AP58" i="47" s="1"/>
  <c r="AL241" i="47"/>
  <c r="AM241" i="47" s="1"/>
  <c r="AN241" i="47" s="1"/>
  <c r="AJ245" i="47"/>
  <c r="AM245" i="47" s="1"/>
  <c r="AN245" i="47" s="1"/>
  <c r="AO51" i="47"/>
  <c r="AJ227" i="47"/>
  <c r="AM227" i="47" s="1"/>
  <c r="AN227" i="47" s="1"/>
  <c r="AO77" i="47"/>
  <c r="AM50" i="47"/>
  <c r="AN50" i="47" s="1"/>
  <c r="AJ264" i="47"/>
  <c r="AK264" i="47" s="1"/>
  <c r="AV264" i="47" s="1"/>
  <c r="AW264" i="47" s="1"/>
  <c r="AX264" i="47" s="1"/>
  <c r="AM77" i="47"/>
  <c r="AN77" i="47" s="1"/>
  <c r="AL234" i="47"/>
  <c r="AO234" i="47" s="1"/>
  <c r="AL260" i="47"/>
  <c r="AM260" i="47" s="1"/>
  <c r="AN260" i="47" s="1"/>
  <c r="AM51" i="47"/>
  <c r="AN51" i="47" s="1"/>
  <c r="AL233" i="47"/>
  <c r="AM233" i="47" s="1"/>
  <c r="AN233" i="47" s="1"/>
  <c r="AM74" i="47"/>
  <c r="AN74" i="47" s="1"/>
  <c r="AL239" i="47"/>
  <c r="AM239" i="47" s="1"/>
  <c r="AN239" i="47" s="1"/>
  <c r="AM77" i="54"/>
  <c r="AN77" i="54" s="1"/>
  <c r="AM52" i="54"/>
  <c r="AN52" i="54" s="1"/>
  <c r="AM68" i="54"/>
  <c r="AN68" i="54" s="1"/>
  <c r="AM58" i="54"/>
  <c r="AN58" i="54" s="1"/>
  <c r="AM80" i="54"/>
  <c r="AN80" i="54" s="1"/>
  <c r="AM60" i="54"/>
  <c r="AN60" i="54" s="1"/>
  <c r="AM49" i="54"/>
  <c r="AN49" i="54" s="1"/>
  <c r="AM54" i="54"/>
  <c r="AN54" i="54" s="1"/>
  <c r="AM78" i="54"/>
  <c r="AN78" i="54" s="1"/>
  <c r="AV59" i="54"/>
  <c r="AW59" i="54" s="1"/>
  <c r="AX59" i="54" s="1"/>
  <c r="AO59" i="54"/>
  <c r="AM85" i="54"/>
  <c r="AN85" i="54" s="1"/>
  <c r="AV68" i="54"/>
  <c r="AW68" i="54" s="1"/>
  <c r="AX68" i="54" s="1"/>
  <c r="AO68" i="54"/>
  <c r="AM47" i="54"/>
  <c r="AN47" i="54" s="1"/>
  <c r="AV75" i="54"/>
  <c r="AW75" i="54" s="1"/>
  <c r="AX75" i="54" s="1"/>
  <c r="AO75" i="54"/>
  <c r="AM79" i="54"/>
  <c r="AN79" i="54" s="1"/>
  <c r="AK57" i="54"/>
  <c r="AM57" i="54"/>
  <c r="AN57" i="54" s="1"/>
  <c r="AV70" i="54"/>
  <c r="AW70" i="54" s="1"/>
  <c r="AX70" i="54" s="1"/>
  <c r="AO70" i="54"/>
  <c r="AO45" i="54"/>
  <c r="AV45" i="54"/>
  <c r="AW45" i="54" s="1"/>
  <c r="AX45" i="54" s="1"/>
  <c r="AO78" i="54"/>
  <c r="AV78" i="54"/>
  <c r="AW78" i="54" s="1"/>
  <c r="AX78" i="54" s="1"/>
  <c r="AK71" i="54"/>
  <c r="AM71" i="54"/>
  <c r="AN71" i="54" s="1"/>
  <c r="AK53" i="54"/>
  <c r="AM53" i="54"/>
  <c r="AN53" i="54" s="1"/>
  <c r="AK51" i="54"/>
  <c r="AM51" i="54"/>
  <c r="AN51" i="54" s="1"/>
  <c r="AV58" i="54"/>
  <c r="AW58" i="54" s="1"/>
  <c r="AX58" i="54" s="1"/>
  <c r="AO58" i="54"/>
  <c r="AV72" i="54"/>
  <c r="AW72" i="54" s="1"/>
  <c r="AX72" i="54" s="1"/>
  <c r="AO72" i="54"/>
  <c r="AK61" i="54"/>
  <c r="AM61" i="54"/>
  <c r="AN61" i="54" s="1"/>
  <c r="AO47" i="54"/>
  <c r="AV47" i="54"/>
  <c r="AW47" i="54" s="1"/>
  <c r="AX47" i="54" s="1"/>
  <c r="AK63" i="54"/>
  <c r="AM63" i="54"/>
  <c r="AN63" i="54" s="1"/>
  <c r="AK73" i="54"/>
  <c r="AM73" i="54"/>
  <c r="AN73" i="54" s="1"/>
  <c r="AK76" i="54"/>
  <c r="AM76" i="54"/>
  <c r="AN76" i="54" s="1"/>
  <c r="AK50" i="54"/>
  <c r="AM50" i="54"/>
  <c r="AN50" i="54" s="1"/>
  <c r="AV82" i="54"/>
  <c r="AW82" i="54" s="1"/>
  <c r="AX82" i="54" s="1"/>
  <c r="AO82" i="54"/>
  <c r="AO84" i="54"/>
  <c r="AV84" i="54"/>
  <c r="AW84" i="54" s="1"/>
  <c r="AX84" i="54" s="1"/>
  <c r="AO52" i="54"/>
  <c r="AV52" i="54"/>
  <c r="AW52" i="54" s="1"/>
  <c r="AX52" i="54" s="1"/>
  <c r="AO46" i="54"/>
  <c r="AV46" i="54"/>
  <c r="AW46" i="54" s="1"/>
  <c r="AX46" i="54" s="1"/>
  <c r="AK56" i="54"/>
  <c r="AM56" i="54"/>
  <c r="AN56" i="54" s="1"/>
  <c r="AK83" i="54"/>
  <c r="AM83" i="54"/>
  <c r="AN83" i="54" s="1"/>
  <c r="AK62" i="54"/>
  <c r="AM62" i="54"/>
  <c r="AN62" i="54" s="1"/>
  <c r="AM75" i="54"/>
  <c r="AN75" i="54" s="1"/>
  <c r="AK55" i="54"/>
  <c r="AV55" i="54" s="1"/>
  <c r="AW55" i="54" s="1"/>
  <c r="AX55" i="54" s="1"/>
  <c r="AM55" i="54"/>
  <c r="AN55" i="54" s="1"/>
  <c r="AK60" i="54"/>
  <c r="AK49" i="54"/>
  <c r="AK48" i="54"/>
  <c r="AM48" i="54"/>
  <c r="AN48" i="54" s="1"/>
  <c r="AO81" i="54"/>
  <c r="AV81" i="54"/>
  <c r="AW81" i="54" s="1"/>
  <c r="AX81" i="54" s="1"/>
  <c r="AK86" i="54"/>
  <c r="AM86" i="54"/>
  <c r="AN86" i="54" s="1"/>
  <c r="AM70" i="54"/>
  <c r="AN70" i="54" s="1"/>
  <c r="AM59" i="54"/>
  <c r="AN59" i="54" s="1"/>
  <c r="AO69" i="54"/>
  <c r="AV69" i="54"/>
  <c r="AW69" i="54" s="1"/>
  <c r="AX69" i="54" s="1"/>
  <c r="AK54" i="54"/>
  <c r="AM72" i="54"/>
  <c r="AN72" i="54" s="1"/>
  <c r="AK87" i="54"/>
  <c r="AM87" i="54"/>
  <c r="AN87" i="54" s="1"/>
  <c r="AK85" i="54"/>
  <c r="AK80" i="54"/>
  <c r="AM81" i="54"/>
  <c r="AN81" i="54" s="1"/>
  <c r="AK64" i="54"/>
  <c r="AM64" i="54"/>
  <c r="AN64" i="54" s="1"/>
  <c r="AK79" i="54"/>
  <c r="AK77" i="54"/>
  <c r="AK74" i="54"/>
  <c r="AM74" i="54"/>
  <c r="AN74" i="54" s="1"/>
  <c r="AM82" i="54"/>
  <c r="AN82" i="54" s="1"/>
  <c r="AM84" i="54"/>
  <c r="AN84" i="54" s="1"/>
  <c r="AM45" i="54"/>
  <c r="AN45" i="54" s="1"/>
  <c r="AM46" i="54"/>
  <c r="AN46" i="54" s="1"/>
  <c r="AM69" i="54"/>
  <c r="AN69" i="54" s="1"/>
  <c r="AV49" i="47"/>
  <c r="AW49" i="47" s="1"/>
  <c r="AX49" i="47" s="1"/>
  <c r="AO76" i="47"/>
  <c r="AP76" i="47" s="1"/>
  <c r="AT76" i="47" s="1"/>
  <c r="AK260" i="47"/>
  <c r="AK257" i="47"/>
  <c r="AK251" i="47"/>
  <c r="AO46" i="47"/>
  <c r="AV46" i="47"/>
  <c r="AW46" i="47" s="1"/>
  <c r="AX46" i="47" s="1"/>
  <c r="AK233" i="47"/>
  <c r="AV72" i="47"/>
  <c r="AW72" i="47" s="1"/>
  <c r="AX72" i="47" s="1"/>
  <c r="AO72" i="47"/>
  <c r="AP72" i="47" s="1"/>
  <c r="AK228" i="47"/>
  <c r="AO87" i="47"/>
  <c r="AP87" i="47" s="1"/>
  <c r="AV87" i="47"/>
  <c r="AW87" i="47" s="1"/>
  <c r="AX87" i="47" s="1"/>
  <c r="AO57" i="47"/>
  <c r="AP57" i="47" s="1"/>
  <c r="AV57" i="47"/>
  <c r="AW57" i="47" s="1"/>
  <c r="AX57" i="47" s="1"/>
  <c r="AO48" i="47"/>
  <c r="AP48" i="47" s="1"/>
  <c r="AV48" i="47"/>
  <c r="AW48" i="47" s="1"/>
  <c r="AX48" i="47" s="1"/>
  <c r="AO54" i="47"/>
  <c r="AP54" i="47" s="1"/>
  <c r="AV54" i="47"/>
  <c r="AW54" i="47" s="1"/>
  <c r="AX54" i="47" s="1"/>
  <c r="AV74" i="47"/>
  <c r="AW74" i="47" s="1"/>
  <c r="AX74" i="47" s="1"/>
  <c r="AO74" i="47"/>
  <c r="AO71" i="47"/>
  <c r="AV71" i="47"/>
  <c r="AW71" i="47" s="1"/>
  <c r="AX71" i="47" s="1"/>
  <c r="AO63" i="47"/>
  <c r="AP63" i="47" s="1"/>
  <c r="AV63" i="47"/>
  <c r="AW63" i="47" s="1"/>
  <c r="AX63" i="47" s="1"/>
  <c r="AK247" i="47"/>
  <c r="AK241" i="47"/>
  <c r="AK226" i="47"/>
  <c r="AV80" i="47"/>
  <c r="AW80" i="47" s="1"/>
  <c r="AX80" i="47" s="1"/>
  <c r="AO80" i="47"/>
  <c r="AP80" i="47" s="1"/>
  <c r="AO59" i="47"/>
  <c r="AP59" i="47" s="1"/>
  <c r="AV59" i="47"/>
  <c r="AW59" i="47" s="1"/>
  <c r="AX59" i="47" s="1"/>
  <c r="AO56" i="47"/>
  <c r="AV56" i="47"/>
  <c r="AW56" i="47" s="1"/>
  <c r="AX56" i="47" s="1"/>
  <c r="AO50" i="47"/>
  <c r="AV50" i="47"/>
  <c r="AW50" i="47" s="1"/>
  <c r="AX50" i="47" s="1"/>
  <c r="AO53" i="47"/>
  <c r="AP53" i="47" s="1"/>
  <c r="AV53" i="47"/>
  <c r="AW53" i="47" s="1"/>
  <c r="AX53" i="47" s="1"/>
  <c r="AO47" i="47"/>
  <c r="AP47" i="47" s="1"/>
  <c r="AV47" i="47"/>
  <c r="AW47" i="47" s="1"/>
  <c r="AX47" i="47" s="1"/>
  <c r="AM86" i="11"/>
  <c r="AN86" i="11" s="1"/>
  <c r="AP86" i="11" s="1"/>
  <c r="AT86" i="11" s="1"/>
  <c r="AV86" i="11"/>
  <c r="AW86" i="11" s="1"/>
  <c r="AX86" i="11" s="1"/>
  <c r="AL240" i="11"/>
  <c r="AM240" i="11" s="1"/>
  <c r="AN240" i="11" s="1"/>
  <c r="AO62" i="11"/>
  <c r="AM50" i="11"/>
  <c r="AN50" i="11" s="1"/>
  <c r="AM56" i="11"/>
  <c r="AN56" i="11" s="1"/>
  <c r="AP187" i="11"/>
  <c r="AR187" i="11" s="1"/>
  <c r="AS187" i="11" s="1"/>
  <c r="AV48" i="11"/>
  <c r="AW48" i="11" s="1"/>
  <c r="AX48" i="11" s="1"/>
  <c r="AM48" i="11"/>
  <c r="AN48" i="11" s="1"/>
  <c r="AP48" i="11" s="1"/>
  <c r="AM62" i="11"/>
  <c r="AN62" i="11" s="1"/>
  <c r="AV57" i="11"/>
  <c r="AW57" i="11" s="1"/>
  <c r="AX57" i="11" s="1"/>
  <c r="AJ232" i="11"/>
  <c r="AK232" i="11" s="1"/>
  <c r="AV232" i="11" s="1"/>
  <c r="AW232" i="11" s="1"/>
  <c r="AX232" i="11" s="1"/>
  <c r="AO56" i="11"/>
  <c r="AO57" i="11"/>
  <c r="AP57" i="11" s="1"/>
  <c r="AR57" i="11" s="1"/>
  <c r="AP164" i="11"/>
  <c r="AR164" i="11" s="1"/>
  <c r="AS164" i="11" s="1"/>
  <c r="AV162" i="11"/>
  <c r="AW162" i="11" s="1"/>
  <c r="AX162" i="11" s="1"/>
  <c r="AV54" i="11"/>
  <c r="AW54" i="11" s="1"/>
  <c r="AX54" i="11" s="1"/>
  <c r="AM54" i="11"/>
  <c r="AN54" i="11" s="1"/>
  <c r="AP54" i="11" s="1"/>
  <c r="AT54" i="11" s="1"/>
  <c r="AV161" i="11"/>
  <c r="AW161" i="11" s="1"/>
  <c r="AX161" i="11" s="1"/>
  <c r="AO161" i="11"/>
  <c r="AP161" i="11" s="1"/>
  <c r="AR161" i="11" s="1"/>
  <c r="AJ237" i="11"/>
  <c r="AK237" i="11" s="1"/>
  <c r="AV237" i="11" s="1"/>
  <c r="AW237" i="11" s="1"/>
  <c r="AX237" i="11" s="1"/>
  <c r="AJ239" i="11"/>
  <c r="AK239" i="11" s="1"/>
  <c r="AO239" i="11" s="1"/>
  <c r="AL252" i="11"/>
  <c r="AV252" i="11" s="1"/>
  <c r="AW252" i="11" s="1"/>
  <c r="AX252" i="11" s="1"/>
  <c r="AL319" i="11"/>
  <c r="AO319" i="11" s="1"/>
  <c r="AP182" i="11"/>
  <c r="AT182" i="11" s="1"/>
  <c r="AP177" i="11"/>
  <c r="AY177" i="11" s="1"/>
  <c r="AM104" i="11"/>
  <c r="AN104" i="11" s="1"/>
  <c r="AP104" i="11" s="1"/>
  <c r="AT104" i="11" s="1"/>
  <c r="AL324" i="11"/>
  <c r="AM324" i="11" s="1"/>
  <c r="AN324" i="11" s="1"/>
  <c r="AO188" i="11"/>
  <c r="AP188" i="11" s="1"/>
  <c r="AR188" i="11" s="1"/>
  <c r="AP189" i="11"/>
  <c r="AR189" i="11" s="1"/>
  <c r="AS189" i="11" s="1"/>
  <c r="AV179" i="11"/>
  <c r="AW179" i="11" s="1"/>
  <c r="AX179" i="11" s="1"/>
  <c r="AO179" i="11"/>
  <c r="AP179" i="11" s="1"/>
  <c r="AY179" i="11" s="1"/>
  <c r="AM63" i="11"/>
  <c r="AN63" i="11" s="1"/>
  <c r="AV104" i="11"/>
  <c r="AW104" i="11" s="1"/>
  <c r="AX104" i="11" s="1"/>
  <c r="AV365" i="11"/>
  <c r="AW365" i="11" s="1"/>
  <c r="AX365" i="11" s="1"/>
  <c r="AJ263" i="11"/>
  <c r="AK263" i="11" s="1"/>
  <c r="AV263" i="11" s="1"/>
  <c r="AW263" i="11" s="1"/>
  <c r="AX263" i="11" s="1"/>
  <c r="AP175" i="11"/>
  <c r="AT175" i="11" s="1"/>
  <c r="AO178" i="11"/>
  <c r="AP178" i="11" s="1"/>
  <c r="AT178" i="11" s="1"/>
  <c r="AV180" i="11"/>
  <c r="AW180" i="11" s="1"/>
  <c r="AX180" i="11" s="1"/>
  <c r="AO180" i="11"/>
  <c r="AP180" i="11" s="1"/>
  <c r="AT180" i="11" s="1"/>
  <c r="AP176" i="11"/>
  <c r="AY176" i="11" s="1"/>
  <c r="AT163" i="11"/>
  <c r="AM46" i="11"/>
  <c r="AN46" i="11" s="1"/>
  <c r="AR163" i="11"/>
  <c r="AS163" i="11" s="1"/>
  <c r="AM114" i="11"/>
  <c r="AN114" i="11" s="1"/>
  <c r="AM105" i="11"/>
  <c r="AN105" i="11" s="1"/>
  <c r="AO46" i="11"/>
  <c r="AL256" i="11"/>
  <c r="AM256" i="11" s="1"/>
  <c r="AN256" i="11" s="1"/>
  <c r="AK147" i="11"/>
  <c r="AO147" i="11" s="1"/>
  <c r="AP147" i="11" s="1"/>
  <c r="AM365" i="11"/>
  <c r="AN365" i="11" s="1"/>
  <c r="AP365" i="11" s="1"/>
  <c r="AO363" i="11"/>
  <c r="AM363" i="11"/>
  <c r="AN363" i="11" s="1"/>
  <c r="AR185" i="11"/>
  <c r="AU185" i="11" s="1"/>
  <c r="AZ185" i="11" s="1"/>
  <c r="AO128" i="11"/>
  <c r="AL241" i="11"/>
  <c r="AV241" i="11" s="1"/>
  <c r="AW241" i="11" s="1"/>
  <c r="AX241" i="11" s="1"/>
  <c r="AM128" i="11"/>
  <c r="AN128" i="11" s="1"/>
  <c r="AL227" i="11"/>
  <c r="AM227" i="11" s="1"/>
  <c r="AN227" i="11" s="1"/>
  <c r="AV100" i="11"/>
  <c r="AW100" i="11" s="1"/>
  <c r="AX100" i="11" s="1"/>
  <c r="AJ327" i="11"/>
  <c r="AK327" i="11" s="1"/>
  <c r="AV327" i="11" s="1"/>
  <c r="AW327" i="11" s="1"/>
  <c r="AX327" i="11" s="1"/>
  <c r="AM100" i="11"/>
  <c r="AN100" i="11" s="1"/>
  <c r="AP100" i="11" s="1"/>
  <c r="AT100" i="11" s="1"/>
  <c r="AL331" i="11"/>
  <c r="AM331" i="11" s="1"/>
  <c r="AN331" i="11" s="1"/>
  <c r="AJ264" i="11"/>
  <c r="AM264" i="11" s="1"/>
  <c r="AN264" i="11" s="1"/>
  <c r="AJ226" i="11"/>
  <c r="AK226" i="11" s="1"/>
  <c r="AO226" i="11" s="1"/>
  <c r="AV115" i="11"/>
  <c r="AW115" i="11" s="1"/>
  <c r="AX115" i="11" s="1"/>
  <c r="AJ285" i="11"/>
  <c r="AM285" i="11" s="1"/>
  <c r="AN285" i="11" s="1"/>
  <c r="AR183" i="11"/>
  <c r="AS183" i="11" s="1"/>
  <c r="AL247" i="11"/>
  <c r="AM247" i="11" s="1"/>
  <c r="AN247" i="11" s="1"/>
  <c r="AK91" i="11"/>
  <c r="AO91" i="11" s="1"/>
  <c r="AP91" i="11" s="1"/>
  <c r="AL257" i="11"/>
  <c r="AM257" i="11" s="1"/>
  <c r="AN257" i="11" s="1"/>
  <c r="AJ233" i="11"/>
  <c r="AK233" i="11" s="1"/>
  <c r="AO233" i="11" s="1"/>
  <c r="AJ228" i="11"/>
  <c r="AK228" i="11" s="1"/>
  <c r="AO228" i="11" s="1"/>
  <c r="AJ248" i="11"/>
  <c r="AK248" i="11" s="1"/>
  <c r="AO248" i="11" s="1"/>
  <c r="AT183" i="11"/>
  <c r="AV114" i="11"/>
  <c r="AW114" i="11" s="1"/>
  <c r="AX114" i="11" s="1"/>
  <c r="AO114" i="11"/>
  <c r="AL236" i="11"/>
  <c r="AO236" i="11" s="1"/>
  <c r="AJ260" i="11"/>
  <c r="AM260" i="11" s="1"/>
  <c r="AN260" i="11" s="1"/>
  <c r="AL249" i="11"/>
  <c r="AM249" i="11" s="1"/>
  <c r="AN249" i="11" s="1"/>
  <c r="AJ300" i="11"/>
  <c r="AK300" i="11" s="1"/>
  <c r="AO300" i="11" s="1"/>
  <c r="AV149" i="11"/>
  <c r="AW149" i="11" s="1"/>
  <c r="AX149" i="11" s="1"/>
  <c r="AO149" i="11"/>
  <c r="AL296" i="11"/>
  <c r="AM296" i="11" s="1"/>
  <c r="AN296" i="11" s="1"/>
  <c r="AY185" i="11"/>
  <c r="AJ261" i="11"/>
  <c r="AK261" i="11" s="1"/>
  <c r="AM138" i="11"/>
  <c r="AN138" i="11" s="1"/>
  <c r="AL315" i="11"/>
  <c r="AM315" i="11" s="1"/>
  <c r="AN315" i="11" s="1"/>
  <c r="AL323" i="11"/>
  <c r="AV323" i="11" s="1"/>
  <c r="AW323" i="11" s="1"/>
  <c r="AX323" i="11" s="1"/>
  <c r="AM149" i="11"/>
  <c r="AN149" i="11" s="1"/>
  <c r="AY184" i="11"/>
  <c r="AR184" i="11"/>
  <c r="AU184" i="11" s="1"/>
  <c r="AZ184" i="11" s="1"/>
  <c r="AM115" i="11"/>
  <c r="AN115" i="11" s="1"/>
  <c r="AP115" i="11" s="1"/>
  <c r="AK315" i="11"/>
  <c r="AJ231" i="11"/>
  <c r="AM231" i="11" s="1"/>
  <c r="AN231" i="11" s="1"/>
  <c r="AK331" i="11"/>
  <c r="AK249" i="11"/>
  <c r="AK296" i="11"/>
  <c r="AK63" i="11"/>
  <c r="AM153" i="11"/>
  <c r="AN153" i="11" s="1"/>
  <c r="AK138" i="11"/>
  <c r="AV138" i="11" s="1"/>
  <c r="AW138" i="11" s="1"/>
  <c r="AX138" i="11" s="1"/>
  <c r="AM116" i="11"/>
  <c r="AN116" i="11" s="1"/>
  <c r="AK153" i="11"/>
  <c r="AO153" i="11" s="1"/>
  <c r="AM145" i="11"/>
  <c r="AN145" i="11" s="1"/>
  <c r="AM131" i="11"/>
  <c r="AN131" i="11" s="1"/>
  <c r="AM119" i="11"/>
  <c r="AN119" i="11" s="1"/>
  <c r="AO366" i="11"/>
  <c r="AV366" i="11"/>
  <c r="AW366" i="11" s="1"/>
  <c r="AX366" i="11" s="1"/>
  <c r="AT162" i="11"/>
  <c r="AR162" i="11"/>
  <c r="AY162" i="11"/>
  <c r="AT181" i="11"/>
  <c r="AR181" i="11"/>
  <c r="AY181" i="11"/>
  <c r="AV364" i="11"/>
  <c r="AW364" i="11" s="1"/>
  <c r="AX364" i="11" s="1"/>
  <c r="AO364" i="11"/>
  <c r="AP364" i="11" s="1"/>
  <c r="AM366" i="11"/>
  <c r="AN366" i="11" s="1"/>
  <c r="AR186" i="11"/>
  <c r="AT186" i="11"/>
  <c r="AY186" i="11"/>
  <c r="AM126" i="11"/>
  <c r="AN126" i="11" s="1"/>
  <c r="AM130" i="11"/>
  <c r="AN130" i="11" s="1"/>
  <c r="AM143" i="11"/>
  <c r="AN143" i="11" s="1"/>
  <c r="AM108" i="11"/>
  <c r="AN108" i="11" s="1"/>
  <c r="AM78" i="11"/>
  <c r="AN78" i="11" s="1"/>
  <c r="AM124" i="11"/>
  <c r="AN124" i="11" s="1"/>
  <c r="AM72" i="11"/>
  <c r="AN72" i="11" s="1"/>
  <c r="AM151" i="11"/>
  <c r="AN151" i="11" s="1"/>
  <c r="AM139" i="11"/>
  <c r="AN139" i="11" s="1"/>
  <c r="AM110" i="11"/>
  <c r="AN110" i="11" s="1"/>
  <c r="AM146" i="11"/>
  <c r="AN146" i="11" s="1"/>
  <c r="AM141" i="11"/>
  <c r="AN141" i="11" s="1"/>
  <c r="AM132" i="11"/>
  <c r="AN132" i="11" s="1"/>
  <c r="AM84" i="11"/>
  <c r="AN84" i="11" s="1"/>
  <c r="AM70" i="11"/>
  <c r="AN70" i="11" s="1"/>
  <c r="AM109" i="11"/>
  <c r="AN109" i="11" s="1"/>
  <c r="AM148" i="11"/>
  <c r="AN148" i="11" s="1"/>
  <c r="AM68" i="11"/>
  <c r="AN68" i="11" s="1"/>
  <c r="AM127" i="11"/>
  <c r="AN127" i="11" s="1"/>
  <c r="AM118" i="11"/>
  <c r="AN118" i="11" s="1"/>
  <c r="AM53" i="11"/>
  <c r="AN53" i="11" s="1"/>
  <c r="AK151" i="11"/>
  <c r="AO151" i="11" s="1"/>
  <c r="AM64" i="11"/>
  <c r="AN64" i="11" s="1"/>
  <c r="AM152" i="11"/>
  <c r="AN152" i="11" s="1"/>
  <c r="AM74" i="11"/>
  <c r="AN74" i="11" s="1"/>
  <c r="AM150" i="11"/>
  <c r="AN150" i="11" s="1"/>
  <c r="AM140" i="11"/>
  <c r="AN140" i="11" s="1"/>
  <c r="AM142" i="11"/>
  <c r="AN142" i="11" s="1"/>
  <c r="AK116" i="11"/>
  <c r="AM61" i="11"/>
  <c r="AN61" i="11" s="1"/>
  <c r="AV50" i="11"/>
  <c r="AW50" i="11" s="1"/>
  <c r="AX50" i="11" s="1"/>
  <c r="AO50" i="11"/>
  <c r="AO92" i="11"/>
  <c r="AV92" i="11"/>
  <c r="AW92" i="11" s="1"/>
  <c r="AX92" i="11" s="1"/>
  <c r="AM92" i="11"/>
  <c r="AN92" i="11" s="1"/>
  <c r="AK109" i="11"/>
  <c r="AO82" i="11"/>
  <c r="AV82" i="11"/>
  <c r="AW82" i="11" s="1"/>
  <c r="AX82" i="11" s="1"/>
  <c r="AM82" i="11"/>
  <c r="AN82" i="11" s="1"/>
  <c r="AK129" i="11"/>
  <c r="AM129" i="11"/>
  <c r="AN129" i="11" s="1"/>
  <c r="AK148" i="11"/>
  <c r="AK68" i="11"/>
  <c r="AM101" i="11"/>
  <c r="AN101" i="11" s="1"/>
  <c r="AM87" i="11"/>
  <c r="AN87" i="11" s="1"/>
  <c r="AK59" i="11"/>
  <c r="AM59" i="11"/>
  <c r="AN59" i="11" s="1"/>
  <c r="AM45" i="11"/>
  <c r="AN45" i="11" s="1"/>
  <c r="AV45" i="11"/>
  <c r="AW45" i="11" s="1"/>
  <c r="AX45" i="11" s="1"/>
  <c r="AO45" i="11"/>
  <c r="AK155" i="11"/>
  <c r="AM155" i="11"/>
  <c r="AN155" i="11" s="1"/>
  <c r="AM156" i="11"/>
  <c r="AN156" i="11" s="1"/>
  <c r="AK127" i="11"/>
  <c r="AK143" i="11"/>
  <c r="AK53" i="11"/>
  <c r="AO137" i="11"/>
  <c r="AV137" i="11"/>
  <c r="AW137" i="11" s="1"/>
  <c r="AX137" i="11" s="1"/>
  <c r="AM137" i="11"/>
  <c r="AN137" i="11" s="1"/>
  <c r="AM133" i="11"/>
  <c r="AN133" i="11" s="1"/>
  <c r="AM76" i="11"/>
  <c r="AN76" i="11" s="1"/>
  <c r="AM58" i="11"/>
  <c r="AN58" i="11" s="1"/>
  <c r="AK99" i="11"/>
  <c r="AM99" i="11"/>
  <c r="AN99" i="11" s="1"/>
  <c r="AO52" i="11"/>
  <c r="AV52" i="11"/>
  <c r="AW52" i="11" s="1"/>
  <c r="AX52" i="11" s="1"/>
  <c r="AM52" i="11"/>
  <c r="AN52" i="11" s="1"/>
  <c r="AK124" i="11"/>
  <c r="AV122" i="11"/>
  <c r="AW122" i="11" s="1"/>
  <c r="AX122" i="11" s="1"/>
  <c r="AO122" i="11"/>
  <c r="AM122" i="11"/>
  <c r="AN122" i="11" s="1"/>
  <c r="AK72" i="11"/>
  <c r="AM102" i="11"/>
  <c r="AN102" i="11" s="1"/>
  <c r="AK131" i="11"/>
  <c r="AK119" i="11"/>
  <c r="AM80" i="11"/>
  <c r="AN80" i="11" s="1"/>
  <c r="AK139" i="11"/>
  <c r="AM83" i="11"/>
  <c r="AN83" i="11" s="1"/>
  <c r="AK103" i="11"/>
  <c r="AM103" i="11"/>
  <c r="AN103" i="11" s="1"/>
  <c r="AK110" i="11"/>
  <c r="AK152" i="11"/>
  <c r="AM75" i="11"/>
  <c r="AN75" i="11" s="1"/>
  <c r="AK132" i="11"/>
  <c r="AK140" i="11"/>
  <c r="AM79" i="11"/>
  <c r="AN79" i="11" s="1"/>
  <c r="AV60" i="11"/>
  <c r="AW60" i="11" s="1"/>
  <c r="AX60" i="11" s="1"/>
  <c r="AO60" i="11"/>
  <c r="AM60" i="11"/>
  <c r="AN60" i="11" s="1"/>
  <c r="AJ308" i="11"/>
  <c r="AK308" i="11" s="1"/>
  <c r="AL308" i="11"/>
  <c r="AJ271" i="11"/>
  <c r="AK271" i="11" s="1"/>
  <c r="AL271" i="11"/>
  <c r="AK256" i="11"/>
  <c r="AK247" i="11"/>
  <c r="AL310" i="11"/>
  <c r="AJ310" i="11"/>
  <c r="AJ279" i="11"/>
  <c r="AL279" i="11"/>
  <c r="AL321" i="11"/>
  <c r="AJ321" i="11"/>
  <c r="AK321" i="11" s="1"/>
  <c r="AL299" i="11"/>
  <c r="AJ299" i="11"/>
  <c r="AL234" i="11"/>
  <c r="AJ234" i="11"/>
  <c r="AL317" i="11"/>
  <c r="AJ317" i="11"/>
  <c r="AK317" i="11" s="1"/>
  <c r="AJ301" i="11"/>
  <c r="AL301" i="11"/>
  <c r="AL332" i="11"/>
  <c r="AJ332" i="11"/>
  <c r="AK332" i="11" s="1"/>
  <c r="AJ309" i="11"/>
  <c r="AK309" i="11" s="1"/>
  <c r="AL309" i="11"/>
  <c r="AJ283" i="11"/>
  <c r="AK283" i="11" s="1"/>
  <c r="AL283" i="11"/>
  <c r="AL281" i="11"/>
  <c r="AJ281" i="11"/>
  <c r="AK281" i="11" s="1"/>
  <c r="AJ316" i="11"/>
  <c r="AL316" i="11"/>
  <c r="AL295" i="11"/>
  <c r="AJ295" i="11"/>
  <c r="AJ305" i="11"/>
  <c r="AK305" i="11" s="1"/>
  <c r="AL305" i="11"/>
  <c r="AJ258" i="11"/>
  <c r="AK258" i="11" s="1"/>
  <c r="AL258" i="11"/>
  <c r="AJ328" i="11"/>
  <c r="AK328" i="11" s="1"/>
  <c r="AL328" i="11"/>
  <c r="AJ297" i="11"/>
  <c r="AL297" i="11"/>
  <c r="AM71" i="11"/>
  <c r="AN71" i="11" s="1"/>
  <c r="AM98" i="11"/>
  <c r="AN98" i="11" s="1"/>
  <c r="AM97" i="11"/>
  <c r="AN97" i="11" s="1"/>
  <c r="AM49" i="11"/>
  <c r="AN49" i="11" s="1"/>
  <c r="AM120" i="11"/>
  <c r="AN120" i="11" s="1"/>
  <c r="AM123" i="11"/>
  <c r="AN123" i="11" s="1"/>
  <c r="AV96" i="11"/>
  <c r="AW96" i="11" s="1"/>
  <c r="AX96" i="11" s="1"/>
  <c r="AO96" i="11"/>
  <c r="AM96" i="11"/>
  <c r="AN96" i="11" s="1"/>
  <c r="AV154" i="11"/>
  <c r="AW154" i="11" s="1"/>
  <c r="AX154" i="11" s="1"/>
  <c r="AO154" i="11"/>
  <c r="AM154" i="11"/>
  <c r="AN154" i="11" s="1"/>
  <c r="AK121" i="11"/>
  <c r="AM121" i="11"/>
  <c r="AN121" i="11" s="1"/>
  <c r="AK73" i="11"/>
  <c r="AM73" i="11"/>
  <c r="AN73" i="11" s="1"/>
  <c r="AK84" i="11"/>
  <c r="AM93" i="11"/>
  <c r="AN93" i="11" s="1"/>
  <c r="AM94" i="11"/>
  <c r="AN94" i="11" s="1"/>
  <c r="AO55" i="11"/>
  <c r="AP55" i="11" s="1"/>
  <c r="AV55" i="11"/>
  <c r="AW55" i="11" s="1"/>
  <c r="AX55" i="11" s="1"/>
  <c r="AM106" i="11"/>
  <c r="AN106" i="11" s="1"/>
  <c r="AJ330" i="11"/>
  <c r="AK330" i="11" s="1"/>
  <c r="AL330" i="11"/>
  <c r="AL251" i="11"/>
  <c r="AJ251" i="11"/>
  <c r="AL229" i="11"/>
  <c r="AJ229" i="11"/>
  <c r="AJ262" i="11"/>
  <c r="AK262" i="11" s="1"/>
  <c r="AL262" i="11"/>
  <c r="AJ314" i="11"/>
  <c r="AK314" i="11" s="1"/>
  <c r="AL314" i="11"/>
  <c r="AJ318" i="11"/>
  <c r="AK318" i="11" s="1"/>
  <c r="AL318" i="11"/>
  <c r="AJ320" i="11"/>
  <c r="AL320" i="11"/>
  <c r="AL325" i="11"/>
  <c r="AJ325" i="11"/>
  <c r="AK325" i="11" s="1"/>
  <c r="AJ276" i="11"/>
  <c r="AK276" i="11" s="1"/>
  <c r="AL276" i="11"/>
  <c r="AJ326" i="11"/>
  <c r="AK326" i="11" s="1"/>
  <c r="AL326" i="11"/>
  <c r="AL274" i="11"/>
  <c r="AJ274" i="11"/>
  <c r="AL303" i="11"/>
  <c r="AJ303" i="11"/>
  <c r="AL273" i="11"/>
  <c r="AJ273" i="11"/>
  <c r="AL306" i="11"/>
  <c r="AJ306" i="11"/>
  <c r="AL293" i="11"/>
  <c r="AJ293" i="11"/>
  <c r="AK293" i="11" s="1"/>
  <c r="AL298" i="11"/>
  <c r="AJ298" i="11"/>
  <c r="AJ253" i="11"/>
  <c r="AK253" i="11" s="1"/>
  <c r="AL253" i="11"/>
  <c r="AJ304" i="11"/>
  <c r="AK304" i="11" s="1"/>
  <c r="AL304" i="11"/>
  <c r="AJ275" i="11"/>
  <c r="AK275" i="11" s="1"/>
  <c r="AL275" i="11"/>
  <c r="AK125" i="11"/>
  <c r="AM125" i="11"/>
  <c r="AN125" i="11" s="1"/>
  <c r="AO61" i="11"/>
  <c r="AV61" i="11"/>
  <c r="AW61" i="11" s="1"/>
  <c r="AX61" i="11" s="1"/>
  <c r="AK51" i="11"/>
  <c r="AM51" i="11"/>
  <c r="AN51" i="11" s="1"/>
  <c r="AO105" i="11"/>
  <c r="AV105" i="11"/>
  <c r="AW105" i="11" s="1"/>
  <c r="AX105" i="11" s="1"/>
  <c r="AV144" i="11"/>
  <c r="AW144" i="11" s="1"/>
  <c r="AX144" i="11" s="1"/>
  <c r="AO144" i="11"/>
  <c r="AP144" i="11" s="1"/>
  <c r="AO101" i="11"/>
  <c r="AV101" i="11"/>
  <c r="AW101" i="11" s="1"/>
  <c r="AX101" i="11" s="1"/>
  <c r="AO87" i="11"/>
  <c r="AV87" i="11"/>
  <c r="AW87" i="11" s="1"/>
  <c r="AX87" i="11" s="1"/>
  <c r="AO145" i="11"/>
  <c r="AV145" i="11"/>
  <c r="AW145" i="11" s="1"/>
  <c r="AX145" i="11" s="1"/>
  <c r="AV156" i="11"/>
  <c r="AW156" i="11" s="1"/>
  <c r="AX156" i="11" s="1"/>
  <c r="AO156" i="11"/>
  <c r="AO118" i="11"/>
  <c r="AV118" i="11"/>
  <c r="AW118" i="11" s="1"/>
  <c r="AX118" i="11" s="1"/>
  <c r="AO108" i="11"/>
  <c r="AV108" i="11"/>
  <c r="AW108" i="11" s="1"/>
  <c r="AX108" i="11" s="1"/>
  <c r="AK47" i="11"/>
  <c r="AM47" i="11"/>
  <c r="AN47" i="11" s="1"/>
  <c r="AV78" i="11"/>
  <c r="AW78" i="11" s="1"/>
  <c r="AX78" i="11" s="1"/>
  <c r="AO78" i="11"/>
  <c r="AV133" i="11"/>
  <c r="AW133" i="11" s="1"/>
  <c r="AX133" i="11" s="1"/>
  <c r="AO133" i="11"/>
  <c r="AO126" i="11"/>
  <c r="AV126" i="11"/>
  <c r="AW126" i="11" s="1"/>
  <c r="AX126" i="11" s="1"/>
  <c r="AV76" i="11"/>
  <c r="AW76" i="11" s="1"/>
  <c r="AX76" i="11" s="1"/>
  <c r="AO76" i="11"/>
  <c r="AV58" i="11"/>
  <c r="AW58" i="11" s="1"/>
  <c r="AX58" i="11" s="1"/>
  <c r="AO58" i="11"/>
  <c r="AK95" i="11"/>
  <c r="AM95" i="11"/>
  <c r="AN95" i="11" s="1"/>
  <c r="AV102" i="11"/>
  <c r="AW102" i="11" s="1"/>
  <c r="AX102" i="11" s="1"/>
  <c r="AO102" i="11"/>
  <c r="AV130" i="11"/>
  <c r="AW130" i="11" s="1"/>
  <c r="AX130" i="11" s="1"/>
  <c r="AO130" i="11"/>
  <c r="AV80" i="11"/>
  <c r="AW80" i="11" s="1"/>
  <c r="AX80" i="11" s="1"/>
  <c r="AO80" i="11"/>
  <c r="AO83" i="11"/>
  <c r="AV83" i="11"/>
  <c r="AW83" i="11" s="1"/>
  <c r="AX83" i="11" s="1"/>
  <c r="AO64" i="11"/>
  <c r="AV64" i="11"/>
  <c r="AW64" i="11" s="1"/>
  <c r="AX64" i="11" s="1"/>
  <c r="AK107" i="11"/>
  <c r="AM107" i="11"/>
  <c r="AN107" i="11" s="1"/>
  <c r="AV146" i="11"/>
  <c r="AW146" i="11" s="1"/>
  <c r="AX146" i="11" s="1"/>
  <c r="AO146" i="11"/>
  <c r="AO74" i="11"/>
  <c r="AV74" i="11"/>
  <c r="AW74" i="11" s="1"/>
  <c r="AX74" i="11" s="1"/>
  <c r="AO141" i="11"/>
  <c r="AV141" i="11"/>
  <c r="AW141" i="11" s="1"/>
  <c r="AX141" i="11" s="1"/>
  <c r="AO75" i="11"/>
  <c r="AV75" i="11"/>
  <c r="AW75" i="11" s="1"/>
  <c r="AX75" i="11" s="1"/>
  <c r="AV150" i="11"/>
  <c r="AW150" i="11" s="1"/>
  <c r="AX150" i="11" s="1"/>
  <c r="AO150" i="11"/>
  <c r="AO79" i="11"/>
  <c r="AV79" i="11"/>
  <c r="AW79" i="11" s="1"/>
  <c r="AX79" i="11" s="1"/>
  <c r="AJ286" i="11"/>
  <c r="AL286" i="11"/>
  <c r="AL307" i="11"/>
  <c r="AJ307" i="11"/>
  <c r="AJ280" i="11"/>
  <c r="AK280" i="11" s="1"/>
  <c r="AL280" i="11"/>
  <c r="AL302" i="11"/>
  <c r="AJ302" i="11"/>
  <c r="AJ322" i="11"/>
  <c r="AK322" i="11" s="1"/>
  <c r="AL322" i="11"/>
  <c r="AO71" i="11"/>
  <c r="AV71" i="11"/>
  <c r="AW71" i="11" s="1"/>
  <c r="AX71" i="11" s="1"/>
  <c r="AV98" i="11"/>
  <c r="AW98" i="11" s="1"/>
  <c r="AX98" i="11" s="1"/>
  <c r="AO98" i="11"/>
  <c r="AO69" i="11"/>
  <c r="AP69" i="11" s="1"/>
  <c r="AV69" i="11"/>
  <c r="AW69" i="11" s="1"/>
  <c r="AX69" i="11" s="1"/>
  <c r="AO97" i="11"/>
  <c r="AV97" i="11"/>
  <c r="AW97" i="11" s="1"/>
  <c r="AX97" i="11" s="1"/>
  <c r="AO49" i="11"/>
  <c r="AV49" i="11"/>
  <c r="AW49" i="11" s="1"/>
  <c r="AX49" i="11" s="1"/>
  <c r="AV120" i="11"/>
  <c r="AW120" i="11" s="1"/>
  <c r="AX120" i="11" s="1"/>
  <c r="AO120" i="11"/>
  <c r="AO123" i="11"/>
  <c r="AV123" i="11"/>
  <c r="AW123" i="11" s="1"/>
  <c r="AX123" i="11" s="1"/>
  <c r="AK81" i="11"/>
  <c r="AM81" i="11"/>
  <c r="AN81" i="11" s="1"/>
  <c r="AK85" i="11"/>
  <c r="AM85" i="11"/>
  <c r="AN85" i="11" s="1"/>
  <c r="AO93" i="11"/>
  <c r="AV93" i="11"/>
  <c r="AW93" i="11" s="1"/>
  <c r="AX93" i="11" s="1"/>
  <c r="AV142" i="11"/>
  <c r="AW142" i="11" s="1"/>
  <c r="AX142" i="11" s="1"/>
  <c r="AO142" i="11"/>
  <c r="AV70" i="11"/>
  <c r="AW70" i="11" s="1"/>
  <c r="AX70" i="11" s="1"/>
  <c r="AO70" i="11"/>
  <c r="AV94" i="11"/>
  <c r="AW94" i="11" s="1"/>
  <c r="AX94" i="11" s="1"/>
  <c r="AO94" i="11"/>
  <c r="AK117" i="11"/>
  <c r="AM117" i="11"/>
  <c r="AN117" i="11" s="1"/>
  <c r="AK77" i="11"/>
  <c r="AM77" i="11"/>
  <c r="AN77" i="11" s="1"/>
  <c r="AV106" i="11"/>
  <c r="AW106" i="11" s="1"/>
  <c r="AX106" i="11" s="1"/>
  <c r="AO106" i="11"/>
  <c r="AJ284" i="11"/>
  <c r="AK284" i="11" s="1"/>
  <c r="AL284" i="11"/>
  <c r="AL282" i="11"/>
  <c r="AJ282" i="11"/>
  <c r="AL329" i="11"/>
  <c r="AJ329" i="11"/>
  <c r="AK329" i="11" s="1"/>
  <c r="AL238" i="11"/>
  <c r="AJ238" i="11"/>
  <c r="AK238" i="11" s="1"/>
  <c r="AJ235" i="11"/>
  <c r="AK235" i="11" s="1"/>
  <c r="AL235" i="11"/>
  <c r="AJ254" i="11"/>
  <c r="AL254" i="11"/>
  <c r="AL294" i="11"/>
  <c r="AJ294" i="11"/>
  <c r="AK294" i="11" s="1"/>
  <c r="AL255" i="11"/>
  <c r="AJ255" i="11"/>
  <c r="AK255" i="11" s="1"/>
  <c r="AJ287" i="11"/>
  <c r="AK287" i="11" s="1"/>
  <c r="AL287" i="11"/>
  <c r="AJ272" i="11"/>
  <c r="AK272" i="11" s="1"/>
  <c r="AL272" i="11"/>
  <c r="AL278" i="11"/>
  <c r="AJ278" i="11"/>
  <c r="AK278" i="11" s="1"/>
  <c r="AL270" i="11"/>
  <c r="AJ270" i="11"/>
  <c r="AK270" i="11" s="1"/>
  <c r="AL277" i="11"/>
  <c r="AJ277" i="11"/>
  <c r="AL230" i="11"/>
  <c r="AJ230" i="11"/>
  <c r="AL259" i="11"/>
  <c r="AJ259" i="11"/>
  <c r="AL333" i="11"/>
  <c r="AJ333" i="11"/>
  <c r="AJ250" i="11"/>
  <c r="AK250" i="11" s="1"/>
  <c r="AL250" i="11"/>
  <c r="T231" i="47" l="1"/>
  <c r="R231" i="47"/>
  <c r="T224" i="47"/>
  <c r="Q230" i="47"/>
  <c r="T230" i="47" s="1"/>
  <c r="R222" i="47"/>
  <c r="P231" i="72"/>
  <c r="P229" i="72"/>
  <c r="P234" i="72"/>
  <c r="R229" i="47"/>
  <c r="T229" i="47"/>
  <c r="M233" i="72"/>
  <c r="Q228" i="47"/>
  <c r="T226" i="47"/>
  <c r="P232" i="72"/>
  <c r="R227" i="47"/>
  <c r="T227" i="47"/>
  <c r="P230" i="72"/>
  <c r="T225" i="47"/>
  <c r="R225" i="47"/>
  <c r="R223" i="47"/>
  <c r="T223" i="47"/>
  <c r="T315" i="11"/>
  <c r="R315" i="11"/>
  <c r="R246" i="47"/>
  <c r="T246" i="47"/>
  <c r="E33" i="6"/>
  <c r="E45" i="6" s="1"/>
  <c r="H22" i="21"/>
  <c r="N16" i="21" s="1"/>
  <c r="G33" i="6"/>
  <c r="G45" i="6" s="1"/>
  <c r="J22" i="21"/>
  <c r="N18" i="21" s="1"/>
  <c r="S163" i="54"/>
  <c r="S162" i="54" s="1"/>
  <c r="K29" i="5"/>
  <c r="F33" i="6" s="1"/>
  <c r="F45" i="6" s="1"/>
  <c r="AO69" i="47"/>
  <c r="AP69" i="47" s="1"/>
  <c r="AT69" i="47" s="1"/>
  <c r="T334" i="47"/>
  <c r="X334" i="47" s="1"/>
  <c r="W334" i="47"/>
  <c r="Y334" i="47" s="1"/>
  <c r="J30" i="5"/>
  <c r="L30" i="5"/>
  <c r="X311" i="47"/>
  <c r="X288" i="47"/>
  <c r="AK245" i="47"/>
  <c r="AO245" i="47" s="1"/>
  <c r="AP245" i="47" s="1"/>
  <c r="AT245" i="47" s="1"/>
  <c r="W134" i="47"/>
  <c r="Y311" i="47" s="1"/>
  <c r="V367" i="47"/>
  <c r="W288" i="47"/>
  <c r="W111" i="47"/>
  <c r="R377" i="47"/>
  <c r="R376" i="47" s="1"/>
  <c r="AK222" i="47"/>
  <c r="AV222" i="47" s="1"/>
  <c r="AW222" i="47" s="1"/>
  <c r="AX222" i="47" s="1"/>
  <c r="S377" i="47"/>
  <c r="S376" i="47" s="1"/>
  <c r="Q371" i="47"/>
  <c r="AV259" i="47"/>
  <c r="AW259" i="47" s="1"/>
  <c r="AX259" i="47" s="1"/>
  <c r="AM259" i="47"/>
  <c r="AN259" i="47" s="1"/>
  <c r="AP259" i="47" s="1"/>
  <c r="AT259" i="47" s="1"/>
  <c r="AV240" i="47"/>
  <c r="AW240" i="47" s="1"/>
  <c r="AX240" i="47" s="1"/>
  <c r="AM240" i="47"/>
  <c r="AN240" i="47" s="1"/>
  <c r="AP240" i="47" s="1"/>
  <c r="P343" i="72"/>
  <c r="P345" i="72"/>
  <c r="P344" i="72"/>
  <c r="P165" i="72"/>
  <c r="Q194" i="47"/>
  <c r="AP84" i="47"/>
  <c r="AY84" i="47" s="1"/>
  <c r="AM252" i="47"/>
  <c r="AN252" i="47" s="1"/>
  <c r="AO252" i="47"/>
  <c r="AM225" i="47"/>
  <c r="AN225" i="47" s="1"/>
  <c r="AP225" i="47" s="1"/>
  <c r="AT225" i="47" s="1"/>
  <c r="AV225" i="47"/>
  <c r="AW225" i="47" s="1"/>
  <c r="AX225" i="47" s="1"/>
  <c r="AO223" i="47"/>
  <c r="AM223" i="47"/>
  <c r="AN223" i="47" s="1"/>
  <c r="AV246" i="47"/>
  <c r="AW246" i="47" s="1"/>
  <c r="AX246" i="47" s="1"/>
  <c r="AM238" i="47"/>
  <c r="AN238" i="47" s="1"/>
  <c r="AM246" i="47"/>
  <c r="AN246" i="47" s="1"/>
  <c r="AP246" i="47" s="1"/>
  <c r="AY246" i="47" s="1"/>
  <c r="AV75" i="47"/>
  <c r="AW75" i="47" s="1"/>
  <c r="AX75" i="47" s="1"/>
  <c r="AV62" i="47"/>
  <c r="AW62" i="47" s="1"/>
  <c r="AX62" i="47" s="1"/>
  <c r="AK230" i="47"/>
  <c r="AV230" i="47" s="1"/>
  <c r="AW230" i="47" s="1"/>
  <c r="AX230" i="47" s="1"/>
  <c r="AP79" i="47"/>
  <c r="AT79" i="47" s="1"/>
  <c r="AK254" i="47"/>
  <c r="AV254" i="47" s="1"/>
  <c r="AW254" i="47" s="1"/>
  <c r="AX254" i="47" s="1"/>
  <c r="AV255" i="47"/>
  <c r="AW255" i="47" s="1"/>
  <c r="AX255" i="47" s="1"/>
  <c r="AM255" i="47"/>
  <c r="AN255" i="47" s="1"/>
  <c r="AP255" i="47" s="1"/>
  <c r="AR255" i="47" s="1"/>
  <c r="AV263" i="47"/>
  <c r="AW263" i="47" s="1"/>
  <c r="AX263" i="47" s="1"/>
  <c r="AM263" i="47"/>
  <c r="AN263" i="47" s="1"/>
  <c r="AP263" i="47" s="1"/>
  <c r="AY263" i="47" s="1"/>
  <c r="AP46" i="47"/>
  <c r="AR46" i="47" s="1"/>
  <c r="AP56" i="47"/>
  <c r="AT56" i="47" s="1"/>
  <c r="AP61" i="47"/>
  <c r="AY61" i="47" s="1"/>
  <c r="AK237" i="47"/>
  <c r="AO237" i="47" s="1"/>
  <c r="AP237" i="47" s="1"/>
  <c r="AV52" i="47"/>
  <c r="AW52" i="47" s="1"/>
  <c r="AX52" i="47" s="1"/>
  <c r="AV262" i="47"/>
  <c r="AW262" i="47" s="1"/>
  <c r="AX262" i="47" s="1"/>
  <c r="AP83" i="47"/>
  <c r="AY83" i="47" s="1"/>
  <c r="AM262" i="47"/>
  <c r="AN262" i="47" s="1"/>
  <c r="AP262" i="47" s="1"/>
  <c r="AP69" i="54"/>
  <c r="AT69" i="54" s="1"/>
  <c r="AP77" i="47"/>
  <c r="AY77" i="47" s="1"/>
  <c r="AV258" i="47"/>
  <c r="AW258" i="47" s="1"/>
  <c r="AX258" i="47" s="1"/>
  <c r="AP45" i="54"/>
  <c r="AT45" i="54" s="1"/>
  <c r="AP46" i="54"/>
  <c r="AT46" i="54" s="1"/>
  <c r="AM258" i="47"/>
  <c r="AN258" i="47" s="1"/>
  <c r="AP258" i="47" s="1"/>
  <c r="AR258" i="47" s="1"/>
  <c r="AO251" i="47"/>
  <c r="AP251" i="47" s="1"/>
  <c r="AR251" i="47" s="1"/>
  <c r="AK253" i="47"/>
  <c r="AV253" i="47" s="1"/>
  <c r="AW253" i="47" s="1"/>
  <c r="AX253" i="47" s="1"/>
  <c r="AO248" i="47"/>
  <c r="AP248" i="47" s="1"/>
  <c r="AV248" i="47"/>
  <c r="AW248" i="47" s="1"/>
  <c r="AX248" i="47" s="1"/>
  <c r="AK261" i="47"/>
  <c r="AO261" i="47" s="1"/>
  <c r="AP261" i="47" s="1"/>
  <c r="AT261" i="47" s="1"/>
  <c r="AV235" i="47"/>
  <c r="AW235" i="47" s="1"/>
  <c r="AX235" i="47" s="1"/>
  <c r="AM235" i="47"/>
  <c r="AN235" i="47" s="1"/>
  <c r="AP235" i="47" s="1"/>
  <c r="AV236" i="47"/>
  <c r="AW236" i="47" s="1"/>
  <c r="AX236" i="47" s="1"/>
  <c r="AO224" i="47"/>
  <c r="AM229" i="47"/>
  <c r="AN229" i="47" s="1"/>
  <c r="AO249" i="47"/>
  <c r="AO256" i="47"/>
  <c r="AP256" i="47" s="1"/>
  <c r="AT256" i="47" s="1"/>
  <c r="AM224" i="47"/>
  <c r="AN224" i="47" s="1"/>
  <c r="AV60" i="47"/>
  <c r="AW60" i="47" s="1"/>
  <c r="AX60" i="47" s="1"/>
  <c r="AM249" i="47"/>
  <c r="AN249" i="47" s="1"/>
  <c r="AV257" i="47"/>
  <c r="AW257" i="47" s="1"/>
  <c r="AX257" i="47" s="1"/>
  <c r="AV82" i="47"/>
  <c r="AW82" i="47" s="1"/>
  <c r="AX82" i="47" s="1"/>
  <c r="AK227" i="47"/>
  <c r="AV227" i="47" s="1"/>
  <c r="AW227" i="47" s="1"/>
  <c r="AX227" i="47" s="1"/>
  <c r="AP45" i="47"/>
  <c r="AR45" i="47" s="1"/>
  <c r="AS45" i="47" s="1"/>
  <c r="AO231" i="47"/>
  <c r="AM231" i="47"/>
  <c r="AN231" i="47" s="1"/>
  <c r="AM250" i="47"/>
  <c r="AN250" i="47" s="1"/>
  <c r="AP250" i="47" s="1"/>
  <c r="AV256" i="47"/>
  <c r="AW256" i="47" s="1"/>
  <c r="AX256" i="47" s="1"/>
  <c r="AP71" i="47"/>
  <c r="AR71" i="47" s="1"/>
  <c r="AK232" i="47"/>
  <c r="AV232" i="47" s="1"/>
  <c r="AW232" i="47" s="1"/>
  <c r="AX232" i="47" s="1"/>
  <c r="AV58" i="47"/>
  <c r="AW58" i="47" s="1"/>
  <c r="AX58" i="47" s="1"/>
  <c r="AV234" i="47"/>
  <c r="AW234" i="47" s="1"/>
  <c r="AX234" i="47" s="1"/>
  <c r="AM234" i="47"/>
  <c r="AN234" i="47" s="1"/>
  <c r="AP234" i="47" s="1"/>
  <c r="AP74" i="47"/>
  <c r="AR74" i="47" s="1"/>
  <c r="AM236" i="47"/>
  <c r="AN236" i="47" s="1"/>
  <c r="AP236" i="47" s="1"/>
  <c r="AV250" i="47"/>
  <c r="AW250" i="47" s="1"/>
  <c r="AX250" i="47" s="1"/>
  <c r="AM264" i="47"/>
  <c r="AN264" i="47" s="1"/>
  <c r="AV260" i="47"/>
  <c r="AW260" i="47" s="1"/>
  <c r="AX260" i="47" s="1"/>
  <c r="AP50" i="47"/>
  <c r="AT50" i="47" s="1"/>
  <c r="AO264" i="47"/>
  <c r="AY85" i="47"/>
  <c r="AP51" i="47"/>
  <c r="AR51" i="47" s="1"/>
  <c r="AS51" i="47" s="1"/>
  <c r="AP52" i="54"/>
  <c r="AY52" i="54" s="1"/>
  <c r="AO239" i="47"/>
  <c r="AP239" i="47" s="1"/>
  <c r="AV239" i="47"/>
  <c r="AW239" i="47" s="1"/>
  <c r="AX239" i="47" s="1"/>
  <c r="AP68" i="54"/>
  <c r="AT68" i="54" s="1"/>
  <c r="AP58" i="54"/>
  <c r="AY58" i="54" s="1"/>
  <c r="AP78" i="54"/>
  <c r="AT78" i="54" s="1"/>
  <c r="AO79" i="54"/>
  <c r="AP79" i="54" s="1"/>
  <c r="AV79" i="54"/>
  <c r="AW79" i="54" s="1"/>
  <c r="AX79" i="54" s="1"/>
  <c r="AO85" i="54"/>
  <c r="AP85" i="54" s="1"/>
  <c r="AV85" i="54"/>
  <c r="AW85" i="54" s="1"/>
  <c r="AX85" i="54" s="1"/>
  <c r="AV86" i="54"/>
  <c r="AW86" i="54" s="1"/>
  <c r="AX86" i="54" s="1"/>
  <c r="AO86" i="54"/>
  <c r="AP86" i="54" s="1"/>
  <c r="AO48" i="54"/>
  <c r="AP48" i="54" s="1"/>
  <c r="AV48" i="54"/>
  <c r="AW48" i="54" s="1"/>
  <c r="AX48" i="54" s="1"/>
  <c r="AO60" i="54"/>
  <c r="AP60" i="54" s="1"/>
  <c r="AV60" i="54"/>
  <c r="AW60" i="54" s="1"/>
  <c r="AX60" i="54" s="1"/>
  <c r="AO62" i="54"/>
  <c r="AP62" i="54" s="1"/>
  <c r="AV62" i="54"/>
  <c r="AW62" i="54" s="1"/>
  <c r="AX62" i="54" s="1"/>
  <c r="AO55" i="54"/>
  <c r="AP55" i="54" s="1"/>
  <c r="AV63" i="54"/>
  <c r="AW63" i="54" s="1"/>
  <c r="AX63" i="54" s="1"/>
  <c r="AO63" i="54"/>
  <c r="AP63" i="54" s="1"/>
  <c r="AV51" i="54"/>
  <c r="AW51" i="54" s="1"/>
  <c r="AX51" i="54" s="1"/>
  <c r="AO51" i="54"/>
  <c r="AP51" i="54" s="1"/>
  <c r="AO71" i="54"/>
  <c r="AP71" i="54" s="1"/>
  <c r="AV71" i="54"/>
  <c r="AW71" i="54" s="1"/>
  <c r="AX71" i="54" s="1"/>
  <c r="AO64" i="54"/>
  <c r="AP64" i="54" s="1"/>
  <c r="AV64" i="54"/>
  <c r="AW64" i="54" s="1"/>
  <c r="AX64" i="54" s="1"/>
  <c r="AV49" i="54"/>
  <c r="AW49" i="54" s="1"/>
  <c r="AX49" i="54" s="1"/>
  <c r="AO49" i="54"/>
  <c r="AP49" i="54" s="1"/>
  <c r="AO56" i="54"/>
  <c r="AP56" i="54" s="1"/>
  <c r="AV56" i="54"/>
  <c r="AW56" i="54" s="1"/>
  <c r="AX56" i="54" s="1"/>
  <c r="AP84" i="54"/>
  <c r="AV76" i="54"/>
  <c r="AW76" i="54" s="1"/>
  <c r="AX76" i="54" s="1"/>
  <c r="AO76" i="54"/>
  <c r="AP76" i="54" s="1"/>
  <c r="AV61" i="54"/>
  <c r="AW61" i="54" s="1"/>
  <c r="AX61" i="54" s="1"/>
  <c r="AO61" i="54"/>
  <c r="AP61" i="54" s="1"/>
  <c r="AP70" i="54"/>
  <c r="AV74" i="54"/>
  <c r="AW74" i="54" s="1"/>
  <c r="AX74" i="54" s="1"/>
  <c r="AO74" i="54"/>
  <c r="AP74" i="54" s="1"/>
  <c r="AV80" i="54"/>
  <c r="AW80" i="54" s="1"/>
  <c r="AX80" i="54" s="1"/>
  <c r="AO80" i="54"/>
  <c r="AP80" i="54" s="1"/>
  <c r="AV87" i="54"/>
  <c r="AW87" i="54" s="1"/>
  <c r="AX87" i="54" s="1"/>
  <c r="AO87" i="54"/>
  <c r="AP87" i="54" s="1"/>
  <c r="AV54" i="54"/>
  <c r="AW54" i="54" s="1"/>
  <c r="AX54" i="54" s="1"/>
  <c r="AO54" i="54"/>
  <c r="AP54" i="54" s="1"/>
  <c r="AP81" i="54"/>
  <c r="AP82" i="54"/>
  <c r="AV53" i="54"/>
  <c r="AW53" i="54" s="1"/>
  <c r="AX53" i="54" s="1"/>
  <c r="AO53" i="54"/>
  <c r="AP53" i="54" s="1"/>
  <c r="AP47" i="54"/>
  <c r="AO77" i="54"/>
  <c r="AP77" i="54" s="1"/>
  <c r="AV77" i="54"/>
  <c r="AW77" i="54" s="1"/>
  <c r="AX77" i="54" s="1"/>
  <c r="AO83" i="54"/>
  <c r="AP83" i="54" s="1"/>
  <c r="AV83" i="54"/>
  <c r="AW83" i="54" s="1"/>
  <c r="AX83" i="54" s="1"/>
  <c r="AO50" i="54"/>
  <c r="AP50" i="54" s="1"/>
  <c r="AV50" i="54"/>
  <c r="AW50" i="54" s="1"/>
  <c r="AX50" i="54" s="1"/>
  <c r="AO73" i="54"/>
  <c r="AP73" i="54" s="1"/>
  <c r="AV73" i="54"/>
  <c r="AW73" i="54" s="1"/>
  <c r="AX73" i="54" s="1"/>
  <c r="AP72" i="54"/>
  <c r="AV57" i="54"/>
  <c r="AW57" i="54" s="1"/>
  <c r="AX57" i="54" s="1"/>
  <c r="AO57" i="54"/>
  <c r="AP57" i="54" s="1"/>
  <c r="AP75" i="54"/>
  <c r="AP59" i="54"/>
  <c r="AT78" i="47"/>
  <c r="AU78" i="47" s="1"/>
  <c r="AZ78" i="47" s="1"/>
  <c r="AR49" i="47"/>
  <c r="AS49" i="47" s="1"/>
  <c r="AO260" i="47"/>
  <c r="AP260" i="47" s="1"/>
  <c r="AT260" i="47" s="1"/>
  <c r="AY86" i="47"/>
  <c r="AR86" i="47"/>
  <c r="AU86" i="47" s="1"/>
  <c r="AZ86" i="47" s="1"/>
  <c r="AR76" i="47"/>
  <c r="AU76" i="47" s="1"/>
  <c r="AZ76" i="47" s="1"/>
  <c r="AY76" i="47"/>
  <c r="AT85" i="47"/>
  <c r="AU85" i="47" s="1"/>
  <c r="AZ85" i="47" s="1"/>
  <c r="AT70" i="47"/>
  <c r="AU70" i="47" s="1"/>
  <c r="AZ70" i="47" s="1"/>
  <c r="AR68" i="47"/>
  <c r="AS68" i="47" s="1"/>
  <c r="AO257" i="47"/>
  <c r="AP257" i="47" s="1"/>
  <c r="AT257" i="47" s="1"/>
  <c r="AY78" i="47"/>
  <c r="AY49" i="47"/>
  <c r="AR81" i="47"/>
  <c r="AS81" i="47" s="1"/>
  <c r="AV251" i="47"/>
  <c r="AW251" i="47" s="1"/>
  <c r="AX251" i="47" s="1"/>
  <c r="AT81" i="47"/>
  <c r="AY73" i="47"/>
  <c r="AY68" i="47"/>
  <c r="AY70" i="47"/>
  <c r="AR73" i="47"/>
  <c r="AS73" i="47" s="1"/>
  <c r="AR82" i="47"/>
  <c r="AT82" i="47"/>
  <c r="AY82" i="47"/>
  <c r="AR57" i="47"/>
  <c r="AT57" i="47"/>
  <c r="AY57" i="47"/>
  <c r="AT60" i="47"/>
  <c r="AR60" i="47"/>
  <c r="AY60" i="47"/>
  <c r="AO229" i="47"/>
  <c r="AV229" i="47"/>
  <c r="AW229" i="47" s="1"/>
  <c r="AX229" i="47" s="1"/>
  <c r="AT80" i="47"/>
  <c r="AR80" i="47"/>
  <c r="AY80" i="47"/>
  <c r="AT58" i="47"/>
  <c r="AR58" i="47"/>
  <c r="AY58" i="47"/>
  <c r="AO238" i="47"/>
  <c r="AV238" i="47"/>
  <c r="AW238" i="47" s="1"/>
  <c r="AX238" i="47" s="1"/>
  <c r="AO241" i="47"/>
  <c r="AP241" i="47" s="1"/>
  <c r="AV241" i="47"/>
  <c r="AW241" i="47" s="1"/>
  <c r="AX241" i="47" s="1"/>
  <c r="AR63" i="47"/>
  <c r="AT63" i="47"/>
  <c r="AY63" i="47"/>
  <c r="AS78" i="47"/>
  <c r="AO228" i="47"/>
  <c r="AP228" i="47" s="1"/>
  <c r="AV228" i="47"/>
  <c r="AW228" i="47" s="1"/>
  <c r="AX228" i="47" s="1"/>
  <c r="AO233" i="47"/>
  <c r="AP233" i="47" s="1"/>
  <c r="AV233" i="47"/>
  <c r="AW233" i="47" s="1"/>
  <c r="AX233" i="47" s="1"/>
  <c r="AS85" i="47"/>
  <c r="AR47" i="47"/>
  <c r="AT47" i="47"/>
  <c r="AY47" i="47"/>
  <c r="AT64" i="47"/>
  <c r="AR64" i="47"/>
  <c r="AY64" i="47"/>
  <c r="AS70" i="47"/>
  <c r="AO226" i="47"/>
  <c r="AP226" i="47" s="1"/>
  <c r="AV226" i="47"/>
  <c r="AW226" i="47" s="1"/>
  <c r="AX226" i="47" s="1"/>
  <c r="AO247" i="47"/>
  <c r="AP247" i="47" s="1"/>
  <c r="AV247" i="47"/>
  <c r="AW247" i="47" s="1"/>
  <c r="AX247" i="47" s="1"/>
  <c r="AT62" i="47"/>
  <c r="AR62" i="47"/>
  <c r="AY62" i="47"/>
  <c r="AR87" i="47"/>
  <c r="AT87" i="47"/>
  <c r="AY87" i="47"/>
  <c r="AT72" i="47"/>
  <c r="AR72" i="47"/>
  <c r="AY72" i="47"/>
  <c r="AR55" i="47"/>
  <c r="AT55" i="47"/>
  <c r="AY55" i="47"/>
  <c r="AT75" i="47"/>
  <c r="AR75" i="47"/>
  <c r="AY75" i="47"/>
  <c r="AR53" i="47"/>
  <c r="AT53" i="47"/>
  <c r="AY53" i="47"/>
  <c r="AT54" i="47"/>
  <c r="AR54" i="47"/>
  <c r="AY54" i="47"/>
  <c r="AR59" i="47"/>
  <c r="AT59" i="47"/>
  <c r="AY59" i="47"/>
  <c r="AT52" i="47"/>
  <c r="AR52" i="47"/>
  <c r="AY52" i="47"/>
  <c r="AT48" i="47"/>
  <c r="AR48" i="47"/>
  <c r="AY48" i="47"/>
  <c r="AY86" i="11"/>
  <c r="AR86" i="11"/>
  <c r="AS86" i="11" s="1"/>
  <c r="AO240" i="11"/>
  <c r="AP240" i="11" s="1"/>
  <c r="AT240" i="11" s="1"/>
  <c r="AV240" i="11"/>
  <c r="AW240" i="11" s="1"/>
  <c r="AX240" i="11" s="1"/>
  <c r="AP56" i="11"/>
  <c r="AT56" i="11" s="1"/>
  <c r="AP62" i="11"/>
  <c r="AT62" i="11" s="1"/>
  <c r="AT187" i="11"/>
  <c r="AU187" i="11" s="1"/>
  <c r="AZ187" i="11" s="1"/>
  <c r="AO232" i="11"/>
  <c r="AY187" i="11"/>
  <c r="AP50" i="11"/>
  <c r="AY50" i="11" s="1"/>
  <c r="AV239" i="11"/>
  <c r="AW239" i="11" s="1"/>
  <c r="AX239" i="11" s="1"/>
  <c r="AY164" i="11"/>
  <c r="AM232" i="11"/>
  <c r="AN232" i="11" s="1"/>
  <c r="AT164" i="11"/>
  <c r="AU164" i="11" s="1"/>
  <c r="AZ164" i="11" s="1"/>
  <c r="Q164" i="11" s="1"/>
  <c r="T164" i="11" s="1"/>
  <c r="R164" i="11" s="1"/>
  <c r="AM237" i="11"/>
  <c r="AN237" i="11" s="1"/>
  <c r="AM319" i="11"/>
  <c r="AN319" i="11" s="1"/>
  <c r="AP319" i="11" s="1"/>
  <c r="AO237" i="11"/>
  <c r="AY188" i="11"/>
  <c r="AO252" i="11"/>
  <c r="AR182" i="11"/>
  <c r="AS182" i="11" s="1"/>
  <c r="AM252" i="11"/>
  <c r="AN252" i="11" s="1"/>
  <c r="AY161" i="11"/>
  <c r="AT161" i="11"/>
  <c r="AU161" i="11" s="1"/>
  <c r="AZ161" i="11" s="1"/>
  <c r="P161" i="11" s="1"/>
  <c r="Q161" i="11" s="1"/>
  <c r="T161" i="11" s="1"/>
  <c r="R161" i="11" s="1"/>
  <c r="AV319" i="11"/>
  <c r="AW319" i="11" s="1"/>
  <c r="AX319" i="11" s="1"/>
  <c r="AV324" i="11"/>
  <c r="AW324" i="11" s="1"/>
  <c r="AX324" i="11" s="1"/>
  <c r="AR175" i="11"/>
  <c r="AS175" i="11" s="1"/>
  <c r="AR177" i="11"/>
  <c r="AS177" i="11" s="1"/>
  <c r="AM239" i="11"/>
  <c r="AN239" i="11" s="1"/>
  <c r="AP239" i="11" s="1"/>
  <c r="AY239" i="11" s="1"/>
  <c r="AT179" i="11"/>
  <c r="AY189" i="11"/>
  <c r="AY182" i="11"/>
  <c r="AT177" i="11"/>
  <c r="AO324" i="11"/>
  <c r="AP324" i="11" s="1"/>
  <c r="AT324" i="11" s="1"/>
  <c r="AT188" i="11"/>
  <c r="AU188" i="11" s="1"/>
  <c r="AZ188" i="11" s="1"/>
  <c r="AV248" i="11"/>
  <c r="AW248" i="11" s="1"/>
  <c r="AX248" i="11" s="1"/>
  <c r="AR179" i="11"/>
  <c r="AS179" i="11" s="1"/>
  <c r="AO263" i="11"/>
  <c r="AO327" i="11"/>
  <c r="AR176" i="11"/>
  <c r="AS176" i="11" s="1"/>
  <c r="AT176" i="11"/>
  <c r="AK264" i="11"/>
  <c r="AO264" i="11" s="1"/>
  <c r="AP264" i="11" s="1"/>
  <c r="AT189" i="11"/>
  <c r="AU189" i="11" s="1"/>
  <c r="AZ189" i="11" s="1"/>
  <c r="AP114" i="11"/>
  <c r="AT114" i="11" s="1"/>
  <c r="AY178" i="11"/>
  <c r="AM263" i="11"/>
  <c r="AN263" i="11" s="1"/>
  <c r="AR178" i="11"/>
  <c r="AU178" i="11" s="1"/>
  <c r="AZ178" i="11" s="1"/>
  <c r="AY175" i="11"/>
  <c r="AO296" i="11"/>
  <c r="AP296" i="11" s="1"/>
  <c r="AY296" i="11" s="1"/>
  <c r="AO241" i="11"/>
  <c r="AV300" i="11"/>
  <c r="AW300" i="11" s="1"/>
  <c r="AX300" i="11" s="1"/>
  <c r="AV236" i="11"/>
  <c r="AW236" i="11" s="1"/>
  <c r="AX236" i="11" s="1"/>
  <c r="AP150" i="11"/>
  <c r="AR150" i="11" s="1"/>
  <c r="AP83" i="11"/>
  <c r="AR83" i="11" s="1"/>
  <c r="AR180" i="11"/>
  <c r="AU180" i="11" s="1"/>
  <c r="AZ180" i="11" s="1"/>
  <c r="AV331" i="11"/>
  <c r="AW331" i="11" s="1"/>
  <c r="AX331" i="11" s="1"/>
  <c r="AY180" i="11"/>
  <c r="AS184" i="11"/>
  <c r="AU163" i="11"/>
  <c r="AZ163" i="11" s="1"/>
  <c r="P163" i="11" s="1"/>
  <c r="Q163" i="11" s="1"/>
  <c r="T163" i="11" s="1"/>
  <c r="R163" i="11" s="1"/>
  <c r="AP79" i="11"/>
  <c r="AT79" i="11" s="1"/>
  <c r="AM226" i="11"/>
  <c r="AN226" i="11" s="1"/>
  <c r="AP226" i="11" s="1"/>
  <c r="AR226" i="11" s="1"/>
  <c r="AV226" i="11"/>
  <c r="AW226" i="11" s="1"/>
  <c r="AX226" i="11" s="1"/>
  <c r="AV147" i="11"/>
  <c r="AW147" i="11" s="1"/>
  <c r="AX147" i="11" s="1"/>
  <c r="AV91" i="11"/>
  <c r="AW91" i="11" s="1"/>
  <c r="AX91" i="11" s="1"/>
  <c r="AS185" i="11"/>
  <c r="AV296" i="11"/>
  <c r="AW296" i="11" s="1"/>
  <c r="AX296" i="11" s="1"/>
  <c r="AP105" i="11"/>
  <c r="AT105" i="11" s="1"/>
  <c r="AM327" i="11"/>
  <c r="AN327" i="11" s="1"/>
  <c r="AP363" i="11"/>
  <c r="AY363" i="11" s="1"/>
  <c r="AP46" i="11"/>
  <c r="AT46" i="11" s="1"/>
  <c r="AP120" i="11"/>
  <c r="AT120" i="11" s="1"/>
  <c r="AM228" i="11"/>
  <c r="AN228" i="11" s="1"/>
  <c r="AP228" i="11" s="1"/>
  <c r="AY228" i="11" s="1"/>
  <c r="AV233" i="11"/>
  <c r="AW233" i="11" s="1"/>
  <c r="AX233" i="11" s="1"/>
  <c r="AK285" i="11"/>
  <c r="AO285" i="11" s="1"/>
  <c r="AP285" i="11" s="1"/>
  <c r="AV228" i="11"/>
  <c r="AW228" i="11" s="1"/>
  <c r="AX228" i="11" s="1"/>
  <c r="AM241" i="11"/>
  <c r="AN241" i="11" s="1"/>
  <c r="AP145" i="11"/>
  <c r="AT145" i="11" s="1"/>
  <c r="AP101" i="11"/>
  <c r="AT101" i="11" s="1"/>
  <c r="AM233" i="11"/>
  <c r="AN233" i="11" s="1"/>
  <c r="AP233" i="11" s="1"/>
  <c r="AR233" i="11" s="1"/>
  <c r="AM236" i="11"/>
  <c r="AN236" i="11" s="1"/>
  <c r="AP236" i="11" s="1"/>
  <c r="AP128" i="11"/>
  <c r="AR128" i="11" s="1"/>
  <c r="AP70" i="11"/>
  <c r="AR70" i="11" s="1"/>
  <c r="AV227" i="11"/>
  <c r="AW227" i="11" s="1"/>
  <c r="AX227" i="11" s="1"/>
  <c r="AO227" i="11"/>
  <c r="AP227" i="11" s="1"/>
  <c r="AO257" i="11"/>
  <c r="AP257" i="11" s="1"/>
  <c r="AT257" i="11" s="1"/>
  <c r="AP74" i="11"/>
  <c r="AR74" i="11" s="1"/>
  <c r="AM248" i="11"/>
  <c r="AN248" i="11" s="1"/>
  <c r="AP248" i="11" s="1"/>
  <c r="AK260" i="11"/>
  <c r="AV260" i="11" s="1"/>
  <c r="AW260" i="11" s="1"/>
  <c r="AX260" i="11" s="1"/>
  <c r="AO331" i="11"/>
  <c r="AP331" i="11" s="1"/>
  <c r="AR331" i="11" s="1"/>
  <c r="AP98" i="11"/>
  <c r="AR98" i="11" s="1"/>
  <c r="AV151" i="11"/>
  <c r="AW151" i="11" s="1"/>
  <c r="AX151" i="11" s="1"/>
  <c r="AO315" i="11"/>
  <c r="AP315" i="11" s="1"/>
  <c r="AV249" i="11"/>
  <c r="AW249" i="11" s="1"/>
  <c r="AX249" i="11" s="1"/>
  <c r="AY100" i="11"/>
  <c r="AV153" i="11"/>
  <c r="AW153" i="11" s="1"/>
  <c r="AX153" i="11" s="1"/>
  <c r="AO249" i="11"/>
  <c r="AP249" i="11" s="1"/>
  <c r="AT249" i="11" s="1"/>
  <c r="AO323" i="11"/>
  <c r="AP126" i="11"/>
  <c r="AR126" i="11" s="1"/>
  <c r="AM323" i="11"/>
  <c r="AN323" i="11" s="1"/>
  <c r="AV315" i="11"/>
  <c r="AW315" i="11" s="1"/>
  <c r="AX315" i="11" s="1"/>
  <c r="AU183" i="11"/>
  <c r="AZ183" i="11" s="1"/>
  <c r="AV257" i="11"/>
  <c r="AW257" i="11" s="1"/>
  <c r="AX257" i="11" s="1"/>
  <c r="AP102" i="11"/>
  <c r="AR102" i="11" s="1"/>
  <c r="AP118" i="11"/>
  <c r="AR118" i="11" s="1"/>
  <c r="AM229" i="11"/>
  <c r="AN229" i="11" s="1"/>
  <c r="AM302" i="11"/>
  <c r="AN302" i="11" s="1"/>
  <c r="AO138" i="11"/>
  <c r="AP138" i="11" s="1"/>
  <c r="AT138" i="11" s="1"/>
  <c r="AM251" i="11"/>
  <c r="AN251" i="11" s="1"/>
  <c r="AP151" i="11"/>
  <c r="AR151" i="11" s="1"/>
  <c r="AM300" i="11"/>
  <c r="AN300" i="11" s="1"/>
  <c r="AP300" i="11" s="1"/>
  <c r="AT300" i="11" s="1"/>
  <c r="AV261" i="11"/>
  <c r="AW261" i="11" s="1"/>
  <c r="AX261" i="11" s="1"/>
  <c r="AO261" i="11"/>
  <c r="AP106" i="11"/>
  <c r="AR106" i="11" s="1"/>
  <c r="AP80" i="11"/>
  <c r="AT80" i="11" s="1"/>
  <c r="AP78" i="11"/>
  <c r="AT78" i="11" s="1"/>
  <c r="AM310" i="11"/>
  <c r="AN310" i="11" s="1"/>
  <c r="AM261" i="11"/>
  <c r="AN261" i="11" s="1"/>
  <c r="AP149" i="11"/>
  <c r="AM307" i="11"/>
  <c r="AN307" i="11" s="1"/>
  <c r="AP146" i="11"/>
  <c r="AY146" i="11" s="1"/>
  <c r="AM298" i="11"/>
  <c r="AN298" i="11" s="1"/>
  <c r="AM286" i="11"/>
  <c r="AN286" i="11" s="1"/>
  <c r="AP141" i="11"/>
  <c r="AR141" i="11" s="1"/>
  <c r="AK231" i="11"/>
  <c r="AR100" i="11"/>
  <c r="AU100" i="11" s="1"/>
  <c r="AZ100" i="11" s="1"/>
  <c r="AP153" i="11"/>
  <c r="AR153" i="11" s="1"/>
  <c r="AP93" i="11"/>
  <c r="AY93" i="11" s="1"/>
  <c r="AP97" i="11"/>
  <c r="AT97" i="11" s="1"/>
  <c r="AP71" i="11"/>
  <c r="AT71" i="11" s="1"/>
  <c r="AV63" i="11"/>
  <c r="AW63" i="11" s="1"/>
  <c r="AX63" i="11" s="1"/>
  <c r="AO63" i="11"/>
  <c r="AP63" i="11" s="1"/>
  <c r="AP75" i="11"/>
  <c r="AY75" i="11" s="1"/>
  <c r="AP130" i="11"/>
  <c r="AR130" i="11" s="1"/>
  <c r="AP76" i="11"/>
  <c r="AT76" i="11" s="1"/>
  <c r="AP133" i="11"/>
  <c r="AT133" i="11" s="1"/>
  <c r="AP156" i="11"/>
  <c r="AR156" i="11" s="1"/>
  <c r="AY104" i="11"/>
  <c r="AM279" i="11"/>
  <c r="AN279" i="11" s="1"/>
  <c r="AR54" i="11"/>
  <c r="AS54" i="11" s="1"/>
  <c r="AY57" i="11"/>
  <c r="AY54" i="11"/>
  <c r="AT57" i="11"/>
  <c r="AU57" i="11" s="1"/>
  <c r="AZ57" i="11" s="1"/>
  <c r="AP58" i="11"/>
  <c r="AT58" i="11" s="1"/>
  <c r="AP49" i="11"/>
  <c r="AT49" i="11" s="1"/>
  <c r="AP64" i="11"/>
  <c r="AT64" i="11" s="1"/>
  <c r="AR104" i="11"/>
  <c r="AS104" i="11" s="1"/>
  <c r="AP94" i="11"/>
  <c r="AR94" i="11" s="1"/>
  <c r="AP142" i="11"/>
  <c r="AT142" i="11" s="1"/>
  <c r="AK286" i="11"/>
  <c r="AV286" i="11" s="1"/>
  <c r="AW286" i="11" s="1"/>
  <c r="AX286" i="11" s="1"/>
  <c r="AP61" i="11"/>
  <c r="AR61" i="11" s="1"/>
  <c r="AM318" i="11"/>
  <c r="AN318" i="11" s="1"/>
  <c r="AK279" i="11"/>
  <c r="AO279" i="11" s="1"/>
  <c r="AM271" i="11"/>
  <c r="AN271" i="11" s="1"/>
  <c r="AP137" i="11"/>
  <c r="AR137" i="11" s="1"/>
  <c r="AP123" i="11"/>
  <c r="AR123" i="11" s="1"/>
  <c r="AP108" i="11"/>
  <c r="AY108" i="11" s="1"/>
  <c r="AP87" i="11"/>
  <c r="AY87" i="11" s="1"/>
  <c r="AP45" i="11"/>
  <c r="AR45" i="11" s="1"/>
  <c r="AM273" i="11"/>
  <c r="AN273" i="11" s="1"/>
  <c r="AM303" i="11"/>
  <c r="AN303" i="11" s="1"/>
  <c r="AP60" i="11"/>
  <c r="AR60" i="11" s="1"/>
  <c r="AM333" i="11"/>
  <c r="AN333" i="11" s="1"/>
  <c r="AM259" i="11"/>
  <c r="AN259" i="11" s="1"/>
  <c r="AR364" i="11"/>
  <c r="AT364" i="11"/>
  <c r="AY364" i="11"/>
  <c r="AS161" i="11"/>
  <c r="AU186" i="11"/>
  <c r="AZ186" i="11" s="1"/>
  <c r="AS186" i="11"/>
  <c r="AS188" i="11"/>
  <c r="AP366" i="11"/>
  <c r="AR365" i="11"/>
  <c r="AT365" i="11"/>
  <c r="AY365" i="11"/>
  <c r="AS181" i="11"/>
  <c r="AU181" i="11"/>
  <c r="AZ181" i="11" s="1"/>
  <c r="AU162" i="11"/>
  <c r="AZ162" i="11" s="1"/>
  <c r="P162" i="11" s="1"/>
  <c r="Q162" i="11" s="1"/>
  <c r="T162" i="11" s="1"/>
  <c r="R162" i="11" s="1"/>
  <c r="AS162" i="11"/>
  <c r="AM234" i="11"/>
  <c r="AN234" i="11" s="1"/>
  <c r="AM272" i="11"/>
  <c r="AN272" i="11" s="1"/>
  <c r="AM235" i="11"/>
  <c r="AN235" i="11" s="1"/>
  <c r="AM282" i="11"/>
  <c r="AN282" i="11" s="1"/>
  <c r="AM230" i="11"/>
  <c r="AN230" i="11" s="1"/>
  <c r="AM277" i="11"/>
  <c r="AN277" i="11" s="1"/>
  <c r="AM306" i="11"/>
  <c r="AN306" i="11" s="1"/>
  <c r="AM274" i="11"/>
  <c r="AN274" i="11" s="1"/>
  <c r="AM326" i="11"/>
  <c r="AN326" i="11" s="1"/>
  <c r="AM276" i="11"/>
  <c r="AN276" i="11" s="1"/>
  <c r="AM297" i="11"/>
  <c r="AN297" i="11" s="1"/>
  <c r="AM295" i="11"/>
  <c r="AN295" i="11" s="1"/>
  <c r="AM283" i="11"/>
  <c r="AN283" i="11" s="1"/>
  <c r="AM284" i="11"/>
  <c r="AN284" i="11" s="1"/>
  <c r="AM299" i="11"/>
  <c r="AN299" i="11" s="1"/>
  <c r="AR69" i="11"/>
  <c r="AT69" i="11"/>
  <c r="AY69" i="11"/>
  <c r="AO250" i="11"/>
  <c r="AV250" i="11"/>
  <c r="AW250" i="11" s="1"/>
  <c r="AX250" i="11" s="1"/>
  <c r="AV270" i="11"/>
  <c r="AW270" i="11" s="1"/>
  <c r="AX270" i="11" s="1"/>
  <c r="AO270" i="11"/>
  <c r="AV278" i="11"/>
  <c r="AW278" i="11" s="1"/>
  <c r="AX278" i="11" s="1"/>
  <c r="AO278" i="11"/>
  <c r="AV272" i="11"/>
  <c r="AW272" i="11" s="1"/>
  <c r="AX272" i="11" s="1"/>
  <c r="AO272" i="11"/>
  <c r="AV255" i="11"/>
  <c r="AW255" i="11" s="1"/>
  <c r="AX255" i="11" s="1"/>
  <c r="AO255" i="11"/>
  <c r="AO294" i="11"/>
  <c r="AV294" i="11"/>
  <c r="AW294" i="11" s="1"/>
  <c r="AX294" i="11" s="1"/>
  <c r="AM254" i="11"/>
  <c r="AN254" i="11" s="1"/>
  <c r="AO235" i="11"/>
  <c r="AV235" i="11"/>
  <c r="AW235" i="11" s="1"/>
  <c r="AX235" i="11" s="1"/>
  <c r="AV238" i="11"/>
  <c r="AW238" i="11" s="1"/>
  <c r="AX238" i="11" s="1"/>
  <c r="AO238" i="11"/>
  <c r="AO329" i="11"/>
  <c r="AV329" i="11"/>
  <c r="AW329" i="11" s="1"/>
  <c r="AX329" i="11" s="1"/>
  <c r="AO284" i="11"/>
  <c r="AV284" i="11"/>
  <c r="AW284" i="11" s="1"/>
  <c r="AX284" i="11" s="1"/>
  <c r="AO77" i="11"/>
  <c r="AP77" i="11" s="1"/>
  <c r="AV77" i="11"/>
  <c r="AW77" i="11" s="1"/>
  <c r="AX77" i="11" s="1"/>
  <c r="AO117" i="11"/>
  <c r="AP117" i="11" s="1"/>
  <c r="AV117" i="11"/>
  <c r="AW117" i="11" s="1"/>
  <c r="AX117" i="11" s="1"/>
  <c r="AO85" i="11"/>
  <c r="AP85" i="11" s="1"/>
  <c r="AV85" i="11"/>
  <c r="AW85" i="11" s="1"/>
  <c r="AX85" i="11" s="1"/>
  <c r="AO81" i="11"/>
  <c r="AP81" i="11" s="1"/>
  <c r="AV81" i="11"/>
  <c r="AW81" i="11" s="1"/>
  <c r="AX81" i="11" s="1"/>
  <c r="AO51" i="11"/>
  <c r="AP51" i="11" s="1"/>
  <c r="AV51" i="11"/>
  <c r="AW51" i="11" s="1"/>
  <c r="AX51" i="11" s="1"/>
  <c r="AV293" i="11"/>
  <c r="AW293" i="11" s="1"/>
  <c r="AX293" i="11" s="1"/>
  <c r="AO293" i="11"/>
  <c r="AV326" i="11"/>
  <c r="AW326" i="11" s="1"/>
  <c r="AX326" i="11" s="1"/>
  <c r="AO326" i="11"/>
  <c r="AO276" i="11"/>
  <c r="AV276" i="11"/>
  <c r="AW276" i="11" s="1"/>
  <c r="AX276" i="11" s="1"/>
  <c r="AO325" i="11"/>
  <c r="AV325" i="11"/>
  <c r="AW325" i="11" s="1"/>
  <c r="AX325" i="11" s="1"/>
  <c r="AM320" i="11"/>
  <c r="AN320" i="11" s="1"/>
  <c r="AV318" i="11"/>
  <c r="AW318" i="11" s="1"/>
  <c r="AX318" i="11" s="1"/>
  <c r="AO318" i="11"/>
  <c r="AR48" i="11"/>
  <c r="AT48" i="11"/>
  <c r="AY48" i="11"/>
  <c r="AT147" i="11"/>
  <c r="AR147" i="11"/>
  <c r="AY147" i="11"/>
  <c r="AO73" i="11"/>
  <c r="AP73" i="11" s="1"/>
  <c r="AV73" i="11"/>
  <c r="AW73" i="11" s="1"/>
  <c r="AX73" i="11" s="1"/>
  <c r="AO328" i="11"/>
  <c r="AV328" i="11"/>
  <c r="AW328" i="11" s="1"/>
  <c r="AX328" i="11" s="1"/>
  <c r="AV258" i="11"/>
  <c r="AW258" i="11" s="1"/>
  <c r="AX258" i="11" s="1"/>
  <c r="AO258" i="11"/>
  <c r="AO305" i="11"/>
  <c r="AV305" i="11"/>
  <c r="AW305" i="11" s="1"/>
  <c r="AX305" i="11" s="1"/>
  <c r="AM316" i="11"/>
  <c r="AN316" i="11" s="1"/>
  <c r="AO281" i="11"/>
  <c r="AV281" i="11"/>
  <c r="AW281" i="11" s="1"/>
  <c r="AX281" i="11" s="1"/>
  <c r="AO283" i="11"/>
  <c r="AV283" i="11"/>
  <c r="AW283" i="11" s="1"/>
  <c r="AX283" i="11" s="1"/>
  <c r="AV309" i="11"/>
  <c r="AW309" i="11" s="1"/>
  <c r="AX309" i="11" s="1"/>
  <c r="AO309" i="11"/>
  <c r="AV332" i="11"/>
  <c r="AW332" i="11" s="1"/>
  <c r="AX332" i="11" s="1"/>
  <c r="AO332" i="11"/>
  <c r="AM301" i="11"/>
  <c r="AN301" i="11" s="1"/>
  <c r="AO317" i="11"/>
  <c r="AV317" i="11"/>
  <c r="AW317" i="11" s="1"/>
  <c r="AX317" i="11" s="1"/>
  <c r="AO321" i="11"/>
  <c r="AV321" i="11"/>
  <c r="AW321" i="11" s="1"/>
  <c r="AX321" i="11" s="1"/>
  <c r="AK310" i="11"/>
  <c r="AO247" i="11"/>
  <c r="AP247" i="11" s="1"/>
  <c r="AV247" i="11"/>
  <c r="AW247" i="11" s="1"/>
  <c r="AX247" i="11" s="1"/>
  <c r="AV110" i="11"/>
  <c r="AW110" i="11" s="1"/>
  <c r="AX110" i="11" s="1"/>
  <c r="AO110" i="11"/>
  <c r="AP110" i="11" s="1"/>
  <c r="AO103" i="11"/>
  <c r="AP103" i="11" s="1"/>
  <c r="AV103" i="11"/>
  <c r="AW103" i="11" s="1"/>
  <c r="AX103" i="11" s="1"/>
  <c r="AO119" i="11"/>
  <c r="AP119" i="11" s="1"/>
  <c r="AV119" i="11"/>
  <c r="AW119" i="11" s="1"/>
  <c r="AX119" i="11" s="1"/>
  <c r="AV72" i="11"/>
  <c r="AW72" i="11" s="1"/>
  <c r="AX72" i="11" s="1"/>
  <c r="AO72" i="11"/>
  <c r="AP72" i="11" s="1"/>
  <c r="AP122" i="11"/>
  <c r="AO143" i="11"/>
  <c r="AP143" i="11" s="1"/>
  <c r="AV143" i="11"/>
  <c r="AW143" i="11" s="1"/>
  <c r="AX143" i="11" s="1"/>
  <c r="AO127" i="11"/>
  <c r="AP127" i="11" s="1"/>
  <c r="AV127" i="11"/>
  <c r="AW127" i="11" s="1"/>
  <c r="AX127" i="11" s="1"/>
  <c r="AV155" i="11"/>
  <c r="AW155" i="11" s="1"/>
  <c r="AX155" i="11" s="1"/>
  <c r="AO155" i="11"/>
  <c r="AP155" i="11" s="1"/>
  <c r="AV68" i="11"/>
  <c r="AW68" i="11" s="1"/>
  <c r="AX68" i="11" s="1"/>
  <c r="AO68" i="11"/>
  <c r="AP68" i="11" s="1"/>
  <c r="AO129" i="11"/>
  <c r="AP129" i="11" s="1"/>
  <c r="AV129" i="11"/>
  <c r="AW129" i="11" s="1"/>
  <c r="AX129" i="11" s="1"/>
  <c r="AP82" i="11"/>
  <c r="AO109" i="11"/>
  <c r="AP109" i="11" s="1"/>
  <c r="AV109" i="11"/>
  <c r="AW109" i="11" s="1"/>
  <c r="AX109" i="11" s="1"/>
  <c r="AV116" i="11"/>
  <c r="AW116" i="11" s="1"/>
  <c r="AX116" i="11" s="1"/>
  <c r="AO116" i="11"/>
  <c r="AP116" i="11" s="1"/>
  <c r="AM250" i="11"/>
  <c r="AN250" i="11" s="1"/>
  <c r="AK333" i="11"/>
  <c r="AK259" i="11"/>
  <c r="AK230" i="11"/>
  <c r="AK277" i="11"/>
  <c r="AM270" i="11"/>
  <c r="AN270" i="11" s="1"/>
  <c r="AM278" i="11"/>
  <c r="AN278" i="11" s="1"/>
  <c r="AV287" i="11"/>
  <c r="AW287" i="11" s="1"/>
  <c r="AX287" i="11" s="1"/>
  <c r="AO287" i="11"/>
  <c r="AM287" i="11"/>
  <c r="AN287" i="11" s="1"/>
  <c r="AM255" i="11"/>
  <c r="AN255" i="11" s="1"/>
  <c r="AM294" i="11"/>
  <c r="AN294" i="11" s="1"/>
  <c r="AK254" i="11"/>
  <c r="AM238" i="11"/>
  <c r="AN238" i="11" s="1"/>
  <c r="AM329" i="11"/>
  <c r="AN329" i="11" s="1"/>
  <c r="AK282" i="11"/>
  <c r="AT55" i="11"/>
  <c r="AR55" i="11"/>
  <c r="AY55" i="11"/>
  <c r="AV322" i="11"/>
  <c r="AW322" i="11" s="1"/>
  <c r="AX322" i="11" s="1"/>
  <c r="AO322" i="11"/>
  <c r="AM322" i="11"/>
  <c r="AN322" i="11" s="1"/>
  <c r="AK302" i="11"/>
  <c r="AV280" i="11"/>
  <c r="AW280" i="11" s="1"/>
  <c r="AX280" i="11" s="1"/>
  <c r="AO280" i="11"/>
  <c r="AM280" i="11"/>
  <c r="AN280" i="11" s="1"/>
  <c r="AK307" i="11"/>
  <c r="AO107" i="11"/>
  <c r="AP107" i="11" s="1"/>
  <c r="AV107" i="11"/>
  <c r="AW107" i="11" s="1"/>
  <c r="AX107" i="11" s="1"/>
  <c r="AO95" i="11"/>
  <c r="AP95" i="11" s="1"/>
  <c r="AV95" i="11"/>
  <c r="AW95" i="11" s="1"/>
  <c r="AX95" i="11" s="1"/>
  <c r="AO47" i="11"/>
  <c r="AP47" i="11" s="1"/>
  <c r="AV47" i="11"/>
  <c r="AW47" i="11" s="1"/>
  <c r="AX47" i="11" s="1"/>
  <c r="AS57" i="11"/>
  <c r="AT144" i="11"/>
  <c r="AR144" i="11"/>
  <c r="AY144" i="11"/>
  <c r="AT91" i="11"/>
  <c r="AR91" i="11"/>
  <c r="AY91" i="11"/>
  <c r="AO125" i="11"/>
  <c r="AP125" i="11" s="1"/>
  <c r="AV125" i="11"/>
  <c r="AW125" i="11" s="1"/>
  <c r="AX125" i="11" s="1"/>
  <c r="AO275" i="11"/>
  <c r="AV275" i="11"/>
  <c r="AW275" i="11" s="1"/>
  <c r="AX275" i="11" s="1"/>
  <c r="AM275" i="11"/>
  <c r="AN275" i="11" s="1"/>
  <c r="AO304" i="11"/>
  <c r="AV304" i="11"/>
  <c r="AW304" i="11" s="1"/>
  <c r="AX304" i="11" s="1"/>
  <c r="AM304" i="11"/>
  <c r="AN304" i="11" s="1"/>
  <c r="AO253" i="11"/>
  <c r="AV253" i="11"/>
  <c r="AW253" i="11" s="1"/>
  <c r="AX253" i="11" s="1"/>
  <c r="AM253" i="11"/>
  <c r="AN253" i="11" s="1"/>
  <c r="AK298" i="11"/>
  <c r="AM293" i="11"/>
  <c r="AN293" i="11" s="1"/>
  <c r="AK306" i="11"/>
  <c r="AK273" i="11"/>
  <c r="AK303" i="11"/>
  <c r="AK274" i="11"/>
  <c r="AM325" i="11"/>
  <c r="AN325" i="11" s="1"/>
  <c r="AK320" i="11"/>
  <c r="AV314" i="11"/>
  <c r="AW314" i="11" s="1"/>
  <c r="AX314" i="11" s="1"/>
  <c r="AO314" i="11"/>
  <c r="AM314" i="11"/>
  <c r="AN314" i="11" s="1"/>
  <c r="AV262" i="11"/>
  <c r="AW262" i="11" s="1"/>
  <c r="AX262" i="11" s="1"/>
  <c r="AO262" i="11"/>
  <c r="AM262" i="11"/>
  <c r="AN262" i="11" s="1"/>
  <c r="AK229" i="11"/>
  <c r="AK251" i="11"/>
  <c r="AV330" i="11"/>
  <c r="AW330" i="11" s="1"/>
  <c r="AX330" i="11" s="1"/>
  <c r="AO330" i="11"/>
  <c r="AM330" i="11"/>
  <c r="AN330" i="11" s="1"/>
  <c r="AT115" i="11"/>
  <c r="AR115" i="11"/>
  <c r="AY115" i="11"/>
  <c r="AV84" i="11"/>
  <c r="AW84" i="11" s="1"/>
  <c r="AX84" i="11" s="1"/>
  <c r="AO84" i="11"/>
  <c r="AP84" i="11" s="1"/>
  <c r="AO121" i="11"/>
  <c r="AP121" i="11" s="1"/>
  <c r="AV121" i="11"/>
  <c r="AW121" i="11" s="1"/>
  <c r="AX121" i="11" s="1"/>
  <c r="AP154" i="11"/>
  <c r="AP96" i="11"/>
  <c r="AK297" i="11"/>
  <c r="AM328" i="11"/>
  <c r="AN328" i="11" s="1"/>
  <c r="AM258" i="11"/>
  <c r="AN258" i="11" s="1"/>
  <c r="AM305" i="11"/>
  <c r="AN305" i="11" s="1"/>
  <c r="AK295" i="11"/>
  <c r="AK316" i="11"/>
  <c r="AM281" i="11"/>
  <c r="AN281" i="11" s="1"/>
  <c r="AM309" i="11"/>
  <c r="AN309" i="11" s="1"/>
  <c r="AM332" i="11"/>
  <c r="AN332" i="11" s="1"/>
  <c r="AK301" i="11"/>
  <c r="AM317" i="11"/>
  <c r="AN317" i="11" s="1"/>
  <c r="AK234" i="11"/>
  <c r="AK299" i="11"/>
  <c r="AM321" i="11"/>
  <c r="AN321" i="11" s="1"/>
  <c r="AO256" i="11"/>
  <c r="AP256" i="11" s="1"/>
  <c r="AV256" i="11"/>
  <c r="AW256" i="11" s="1"/>
  <c r="AX256" i="11" s="1"/>
  <c r="AO271" i="11"/>
  <c r="AV271" i="11"/>
  <c r="AW271" i="11" s="1"/>
  <c r="AX271" i="11" s="1"/>
  <c r="AO308" i="11"/>
  <c r="AV308" i="11"/>
  <c r="AW308" i="11" s="1"/>
  <c r="AX308" i="11" s="1"/>
  <c r="AM308" i="11"/>
  <c r="AN308" i="11" s="1"/>
  <c r="AV140" i="11"/>
  <c r="AW140" i="11" s="1"/>
  <c r="AX140" i="11" s="1"/>
  <c r="AO140" i="11"/>
  <c r="AP140" i="11" s="1"/>
  <c r="AO132" i="11"/>
  <c r="AP132" i="11" s="1"/>
  <c r="AV132" i="11"/>
  <c r="AW132" i="11" s="1"/>
  <c r="AX132" i="11" s="1"/>
  <c r="AV152" i="11"/>
  <c r="AW152" i="11" s="1"/>
  <c r="AX152" i="11" s="1"/>
  <c r="AO152" i="11"/>
  <c r="AP152" i="11" s="1"/>
  <c r="AO139" i="11"/>
  <c r="AP139" i="11" s="1"/>
  <c r="AV139" i="11"/>
  <c r="AW139" i="11" s="1"/>
  <c r="AX139" i="11" s="1"/>
  <c r="AO131" i="11"/>
  <c r="AP131" i="11" s="1"/>
  <c r="AV131" i="11"/>
  <c r="AW131" i="11" s="1"/>
  <c r="AX131" i="11" s="1"/>
  <c r="AV124" i="11"/>
  <c r="AW124" i="11" s="1"/>
  <c r="AX124" i="11" s="1"/>
  <c r="AO124" i="11"/>
  <c r="AP124" i="11" s="1"/>
  <c r="AP52" i="11"/>
  <c r="AO99" i="11"/>
  <c r="AP99" i="11" s="1"/>
  <c r="AV99" i="11"/>
  <c r="AW99" i="11" s="1"/>
  <c r="AX99" i="11" s="1"/>
  <c r="AO53" i="11"/>
  <c r="AP53" i="11" s="1"/>
  <c r="AV53" i="11"/>
  <c r="AW53" i="11" s="1"/>
  <c r="AX53" i="11" s="1"/>
  <c r="AO59" i="11"/>
  <c r="AP59" i="11" s="1"/>
  <c r="AV59" i="11"/>
  <c r="AW59" i="11" s="1"/>
  <c r="AX59" i="11" s="1"/>
  <c r="AV148" i="11"/>
  <c r="AW148" i="11" s="1"/>
  <c r="AX148" i="11" s="1"/>
  <c r="AO148" i="11"/>
  <c r="AP148" i="11" s="1"/>
  <c r="AP92" i="11"/>
  <c r="P235" i="72" l="1"/>
  <c r="R230" i="47"/>
  <c r="P233" i="72"/>
  <c r="R228" i="47"/>
  <c r="T228" i="47"/>
  <c r="Y288" i="47"/>
  <c r="K25" i="55"/>
  <c r="M44" i="77" s="1"/>
  <c r="M45" i="77" s="1"/>
  <c r="I22" i="21"/>
  <c r="N17" i="21" s="1"/>
  <c r="AY69" i="47"/>
  <c r="AR69" i="47"/>
  <c r="AS69" i="47" s="1"/>
  <c r="H24" i="21"/>
  <c r="K27" i="55" s="1"/>
  <c r="T377" i="47"/>
  <c r="T376" i="47" s="1"/>
  <c r="Z334" i="47"/>
  <c r="U382" i="72" s="1"/>
  <c r="O25" i="55"/>
  <c r="Q44" i="77" s="1"/>
  <c r="Q45" i="77" s="1"/>
  <c r="J24" i="21"/>
  <c r="O27" i="55" s="1"/>
  <c r="K30" i="5"/>
  <c r="Z311" i="47"/>
  <c r="U381" i="72" s="1"/>
  <c r="Z288" i="47"/>
  <c r="U380" i="72" s="1"/>
  <c r="AV245" i="47"/>
  <c r="AW245" i="47" s="1"/>
  <c r="AX245" i="47" s="1"/>
  <c r="AO222" i="47"/>
  <c r="AP222" i="47" s="1"/>
  <c r="AR222" i="47" s="1"/>
  <c r="T190" i="47"/>
  <c r="T194" i="47" s="1"/>
  <c r="R371" i="47"/>
  <c r="R374" i="47" s="1"/>
  <c r="T367" i="47"/>
  <c r="T371" i="47" s="1"/>
  <c r="AR79" i="47"/>
  <c r="AS79" i="47" s="1"/>
  <c r="AT84" i="47"/>
  <c r="AY79" i="47"/>
  <c r="AR84" i="47"/>
  <c r="AS84" i="47" s="1"/>
  <c r="AP252" i="47"/>
  <c r="AT252" i="47" s="1"/>
  <c r="AP223" i="47"/>
  <c r="AT223" i="47" s="1"/>
  <c r="AP238" i="47"/>
  <c r="AY238" i="47" s="1"/>
  <c r="AO230" i="47"/>
  <c r="AP230" i="47" s="1"/>
  <c r="AR230" i="47" s="1"/>
  <c r="AO254" i="47"/>
  <c r="AP254" i="47" s="1"/>
  <c r="AY254" i="47" s="1"/>
  <c r="O166" i="63"/>
  <c r="O167" i="63"/>
  <c r="O168" i="63"/>
  <c r="O165" i="63"/>
  <c r="AY46" i="47"/>
  <c r="AT46" i="47"/>
  <c r="AU46" i="47" s="1"/>
  <c r="AZ46" i="47" s="1"/>
  <c r="AR56" i="47"/>
  <c r="AU56" i="47" s="1"/>
  <c r="AZ56" i="47" s="1"/>
  <c r="AY56" i="47"/>
  <c r="AV237" i="47"/>
  <c r="AW237" i="47" s="1"/>
  <c r="AX237" i="47" s="1"/>
  <c r="AT61" i="47"/>
  <c r="AR61" i="47"/>
  <c r="AV261" i="47"/>
  <c r="AW261" i="47" s="1"/>
  <c r="AX261" i="47" s="1"/>
  <c r="AT83" i="47"/>
  <c r="AR83" i="47"/>
  <c r="AS83" i="47" s="1"/>
  <c r="AR45" i="54"/>
  <c r="AS45" i="54" s="1"/>
  <c r="AY69" i="54"/>
  <c r="AR69" i="54"/>
  <c r="AU69" i="54" s="1"/>
  <c r="AZ69" i="54" s="1"/>
  <c r="AR77" i="47"/>
  <c r="AS77" i="47" s="1"/>
  <c r="AT77" i="47"/>
  <c r="AY45" i="54"/>
  <c r="AY46" i="54"/>
  <c r="AR46" i="54"/>
  <c r="AS46" i="54" s="1"/>
  <c r="AO253" i="47"/>
  <c r="AP253" i="47" s="1"/>
  <c r="AR253" i="47" s="1"/>
  <c r="AS253" i="47" s="1"/>
  <c r="AP229" i="47"/>
  <c r="AT229" i="47" s="1"/>
  <c r="AP224" i="47"/>
  <c r="AR224" i="47" s="1"/>
  <c r="AP249" i="47"/>
  <c r="AT249" i="47" s="1"/>
  <c r="AY50" i="47"/>
  <c r="AT45" i="47"/>
  <c r="AU45" i="47" s="1"/>
  <c r="AZ45" i="47" s="1"/>
  <c r="AY45" i="47"/>
  <c r="AO232" i="47"/>
  <c r="AP232" i="47" s="1"/>
  <c r="AT232" i="47" s="1"/>
  <c r="AO227" i="47"/>
  <c r="AP227" i="47" s="1"/>
  <c r="AT227" i="47" s="1"/>
  <c r="AP231" i="47"/>
  <c r="AT231" i="47" s="1"/>
  <c r="AY74" i="47"/>
  <c r="AT74" i="47"/>
  <c r="AU74" i="47" s="1"/>
  <c r="AZ74" i="47" s="1"/>
  <c r="AR50" i="47"/>
  <c r="AS50" i="47" s="1"/>
  <c r="AT71" i="47"/>
  <c r="AU71" i="47" s="1"/>
  <c r="AZ71" i="47" s="1"/>
  <c r="AY71" i="47"/>
  <c r="AY68" i="54"/>
  <c r="AP264" i="47"/>
  <c r="AR264" i="47" s="1"/>
  <c r="AS264" i="47" s="1"/>
  <c r="AT51" i="47"/>
  <c r="AU51" i="47" s="1"/>
  <c r="AZ51" i="47" s="1"/>
  <c r="AY51" i="47"/>
  <c r="AT52" i="54"/>
  <c r="AR52" i="54"/>
  <c r="AS52" i="54" s="1"/>
  <c r="AR68" i="54"/>
  <c r="AU68" i="54" s="1"/>
  <c r="AZ68" i="54" s="1"/>
  <c r="P68" i="54" s="1"/>
  <c r="Q68" i="54" s="1"/>
  <c r="T68" i="54" s="1"/>
  <c r="R68" i="54" s="1"/>
  <c r="AR58" i="54"/>
  <c r="AS58" i="54" s="1"/>
  <c r="AT58" i="54"/>
  <c r="AR78" i="54"/>
  <c r="AS78" i="54" s="1"/>
  <c r="AY78" i="54"/>
  <c r="AR73" i="54"/>
  <c r="AT73" i="54"/>
  <c r="AY73" i="54"/>
  <c r="AT87" i="54"/>
  <c r="AR87" i="54"/>
  <c r="AY87" i="54"/>
  <c r="AR74" i="54"/>
  <c r="AT74" i="54"/>
  <c r="AY74" i="54"/>
  <c r="AY76" i="54"/>
  <c r="AR76" i="54"/>
  <c r="AT76" i="54"/>
  <c r="AT56" i="54"/>
  <c r="AR56" i="54"/>
  <c r="AY56" i="54"/>
  <c r="AT57" i="54"/>
  <c r="AR57" i="54"/>
  <c r="AY57" i="54"/>
  <c r="AT50" i="54"/>
  <c r="AR50" i="54"/>
  <c r="AY50" i="54"/>
  <c r="AR53" i="54"/>
  <c r="AT53" i="54"/>
  <c r="AY53" i="54"/>
  <c r="AR64" i="54"/>
  <c r="AT64" i="54"/>
  <c r="AY64" i="54"/>
  <c r="AY83" i="54"/>
  <c r="AR83" i="54"/>
  <c r="AS83" i="54" s="1"/>
  <c r="AT83" i="54"/>
  <c r="AT61" i="54"/>
  <c r="AR61" i="54"/>
  <c r="AY61" i="54"/>
  <c r="AT55" i="54"/>
  <c r="AR55" i="54"/>
  <c r="AY55" i="54"/>
  <c r="AY48" i="54"/>
  <c r="AR48" i="54"/>
  <c r="AS48" i="54" s="1"/>
  <c r="AT48" i="54"/>
  <c r="AR77" i="54"/>
  <c r="AT77" i="54"/>
  <c r="AY77" i="54"/>
  <c r="AR54" i="54"/>
  <c r="AT54" i="54"/>
  <c r="AY54" i="54"/>
  <c r="AR80" i="54"/>
  <c r="AT80" i="54"/>
  <c r="AY80" i="54"/>
  <c r="AT84" i="54"/>
  <c r="AR84" i="54"/>
  <c r="AY84" i="54"/>
  <c r="AT85" i="54"/>
  <c r="AR85" i="54"/>
  <c r="AY85" i="54"/>
  <c r="AR59" i="54"/>
  <c r="AT59" i="54"/>
  <c r="AY59" i="54"/>
  <c r="AT71" i="54"/>
  <c r="AR71" i="54"/>
  <c r="AY71" i="54"/>
  <c r="AY62" i="54"/>
  <c r="AT62" i="54"/>
  <c r="AR62" i="54"/>
  <c r="AT86" i="54"/>
  <c r="AR86" i="54"/>
  <c r="AY86" i="54"/>
  <c r="AR47" i="54"/>
  <c r="AT47" i="54"/>
  <c r="AY47" i="54"/>
  <c r="AR49" i="54"/>
  <c r="AT49" i="54"/>
  <c r="AY49" i="54"/>
  <c r="AT75" i="54"/>
  <c r="AR75" i="54"/>
  <c r="AY75" i="54"/>
  <c r="AR51" i="54"/>
  <c r="AT51" i="54"/>
  <c r="AY51" i="54"/>
  <c r="AY82" i="54"/>
  <c r="AT82" i="54"/>
  <c r="AR82" i="54"/>
  <c r="AR70" i="54"/>
  <c r="AT70" i="54"/>
  <c r="AY70" i="54"/>
  <c r="AR72" i="54"/>
  <c r="AT72" i="54"/>
  <c r="AY72" i="54"/>
  <c r="AT63" i="54"/>
  <c r="AR63" i="54"/>
  <c r="AY63" i="54"/>
  <c r="AR81" i="54"/>
  <c r="AT81" i="54"/>
  <c r="AY81" i="54"/>
  <c r="AR60" i="54"/>
  <c r="AT60" i="54"/>
  <c r="AY60" i="54"/>
  <c r="AT79" i="54"/>
  <c r="AR79" i="54"/>
  <c r="AY79" i="54"/>
  <c r="AS86" i="47"/>
  <c r="AU49" i="47"/>
  <c r="AZ49" i="47" s="1"/>
  <c r="AS76" i="47"/>
  <c r="AY256" i="47"/>
  <c r="AY261" i="47"/>
  <c r="AT263" i="47"/>
  <c r="AR256" i="47"/>
  <c r="AU256" i="47" s="1"/>
  <c r="AZ256" i="47" s="1"/>
  <c r="AU68" i="47"/>
  <c r="AZ68" i="47" s="1"/>
  <c r="AR261" i="47"/>
  <c r="AU261" i="47" s="1"/>
  <c r="AZ261" i="47" s="1"/>
  <c r="AR260" i="47"/>
  <c r="AS260" i="47" s="1"/>
  <c r="AR245" i="47"/>
  <c r="AS245" i="47" s="1"/>
  <c r="AR257" i="47"/>
  <c r="AU257" i="47" s="1"/>
  <c r="AZ257" i="47" s="1"/>
  <c r="AR263" i="47"/>
  <c r="AS263" i="47" s="1"/>
  <c r="AY245" i="47"/>
  <c r="AU73" i="47"/>
  <c r="AZ73" i="47" s="1"/>
  <c r="AR225" i="47"/>
  <c r="AU225" i="47" s="1"/>
  <c r="AZ225" i="47" s="1"/>
  <c r="AT251" i="47"/>
  <c r="AU251" i="47" s="1"/>
  <c r="AZ251" i="47" s="1"/>
  <c r="AY257" i="47"/>
  <c r="AT255" i="47"/>
  <c r="AU255" i="47" s="1"/>
  <c r="AZ255" i="47" s="1"/>
  <c r="AY260" i="47"/>
  <c r="AU81" i="47"/>
  <c r="AZ81" i="47" s="1"/>
  <c r="AR259" i="47"/>
  <c r="AS259" i="47" s="1"/>
  <c r="AY255" i="47"/>
  <c r="AY225" i="47"/>
  <c r="AY251" i="47"/>
  <c r="AY258" i="47"/>
  <c r="AR246" i="47"/>
  <c r="AS246" i="47" s="1"/>
  <c r="AT246" i="47"/>
  <c r="AT258" i="47"/>
  <c r="AU258" i="47" s="1"/>
  <c r="AZ258" i="47" s="1"/>
  <c r="AY259" i="47"/>
  <c r="AT228" i="47"/>
  <c r="AR228" i="47"/>
  <c r="AY228" i="47"/>
  <c r="AS52" i="47"/>
  <c r="AU52" i="47"/>
  <c r="AZ52" i="47" s="1"/>
  <c r="AS87" i="47"/>
  <c r="AU87" i="47"/>
  <c r="AZ87" i="47" s="1"/>
  <c r="AR239" i="47"/>
  <c r="AT239" i="47"/>
  <c r="AY239" i="47"/>
  <c r="AU80" i="47"/>
  <c r="AZ80" i="47" s="1"/>
  <c r="AS80" i="47"/>
  <c r="AS258" i="47"/>
  <c r="AR236" i="47"/>
  <c r="AT236" i="47"/>
  <c r="AY236" i="47"/>
  <c r="AS48" i="47"/>
  <c r="AU48" i="47"/>
  <c r="AZ48" i="47" s="1"/>
  <c r="AU59" i="47"/>
  <c r="AZ59" i="47" s="1"/>
  <c r="AS59" i="47"/>
  <c r="AU53" i="47"/>
  <c r="AZ53" i="47" s="1"/>
  <c r="AS53" i="47"/>
  <c r="AU55" i="47"/>
  <c r="AZ55" i="47" s="1"/>
  <c r="AS55" i="47"/>
  <c r="AS63" i="47"/>
  <c r="AU63" i="47"/>
  <c r="AZ63" i="47" s="1"/>
  <c r="AS58" i="47"/>
  <c r="AU58" i="47"/>
  <c r="AZ58" i="47" s="1"/>
  <c r="AS251" i="47"/>
  <c r="AR250" i="47"/>
  <c r="AT250" i="47"/>
  <c r="AY250" i="47"/>
  <c r="AS255" i="47"/>
  <c r="AT226" i="47"/>
  <c r="AR226" i="47"/>
  <c r="AY226" i="47"/>
  <c r="AR262" i="47"/>
  <c r="AT262" i="47"/>
  <c r="AY262" i="47"/>
  <c r="AU72" i="47"/>
  <c r="AZ72" i="47" s="1"/>
  <c r="AS72" i="47"/>
  <c r="AS62" i="47"/>
  <c r="AU62" i="47"/>
  <c r="AZ62" i="47" s="1"/>
  <c r="AT247" i="47"/>
  <c r="AR247" i="47"/>
  <c r="AY247" i="47"/>
  <c r="AR240" i="47"/>
  <c r="AT240" i="47"/>
  <c r="AY240" i="47"/>
  <c r="AU64" i="47"/>
  <c r="AZ64" i="47" s="1"/>
  <c r="AS64" i="47"/>
  <c r="AS71" i="47"/>
  <c r="AR233" i="47"/>
  <c r="AT233" i="47"/>
  <c r="AY233" i="47"/>
  <c r="AR248" i="47"/>
  <c r="AT248" i="47"/>
  <c r="AY248" i="47"/>
  <c r="AR237" i="47"/>
  <c r="AT237" i="47"/>
  <c r="AY237" i="47"/>
  <c r="AS74" i="47"/>
  <c r="AR235" i="47"/>
  <c r="AT235" i="47"/>
  <c r="AY235" i="47"/>
  <c r="AS46" i="47"/>
  <c r="AS54" i="47"/>
  <c r="AU54" i="47"/>
  <c r="AZ54" i="47" s="1"/>
  <c r="AS75" i="47"/>
  <c r="AU75" i="47"/>
  <c r="AZ75" i="47" s="1"/>
  <c r="AR234" i="47"/>
  <c r="AT234" i="47"/>
  <c r="AY234" i="47"/>
  <c r="AU47" i="47"/>
  <c r="AZ47" i="47" s="1"/>
  <c r="AS47" i="47"/>
  <c r="AR241" i="47"/>
  <c r="AT241" i="47"/>
  <c r="AY241" i="47"/>
  <c r="AS60" i="47"/>
  <c r="AU60" i="47"/>
  <c r="AZ60" i="47" s="1"/>
  <c r="AU57" i="47"/>
  <c r="AZ57" i="47" s="1"/>
  <c r="AS57" i="47"/>
  <c r="AU82" i="47"/>
  <c r="AZ82" i="47" s="1"/>
  <c r="AS82" i="47"/>
  <c r="AU86" i="11"/>
  <c r="AZ86" i="11" s="1"/>
  <c r="AP252" i="11"/>
  <c r="AT252" i="11" s="1"/>
  <c r="AY56" i="11"/>
  <c r="AR56" i="11"/>
  <c r="AU56" i="11" s="1"/>
  <c r="AZ56" i="11" s="1"/>
  <c r="AY62" i="11"/>
  <c r="AR62" i="11"/>
  <c r="AU62" i="11" s="1"/>
  <c r="AZ62" i="11" s="1"/>
  <c r="AR50" i="11"/>
  <c r="AS50" i="11" s="1"/>
  <c r="AU175" i="11"/>
  <c r="AZ175" i="11" s="1"/>
  <c r="AP232" i="11"/>
  <c r="AT232" i="11" s="1"/>
  <c r="AT50" i="11"/>
  <c r="AP237" i="11"/>
  <c r="AT237" i="11" s="1"/>
  <c r="AY83" i="11"/>
  <c r="AU182" i="11"/>
  <c r="AZ182" i="11" s="1"/>
  <c r="AU177" i="11"/>
  <c r="AZ177" i="11" s="1"/>
  <c r="AU179" i="11"/>
  <c r="AZ179" i="11" s="1"/>
  <c r="AR324" i="11"/>
  <c r="AU324" i="11" s="1"/>
  <c r="AZ324" i="11" s="1"/>
  <c r="AP263" i="11"/>
  <c r="AT263" i="11" s="1"/>
  <c r="AU176" i="11"/>
  <c r="AZ176" i="11" s="1"/>
  <c r="AT150" i="11"/>
  <c r="AU150" i="11" s="1"/>
  <c r="AZ150" i="11" s="1"/>
  <c r="AY240" i="11"/>
  <c r="AS178" i="11"/>
  <c r="AT156" i="11"/>
  <c r="AU156" i="11" s="1"/>
  <c r="AZ156" i="11" s="1"/>
  <c r="AV264" i="11"/>
  <c r="AW264" i="11" s="1"/>
  <c r="AX264" i="11" s="1"/>
  <c r="AP327" i="11"/>
  <c r="AT327" i="11" s="1"/>
  <c r="AY79" i="11"/>
  <c r="AY150" i="11"/>
  <c r="AR79" i="11"/>
  <c r="AU79" i="11" s="1"/>
  <c r="AZ79" i="11" s="1"/>
  <c r="AR114" i="11"/>
  <c r="AS114" i="11" s="1"/>
  <c r="AR363" i="11"/>
  <c r="AS363" i="11" s="1"/>
  <c r="AR240" i="11"/>
  <c r="AU240" i="11" s="1"/>
  <c r="AZ240" i="11" s="1"/>
  <c r="AP241" i="11"/>
  <c r="AY241" i="11" s="1"/>
  <c r="AR145" i="11"/>
  <c r="AS145" i="11" s="1"/>
  <c r="AY114" i="11"/>
  <c r="AT83" i="11"/>
  <c r="AU83" i="11" s="1"/>
  <c r="AZ83" i="11" s="1"/>
  <c r="AT128" i="11"/>
  <c r="AU128" i="11" s="1"/>
  <c r="AZ128" i="11" s="1"/>
  <c r="AY70" i="11"/>
  <c r="AY105" i="11"/>
  <c r="AT363" i="11"/>
  <c r="AY118" i="11"/>
  <c r="AR71" i="11"/>
  <c r="AU71" i="11" s="1"/>
  <c r="AZ71" i="11" s="1"/>
  <c r="AP271" i="11"/>
  <c r="AR271" i="11" s="1"/>
  <c r="AT126" i="11"/>
  <c r="AU126" i="11" s="1"/>
  <c r="AZ126" i="11" s="1"/>
  <c r="AR80" i="11"/>
  <c r="AU80" i="11" s="1"/>
  <c r="AZ80" i="11" s="1"/>
  <c r="AT70" i="11"/>
  <c r="AU70" i="11" s="1"/>
  <c r="AZ70" i="11" s="1"/>
  <c r="AR105" i="11"/>
  <c r="AS105" i="11" s="1"/>
  <c r="AR120" i="11"/>
  <c r="AU120" i="11" s="1"/>
  <c r="AZ120" i="11" s="1"/>
  <c r="AY46" i="11"/>
  <c r="AT146" i="11"/>
  <c r="AR138" i="11"/>
  <c r="AS138" i="11" s="1"/>
  <c r="AR46" i="11"/>
  <c r="AS46" i="11" s="1"/>
  <c r="AR101" i="11"/>
  <c r="AS101" i="11" s="1"/>
  <c r="AS180" i="11"/>
  <c r="AT74" i="11"/>
  <c r="AU74" i="11" s="1"/>
  <c r="AZ74" i="11" s="1"/>
  <c r="AY101" i="11"/>
  <c r="AV285" i="11"/>
  <c r="AW285" i="11" s="1"/>
  <c r="AX285" i="11" s="1"/>
  <c r="AY120" i="11"/>
  <c r="AY74" i="11"/>
  <c r="AR75" i="11"/>
  <c r="AS75" i="11" s="1"/>
  <c r="AO286" i="11"/>
  <c r="AP286" i="11" s="1"/>
  <c r="AY286" i="11" s="1"/>
  <c r="AY71" i="11"/>
  <c r="AY153" i="11"/>
  <c r="AY128" i="11"/>
  <c r="AT331" i="11"/>
  <c r="AU331" i="11" s="1"/>
  <c r="AZ331" i="11" s="1"/>
  <c r="AY126" i="11"/>
  <c r="AT94" i="11"/>
  <c r="AU94" i="11" s="1"/>
  <c r="AZ94" i="11" s="1"/>
  <c r="AP318" i="11"/>
  <c r="AT318" i="11" s="1"/>
  <c r="AU104" i="11"/>
  <c r="AZ104" i="11" s="1"/>
  <c r="AY151" i="11"/>
  <c r="AR236" i="11"/>
  <c r="AS236" i="11" s="1"/>
  <c r="AT236" i="11"/>
  <c r="AR257" i="11"/>
  <c r="AS257" i="11" s="1"/>
  <c r="AY106" i="11"/>
  <c r="AY145" i="11"/>
  <c r="AR228" i="11"/>
  <c r="AS228" i="11" s="1"/>
  <c r="AT98" i="11"/>
  <c r="AU98" i="11" s="1"/>
  <c r="AZ98" i="11" s="1"/>
  <c r="AT102" i="11"/>
  <c r="AU102" i="11" s="1"/>
  <c r="AZ102" i="11" s="1"/>
  <c r="AY226" i="11"/>
  <c r="AR239" i="11"/>
  <c r="AS239" i="11" s="1"/>
  <c r="AY98" i="11"/>
  <c r="AO260" i="11"/>
  <c r="AP260" i="11" s="1"/>
  <c r="AT260" i="11" s="1"/>
  <c r="AT141" i="11"/>
  <c r="AU141" i="11" s="1"/>
  <c r="AZ141" i="11" s="1"/>
  <c r="AR227" i="11"/>
  <c r="AS227" i="11" s="1"/>
  <c r="AY227" i="11"/>
  <c r="AT108" i="11"/>
  <c r="AR142" i="11"/>
  <c r="AU142" i="11" s="1"/>
  <c r="AZ142" i="11" s="1"/>
  <c r="AT106" i="11"/>
  <c r="AU106" i="11" s="1"/>
  <c r="AZ106" i="11" s="1"/>
  <c r="AS100" i="11"/>
  <c r="AT137" i="11"/>
  <c r="AU137" i="11" s="1"/>
  <c r="AZ137" i="11" s="1"/>
  <c r="P137" i="11" s="1"/>
  <c r="Q137" i="11" s="1"/>
  <c r="T137" i="11" s="1"/>
  <c r="R137" i="11" s="1"/>
  <c r="AY102" i="11"/>
  <c r="AR93" i="11"/>
  <c r="AP309" i="11"/>
  <c r="AY309" i="11" s="1"/>
  <c r="AT130" i="11"/>
  <c r="AU130" i="11" s="1"/>
  <c r="AZ130" i="11" s="1"/>
  <c r="AR78" i="11"/>
  <c r="AS78" i="11" s="1"/>
  <c r="AY133" i="11"/>
  <c r="AT118" i="11"/>
  <c r="AU118" i="11" s="1"/>
  <c r="AZ118" i="11" s="1"/>
  <c r="AY76" i="11"/>
  <c r="AR249" i="11"/>
  <c r="AS249" i="11" s="1"/>
  <c r="AT153" i="11"/>
  <c r="AU153" i="11" s="1"/>
  <c r="AZ153" i="11" s="1"/>
  <c r="AT151" i="11"/>
  <c r="AU151" i="11" s="1"/>
  <c r="AZ151" i="11" s="1"/>
  <c r="AY233" i="11"/>
  <c r="AT226" i="11"/>
  <c r="AU226" i="11" s="1"/>
  <c r="AZ226" i="11" s="1"/>
  <c r="AY138" i="11"/>
  <c r="AY236" i="11"/>
  <c r="AP255" i="11"/>
  <c r="AY255" i="11" s="1"/>
  <c r="AR76" i="11"/>
  <c r="AU76" i="11" s="1"/>
  <c r="AZ76" i="11" s="1"/>
  <c r="AP323" i="11"/>
  <c r="AY331" i="11"/>
  <c r="AY130" i="11"/>
  <c r="AY257" i="11"/>
  <c r="AT233" i="11"/>
  <c r="AU233" i="11" s="1"/>
  <c r="AZ233" i="11" s="1"/>
  <c r="AY142" i="11"/>
  <c r="AY78" i="11"/>
  <c r="AR133" i="11"/>
  <c r="AU133" i="11" s="1"/>
  <c r="AZ133" i="11" s="1"/>
  <c r="AT228" i="11"/>
  <c r="AR97" i="11"/>
  <c r="AS97" i="11" s="1"/>
  <c r="AY137" i="11"/>
  <c r="AV279" i="11"/>
  <c r="AW279" i="11" s="1"/>
  <c r="AX279" i="11" s="1"/>
  <c r="AT227" i="11"/>
  <c r="AT296" i="11"/>
  <c r="AY156" i="11"/>
  <c r="AY80" i="11"/>
  <c r="AY94" i="11"/>
  <c r="AP287" i="11"/>
  <c r="AY287" i="11" s="1"/>
  <c r="AP326" i="11"/>
  <c r="AR326" i="11" s="1"/>
  <c r="AR146" i="11"/>
  <c r="AT75" i="11"/>
  <c r="AT239" i="11"/>
  <c r="AY300" i="11"/>
  <c r="AP284" i="11"/>
  <c r="AY284" i="11" s="1"/>
  <c r="AY324" i="11"/>
  <c r="AP279" i="11"/>
  <c r="AR279" i="11" s="1"/>
  <c r="AP261" i="11"/>
  <c r="AP258" i="11"/>
  <c r="AR258" i="11" s="1"/>
  <c r="AP250" i="11"/>
  <c r="AT250" i="11" s="1"/>
  <c r="AT87" i="11"/>
  <c r="AT149" i="11"/>
  <c r="AY149" i="11"/>
  <c r="AR149" i="11"/>
  <c r="AP328" i="11"/>
  <c r="AT328" i="11" s="1"/>
  <c r="AR108" i="11"/>
  <c r="AP283" i="11"/>
  <c r="AT283" i="11" s="1"/>
  <c r="AY141" i="11"/>
  <c r="AY249" i="11"/>
  <c r="AY97" i="11"/>
  <c r="AT93" i="11"/>
  <c r="AP235" i="11"/>
  <c r="AY235" i="11" s="1"/>
  <c r="AR296" i="11"/>
  <c r="AS296" i="11" s="1"/>
  <c r="AY63" i="11"/>
  <c r="AT63" i="11"/>
  <c r="AR63" i="11"/>
  <c r="AP305" i="11"/>
  <c r="AR305" i="11" s="1"/>
  <c r="AP276" i="11"/>
  <c r="AR276" i="11" s="1"/>
  <c r="AP272" i="11"/>
  <c r="AY272" i="11" s="1"/>
  <c r="AV231" i="11"/>
  <c r="AW231" i="11" s="1"/>
  <c r="AX231" i="11" s="1"/>
  <c r="AO231" i="11"/>
  <c r="AP231" i="11" s="1"/>
  <c r="AY231" i="11" s="1"/>
  <c r="AR58" i="11"/>
  <c r="AU58" i="11" s="1"/>
  <c r="AZ58" i="11" s="1"/>
  <c r="AU54" i="11"/>
  <c r="AZ54" i="11" s="1"/>
  <c r="AR64" i="11"/>
  <c r="AS64" i="11" s="1"/>
  <c r="AT60" i="11"/>
  <c r="AU60" i="11" s="1"/>
  <c r="AZ60" i="11" s="1"/>
  <c r="AY49" i="11"/>
  <c r="AY61" i="11"/>
  <c r="AR49" i="11"/>
  <c r="AS49" i="11" s="1"/>
  <c r="AT61" i="11"/>
  <c r="AU61" i="11" s="1"/>
  <c r="AZ61" i="11" s="1"/>
  <c r="AY58" i="11"/>
  <c r="AY60" i="11"/>
  <c r="AT45" i="11"/>
  <c r="AU45" i="11" s="1"/>
  <c r="AZ45" i="11" s="1"/>
  <c r="AY64" i="11"/>
  <c r="AY45" i="11"/>
  <c r="AP293" i="11"/>
  <c r="AR293" i="11" s="1"/>
  <c r="AR87" i="11"/>
  <c r="AS87" i="11" s="1"/>
  <c r="AR300" i="11"/>
  <c r="AU300" i="11" s="1"/>
  <c r="AZ300" i="11" s="1"/>
  <c r="AY123" i="11"/>
  <c r="AT123" i="11"/>
  <c r="AU123" i="11" s="1"/>
  <c r="AZ123" i="11" s="1"/>
  <c r="AT366" i="11"/>
  <c r="AR366" i="11"/>
  <c r="AY366" i="11"/>
  <c r="AU365" i="11"/>
  <c r="AZ365" i="11" s="1"/>
  <c r="AS365" i="11"/>
  <c r="AS364" i="11"/>
  <c r="AU364" i="11"/>
  <c r="AZ364" i="11" s="1"/>
  <c r="AR59" i="11"/>
  <c r="AT59" i="11"/>
  <c r="AY59" i="11"/>
  <c r="AT99" i="11"/>
  <c r="AR99" i="11"/>
  <c r="AY99" i="11"/>
  <c r="AR121" i="11"/>
  <c r="AT121" i="11"/>
  <c r="AY121" i="11"/>
  <c r="AT125" i="11"/>
  <c r="AR125" i="11"/>
  <c r="AY125" i="11"/>
  <c r="AR95" i="11"/>
  <c r="AT95" i="11"/>
  <c r="AY95" i="11"/>
  <c r="AT285" i="11"/>
  <c r="AR285" i="11"/>
  <c r="AY285" i="11"/>
  <c r="AT47" i="11"/>
  <c r="AR47" i="11"/>
  <c r="AY47" i="11"/>
  <c r="AT107" i="11"/>
  <c r="AR107" i="11"/>
  <c r="AY107" i="11"/>
  <c r="AR129" i="11"/>
  <c r="AT129" i="11"/>
  <c r="AY129" i="11"/>
  <c r="AS45" i="11"/>
  <c r="AT155" i="11"/>
  <c r="AR155" i="11"/>
  <c r="AY155" i="11"/>
  <c r="AT53" i="11"/>
  <c r="AR53" i="11"/>
  <c r="AY53" i="11"/>
  <c r="AT124" i="11"/>
  <c r="AR124" i="11"/>
  <c r="AY124" i="11"/>
  <c r="AR103" i="11"/>
  <c r="AT103" i="11"/>
  <c r="AY103" i="11"/>
  <c r="AS60" i="11"/>
  <c r="AT256" i="11"/>
  <c r="AR256" i="11"/>
  <c r="AY256" i="11"/>
  <c r="AS331" i="11"/>
  <c r="AV234" i="11"/>
  <c r="AW234" i="11" s="1"/>
  <c r="AX234" i="11" s="1"/>
  <c r="AO234" i="11"/>
  <c r="AP234" i="11" s="1"/>
  <c r="AV301" i="11"/>
  <c r="AW301" i="11" s="1"/>
  <c r="AX301" i="11" s="1"/>
  <c r="AO301" i="11"/>
  <c r="AP301" i="11" s="1"/>
  <c r="AV316" i="11"/>
  <c r="AW316" i="11" s="1"/>
  <c r="AX316" i="11" s="1"/>
  <c r="AO316" i="11"/>
  <c r="AP316" i="11" s="1"/>
  <c r="AT96" i="11"/>
  <c r="AR96" i="11"/>
  <c r="AY96" i="11"/>
  <c r="AR84" i="11"/>
  <c r="AT84" i="11"/>
  <c r="AY84" i="11"/>
  <c r="AP330" i="11"/>
  <c r="AV251" i="11"/>
  <c r="AW251" i="11" s="1"/>
  <c r="AX251" i="11" s="1"/>
  <c r="AO251" i="11"/>
  <c r="AP251" i="11" s="1"/>
  <c r="AP314" i="11"/>
  <c r="AO320" i="11"/>
  <c r="AP320" i="11" s="1"/>
  <c r="AV320" i="11"/>
  <c r="AW320" i="11" s="1"/>
  <c r="AX320" i="11" s="1"/>
  <c r="AV274" i="11"/>
  <c r="AW274" i="11" s="1"/>
  <c r="AX274" i="11" s="1"/>
  <c r="AO274" i="11"/>
  <c r="AP274" i="11" s="1"/>
  <c r="AO303" i="11"/>
  <c r="AP303" i="11" s="1"/>
  <c r="AV303" i="11"/>
  <c r="AW303" i="11" s="1"/>
  <c r="AX303" i="11" s="1"/>
  <c r="AO273" i="11"/>
  <c r="AP273" i="11" s="1"/>
  <c r="AV273" i="11"/>
  <c r="AW273" i="11" s="1"/>
  <c r="AX273" i="11" s="1"/>
  <c r="AV306" i="11"/>
  <c r="AW306" i="11" s="1"/>
  <c r="AX306" i="11" s="1"/>
  <c r="AO306" i="11"/>
  <c r="AP306" i="11" s="1"/>
  <c r="AP253" i="11"/>
  <c r="AP275" i="11"/>
  <c r="AS144" i="11"/>
  <c r="AU144" i="11"/>
  <c r="AZ144" i="11" s="1"/>
  <c r="AS126" i="11"/>
  <c r="AS130" i="11"/>
  <c r="AS74" i="11"/>
  <c r="AS150" i="11"/>
  <c r="AP280" i="11"/>
  <c r="AO302" i="11"/>
  <c r="AP302" i="11" s="1"/>
  <c r="AV302" i="11"/>
  <c r="AW302" i="11" s="1"/>
  <c r="AX302" i="11" s="1"/>
  <c r="AR85" i="11"/>
  <c r="AT85" i="11"/>
  <c r="AY85" i="11"/>
  <c r="AS70" i="11"/>
  <c r="AS94" i="11"/>
  <c r="AR77" i="11"/>
  <c r="AT77" i="11"/>
  <c r="AY77" i="11"/>
  <c r="AV230" i="11"/>
  <c r="AW230" i="11" s="1"/>
  <c r="AX230" i="11" s="1"/>
  <c r="AO230" i="11"/>
  <c r="AP230" i="11" s="1"/>
  <c r="AR82" i="11"/>
  <c r="AT82" i="11"/>
  <c r="AY82" i="11"/>
  <c r="AT127" i="11"/>
  <c r="AR127" i="11"/>
  <c r="AY127" i="11"/>
  <c r="AR143" i="11"/>
  <c r="AT143" i="11"/>
  <c r="AY143" i="11"/>
  <c r="AS137" i="11"/>
  <c r="AT122" i="11"/>
  <c r="AR122" i="11"/>
  <c r="AY122" i="11"/>
  <c r="AR319" i="11"/>
  <c r="AT319" i="11"/>
  <c r="AY319" i="11"/>
  <c r="AP321" i="11"/>
  <c r="AP317" i="11"/>
  <c r="AP332" i="11"/>
  <c r="AS147" i="11"/>
  <c r="AU147" i="11"/>
  <c r="AZ147" i="11" s="1"/>
  <c r="AR248" i="11"/>
  <c r="AT248" i="11"/>
  <c r="AY248" i="11"/>
  <c r="AS118" i="11"/>
  <c r="AS141" i="11"/>
  <c r="AS123" i="11"/>
  <c r="AS128" i="11"/>
  <c r="AP238" i="11"/>
  <c r="AP278" i="11"/>
  <c r="AP270" i="11"/>
  <c r="AS226" i="11"/>
  <c r="AS151" i="11"/>
  <c r="AR92" i="11"/>
  <c r="AT92" i="11"/>
  <c r="AY92" i="11"/>
  <c r="AT148" i="11"/>
  <c r="AR148" i="11"/>
  <c r="AY148" i="11"/>
  <c r="AT52" i="11"/>
  <c r="AR52" i="11"/>
  <c r="AY52" i="11"/>
  <c r="AT131" i="11"/>
  <c r="AR131" i="11"/>
  <c r="AY131" i="11"/>
  <c r="AT139" i="11"/>
  <c r="AR139" i="11"/>
  <c r="AY139" i="11"/>
  <c r="AT152" i="11"/>
  <c r="AR152" i="11"/>
  <c r="AY152" i="11"/>
  <c r="AT132" i="11"/>
  <c r="AR132" i="11"/>
  <c r="AY132" i="11"/>
  <c r="AT140" i="11"/>
  <c r="AR140" i="11"/>
  <c r="AY140" i="11"/>
  <c r="AP308" i="11"/>
  <c r="AV299" i="11"/>
  <c r="AW299" i="11" s="1"/>
  <c r="AX299" i="11" s="1"/>
  <c r="AO299" i="11"/>
  <c r="AP299" i="11" s="1"/>
  <c r="AV295" i="11"/>
  <c r="AW295" i="11" s="1"/>
  <c r="AX295" i="11" s="1"/>
  <c r="AO295" i="11"/>
  <c r="AP295" i="11" s="1"/>
  <c r="AO297" i="11"/>
  <c r="AP297" i="11" s="1"/>
  <c r="AV297" i="11"/>
  <c r="AW297" i="11" s="1"/>
  <c r="AX297" i="11" s="1"/>
  <c r="AR154" i="11"/>
  <c r="AT154" i="11"/>
  <c r="AY154" i="11"/>
  <c r="AT73" i="11"/>
  <c r="AR73" i="11"/>
  <c r="AY73" i="11"/>
  <c r="AU115" i="11"/>
  <c r="AZ115" i="11" s="1"/>
  <c r="AS115" i="11"/>
  <c r="AO229" i="11"/>
  <c r="AP229" i="11" s="1"/>
  <c r="AV229" i="11"/>
  <c r="AW229" i="11" s="1"/>
  <c r="AX229" i="11" s="1"/>
  <c r="AP262" i="11"/>
  <c r="AR264" i="11"/>
  <c r="AT264" i="11"/>
  <c r="AY264" i="11"/>
  <c r="AV298" i="11"/>
  <c r="AW298" i="11" s="1"/>
  <c r="AX298" i="11" s="1"/>
  <c r="AO298" i="11"/>
  <c r="AP298" i="11" s="1"/>
  <c r="AP304" i="11"/>
  <c r="AS61" i="11"/>
  <c r="AU91" i="11"/>
  <c r="AZ91" i="11" s="1"/>
  <c r="AS91" i="11"/>
  <c r="AR51" i="11"/>
  <c r="AT51" i="11"/>
  <c r="AY51" i="11"/>
  <c r="AS156" i="11"/>
  <c r="AS83" i="11"/>
  <c r="AV307" i="11"/>
  <c r="AW307" i="11" s="1"/>
  <c r="AX307" i="11" s="1"/>
  <c r="AO307" i="11"/>
  <c r="AP307" i="11" s="1"/>
  <c r="AP322" i="11"/>
  <c r="AS233" i="11"/>
  <c r="AS98" i="11"/>
  <c r="AT81" i="11"/>
  <c r="AR81" i="11"/>
  <c r="AY81" i="11"/>
  <c r="AU55" i="11"/>
  <c r="AZ55" i="11" s="1"/>
  <c r="AS55" i="11"/>
  <c r="AT117" i="11"/>
  <c r="AR117" i="11"/>
  <c r="AY117" i="11"/>
  <c r="AS106" i="11"/>
  <c r="AV282" i="11"/>
  <c r="AW282" i="11" s="1"/>
  <c r="AX282" i="11" s="1"/>
  <c r="AO282" i="11"/>
  <c r="AP282" i="11" s="1"/>
  <c r="AV254" i="11"/>
  <c r="AW254" i="11" s="1"/>
  <c r="AX254" i="11" s="1"/>
  <c r="AO254" i="11"/>
  <c r="AP254" i="11" s="1"/>
  <c r="AO277" i="11"/>
  <c r="AP277" i="11" s="1"/>
  <c r="AV277" i="11"/>
  <c r="AW277" i="11" s="1"/>
  <c r="AX277" i="11" s="1"/>
  <c r="AV259" i="11"/>
  <c r="AW259" i="11" s="1"/>
  <c r="AX259" i="11" s="1"/>
  <c r="AO259" i="11"/>
  <c r="AP259" i="11" s="1"/>
  <c r="AV333" i="11"/>
  <c r="AW333" i="11" s="1"/>
  <c r="AX333" i="11" s="1"/>
  <c r="AO333" i="11"/>
  <c r="AP333" i="11" s="1"/>
  <c r="AT116" i="11"/>
  <c r="AR116" i="11"/>
  <c r="AY116" i="11"/>
  <c r="AT109" i="11"/>
  <c r="AR109" i="11"/>
  <c r="AY109" i="11"/>
  <c r="AR68" i="11"/>
  <c r="AT68" i="11"/>
  <c r="AY68" i="11"/>
  <c r="AT72" i="11"/>
  <c r="AR72" i="11"/>
  <c r="AY72" i="11"/>
  <c r="AR119" i="11"/>
  <c r="AT119" i="11"/>
  <c r="AY119" i="11"/>
  <c r="AR110" i="11"/>
  <c r="AT110" i="11"/>
  <c r="AY110" i="11"/>
  <c r="AR315" i="11"/>
  <c r="AT315" i="11"/>
  <c r="AY315" i="11"/>
  <c r="AR247" i="11"/>
  <c r="AT247" i="11"/>
  <c r="AY247" i="11"/>
  <c r="AO310" i="11"/>
  <c r="AP310" i="11" s="1"/>
  <c r="AV310" i="11"/>
  <c r="AW310" i="11" s="1"/>
  <c r="AX310" i="11" s="1"/>
  <c r="AP281" i="11"/>
  <c r="AS48" i="11"/>
  <c r="AU48" i="11"/>
  <c r="AZ48" i="11" s="1"/>
  <c r="AP325" i="11"/>
  <c r="AS102" i="11"/>
  <c r="AS153" i="11"/>
  <c r="AP329" i="11"/>
  <c r="AP294" i="11"/>
  <c r="AS69" i="11"/>
  <c r="AU69" i="11"/>
  <c r="AZ69" i="11" s="1"/>
  <c r="AU69" i="47" l="1"/>
  <c r="AZ69" i="47" s="1"/>
  <c r="AT222" i="47"/>
  <c r="AU222" i="47" s="1"/>
  <c r="AZ222" i="47" s="1"/>
  <c r="M25" i="55"/>
  <c r="O44" i="77" s="1"/>
  <c r="O45" i="77" s="1"/>
  <c r="I24" i="21"/>
  <c r="M27" i="55" s="1"/>
  <c r="R194" i="47"/>
  <c r="W190" i="47"/>
  <c r="W367" i="47"/>
  <c r="AY222" i="47"/>
  <c r="O71" i="72"/>
  <c r="O72" i="72"/>
  <c r="AT230" i="47"/>
  <c r="AU230" i="47" s="1"/>
  <c r="AZ230" i="47" s="1"/>
  <c r="O48" i="72"/>
  <c r="S374" i="47"/>
  <c r="AU79" i="47"/>
  <c r="AZ79" i="47" s="1"/>
  <c r="AY223" i="47"/>
  <c r="AR252" i="47"/>
  <c r="AU252" i="47" s="1"/>
  <c r="AZ252" i="47" s="1"/>
  <c r="AU84" i="47"/>
  <c r="AZ84" i="47" s="1"/>
  <c r="AY252" i="47"/>
  <c r="AT238" i="47"/>
  <c r="AR223" i="47"/>
  <c r="AU223" i="47" s="1"/>
  <c r="AZ223" i="47" s="1"/>
  <c r="AR238" i="47"/>
  <c r="AS238" i="47" s="1"/>
  <c r="AR254" i="47"/>
  <c r="AS254" i="47" s="1"/>
  <c r="AT254" i="47"/>
  <c r="AY230" i="47"/>
  <c r="AS56" i="47"/>
  <c r="O72" i="63"/>
  <c r="O140" i="63"/>
  <c r="O94" i="63"/>
  <c r="O118" i="63"/>
  <c r="O48" i="63"/>
  <c r="P167" i="63"/>
  <c r="P165" i="63"/>
  <c r="P168" i="63"/>
  <c r="P166" i="63"/>
  <c r="AU61" i="47"/>
  <c r="AZ61" i="47" s="1"/>
  <c r="AS61" i="47"/>
  <c r="AU83" i="47"/>
  <c r="AZ83" i="47" s="1"/>
  <c r="AU45" i="54"/>
  <c r="AZ45" i="54" s="1"/>
  <c r="P45" i="54" s="1"/>
  <c r="Q45" i="54" s="1"/>
  <c r="T45" i="54" s="1"/>
  <c r="R45" i="54" s="1"/>
  <c r="AU77" i="47"/>
  <c r="AZ77" i="47" s="1"/>
  <c r="AU46" i="54"/>
  <c r="AZ46" i="54" s="1"/>
  <c r="AS69" i="54"/>
  <c r="AY229" i="47"/>
  <c r="AR229" i="47"/>
  <c r="AS229" i="47" s="1"/>
  <c r="AT253" i="47"/>
  <c r="AU253" i="47" s="1"/>
  <c r="AZ253" i="47" s="1"/>
  <c r="AY249" i="47"/>
  <c r="AY253" i="47"/>
  <c r="AY224" i="47"/>
  <c r="AT224" i="47"/>
  <c r="AU224" i="47" s="1"/>
  <c r="AZ224" i="47" s="1"/>
  <c r="AR232" i="47"/>
  <c r="AU232" i="47" s="1"/>
  <c r="AZ232" i="47" s="1"/>
  <c r="AR249" i="47"/>
  <c r="AS249" i="47" s="1"/>
  <c r="AY232" i="47"/>
  <c r="AR231" i="47"/>
  <c r="AU231" i="47" s="1"/>
  <c r="AZ231" i="47" s="1"/>
  <c r="AR227" i="47"/>
  <c r="AS227" i="47" s="1"/>
  <c r="AY231" i="47"/>
  <c r="AU50" i="47"/>
  <c r="AZ50" i="47" s="1"/>
  <c r="AY227" i="47"/>
  <c r="AT264" i="47"/>
  <c r="AU264" i="47" s="1"/>
  <c r="AZ264" i="47" s="1"/>
  <c r="AY264" i="47"/>
  <c r="AU52" i="54"/>
  <c r="AZ52" i="54" s="1"/>
  <c r="AS68" i="54"/>
  <c r="AU58" i="54"/>
  <c r="AZ58" i="54" s="1"/>
  <c r="AU78" i="54"/>
  <c r="AZ78" i="54" s="1"/>
  <c r="AU48" i="54"/>
  <c r="AZ48" i="54" s="1"/>
  <c r="AS70" i="54"/>
  <c r="AU70" i="54"/>
  <c r="AZ70" i="54" s="1"/>
  <c r="AU54" i="54"/>
  <c r="AZ54" i="54" s="1"/>
  <c r="AS54" i="54"/>
  <c r="AU55" i="54"/>
  <c r="AZ55" i="54" s="1"/>
  <c r="AS55" i="54"/>
  <c r="AS76" i="54"/>
  <c r="AU76" i="54"/>
  <c r="AZ76" i="54" s="1"/>
  <c r="AU75" i="54"/>
  <c r="AZ75" i="54" s="1"/>
  <c r="AS75" i="54"/>
  <c r="AS86" i="54"/>
  <c r="AU86" i="54"/>
  <c r="AZ86" i="54" s="1"/>
  <c r="AU80" i="54"/>
  <c r="AZ80" i="54" s="1"/>
  <c r="AS80" i="54"/>
  <c r="AU83" i="54"/>
  <c r="AZ83" i="54" s="1"/>
  <c r="AS53" i="54"/>
  <c r="AU53" i="54"/>
  <c r="AZ53" i="54" s="1"/>
  <c r="AS56" i="54"/>
  <c r="AU56" i="54"/>
  <c r="AZ56" i="54" s="1"/>
  <c r="AU74" i="54"/>
  <c r="AZ74" i="54" s="1"/>
  <c r="AS74" i="54"/>
  <c r="AS79" i="54"/>
  <c r="AU79" i="54"/>
  <c r="AZ79" i="54" s="1"/>
  <c r="AS60" i="54"/>
  <c r="AU60" i="54"/>
  <c r="AZ60" i="54" s="1"/>
  <c r="AU49" i="54"/>
  <c r="AZ49" i="54" s="1"/>
  <c r="AS49" i="54"/>
  <c r="AS64" i="54"/>
  <c r="AU64" i="54"/>
  <c r="AZ64" i="54" s="1"/>
  <c r="AS57" i="54"/>
  <c r="AU57" i="54"/>
  <c r="AZ57" i="54" s="1"/>
  <c r="AU81" i="54"/>
  <c r="AZ81" i="54" s="1"/>
  <c r="AS81" i="54"/>
  <c r="AU63" i="54"/>
  <c r="AZ63" i="54" s="1"/>
  <c r="AS63" i="54"/>
  <c r="AU72" i="54"/>
  <c r="AZ72" i="54" s="1"/>
  <c r="AS72" i="54"/>
  <c r="AS82" i="54"/>
  <c r="AU82" i="54"/>
  <c r="AZ82" i="54" s="1"/>
  <c r="AS51" i="54"/>
  <c r="AU51" i="54"/>
  <c r="AZ51" i="54" s="1"/>
  <c r="AS47" i="54"/>
  <c r="AU47" i="54"/>
  <c r="AZ47" i="54" s="1"/>
  <c r="AU62" i="54"/>
  <c r="AZ62" i="54" s="1"/>
  <c r="AS62" i="54"/>
  <c r="AU71" i="54"/>
  <c r="AZ71" i="54" s="1"/>
  <c r="AS71" i="54"/>
  <c r="AU59" i="54"/>
  <c r="AZ59" i="54" s="1"/>
  <c r="AS59" i="54"/>
  <c r="AS85" i="54"/>
  <c r="AU85" i="54"/>
  <c r="AZ85" i="54" s="1"/>
  <c r="AS84" i="54"/>
  <c r="AU84" i="54"/>
  <c r="AZ84" i="54" s="1"/>
  <c r="AU77" i="54"/>
  <c r="AZ77" i="54" s="1"/>
  <c r="AS77" i="54"/>
  <c r="AU61" i="54"/>
  <c r="AZ61" i="54" s="1"/>
  <c r="AS61" i="54"/>
  <c r="AS50" i="54"/>
  <c r="AU50" i="54"/>
  <c r="AZ50" i="54" s="1"/>
  <c r="AU87" i="54"/>
  <c r="AZ87" i="54" s="1"/>
  <c r="AS87" i="54"/>
  <c r="AS73" i="54"/>
  <c r="AU73" i="54"/>
  <c r="AZ73" i="54" s="1"/>
  <c r="AS257" i="47"/>
  <c r="AU260" i="47"/>
  <c r="AZ260" i="47" s="1"/>
  <c r="AS256" i="47"/>
  <c r="AS261" i="47"/>
  <c r="AU263" i="47"/>
  <c r="AZ263" i="47" s="1"/>
  <c r="AU245" i="47"/>
  <c r="AZ245" i="47" s="1"/>
  <c r="AU259" i="47"/>
  <c r="AZ259" i="47" s="1"/>
  <c r="AS225" i="47"/>
  <c r="AU246" i="47"/>
  <c r="AZ246" i="47" s="1"/>
  <c r="AS235" i="47"/>
  <c r="AU235" i="47"/>
  <c r="AZ235" i="47" s="1"/>
  <c r="AU248" i="47"/>
  <c r="AZ248" i="47" s="1"/>
  <c r="AS248" i="47"/>
  <c r="AS224" i="47"/>
  <c r="AU262" i="47"/>
  <c r="AZ262" i="47" s="1"/>
  <c r="AS262" i="47"/>
  <c r="AS241" i="47"/>
  <c r="AU241" i="47"/>
  <c r="AZ241" i="47" s="1"/>
  <c r="AS234" i="47"/>
  <c r="AU234" i="47"/>
  <c r="AZ234" i="47" s="1"/>
  <c r="AS230" i="47"/>
  <c r="AS233" i="47"/>
  <c r="AU233" i="47"/>
  <c r="AZ233" i="47" s="1"/>
  <c r="AU247" i="47"/>
  <c r="AZ247" i="47" s="1"/>
  <c r="AS247" i="47"/>
  <c r="AU250" i="47"/>
  <c r="AZ250" i="47" s="1"/>
  <c r="AS250" i="47"/>
  <c r="AS236" i="47"/>
  <c r="AU236" i="47"/>
  <c r="AZ236" i="47" s="1"/>
  <c r="AS222" i="47"/>
  <c r="AS240" i="47"/>
  <c r="AU240" i="47"/>
  <c r="AZ240" i="47" s="1"/>
  <c r="AS226" i="47"/>
  <c r="AU226" i="47"/>
  <c r="AZ226" i="47" s="1"/>
  <c r="AS237" i="47"/>
  <c r="AU237" i="47"/>
  <c r="AZ237" i="47" s="1"/>
  <c r="AS239" i="47"/>
  <c r="AU239" i="47"/>
  <c r="AZ239" i="47" s="1"/>
  <c r="AS228" i="47"/>
  <c r="AU228" i="47"/>
  <c r="AZ228" i="47" s="1"/>
  <c r="AY252" i="11"/>
  <c r="AR252" i="11"/>
  <c r="AS252" i="11" s="1"/>
  <c r="AS62" i="11"/>
  <c r="AS56" i="11"/>
  <c r="AY232" i="11"/>
  <c r="AU50" i="11"/>
  <c r="AZ50" i="11" s="1"/>
  <c r="AR232" i="11"/>
  <c r="AS232" i="11" s="1"/>
  <c r="AY237" i="11"/>
  <c r="AR237" i="11"/>
  <c r="AS237" i="11" s="1"/>
  <c r="AS324" i="11"/>
  <c r="AT241" i="11"/>
  <c r="AS79" i="11"/>
  <c r="AS80" i="11"/>
  <c r="AS120" i="11"/>
  <c r="AU105" i="11"/>
  <c r="AZ105" i="11" s="1"/>
  <c r="AU145" i="11"/>
  <c r="AZ145" i="11" s="1"/>
  <c r="AY263" i="11"/>
  <c r="AR263" i="11"/>
  <c r="AS263" i="11" s="1"/>
  <c r="AS240" i="11"/>
  <c r="AY327" i="11"/>
  <c r="AR327" i="11"/>
  <c r="AS327" i="11" s="1"/>
  <c r="AU114" i="11"/>
  <c r="AZ114" i="11" s="1"/>
  <c r="AT309" i="11"/>
  <c r="AT271" i="11"/>
  <c r="AU271" i="11" s="1"/>
  <c r="AZ271" i="11" s="1"/>
  <c r="AU101" i="11"/>
  <c r="AZ101" i="11" s="1"/>
  <c r="AU138" i="11"/>
  <c r="AZ138" i="11" s="1"/>
  <c r="AU363" i="11"/>
  <c r="AZ363" i="11" s="1"/>
  <c r="AR241" i="11"/>
  <c r="AS241" i="11" s="1"/>
  <c r="AU257" i="11"/>
  <c r="AZ257" i="11" s="1"/>
  <c r="AR286" i="11"/>
  <c r="AS286" i="11" s="1"/>
  <c r="AS133" i="11"/>
  <c r="AU46" i="11"/>
  <c r="AZ46" i="11" s="1"/>
  <c r="AS71" i="11"/>
  <c r="AY318" i="11"/>
  <c r="AY279" i="11"/>
  <c r="AY271" i="11"/>
  <c r="AU146" i="11"/>
  <c r="AZ146" i="11" s="1"/>
  <c r="AU228" i="11"/>
  <c r="AZ228" i="11" s="1"/>
  <c r="AR318" i="11"/>
  <c r="AU318" i="11" s="1"/>
  <c r="AZ318" i="11" s="1"/>
  <c r="AS300" i="11"/>
  <c r="AU236" i="11"/>
  <c r="AZ236" i="11" s="1"/>
  <c r="AR284" i="11"/>
  <c r="AT272" i="11"/>
  <c r="AR283" i="11"/>
  <c r="AU283" i="11" s="1"/>
  <c r="AZ283" i="11" s="1"/>
  <c r="AR235" i="11"/>
  <c r="AS235" i="11" s="1"/>
  <c r="AU108" i="11"/>
  <c r="AZ108" i="11" s="1"/>
  <c r="AU75" i="11"/>
  <c r="AZ75" i="11" s="1"/>
  <c r="AS146" i="11"/>
  <c r="AT286" i="11"/>
  <c r="AU97" i="11"/>
  <c r="AZ97" i="11" s="1"/>
  <c r="AT231" i="11"/>
  <c r="AS142" i="11"/>
  <c r="AU78" i="11"/>
  <c r="AZ78" i="11" s="1"/>
  <c r="AR260" i="11"/>
  <c r="AS260" i="11" s="1"/>
  <c r="AT279" i="11"/>
  <c r="AU279" i="11" s="1"/>
  <c r="AZ279" i="11" s="1"/>
  <c r="AU93" i="11"/>
  <c r="AZ93" i="11" s="1"/>
  <c r="AY260" i="11"/>
  <c r="AR309" i="11"/>
  <c r="AS309" i="11" s="1"/>
  <c r="AY328" i="11"/>
  <c r="AU239" i="11"/>
  <c r="AZ239" i="11" s="1"/>
  <c r="AU249" i="11"/>
  <c r="AZ249" i="11" s="1"/>
  <c r="AR250" i="11"/>
  <c r="AS250" i="11" s="1"/>
  <c r="AR255" i="11"/>
  <c r="AS255" i="11" s="1"/>
  <c r="AT305" i="11"/>
  <c r="AU305" i="11" s="1"/>
  <c r="AZ305" i="11" s="1"/>
  <c r="AU227" i="11"/>
  <c r="AZ227" i="11" s="1"/>
  <c r="AS93" i="11"/>
  <c r="AS76" i="11"/>
  <c r="AS108" i="11"/>
  <c r="AT258" i="11"/>
  <c r="AU258" i="11" s="1"/>
  <c r="AZ258" i="11" s="1"/>
  <c r="AY293" i="11"/>
  <c r="AU87" i="11"/>
  <c r="AZ87" i="11" s="1"/>
  <c r="AT287" i="11"/>
  <c r="AT293" i="11"/>
  <c r="AU293" i="11" s="1"/>
  <c r="AZ293" i="11" s="1"/>
  <c r="AU296" i="11"/>
  <c r="AZ296" i="11" s="1"/>
  <c r="AT284" i="11"/>
  <c r="AY283" i="11"/>
  <c r="AR272" i="11"/>
  <c r="AS272" i="11" s="1"/>
  <c r="AT235" i="11"/>
  <c r="AR231" i="11"/>
  <c r="AS231" i="11" s="1"/>
  <c r="AY250" i="11"/>
  <c r="AT255" i="11"/>
  <c r="AR323" i="11"/>
  <c r="AT323" i="11"/>
  <c r="AY323" i="11"/>
  <c r="AT326" i="11"/>
  <c r="AU326" i="11" s="1"/>
  <c r="AZ326" i="11" s="1"/>
  <c r="AS149" i="11"/>
  <c r="AU149" i="11"/>
  <c r="AZ149" i="11" s="1"/>
  <c r="AR287" i="11"/>
  <c r="AS287" i="11" s="1"/>
  <c r="AY258" i="11"/>
  <c r="AY326" i="11"/>
  <c r="AY305" i="11"/>
  <c r="AT261" i="11"/>
  <c r="AR261" i="11"/>
  <c r="AY261" i="11"/>
  <c r="AT276" i="11"/>
  <c r="AU276" i="11" s="1"/>
  <c r="AZ276" i="11" s="1"/>
  <c r="AR328" i="11"/>
  <c r="AU328" i="11" s="1"/>
  <c r="AZ328" i="11" s="1"/>
  <c r="AS63" i="11"/>
  <c r="AU63" i="11"/>
  <c r="AZ63" i="11" s="1"/>
  <c r="AY276" i="11"/>
  <c r="AS58" i="11"/>
  <c r="AU64" i="11"/>
  <c r="AZ64" i="11" s="1"/>
  <c r="AU49" i="11"/>
  <c r="AZ49" i="11" s="1"/>
  <c r="AU366" i="11"/>
  <c r="AZ366" i="11" s="1"/>
  <c r="AS366" i="11"/>
  <c r="AR294" i="11"/>
  <c r="AT294" i="11"/>
  <c r="AY294" i="11"/>
  <c r="AT329" i="11"/>
  <c r="AR329" i="11"/>
  <c r="AY329" i="11"/>
  <c r="AS276" i="11"/>
  <c r="AR320" i="11"/>
  <c r="AT320" i="11"/>
  <c r="AY320" i="11"/>
  <c r="AR281" i="11"/>
  <c r="AT281" i="11"/>
  <c r="AY281" i="11"/>
  <c r="AT310" i="11"/>
  <c r="AR310" i="11"/>
  <c r="AY310" i="11"/>
  <c r="AU110" i="11"/>
  <c r="AZ110" i="11" s="1"/>
  <c r="AS110" i="11"/>
  <c r="AS72" i="11"/>
  <c r="AU72" i="11"/>
  <c r="AZ72" i="11" s="1"/>
  <c r="AR333" i="11"/>
  <c r="AT333" i="11"/>
  <c r="AY333" i="11"/>
  <c r="AT259" i="11"/>
  <c r="AR259" i="11"/>
  <c r="AY259" i="11"/>
  <c r="AU117" i="11"/>
  <c r="AZ117" i="11" s="1"/>
  <c r="AS117" i="11"/>
  <c r="AR304" i="11"/>
  <c r="AT304" i="11"/>
  <c r="AY304" i="11"/>
  <c r="AU264" i="11"/>
  <c r="AZ264" i="11" s="1"/>
  <c r="AS264" i="11"/>
  <c r="AT262" i="11"/>
  <c r="AR262" i="11"/>
  <c r="AY262" i="11"/>
  <c r="AR229" i="11"/>
  <c r="AT229" i="11"/>
  <c r="AY229" i="11"/>
  <c r="AU73" i="11"/>
  <c r="AZ73" i="11" s="1"/>
  <c r="AS73" i="11"/>
  <c r="AU154" i="11"/>
  <c r="AZ154" i="11" s="1"/>
  <c r="AS154" i="11"/>
  <c r="AS258" i="11"/>
  <c r="AR295" i="11"/>
  <c r="AT295" i="11"/>
  <c r="AY295" i="11"/>
  <c r="AS132" i="11"/>
  <c r="AU132" i="11"/>
  <c r="AZ132" i="11" s="1"/>
  <c r="AS152" i="11"/>
  <c r="AU152" i="11"/>
  <c r="AZ152" i="11" s="1"/>
  <c r="AS131" i="11"/>
  <c r="AU131" i="11"/>
  <c r="AZ131" i="11" s="1"/>
  <c r="AS148" i="11"/>
  <c r="AU148" i="11"/>
  <c r="AZ148" i="11" s="1"/>
  <c r="AT278" i="11"/>
  <c r="AR278" i="11"/>
  <c r="AY278" i="11"/>
  <c r="AR238" i="11"/>
  <c r="AT238" i="11"/>
  <c r="AY238" i="11"/>
  <c r="AT332" i="11"/>
  <c r="AR332" i="11"/>
  <c r="AY332" i="11"/>
  <c r="AT321" i="11"/>
  <c r="AR321" i="11"/>
  <c r="AY321" i="11"/>
  <c r="AS279" i="11"/>
  <c r="AU319" i="11"/>
  <c r="AZ319" i="11" s="1"/>
  <c r="AS319" i="11"/>
  <c r="AS122" i="11"/>
  <c r="AU122" i="11"/>
  <c r="AZ122" i="11" s="1"/>
  <c r="AS82" i="11"/>
  <c r="AU82" i="11"/>
  <c r="AZ82" i="11" s="1"/>
  <c r="AS77" i="11"/>
  <c r="AU77" i="11"/>
  <c r="AZ77" i="11" s="1"/>
  <c r="AT280" i="11"/>
  <c r="AR280" i="11"/>
  <c r="AY280" i="11"/>
  <c r="AR253" i="11"/>
  <c r="AT253" i="11"/>
  <c r="AY253" i="11"/>
  <c r="AS293" i="11"/>
  <c r="AR306" i="11"/>
  <c r="AT306" i="11"/>
  <c r="AY306" i="11"/>
  <c r="AR274" i="11"/>
  <c r="AT274" i="11"/>
  <c r="AY274" i="11"/>
  <c r="AT314" i="11"/>
  <c r="AR314" i="11"/>
  <c r="AY314" i="11"/>
  <c r="AR251" i="11"/>
  <c r="AT251" i="11"/>
  <c r="AY251" i="11"/>
  <c r="AT330" i="11"/>
  <c r="AR330" i="11"/>
  <c r="AY330" i="11"/>
  <c r="AS96" i="11"/>
  <c r="AU96" i="11"/>
  <c r="AZ96" i="11" s="1"/>
  <c r="AR234" i="11"/>
  <c r="AT234" i="11"/>
  <c r="AY234" i="11"/>
  <c r="AU256" i="11"/>
  <c r="AZ256" i="11" s="1"/>
  <c r="AS256" i="11"/>
  <c r="AS103" i="11"/>
  <c r="AU103" i="11"/>
  <c r="AZ103" i="11" s="1"/>
  <c r="AS155" i="11"/>
  <c r="AU155" i="11"/>
  <c r="AZ155" i="11" s="1"/>
  <c r="AS129" i="11"/>
  <c r="AU129" i="11"/>
  <c r="AZ129" i="11" s="1"/>
  <c r="AU47" i="11"/>
  <c r="AZ47" i="11" s="1"/>
  <c r="AS47" i="11"/>
  <c r="AU285" i="11"/>
  <c r="AZ285" i="11" s="1"/>
  <c r="AS285" i="11"/>
  <c r="AS95" i="11"/>
  <c r="AU95" i="11"/>
  <c r="AZ95" i="11" s="1"/>
  <c r="AU125" i="11"/>
  <c r="AZ125" i="11" s="1"/>
  <c r="AS125" i="11"/>
  <c r="AS121" i="11"/>
  <c r="AU121" i="11"/>
  <c r="AZ121" i="11" s="1"/>
  <c r="AT325" i="11"/>
  <c r="AR325" i="11"/>
  <c r="AY325" i="11"/>
  <c r="AR301" i="11"/>
  <c r="AT301" i="11"/>
  <c r="AY301" i="11"/>
  <c r="AS247" i="11"/>
  <c r="AU247" i="11"/>
  <c r="AZ247" i="11" s="1"/>
  <c r="AU315" i="11"/>
  <c r="AZ315" i="11" s="1"/>
  <c r="AS315" i="11"/>
  <c r="AU119" i="11"/>
  <c r="AZ119" i="11" s="1"/>
  <c r="AS119" i="11"/>
  <c r="AU68" i="11"/>
  <c r="AZ68" i="11" s="1"/>
  <c r="AS68" i="11"/>
  <c r="AU109" i="11"/>
  <c r="AZ109" i="11" s="1"/>
  <c r="AS109" i="11"/>
  <c r="AS116" i="11"/>
  <c r="AU116" i="11"/>
  <c r="AZ116" i="11" s="1"/>
  <c r="AR277" i="11"/>
  <c r="AT277" i="11"/>
  <c r="AY277" i="11"/>
  <c r="AR254" i="11"/>
  <c r="AT254" i="11"/>
  <c r="AY254" i="11"/>
  <c r="AR282" i="11"/>
  <c r="AT282" i="11"/>
  <c r="AY282" i="11"/>
  <c r="AU81" i="11"/>
  <c r="AZ81" i="11" s="1"/>
  <c r="AS81" i="11"/>
  <c r="AT322" i="11"/>
  <c r="AR322" i="11"/>
  <c r="AY322" i="11"/>
  <c r="AR307" i="11"/>
  <c r="AT307" i="11"/>
  <c r="AY307" i="11"/>
  <c r="AS51" i="11"/>
  <c r="AU51" i="11"/>
  <c r="AZ51" i="11" s="1"/>
  <c r="AR298" i="11"/>
  <c r="AT298" i="11"/>
  <c r="AY298" i="11"/>
  <c r="AT297" i="11"/>
  <c r="AR297" i="11"/>
  <c r="AY297" i="11"/>
  <c r="AT299" i="11"/>
  <c r="AR299" i="11"/>
  <c r="AY299" i="11"/>
  <c r="AT308" i="11"/>
  <c r="AR308" i="11"/>
  <c r="AY308" i="11"/>
  <c r="AS140" i="11"/>
  <c r="AU140" i="11"/>
  <c r="AZ140" i="11" s="1"/>
  <c r="AS139" i="11"/>
  <c r="AU139" i="11"/>
  <c r="AZ139" i="11" s="1"/>
  <c r="AS52" i="11"/>
  <c r="AU52" i="11"/>
  <c r="AZ52" i="11" s="1"/>
  <c r="AS92" i="11"/>
  <c r="AU92" i="11"/>
  <c r="AZ92" i="11" s="1"/>
  <c r="AT270" i="11"/>
  <c r="AR270" i="11"/>
  <c r="AY270" i="11"/>
  <c r="AS326" i="11"/>
  <c r="AU248" i="11"/>
  <c r="AZ248" i="11" s="1"/>
  <c r="AS248" i="11"/>
  <c r="AT316" i="11"/>
  <c r="AR316" i="11"/>
  <c r="AY316" i="11"/>
  <c r="AR317" i="11"/>
  <c r="AT317" i="11"/>
  <c r="AY317" i="11"/>
  <c r="AS143" i="11"/>
  <c r="AU143" i="11"/>
  <c r="AZ143" i="11" s="1"/>
  <c r="AU127" i="11"/>
  <c r="AZ127" i="11" s="1"/>
  <c r="AS127" i="11"/>
  <c r="AT230" i="11"/>
  <c r="AR230" i="11"/>
  <c r="AY230" i="11"/>
  <c r="AS85" i="11"/>
  <c r="AU85" i="11"/>
  <c r="AZ85" i="11" s="1"/>
  <c r="AT302" i="11"/>
  <c r="AR302" i="11"/>
  <c r="AY302" i="11"/>
  <c r="AT275" i="11"/>
  <c r="AR275" i="11"/>
  <c r="AY275" i="11"/>
  <c r="AR273" i="11"/>
  <c r="AT273" i="11"/>
  <c r="AY273" i="11"/>
  <c r="AR303" i="11"/>
  <c r="AT303" i="11"/>
  <c r="AY303" i="11"/>
  <c r="AU84" i="11"/>
  <c r="AZ84" i="11" s="1"/>
  <c r="AS84" i="11"/>
  <c r="AS305" i="11"/>
  <c r="AS271" i="11"/>
  <c r="AS124" i="11"/>
  <c r="AU124" i="11"/>
  <c r="AZ124" i="11" s="1"/>
  <c r="AU53" i="11"/>
  <c r="AZ53" i="11" s="1"/>
  <c r="AS53" i="11"/>
  <c r="AU107" i="11"/>
  <c r="AZ107" i="11" s="1"/>
  <c r="AS107" i="11"/>
  <c r="AU99" i="11"/>
  <c r="AZ99" i="11" s="1"/>
  <c r="AS99" i="11"/>
  <c r="AS59" i="11"/>
  <c r="AU59" i="11"/>
  <c r="AZ59" i="11" s="1"/>
  <c r="AS252" i="47" l="1"/>
  <c r="O250" i="72"/>
  <c r="O251" i="72"/>
  <c r="O227" i="72"/>
  <c r="V65" i="47"/>
  <c r="AS223" i="47"/>
  <c r="P140" i="63"/>
  <c r="P48" i="63"/>
  <c r="P72" i="63"/>
  <c r="AU238" i="47"/>
  <c r="AZ238" i="47" s="1"/>
  <c r="T88" i="54"/>
  <c r="AU254" i="47"/>
  <c r="AZ254" i="47" s="1"/>
  <c r="O119" i="63"/>
  <c r="O298" i="63"/>
  <c r="O320" i="63"/>
  <c r="O117" i="63"/>
  <c r="P118" i="63"/>
  <c r="O95" i="63"/>
  <c r="O71" i="63"/>
  <c r="O141" i="63"/>
  <c r="O50" i="63"/>
  <c r="O96" i="63"/>
  <c r="O49" i="63"/>
  <c r="P94" i="63"/>
  <c r="AU229" i="47"/>
  <c r="AZ229" i="47" s="1"/>
  <c r="AS232" i="47"/>
  <c r="AS231" i="47"/>
  <c r="AU227" i="47"/>
  <c r="AZ227" i="47" s="1"/>
  <c r="AU249" i="47"/>
  <c r="AZ249" i="47" s="1"/>
  <c r="AU286" i="11"/>
  <c r="AZ286" i="11" s="1"/>
  <c r="AU252" i="11"/>
  <c r="AZ252" i="11" s="1"/>
  <c r="AU232" i="11"/>
  <c r="AZ232" i="11" s="1"/>
  <c r="AU237" i="11"/>
  <c r="AZ237" i="11" s="1"/>
  <c r="AU309" i="11"/>
  <c r="AZ309" i="11" s="1"/>
  <c r="AU263" i="11"/>
  <c r="AZ263" i="11" s="1"/>
  <c r="AU255" i="11"/>
  <c r="AZ255" i="11" s="1"/>
  <c r="AU235" i="11"/>
  <c r="AZ235" i="11" s="1"/>
  <c r="AU327" i="11"/>
  <c r="AZ327" i="11" s="1"/>
  <c r="AU241" i="11"/>
  <c r="AZ241" i="11" s="1"/>
  <c r="AU260" i="11"/>
  <c r="AZ260" i="11" s="1"/>
  <c r="AS318" i="11"/>
  <c r="AU284" i="11"/>
  <c r="AZ284" i="11" s="1"/>
  <c r="AU250" i="11"/>
  <c r="AZ250" i="11" s="1"/>
  <c r="AU231" i="11"/>
  <c r="AZ231" i="11" s="1"/>
  <c r="AS283" i="11"/>
  <c r="AS284" i="11"/>
  <c r="AU272" i="11"/>
  <c r="AZ272" i="11" s="1"/>
  <c r="AU287" i="11"/>
  <c r="AZ287" i="11" s="1"/>
  <c r="AS323" i="11"/>
  <c r="AU323" i="11"/>
  <c r="AZ323" i="11" s="1"/>
  <c r="AS328" i="11"/>
  <c r="AS261" i="11"/>
  <c r="AU261" i="11"/>
  <c r="AZ261" i="11" s="1"/>
  <c r="AU303" i="11"/>
  <c r="AZ303" i="11" s="1"/>
  <c r="AS303" i="11"/>
  <c r="AU302" i="11"/>
  <c r="AZ302" i="11" s="1"/>
  <c r="AS302" i="11"/>
  <c r="AU317" i="11"/>
  <c r="AZ317" i="11" s="1"/>
  <c r="AS317" i="11"/>
  <c r="AU316" i="11"/>
  <c r="AZ316" i="11" s="1"/>
  <c r="AS316" i="11"/>
  <c r="AU308" i="11"/>
  <c r="AZ308" i="11" s="1"/>
  <c r="AS308" i="11"/>
  <c r="AU297" i="11"/>
  <c r="AZ297" i="11" s="1"/>
  <c r="AS297" i="11"/>
  <c r="AU307" i="11"/>
  <c r="AZ307" i="11" s="1"/>
  <c r="AS307" i="11"/>
  <c r="AU322" i="11"/>
  <c r="AZ322" i="11" s="1"/>
  <c r="AS322" i="11"/>
  <c r="AU282" i="11"/>
  <c r="AZ282" i="11" s="1"/>
  <c r="AS282" i="11"/>
  <c r="AS277" i="11"/>
  <c r="AU277" i="11"/>
  <c r="AZ277" i="11" s="1"/>
  <c r="AU325" i="11"/>
  <c r="AZ325" i="11" s="1"/>
  <c r="AS325" i="11"/>
  <c r="AU234" i="11"/>
  <c r="AZ234" i="11" s="1"/>
  <c r="AS234" i="11"/>
  <c r="AU330" i="11"/>
  <c r="AZ330" i="11" s="1"/>
  <c r="AS330" i="11"/>
  <c r="AS251" i="11"/>
  <c r="AU251" i="11"/>
  <c r="AZ251" i="11" s="1"/>
  <c r="AS306" i="11"/>
  <c r="AU306" i="11"/>
  <c r="AZ306" i="11" s="1"/>
  <c r="AU280" i="11"/>
  <c r="AZ280" i="11" s="1"/>
  <c r="AS280" i="11"/>
  <c r="AU332" i="11"/>
  <c r="AZ332" i="11" s="1"/>
  <c r="AS332" i="11"/>
  <c r="AU238" i="11"/>
  <c r="AZ238" i="11" s="1"/>
  <c r="AS238" i="11"/>
  <c r="AS229" i="11"/>
  <c r="AU229" i="11"/>
  <c r="AZ229" i="11" s="1"/>
  <c r="AU262" i="11"/>
  <c r="AZ262" i="11" s="1"/>
  <c r="AS262" i="11"/>
  <c r="AU294" i="11"/>
  <c r="AZ294" i="11" s="1"/>
  <c r="AS294" i="11"/>
  <c r="AS273" i="11"/>
  <c r="AU273" i="11"/>
  <c r="AZ273" i="11" s="1"/>
  <c r="AU275" i="11"/>
  <c r="AZ275" i="11" s="1"/>
  <c r="AS275" i="11"/>
  <c r="AU230" i="11"/>
  <c r="AZ230" i="11" s="1"/>
  <c r="AS230" i="11"/>
  <c r="AU270" i="11"/>
  <c r="AZ270" i="11" s="1"/>
  <c r="AS270" i="11"/>
  <c r="AU299" i="11"/>
  <c r="AZ299" i="11" s="1"/>
  <c r="AS299" i="11"/>
  <c r="AS298" i="11"/>
  <c r="AU298" i="11"/>
  <c r="AZ298" i="11" s="1"/>
  <c r="AU254" i="11"/>
  <c r="AZ254" i="11" s="1"/>
  <c r="AS254" i="11"/>
  <c r="AU301" i="11"/>
  <c r="AZ301" i="11" s="1"/>
  <c r="AS301" i="11"/>
  <c r="AU314" i="11"/>
  <c r="AZ314" i="11" s="1"/>
  <c r="P314" i="11" s="1"/>
  <c r="Q314" i="11" s="1"/>
  <c r="T314" i="11" s="1"/>
  <c r="R314" i="11" s="1"/>
  <c r="AS314" i="11"/>
  <c r="AU274" i="11"/>
  <c r="AZ274" i="11" s="1"/>
  <c r="AS274" i="11"/>
  <c r="AS253" i="11"/>
  <c r="AU253" i="11"/>
  <c r="AZ253" i="11" s="1"/>
  <c r="AU321" i="11"/>
  <c r="AZ321" i="11" s="1"/>
  <c r="AS321" i="11"/>
  <c r="AU278" i="11"/>
  <c r="AZ278" i="11" s="1"/>
  <c r="AS278" i="11"/>
  <c r="AU295" i="11"/>
  <c r="AZ295" i="11" s="1"/>
  <c r="AS295" i="11"/>
  <c r="AS304" i="11"/>
  <c r="AU304" i="11"/>
  <c r="AZ304" i="11" s="1"/>
  <c r="AU259" i="11"/>
  <c r="AZ259" i="11" s="1"/>
  <c r="AS259" i="11"/>
  <c r="AS333" i="11"/>
  <c r="AU333" i="11"/>
  <c r="AZ333" i="11" s="1"/>
  <c r="AU310" i="11"/>
  <c r="AZ310" i="11" s="1"/>
  <c r="AS310" i="11"/>
  <c r="AS281" i="11"/>
  <c r="AU281" i="11"/>
  <c r="AZ281" i="11" s="1"/>
  <c r="AU320" i="11"/>
  <c r="AZ320" i="11" s="1"/>
  <c r="AS320" i="11"/>
  <c r="AU329" i="11"/>
  <c r="AZ329" i="11" s="1"/>
  <c r="AS329" i="11"/>
  <c r="E16" i="21"/>
  <c r="E15" i="21"/>
  <c r="E13" i="21"/>
  <c r="Q163" i="54" l="1"/>
  <c r="Q162" i="54" s="1"/>
  <c r="I29" i="5"/>
  <c r="D33" i="6" s="1"/>
  <c r="D45" i="6" s="1"/>
  <c r="P71" i="72"/>
  <c r="V88" i="47"/>
  <c r="P72" i="72"/>
  <c r="V242" i="47"/>
  <c r="P48" i="72"/>
  <c r="O68" i="72" s="1"/>
  <c r="O114" i="72"/>
  <c r="P50" i="63"/>
  <c r="P71" i="63"/>
  <c r="O91" i="63" s="1"/>
  <c r="G379" i="63" s="1"/>
  <c r="P320" i="63"/>
  <c r="O137" i="72"/>
  <c r="O160" i="72"/>
  <c r="P298" i="63"/>
  <c r="P119" i="63"/>
  <c r="O275" i="63"/>
  <c r="P49" i="63"/>
  <c r="P117" i="63"/>
  <c r="O319" i="63"/>
  <c r="P96" i="63"/>
  <c r="P141" i="63"/>
  <c r="O160" i="63" s="1"/>
  <c r="G382" i="63" s="1"/>
  <c r="P95" i="63"/>
  <c r="T65" i="54"/>
  <c r="AH224" i="11"/>
  <c r="AQ224" i="11" s="1"/>
  <c r="AH225" i="11"/>
  <c r="AQ225" i="11" s="1"/>
  <c r="AH222" i="11"/>
  <c r="AQ222" i="11" s="1"/>
  <c r="AH223" i="11"/>
  <c r="AQ223" i="11" s="1"/>
  <c r="G22" i="21" l="1"/>
  <c r="N15" i="21" s="1"/>
  <c r="P163" i="54"/>
  <c r="P162" i="54" s="1"/>
  <c r="H29" i="5"/>
  <c r="C33" i="6" s="1"/>
  <c r="C45" i="6" s="1"/>
  <c r="I30" i="5"/>
  <c r="V265" i="47"/>
  <c r="O91" i="72"/>
  <c r="G379" i="72" s="1"/>
  <c r="W88" i="47"/>
  <c r="W242" i="47"/>
  <c r="T88" i="11"/>
  <c r="T88" i="47"/>
  <c r="P251" i="72"/>
  <c r="P227" i="72"/>
  <c r="T242" i="47"/>
  <c r="W65" i="47"/>
  <c r="T65" i="47"/>
  <c r="P250" i="72"/>
  <c r="G382" i="72"/>
  <c r="G378" i="72"/>
  <c r="G381" i="72"/>
  <c r="G380" i="72"/>
  <c r="O68" i="63"/>
  <c r="G378" i="63" s="1"/>
  <c r="P319" i="63"/>
  <c r="O339" i="63" s="1"/>
  <c r="O339" i="72"/>
  <c r="K382" i="72" s="1"/>
  <c r="O382" i="72" s="1"/>
  <c r="G57" i="21" s="1"/>
  <c r="T111" i="11"/>
  <c r="O114" i="63"/>
  <c r="G380" i="63" s="1"/>
  <c r="O137" i="63"/>
  <c r="G381" i="63" s="1"/>
  <c r="T334" i="11"/>
  <c r="T157" i="11"/>
  <c r="P275" i="63"/>
  <c r="T134" i="11"/>
  <c r="AE361" i="11"/>
  <c r="AF361" i="11" s="1"/>
  <c r="AH338" i="11"/>
  <c r="AQ338" i="11" s="1"/>
  <c r="AE245" i="11"/>
  <c r="AF245" i="11" s="1"/>
  <c r="P245" i="11" s="1"/>
  <c r="Q245" i="11" s="1"/>
  <c r="AE353" i="11"/>
  <c r="AF353" i="11" s="1"/>
  <c r="AH358" i="11"/>
  <c r="AQ358" i="11" s="1"/>
  <c r="AH359" i="11"/>
  <c r="AQ359" i="11" s="1"/>
  <c r="AE355" i="11"/>
  <c r="AF355" i="11" s="1"/>
  <c r="AH339" i="11"/>
  <c r="AQ339" i="11" s="1"/>
  <c r="AE341" i="11"/>
  <c r="AF341" i="11" s="1"/>
  <c r="AH360" i="11"/>
  <c r="AQ360" i="11" s="1"/>
  <c r="AE339" i="11"/>
  <c r="AF339" i="11" s="1"/>
  <c r="AE358" i="11"/>
  <c r="AF358" i="11" s="1"/>
  <c r="AE224" i="11"/>
  <c r="AF224" i="11" s="1"/>
  <c r="P224" i="11" s="1"/>
  <c r="Q224" i="11" s="1"/>
  <c r="AI224" i="11"/>
  <c r="AH292" i="11"/>
  <c r="AQ292" i="11" s="1"/>
  <c r="AE268" i="11"/>
  <c r="AF268" i="11" s="1"/>
  <c r="P268" i="11" s="1"/>
  <c r="Q268" i="11" s="1"/>
  <c r="AI268" i="11"/>
  <c r="AE291" i="11"/>
  <c r="AF291" i="11" s="1"/>
  <c r="AI291" i="11"/>
  <c r="AE354" i="11"/>
  <c r="AF354" i="11" s="1"/>
  <c r="AE362" i="11"/>
  <c r="AF362" i="11" s="1"/>
  <c r="AH354" i="11"/>
  <c r="AQ354" i="11" s="1"/>
  <c r="AH340" i="11"/>
  <c r="AQ340" i="11" s="1"/>
  <c r="AE352" i="11"/>
  <c r="AF352" i="11" s="1"/>
  <c r="AH361" i="11"/>
  <c r="AQ361" i="11" s="1"/>
  <c r="AE225" i="11"/>
  <c r="AF225" i="11" s="1"/>
  <c r="P225" i="11" s="1"/>
  <c r="AI225" i="11"/>
  <c r="AE269" i="11"/>
  <c r="AF269" i="11" s="1"/>
  <c r="AI269" i="11"/>
  <c r="AE246" i="11"/>
  <c r="AF246" i="11" s="1"/>
  <c r="AH353" i="11"/>
  <c r="AQ353" i="11" s="1"/>
  <c r="AE357" i="11"/>
  <c r="AF357" i="11" s="1"/>
  <c r="AH341" i="11"/>
  <c r="AQ341" i="11" s="1"/>
  <c r="AH355" i="11"/>
  <c r="AQ355" i="11" s="1"/>
  <c r="AH291" i="11"/>
  <c r="AQ291" i="11" s="1"/>
  <c r="AH269" i="11"/>
  <c r="AQ269" i="11" s="1"/>
  <c r="AE360" i="11"/>
  <c r="AF360" i="11" s="1"/>
  <c r="AE340" i="11"/>
  <c r="AF340" i="11" s="1"/>
  <c r="AH356" i="11"/>
  <c r="AQ356" i="11" s="1"/>
  <c r="AH352" i="11"/>
  <c r="AQ352" i="11" s="1"/>
  <c r="AE359" i="11"/>
  <c r="AF359" i="11" s="1"/>
  <c r="AH362" i="11"/>
  <c r="AQ362" i="11" s="1"/>
  <c r="AE356" i="11"/>
  <c r="AF356" i="11" s="1"/>
  <c r="AH357" i="11"/>
  <c r="AQ357" i="11" s="1"/>
  <c r="AH268" i="11"/>
  <c r="AQ268" i="11" s="1"/>
  <c r="AE292" i="11"/>
  <c r="AF292" i="11" s="1"/>
  <c r="AI292" i="11"/>
  <c r="T65" i="11"/>
  <c r="AI359" i="11"/>
  <c r="AJ359" i="11" s="1"/>
  <c r="AK359" i="11" s="1"/>
  <c r="AI356" i="11"/>
  <c r="AH245" i="11"/>
  <c r="AQ245" i="11" s="1"/>
  <c r="AI245" i="11"/>
  <c r="AL245" i="11" s="1"/>
  <c r="AI353" i="11"/>
  <c r="AL353" i="11" s="1"/>
  <c r="AI246" i="11"/>
  <c r="AL246" i="11" s="1"/>
  <c r="AI357" i="11"/>
  <c r="AJ357" i="11" s="1"/>
  <c r="AI354" i="11"/>
  <c r="AL354" i="11" s="1"/>
  <c r="AI362" i="11"/>
  <c r="AL362" i="11" s="1"/>
  <c r="AI361" i="11"/>
  <c r="AL361" i="11" s="1"/>
  <c r="AI355" i="11"/>
  <c r="AJ355" i="11" s="1"/>
  <c r="AK355" i="11" s="1"/>
  <c r="AI341" i="11"/>
  <c r="AJ341" i="11" s="1"/>
  <c r="AI339" i="11"/>
  <c r="AI358" i="11"/>
  <c r="AL358" i="11" s="1"/>
  <c r="AH246" i="11"/>
  <c r="AQ246" i="11" s="1"/>
  <c r="AI360" i="11"/>
  <c r="AJ360" i="11" s="1"/>
  <c r="AK360" i="11" s="1"/>
  <c r="AI340" i="11"/>
  <c r="AJ340" i="11" s="1"/>
  <c r="AI352" i="11"/>
  <c r="Q225" i="11" l="1"/>
  <c r="O230" i="63"/>
  <c r="R224" i="11"/>
  <c r="T224" i="11"/>
  <c r="R268" i="11"/>
  <c r="T268" i="11"/>
  <c r="R245" i="11"/>
  <c r="T245" i="11"/>
  <c r="Y242" i="47"/>
  <c r="G24" i="21"/>
  <c r="I27" i="55" s="1"/>
  <c r="F22" i="21"/>
  <c r="N14" i="21" s="1"/>
  <c r="A382" i="72"/>
  <c r="R17" i="74"/>
  <c r="I25" i="55"/>
  <c r="K44" i="77" s="1"/>
  <c r="K45" i="77" s="1"/>
  <c r="H30" i="5"/>
  <c r="X242" i="47"/>
  <c r="Z242" i="47" s="1"/>
  <c r="U378" i="72" s="1"/>
  <c r="T265" i="47"/>
  <c r="X265" i="47" s="1"/>
  <c r="P377" i="47"/>
  <c r="P376" i="47" s="1"/>
  <c r="I382" i="72"/>
  <c r="I382" i="63"/>
  <c r="K382" i="63"/>
  <c r="O382" i="63" s="1"/>
  <c r="C163" i="55"/>
  <c r="T377" i="11"/>
  <c r="T376" i="11" s="1"/>
  <c r="AL359" i="11"/>
  <c r="AO359" i="11" s="1"/>
  <c r="AJ361" i="11"/>
  <c r="AK361" i="11" s="1"/>
  <c r="AO361" i="11" s="1"/>
  <c r="AJ268" i="11"/>
  <c r="AL268" i="11"/>
  <c r="AJ224" i="11"/>
  <c r="AL224" i="11"/>
  <c r="AJ269" i="11"/>
  <c r="AK269" i="11" s="1"/>
  <c r="AL269" i="11"/>
  <c r="AJ225" i="11"/>
  <c r="AK225" i="11" s="1"/>
  <c r="AL225" i="11"/>
  <c r="AL291" i="11"/>
  <c r="AJ291" i="11"/>
  <c r="AL292" i="11"/>
  <c r="AJ292" i="11"/>
  <c r="AL360" i="11"/>
  <c r="AO360" i="11" s="1"/>
  <c r="AJ246" i="11"/>
  <c r="AK246" i="11" s="1"/>
  <c r="AV246" i="11" s="1"/>
  <c r="AW246" i="11" s="1"/>
  <c r="AX246" i="11" s="1"/>
  <c r="AJ245" i="11"/>
  <c r="AK245" i="11" s="1"/>
  <c r="AO245" i="11" s="1"/>
  <c r="AL355" i="11"/>
  <c r="AM355" i="11" s="1"/>
  <c r="AN355" i="11" s="1"/>
  <c r="AJ339" i="11"/>
  <c r="AK339" i="11" s="1"/>
  <c r="AL339" i="11"/>
  <c r="AL356" i="11"/>
  <c r="AK357" i="11"/>
  <c r="AL352" i="11"/>
  <c r="AJ358" i="11"/>
  <c r="AM358" i="11" s="1"/>
  <c r="AN358" i="11" s="1"/>
  <c r="AJ352" i="11"/>
  <c r="AK352" i="11" s="1"/>
  <c r="AJ362" i="11"/>
  <c r="AK362" i="11" s="1"/>
  <c r="AO362" i="11" s="1"/>
  <c r="AK340" i="11"/>
  <c r="AK341" i="11"/>
  <c r="AL340" i="11"/>
  <c r="AM340" i="11" s="1"/>
  <c r="AN340" i="11" s="1"/>
  <c r="AL341" i="11"/>
  <c r="AM341" i="11" s="1"/>
  <c r="AN341" i="11" s="1"/>
  <c r="AJ353" i="11"/>
  <c r="AM353" i="11" s="1"/>
  <c r="AN353" i="11" s="1"/>
  <c r="AJ356" i="11"/>
  <c r="AJ354" i="11"/>
  <c r="AM354" i="11" s="1"/>
  <c r="AN354" i="11" s="1"/>
  <c r="AL357" i="11"/>
  <c r="T225" i="11" l="1"/>
  <c r="R225" i="11"/>
  <c r="P230" i="63"/>
  <c r="P164" i="55"/>
  <c r="AB32" i="77"/>
  <c r="K32" i="77" s="1"/>
  <c r="K33" i="77" s="1"/>
  <c r="G25" i="55"/>
  <c r="I44" i="77" s="1"/>
  <c r="I45" i="77" s="1"/>
  <c r="C161" i="55"/>
  <c r="W7" i="55" s="1"/>
  <c r="Z7" i="55"/>
  <c r="A382" i="63"/>
  <c r="H57" i="21"/>
  <c r="T7" i="55"/>
  <c r="A161" i="55"/>
  <c r="F24" i="21"/>
  <c r="G27" i="55" s="1"/>
  <c r="W265" i="47"/>
  <c r="P18" i="21"/>
  <c r="T18" i="21" s="1"/>
  <c r="Q377" i="47"/>
  <c r="Q376" i="47" s="1"/>
  <c r="R69" i="16"/>
  <c r="R68" i="16" s="1"/>
  <c r="A56" i="21"/>
  <c r="C169" i="55"/>
  <c r="C176" i="55"/>
  <c r="AM359" i="11"/>
  <c r="AN359" i="11" s="1"/>
  <c r="AP359" i="11" s="1"/>
  <c r="AY359" i="11" s="1"/>
  <c r="AV359" i="11"/>
  <c r="AW359" i="11" s="1"/>
  <c r="AX359" i="11" s="1"/>
  <c r="AM361" i="11"/>
  <c r="AN361" i="11" s="1"/>
  <c r="AP361" i="11" s="1"/>
  <c r="AR361" i="11" s="1"/>
  <c r="AO246" i="11"/>
  <c r="AV361" i="11"/>
  <c r="AW361" i="11" s="1"/>
  <c r="AX361" i="11" s="1"/>
  <c r="AV360" i="11"/>
  <c r="AW360" i="11" s="1"/>
  <c r="AX360" i="11" s="1"/>
  <c r="AM269" i="11"/>
  <c r="AN269" i="11" s="1"/>
  <c r="AM245" i="11"/>
  <c r="AN245" i="11" s="1"/>
  <c r="AP245" i="11" s="1"/>
  <c r="AT245" i="11" s="1"/>
  <c r="AM360" i="11"/>
  <c r="AN360" i="11" s="1"/>
  <c r="AP360" i="11" s="1"/>
  <c r="AY360" i="11" s="1"/>
  <c r="AM225" i="11"/>
  <c r="AN225" i="11" s="1"/>
  <c r="AM356" i="11"/>
  <c r="AN356" i="11" s="1"/>
  <c r="AK358" i="11"/>
  <c r="AV358" i="11" s="1"/>
  <c r="AW358" i="11" s="1"/>
  <c r="AX358" i="11" s="1"/>
  <c r="AV225" i="11"/>
  <c r="AW225" i="11" s="1"/>
  <c r="AX225" i="11" s="1"/>
  <c r="AO225" i="11"/>
  <c r="AM246" i="11"/>
  <c r="AN246" i="11" s="1"/>
  <c r="AV339" i="11"/>
  <c r="AW339" i="11" s="1"/>
  <c r="AX339" i="11" s="1"/>
  <c r="AK292" i="11"/>
  <c r="AM292" i="11"/>
  <c r="AN292" i="11" s="1"/>
  <c r="AK291" i="11"/>
  <c r="AM291" i="11"/>
  <c r="AN291" i="11" s="1"/>
  <c r="AO269" i="11"/>
  <c r="AV269" i="11"/>
  <c r="AW269" i="11" s="1"/>
  <c r="AX269" i="11" s="1"/>
  <c r="AK224" i="11"/>
  <c r="AV224" i="11" s="1"/>
  <c r="AW224" i="11" s="1"/>
  <c r="AX224" i="11" s="1"/>
  <c r="AM224" i="11"/>
  <c r="AN224" i="11" s="1"/>
  <c r="AK268" i="11"/>
  <c r="AM268" i="11"/>
  <c r="AN268" i="11" s="1"/>
  <c r="AV245" i="11"/>
  <c r="AW245" i="11" s="1"/>
  <c r="AX245" i="11" s="1"/>
  <c r="AV355" i="11"/>
  <c r="AW355" i="11" s="1"/>
  <c r="AX355" i="11" s="1"/>
  <c r="AO355" i="11"/>
  <c r="AP355" i="11" s="1"/>
  <c r="AR355" i="11" s="1"/>
  <c r="AK353" i="11"/>
  <c r="AV353" i="11" s="1"/>
  <c r="AW353" i="11" s="1"/>
  <c r="AX353" i="11" s="1"/>
  <c r="AM339" i="11"/>
  <c r="AN339" i="11" s="1"/>
  <c r="AO339" i="11"/>
  <c r="AO357" i="11"/>
  <c r="AV352" i="11"/>
  <c r="AW352" i="11" s="1"/>
  <c r="AX352" i="11" s="1"/>
  <c r="AK354" i="11"/>
  <c r="AK356" i="11"/>
  <c r="AV362" i="11"/>
  <c r="AW362" i="11" s="1"/>
  <c r="AX362" i="11" s="1"/>
  <c r="AO352" i="11"/>
  <c r="AM352" i="11"/>
  <c r="AN352" i="11" s="1"/>
  <c r="AV357" i="11"/>
  <c r="AW357" i="11" s="1"/>
  <c r="AX357" i="11" s="1"/>
  <c r="AM362" i="11"/>
  <c r="AN362" i="11" s="1"/>
  <c r="AP362" i="11" s="1"/>
  <c r="AY362" i="11" s="1"/>
  <c r="AM357" i="11"/>
  <c r="AN357" i="11" s="1"/>
  <c r="AO340" i="11"/>
  <c r="AP340" i="11" s="1"/>
  <c r="AY340" i="11" s="1"/>
  <c r="AV340" i="11"/>
  <c r="AW340" i="11" s="1"/>
  <c r="AX340" i="11" s="1"/>
  <c r="AV341" i="11"/>
  <c r="AW341" i="11" s="1"/>
  <c r="AX341" i="11" s="1"/>
  <c r="AO341" i="11"/>
  <c r="AP341" i="11" s="1"/>
  <c r="I173" i="55" l="1"/>
  <c r="K172" i="55"/>
  <c r="I172" i="55"/>
  <c r="K171" i="55"/>
  <c r="I171" i="55"/>
  <c r="K173" i="55"/>
  <c r="M173" i="55"/>
  <c r="A172" i="55"/>
  <c r="A173" i="55"/>
  <c r="S17" i="74"/>
  <c r="I361" i="68"/>
  <c r="AB38" i="77"/>
  <c r="K38" i="77" s="1"/>
  <c r="AB34" i="77"/>
  <c r="K34" i="77" s="1"/>
  <c r="Z265" i="47"/>
  <c r="U379" i="72" s="1"/>
  <c r="Y265" i="47"/>
  <c r="K170" i="55"/>
  <c r="I170" i="55"/>
  <c r="F164" i="55" s="1"/>
  <c r="I362" i="68" s="1"/>
  <c r="O18" i="21"/>
  <c r="S18" i="21" s="1"/>
  <c r="R149" i="16"/>
  <c r="P133" i="16"/>
  <c r="O133" i="16" s="1"/>
  <c r="A55" i="21"/>
  <c r="A54" i="21"/>
  <c r="A167" i="55"/>
  <c r="A171" i="55"/>
  <c r="A164" i="55"/>
  <c r="A162" i="55"/>
  <c r="A163" i="55"/>
  <c r="A165" i="55"/>
  <c r="A170" i="55"/>
  <c r="A166" i="55"/>
  <c r="A168" i="55"/>
  <c r="A169" i="55"/>
  <c r="A160" i="55"/>
  <c r="A53" i="21"/>
  <c r="S47" i="16"/>
  <c r="S25" i="16"/>
  <c r="R47" i="16"/>
  <c r="R25" i="16"/>
  <c r="F133" i="16"/>
  <c r="A133" i="16" s="1"/>
  <c r="K164" i="55"/>
  <c r="O164" i="55" s="1"/>
  <c r="J57" i="21"/>
  <c r="I57" i="21"/>
  <c r="I164" i="55"/>
  <c r="AB36" i="77" s="1"/>
  <c r="K36" i="77" s="1"/>
  <c r="M170" i="55"/>
  <c r="A57" i="21"/>
  <c r="M172" i="55"/>
  <c r="E171" i="55"/>
  <c r="M171" i="55"/>
  <c r="AP246" i="11"/>
  <c r="AY246" i="11" s="1"/>
  <c r="AP269" i="11"/>
  <c r="AY269" i="11" s="1"/>
  <c r="AO358" i="11"/>
  <c r="AP358" i="11" s="1"/>
  <c r="AR358" i="11" s="1"/>
  <c r="AP225" i="11"/>
  <c r="AR225" i="11" s="1"/>
  <c r="AV268" i="11"/>
  <c r="AW268" i="11" s="1"/>
  <c r="AX268" i="11" s="1"/>
  <c r="AO268" i="11"/>
  <c r="AP268" i="11" s="1"/>
  <c r="AO292" i="11"/>
  <c r="AP292" i="11" s="1"/>
  <c r="AV292" i="11"/>
  <c r="AW292" i="11" s="1"/>
  <c r="AX292" i="11" s="1"/>
  <c r="AO291" i="11"/>
  <c r="AP291" i="11" s="1"/>
  <c r="AV291" i="11"/>
  <c r="AW291" i="11" s="1"/>
  <c r="AX291" i="11" s="1"/>
  <c r="AO224" i="11"/>
  <c r="AP224" i="11" s="1"/>
  <c r="AO353" i="11"/>
  <c r="AP353" i="11" s="1"/>
  <c r="AT353" i="11" s="1"/>
  <c r="AP339" i="11"/>
  <c r="AR339" i="11" s="1"/>
  <c r="AS339" i="11" s="1"/>
  <c r="AP357" i="11"/>
  <c r="AR357" i="11" s="1"/>
  <c r="AS357" i="11" s="1"/>
  <c r="AO354" i="11"/>
  <c r="AP354" i="11" s="1"/>
  <c r="AR354" i="11" s="1"/>
  <c r="AS354" i="11" s="1"/>
  <c r="AV354" i="11"/>
  <c r="AW354" i="11" s="1"/>
  <c r="AX354" i="11" s="1"/>
  <c r="AP352" i="11"/>
  <c r="AT352" i="11" s="1"/>
  <c r="AR245" i="11"/>
  <c r="AU245" i="11" s="1"/>
  <c r="AZ245" i="11" s="1"/>
  <c r="AV356" i="11"/>
  <c r="AW356" i="11" s="1"/>
  <c r="AX356" i="11" s="1"/>
  <c r="AO356" i="11"/>
  <c r="AP356" i="11" s="1"/>
  <c r="AT356" i="11" s="1"/>
  <c r="AT340" i="11"/>
  <c r="AY361" i="11"/>
  <c r="AT361" i="11"/>
  <c r="AU361" i="11" s="1"/>
  <c r="AZ361" i="11" s="1"/>
  <c r="AT359" i="11"/>
  <c r="AY245" i="11"/>
  <c r="AR340" i="11"/>
  <c r="AT355" i="11"/>
  <c r="AU355" i="11" s="1"/>
  <c r="AZ355" i="11" s="1"/>
  <c r="AR362" i="11"/>
  <c r="AS362" i="11" s="1"/>
  <c r="AR360" i="11"/>
  <c r="AS360" i="11" s="1"/>
  <c r="AR359" i="11"/>
  <c r="AS359" i="11" s="1"/>
  <c r="AT360" i="11"/>
  <c r="AY355" i="11"/>
  <c r="AT362" i="11"/>
  <c r="AT341" i="11"/>
  <c r="AR341" i="11"/>
  <c r="AY341" i="11"/>
  <c r="AS355" i="11"/>
  <c r="AS361" i="11"/>
  <c r="G9" i="20"/>
  <c r="G11" i="20"/>
  <c r="G15" i="20"/>
  <c r="S14" i="11"/>
  <c r="T14" i="11"/>
  <c r="O173" i="55" l="1"/>
  <c r="AB35" i="77"/>
  <c r="K35" i="77" s="1"/>
  <c r="K37" i="77" s="1"/>
  <c r="BB107" i="76"/>
  <c r="BB108" i="76"/>
  <c r="A138" i="16"/>
  <c r="A181" i="55" s="1"/>
  <c r="A140" i="16"/>
  <c r="A183" i="55" s="1"/>
  <c r="A136" i="16"/>
  <c r="A137" i="16"/>
  <c r="A139" i="16"/>
  <c r="A182" i="55" s="1"/>
  <c r="A176" i="55"/>
  <c r="A175" i="55" s="1"/>
  <c r="A135" i="16"/>
  <c r="A141" i="16"/>
  <c r="A142" i="16"/>
  <c r="A134" i="16"/>
  <c r="A132" i="16"/>
  <c r="M164" i="55"/>
  <c r="O172" i="55"/>
  <c r="O250" i="63"/>
  <c r="O171" i="55"/>
  <c r="O170" i="55"/>
  <c r="F165" i="55"/>
  <c r="G165" i="55" s="1"/>
  <c r="AT246" i="11"/>
  <c r="AR246" i="11"/>
  <c r="AS246" i="11" s="1"/>
  <c r="AT269" i="11"/>
  <c r="AR269" i="11"/>
  <c r="AS269" i="11" s="1"/>
  <c r="AY353" i="11"/>
  <c r="AT358" i="11"/>
  <c r="AU358" i="11" s="1"/>
  <c r="AZ358" i="11" s="1"/>
  <c r="AT225" i="11"/>
  <c r="AU225" i="11" s="1"/>
  <c r="AZ225" i="11" s="1"/>
  <c r="AY358" i="11"/>
  <c r="AY225" i="11"/>
  <c r="AT292" i="11"/>
  <c r="AR292" i="11"/>
  <c r="AY292" i="11"/>
  <c r="AR291" i="11"/>
  <c r="AT291" i="11"/>
  <c r="AY291" i="11"/>
  <c r="AT224" i="11"/>
  <c r="AR224" i="11"/>
  <c r="AY224" i="11"/>
  <c r="AR353" i="11"/>
  <c r="AS353" i="11" s="1"/>
  <c r="AY352" i="11"/>
  <c r="AT268" i="11"/>
  <c r="AR268" i="11"/>
  <c r="AY268" i="11"/>
  <c r="AS225" i="11"/>
  <c r="AT339" i="11"/>
  <c r="AU339" i="11" s="1"/>
  <c r="AZ339" i="11" s="1"/>
  <c r="P339" i="11" s="1"/>
  <c r="Q339" i="11" s="1"/>
  <c r="T339" i="11" s="1"/>
  <c r="R339" i="11" s="1"/>
  <c r="AY339" i="11"/>
  <c r="AY357" i="11"/>
  <c r="AT357" i="11"/>
  <c r="AU357" i="11" s="1"/>
  <c r="AZ357" i="11" s="1"/>
  <c r="AS245" i="11"/>
  <c r="AY354" i="11"/>
  <c r="AT354" i="11"/>
  <c r="AU354" i="11" s="1"/>
  <c r="AZ354" i="11" s="1"/>
  <c r="AR352" i="11"/>
  <c r="AS352" i="11" s="1"/>
  <c r="AU340" i="11"/>
  <c r="AZ340" i="11" s="1"/>
  <c r="P340" i="11" s="1"/>
  <c r="Q340" i="11" s="1"/>
  <c r="T340" i="11" s="1"/>
  <c r="R340" i="11" s="1"/>
  <c r="AY356" i="11"/>
  <c r="AR356" i="11"/>
  <c r="AS356" i="11" s="1"/>
  <c r="AU359" i="11"/>
  <c r="AZ359" i="11" s="1"/>
  <c r="AS340" i="11"/>
  <c r="AU362" i="11"/>
  <c r="AZ362" i="11" s="1"/>
  <c r="AU360" i="11"/>
  <c r="AZ360" i="11" s="1"/>
  <c r="AS341" i="11"/>
  <c r="AU341" i="11"/>
  <c r="AZ341" i="11" s="1"/>
  <c r="P341" i="11" s="1"/>
  <c r="Q341" i="11" s="1"/>
  <c r="T341" i="11" s="1"/>
  <c r="R341" i="11" s="1"/>
  <c r="AS358" i="11"/>
  <c r="G16" i="20"/>
  <c r="G17" i="20" s="1"/>
  <c r="G12" i="20"/>
  <c r="G13" i="20" s="1"/>
  <c r="F7" i="7"/>
  <c r="E8" i="7"/>
  <c r="G8" i="7"/>
  <c r="H8" i="7"/>
  <c r="P8" i="7"/>
  <c r="F9" i="7"/>
  <c r="H14" i="7"/>
  <c r="H15" i="7"/>
  <c r="F16" i="7"/>
  <c r="C23" i="7"/>
  <c r="C24" i="7" s="1"/>
  <c r="I23" i="7"/>
  <c r="O23" i="7"/>
  <c r="O24" i="7" s="1"/>
  <c r="I24" i="7"/>
  <c r="F30" i="7"/>
  <c r="H30" i="7" s="1"/>
  <c r="O30" i="7"/>
  <c r="P30" i="7" s="1"/>
  <c r="F31" i="7"/>
  <c r="H31" i="7" s="1"/>
  <c r="O31" i="7"/>
  <c r="P31" i="7" s="1"/>
  <c r="F32" i="7"/>
  <c r="H32" i="7" s="1"/>
  <c r="O32" i="7"/>
  <c r="P32" i="7" s="1"/>
  <c r="F33" i="7"/>
  <c r="H33" i="7" s="1"/>
  <c r="O33" i="7"/>
  <c r="P33" i="7" s="1"/>
  <c r="F34" i="7"/>
  <c r="H34" i="7" s="1"/>
  <c r="O34" i="7"/>
  <c r="P34" i="7" s="1"/>
  <c r="F35" i="7"/>
  <c r="H35" i="7" s="1"/>
  <c r="O35" i="7"/>
  <c r="P35" i="7" s="1"/>
  <c r="F36" i="7"/>
  <c r="H36" i="7" s="1"/>
  <c r="O36" i="7"/>
  <c r="P36" i="7" s="1"/>
  <c r="F37" i="7"/>
  <c r="H37" i="7" s="1"/>
  <c r="O37" i="7"/>
  <c r="P37" i="7" s="1"/>
  <c r="F38" i="7"/>
  <c r="H38" i="7" s="1"/>
  <c r="O38" i="7"/>
  <c r="P38" i="7" s="1"/>
  <c r="F39" i="7"/>
  <c r="H39" i="7" s="1"/>
  <c r="O39" i="7"/>
  <c r="P39" i="7" s="1"/>
  <c r="E30" i="6"/>
  <c r="G30" i="6"/>
  <c r="B53" i="6"/>
  <c r="G48" i="5"/>
  <c r="A179" i="55" l="1"/>
  <c r="J142" i="16"/>
  <c r="AG247" i="77" s="1"/>
  <c r="A180" i="55"/>
  <c r="A178" i="55"/>
  <c r="A174" i="55"/>
  <c r="A185" i="55"/>
  <c r="A184" i="55"/>
  <c r="A177" i="55"/>
  <c r="P250" i="63"/>
  <c r="O346" i="63"/>
  <c r="O347" i="63"/>
  <c r="O345" i="63"/>
  <c r="K165" i="55"/>
  <c r="M165" i="55" s="1"/>
  <c r="I165" i="55"/>
  <c r="I166" i="55" s="1"/>
  <c r="O166" i="55"/>
  <c r="G166" i="55"/>
  <c r="P166" i="55" s="1"/>
  <c r="A25" i="6"/>
  <c r="AU246" i="11"/>
  <c r="AZ246" i="11" s="1"/>
  <c r="AU269" i="11"/>
  <c r="AZ269" i="11" s="1"/>
  <c r="AU353" i="11"/>
  <c r="AZ353" i="11" s="1"/>
  <c r="AU268" i="11"/>
  <c r="AZ268" i="11" s="1"/>
  <c r="AS268" i="11"/>
  <c r="AU291" i="11"/>
  <c r="AZ291" i="11" s="1"/>
  <c r="AS291" i="11"/>
  <c r="AU292" i="11"/>
  <c r="AZ292" i="11" s="1"/>
  <c r="AS292" i="11"/>
  <c r="AU224" i="11"/>
  <c r="AZ224" i="11" s="1"/>
  <c r="AS224" i="11"/>
  <c r="AU352" i="11"/>
  <c r="AZ352" i="11" s="1"/>
  <c r="AU356" i="11"/>
  <c r="AZ356" i="11" s="1"/>
  <c r="H16" i="7"/>
  <c r="E16" i="7" s="1"/>
  <c r="G19" i="20"/>
  <c r="F8" i="7"/>
  <c r="K247" i="77" l="1"/>
  <c r="K166" i="55"/>
  <c r="O247" i="72"/>
  <c r="K378" i="72" s="1"/>
  <c r="O378" i="72" s="1"/>
  <c r="G37" i="21" s="1"/>
  <c r="O229" i="63"/>
  <c r="O274" i="63"/>
  <c r="O270" i="72"/>
  <c r="K379" i="72" s="1"/>
  <c r="O379" i="72" s="1"/>
  <c r="G42" i="21" s="1"/>
  <c r="O251" i="63"/>
  <c r="O297" i="63"/>
  <c r="O296" i="63"/>
  <c r="O273" i="63"/>
  <c r="P347" i="63"/>
  <c r="P345" i="63"/>
  <c r="P346" i="63"/>
  <c r="M166" i="55"/>
  <c r="O165" i="55"/>
  <c r="B40" i="6"/>
  <c r="L17" i="74" l="1"/>
  <c r="A379" i="72"/>
  <c r="A378" i="72"/>
  <c r="J17" i="74"/>
  <c r="O316" i="72"/>
  <c r="I379" i="72"/>
  <c r="I378" i="72"/>
  <c r="P273" i="63"/>
  <c r="O293" i="72"/>
  <c r="K380" i="72" s="1"/>
  <c r="O380" i="72" s="1"/>
  <c r="G47" i="21" s="1"/>
  <c r="P297" i="63"/>
  <c r="P274" i="63"/>
  <c r="P296" i="63"/>
  <c r="P251" i="63"/>
  <c r="O270" i="63" s="1"/>
  <c r="P229" i="63"/>
  <c r="B46" i="6"/>
  <c r="B50" i="6"/>
  <c r="B54" i="6"/>
  <c r="A380" i="72" l="1"/>
  <c r="P14" i="21"/>
  <c r="T14" i="21" s="1"/>
  <c r="P15" i="21"/>
  <c r="T15" i="21" s="1"/>
  <c r="K381" i="72"/>
  <c r="O381" i="72" s="1"/>
  <c r="G52" i="21" s="1"/>
  <c r="I381" i="72"/>
  <c r="I380" i="72"/>
  <c r="O293" i="63"/>
  <c r="O316" i="63"/>
  <c r="K379" i="63"/>
  <c r="O379" i="63" s="1"/>
  <c r="I379" i="63"/>
  <c r="T265" i="11"/>
  <c r="T288" i="11"/>
  <c r="T311" i="11"/>
  <c r="A381" i="72" l="1"/>
  <c r="P17" i="21"/>
  <c r="T17" i="21" s="1"/>
  <c r="A379" i="63"/>
  <c r="H42" i="21"/>
  <c r="I169" i="68" s="1"/>
  <c r="I86" i="55"/>
  <c r="I60" i="55"/>
  <c r="C59" i="55"/>
  <c r="I381" i="63"/>
  <c r="K381" i="63"/>
  <c r="O381" i="63" s="1"/>
  <c r="H52" i="21" s="1"/>
  <c r="I297" i="68" s="1"/>
  <c r="I380" i="63"/>
  <c r="K380" i="63"/>
  <c r="O380" i="63" s="1"/>
  <c r="C137" i="55"/>
  <c r="AA32" i="77" s="1"/>
  <c r="C111" i="55"/>
  <c r="C85" i="55"/>
  <c r="R377" i="11"/>
  <c r="R376" i="11" s="1"/>
  <c r="S377" i="11"/>
  <c r="S376" i="11" s="1"/>
  <c r="Q377" i="11"/>
  <c r="Q376" i="11" s="1"/>
  <c r="AC160" i="11"/>
  <c r="D160" i="11"/>
  <c r="A160" i="11"/>
  <c r="C337" i="11"/>
  <c r="K17" i="74" l="1"/>
  <c r="P112" i="55"/>
  <c r="Z32" i="77"/>
  <c r="AA38" i="77"/>
  <c r="AA34" i="77"/>
  <c r="AA35" i="77"/>
  <c r="AA36" i="77"/>
  <c r="P86" i="55"/>
  <c r="Y32" i="77"/>
  <c r="P60" i="55"/>
  <c r="X32" i="77"/>
  <c r="Z6" i="55"/>
  <c r="P138" i="55"/>
  <c r="Y337" i="11"/>
  <c r="H337" i="11" s="1"/>
  <c r="I343" i="63" s="1"/>
  <c r="X337" i="11"/>
  <c r="G337" i="11" s="1"/>
  <c r="W337" i="11"/>
  <c r="F337" i="11" s="1"/>
  <c r="C83" i="55"/>
  <c r="W4" i="55" s="1"/>
  <c r="Z4" i="55"/>
  <c r="C57" i="55"/>
  <c r="W3" i="55" s="1"/>
  <c r="Z3" i="55"/>
  <c r="C109" i="55"/>
  <c r="W5" i="55" s="1"/>
  <c r="Z5" i="55"/>
  <c r="C135" i="55"/>
  <c r="W6" i="55" s="1"/>
  <c r="O15" i="21"/>
  <c r="S15" i="21" s="1"/>
  <c r="M17" i="74"/>
  <c r="A380" i="63"/>
  <c r="H47" i="21"/>
  <c r="I233" i="68" s="1"/>
  <c r="A381" i="63"/>
  <c r="T5" i="55"/>
  <c r="T6" i="55"/>
  <c r="T4" i="55"/>
  <c r="T3" i="55"/>
  <c r="A83" i="55"/>
  <c r="A57" i="55"/>
  <c r="A109" i="55"/>
  <c r="A135" i="55"/>
  <c r="BD337" i="11"/>
  <c r="K337" i="11" s="1"/>
  <c r="BE337" i="11"/>
  <c r="L337" i="11" s="1"/>
  <c r="BC337" i="11"/>
  <c r="J337" i="11" s="1"/>
  <c r="BB337" i="11"/>
  <c r="I337" i="11" s="1"/>
  <c r="Z337" i="11"/>
  <c r="N337" i="11" s="1"/>
  <c r="I138" i="55"/>
  <c r="A164" i="63"/>
  <c r="H164" i="63"/>
  <c r="C343" i="63"/>
  <c r="F164" i="63"/>
  <c r="C72" i="55"/>
  <c r="A36" i="21"/>
  <c r="C65" i="55"/>
  <c r="E164" i="63"/>
  <c r="D337" i="11"/>
  <c r="D164" i="63"/>
  <c r="P69" i="16"/>
  <c r="P68" i="16" s="1"/>
  <c r="A51" i="21"/>
  <c r="C143" i="55"/>
  <c r="C150" i="55"/>
  <c r="A41" i="21"/>
  <c r="N69" i="16"/>
  <c r="N68" i="16" s="1"/>
  <c r="A46" i="21"/>
  <c r="C117" i="55"/>
  <c r="C124" i="55"/>
  <c r="L69" i="16"/>
  <c r="L68" i="16" s="1"/>
  <c r="C91" i="55"/>
  <c r="C98" i="55"/>
  <c r="K86" i="55"/>
  <c r="O86" i="55" s="1"/>
  <c r="J42" i="21"/>
  <c r="I42" i="21"/>
  <c r="A159" i="11"/>
  <c r="A337" i="11"/>
  <c r="AI160" i="11"/>
  <c r="AL160" i="11" s="1"/>
  <c r="AE160" i="11"/>
  <c r="AF160" i="11" s="1"/>
  <c r="AH160" i="11"/>
  <c r="AQ160" i="11" s="1"/>
  <c r="I32" i="77" l="1"/>
  <c r="I33" i="77" s="1"/>
  <c r="M69" i="55"/>
  <c r="K67" i="55"/>
  <c r="K68" i="55"/>
  <c r="K69" i="55"/>
  <c r="O69" i="55" s="1"/>
  <c r="I69" i="55"/>
  <c r="I68" i="55"/>
  <c r="I67" i="55"/>
  <c r="A61" i="55"/>
  <c r="A69" i="55"/>
  <c r="K93" i="55"/>
  <c r="I94" i="55"/>
  <c r="I95" i="55"/>
  <c r="I93" i="55"/>
  <c r="K94" i="55"/>
  <c r="M95" i="55"/>
  <c r="K95" i="55"/>
  <c r="O95" i="55" s="1"/>
  <c r="K146" i="55"/>
  <c r="M147" i="55"/>
  <c r="K147" i="55"/>
  <c r="O147" i="55" s="1"/>
  <c r="I146" i="55"/>
  <c r="I147" i="55"/>
  <c r="K145" i="55"/>
  <c r="I145" i="55"/>
  <c r="I120" i="55"/>
  <c r="I119" i="55"/>
  <c r="M121" i="55"/>
  <c r="K120" i="55"/>
  <c r="K121" i="55"/>
  <c r="O121" i="55" s="1"/>
  <c r="K119" i="55"/>
  <c r="I121" i="55"/>
  <c r="A134" i="55"/>
  <c r="A147" i="55"/>
  <c r="A120" i="55"/>
  <c r="A121" i="55"/>
  <c r="A94" i="55"/>
  <c r="A95" i="55"/>
  <c r="Y38" i="77"/>
  <c r="Y34" i="77"/>
  <c r="Y36" i="77"/>
  <c r="I36" i="77" s="1"/>
  <c r="Y35" i="77"/>
  <c r="Z38" i="77"/>
  <c r="Z34" i="77"/>
  <c r="Z35" i="77"/>
  <c r="Z36" i="77"/>
  <c r="X36" i="77"/>
  <c r="X38" i="77"/>
  <c r="X34" i="77"/>
  <c r="O337" i="11"/>
  <c r="K118" i="55"/>
  <c r="F113" i="55" s="1"/>
  <c r="I118" i="55"/>
  <c r="F112" i="55" s="1"/>
  <c r="I234" i="68" s="1"/>
  <c r="K66" i="55"/>
  <c r="F61" i="55" s="1"/>
  <c r="I66" i="55"/>
  <c r="F60" i="55" s="1"/>
  <c r="I106" i="68" s="1"/>
  <c r="K92" i="55"/>
  <c r="F87" i="55" s="1"/>
  <c r="I92" i="55"/>
  <c r="F86" i="55" s="1"/>
  <c r="I170" i="68" s="1"/>
  <c r="K144" i="55"/>
  <c r="F139" i="55" s="1"/>
  <c r="I144" i="55"/>
  <c r="F138" i="55" s="1"/>
  <c r="I298" i="68" s="1"/>
  <c r="P111" i="16"/>
  <c r="O111" i="16" s="1"/>
  <c r="N149" i="16"/>
  <c r="J149" i="16"/>
  <c r="P89" i="16"/>
  <c r="O89" i="16" s="1"/>
  <c r="P100" i="16"/>
  <c r="O100" i="16" s="1"/>
  <c r="L149" i="16"/>
  <c r="P149" i="16"/>
  <c r="P122" i="16"/>
  <c r="O122" i="16" s="1"/>
  <c r="K138" i="55"/>
  <c r="M138" i="55" s="1"/>
  <c r="O17" i="21"/>
  <c r="S17" i="21" s="1"/>
  <c r="A82" i="55"/>
  <c r="A89" i="55"/>
  <c r="A86" i="55"/>
  <c r="A88" i="55"/>
  <c r="A87" i="55"/>
  <c r="A90" i="55"/>
  <c r="A40" i="21"/>
  <c r="A39" i="21"/>
  <c r="A45" i="21"/>
  <c r="A44" i="21"/>
  <c r="A35" i="21"/>
  <c r="A34" i="21"/>
  <c r="A49" i="21"/>
  <c r="A50" i="21"/>
  <c r="A91" i="55"/>
  <c r="A92" i="55"/>
  <c r="A85" i="55"/>
  <c r="A84" i="55"/>
  <c r="A93" i="55"/>
  <c r="A113" i="55"/>
  <c r="A112" i="55"/>
  <c r="A108" i="55"/>
  <c r="A118" i="55"/>
  <c r="A119" i="55"/>
  <c r="A110" i="55"/>
  <c r="A111" i="55"/>
  <c r="A117" i="55"/>
  <c r="A114" i="55"/>
  <c r="A115" i="55"/>
  <c r="A116" i="55"/>
  <c r="A68" i="55"/>
  <c r="A140" i="55"/>
  <c r="A59" i="55"/>
  <c r="A137" i="55"/>
  <c r="A143" i="55"/>
  <c r="A136" i="55"/>
  <c r="A141" i="55"/>
  <c r="A139" i="55"/>
  <c r="A60" i="55"/>
  <c r="A65" i="55"/>
  <c r="A144" i="55"/>
  <c r="A146" i="55"/>
  <c r="A145" i="55"/>
  <c r="A58" i="55"/>
  <c r="A67" i="55"/>
  <c r="A62" i="55"/>
  <c r="A138" i="55"/>
  <c r="A142" i="55"/>
  <c r="A64" i="55"/>
  <c r="A63" i="55"/>
  <c r="A66" i="55"/>
  <c r="A56" i="55"/>
  <c r="A48" i="21"/>
  <c r="A43" i="21"/>
  <c r="A42" i="21"/>
  <c r="A33" i="21"/>
  <c r="O47" i="16"/>
  <c r="O25" i="16"/>
  <c r="N47" i="16"/>
  <c r="N25" i="16"/>
  <c r="M47" i="16"/>
  <c r="M25" i="16"/>
  <c r="L47" i="16"/>
  <c r="L25" i="16"/>
  <c r="Q47" i="16"/>
  <c r="Q25" i="16"/>
  <c r="P47" i="16"/>
  <c r="P25" i="16"/>
  <c r="K47" i="16"/>
  <c r="K25" i="16"/>
  <c r="J47" i="16"/>
  <c r="J25" i="16"/>
  <c r="F100" i="16"/>
  <c r="A100" i="16" s="1"/>
  <c r="F122" i="16"/>
  <c r="A122" i="16" s="1"/>
  <c r="F89" i="16"/>
  <c r="A89" i="16" s="1"/>
  <c r="F111" i="16"/>
  <c r="A111" i="16" s="1"/>
  <c r="J52" i="21"/>
  <c r="I52" i="21"/>
  <c r="L343" i="63"/>
  <c r="K343" i="63"/>
  <c r="A343" i="63"/>
  <c r="A163" i="63"/>
  <c r="J343" i="63"/>
  <c r="E343" i="63"/>
  <c r="D343" i="63"/>
  <c r="H343" i="63"/>
  <c r="M66" i="55"/>
  <c r="M92" i="55"/>
  <c r="M118" i="55"/>
  <c r="M144" i="55"/>
  <c r="M68" i="55"/>
  <c r="E67" i="55"/>
  <c r="M67" i="55"/>
  <c r="A37" i="21"/>
  <c r="E337" i="11"/>
  <c r="G164" i="63"/>
  <c r="A52" i="21"/>
  <c r="E93" i="55"/>
  <c r="M94" i="55"/>
  <c r="M86" i="55"/>
  <c r="A47" i="21"/>
  <c r="E119" i="55"/>
  <c r="A38" i="21"/>
  <c r="M146" i="55"/>
  <c r="M145" i="55"/>
  <c r="M120" i="55"/>
  <c r="E145" i="55"/>
  <c r="M119" i="55"/>
  <c r="M93" i="55"/>
  <c r="L194" i="11"/>
  <c r="A190" i="11"/>
  <c r="A367" i="11" s="1"/>
  <c r="O194" i="11"/>
  <c r="J194" i="11"/>
  <c r="A336" i="11"/>
  <c r="AJ160" i="11"/>
  <c r="AM160" i="11" s="1"/>
  <c r="AN160" i="11" s="1"/>
  <c r="AH337" i="11"/>
  <c r="AQ337" i="11" s="1"/>
  <c r="I34" i="77" l="1"/>
  <c r="I38" i="77"/>
  <c r="I35" i="77"/>
  <c r="I37" i="77" s="1"/>
  <c r="O94" i="55"/>
  <c r="AZ107" i="76"/>
  <c r="BA107" i="76"/>
  <c r="AY108" i="76"/>
  <c r="AX108" i="76"/>
  <c r="AY107" i="76"/>
  <c r="AX107" i="76"/>
  <c r="AZ108" i="76"/>
  <c r="BA108" i="76"/>
  <c r="O138" i="55"/>
  <c r="A124" i="55"/>
  <c r="A126" i="55" s="1"/>
  <c r="A118" i="16"/>
  <c r="A131" i="55" s="1"/>
  <c r="A114" i="16"/>
  <c r="A117" i="16"/>
  <c r="A130" i="55" s="1"/>
  <c r="A115" i="16"/>
  <c r="A128" i="55" s="1"/>
  <c r="A116" i="16"/>
  <c r="A129" i="55" s="1"/>
  <c r="A94" i="16"/>
  <c r="A77" i="55" s="1"/>
  <c r="A93" i="16"/>
  <c r="A76" i="55" s="1"/>
  <c r="A92" i="16"/>
  <c r="A95" i="16"/>
  <c r="A78" i="55" s="1"/>
  <c r="A96" i="16"/>
  <c r="A79" i="55" s="1"/>
  <c r="A150" i="55"/>
  <c r="A151" i="55" s="1"/>
  <c r="A128" i="16"/>
  <c r="A156" i="55" s="1"/>
  <c r="A127" i="16"/>
  <c r="A155" i="55" s="1"/>
  <c r="A126" i="16"/>
  <c r="A154" i="55" s="1"/>
  <c r="A129" i="16"/>
  <c r="A157" i="55" s="1"/>
  <c r="A125" i="16"/>
  <c r="A104" i="16"/>
  <c r="A102" i="55" s="1"/>
  <c r="A107" i="16"/>
  <c r="A105" i="55" s="1"/>
  <c r="A103" i="16"/>
  <c r="A106" i="16"/>
  <c r="A104" i="55" s="1"/>
  <c r="A105" i="16"/>
  <c r="A103" i="55" s="1"/>
  <c r="A101" i="16"/>
  <c r="A109" i="16"/>
  <c r="A102" i="16"/>
  <c r="A108" i="16"/>
  <c r="A98" i="55"/>
  <c r="A107" i="55" s="1"/>
  <c r="A99" i="16"/>
  <c r="A119" i="16"/>
  <c r="A110" i="16"/>
  <c r="A120" i="16"/>
  <c r="A112" i="16"/>
  <c r="A113" i="16"/>
  <c r="A91" i="16"/>
  <c r="A72" i="55"/>
  <c r="A80" i="55" s="1"/>
  <c r="A88" i="16"/>
  <c r="A124" i="16"/>
  <c r="A121" i="16"/>
  <c r="A131" i="16"/>
  <c r="A98" i="16"/>
  <c r="A130" i="16"/>
  <c r="A123" i="16"/>
  <c r="A97" i="16"/>
  <c r="A90" i="16"/>
  <c r="M343" i="63"/>
  <c r="G343" i="63"/>
  <c r="F343" i="63"/>
  <c r="A342" i="63"/>
  <c r="O93" i="55"/>
  <c r="O146" i="55"/>
  <c r="O120" i="55"/>
  <c r="O67" i="55"/>
  <c r="O68" i="55"/>
  <c r="I61" i="55"/>
  <c r="I62" i="55" s="1"/>
  <c r="K61" i="55"/>
  <c r="G61" i="55"/>
  <c r="O62" i="55" s="1"/>
  <c r="O66" i="55"/>
  <c r="O145" i="55"/>
  <c r="O92" i="55"/>
  <c r="O144" i="55"/>
  <c r="O119" i="55"/>
  <c r="O118" i="55"/>
  <c r="K139" i="55"/>
  <c r="I139" i="55"/>
  <c r="I140" i="55" s="1"/>
  <c r="G139" i="55"/>
  <c r="G113" i="55"/>
  <c r="K87" i="55"/>
  <c r="I87" i="55"/>
  <c r="I88" i="55" s="1"/>
  <c r="G87" i="55"/>
  <c r="L371" i="11"/>
  <c r="O371" i="11"/>
  <c r="O374" i="11" s="1"/>
  <c r="J371" i="11"/>
  <c r="AK160" i="11"/>
  <c r="AO160" i="11" s="1"/>
  <c r="AP160" i="11" s="1"/>
  <c r="A153" i="55" l="1"/>
  <c r="J131" i="16"/>
  <c r="AE247" i="77" s="1"/>
  <c r="A75" i="55"/>
  <c r="J98" i="16"/>
  <c r="Y247" i="77" s="1"/>
  <c r="A101" i="55"/>
  <c r="J109" i="16"/>
  <c r="AA247" i="77" s="1"/>
  <c r="I247" i="77" s="1"/>
  <c r="A127" i="55"/>
  <c r="J120" i="16"/>
  <c r="AC247" i="77" s="1"/>
  <c r="A132" i="55"/>
  <c r="A123" i="55"/>
  <c r="A122" i="55"/>
  <c r="A125" i="55"/>
  <c r="A133" i="55"/>
  <c r="A148" i="55"/>
  <c r="A159" i="55"/>
  <c r="A149" i="55"/>
  <c r="A152" i="55"/>
  <c r="A158" i="55"/>
  <c r="A74" i="55"/>
  <c r="A99" i="55"/>
  <c r="A97" i="55"/>
  <c r="A96" i="55"/>
  <c r="A106" i="55"/>
  <c r="A100" i="55"/>
  <c r="A73" i="55"/>
  <c r="A81" i="55"/>
  <c r="A71" i="55"/>
  <c r="A70" i="55"/>
  <c r="G62" i="55"/>
  <c r="P62" i="55" s="1"/>
  <c r="M61" i="55"/>
  <c r="G88" i="55"/>
  <c r="P88" i="55" s="1"/>
  <c r="O88" i="55"/>
  <c r="K88" i="55"/>
  <c r="M87" i="55"/>
  <c r="O114" i="55"/>
  <c r="G114" i="55"/>
  <c r="P114" i="55" s="1"/>
  <c r="G140" i="55"/>
  <c r="P140" i="55" s="1"/>
  <c r="O140" i="55"/>
  <c r="K140" i="55"/>
  <c r="M139" i="55"/>
  <c r="AV160" i="11"/>
  <c r="AW160" i="11" s="1"/>
  <c r="AX160" i="11" s="1"/>
  <c r="AT160" i="11"/>
  <c r="AR160" i="11"/>
  <c r="AY160" i="11"/>
  <c r="O61" i="55" l="1"/>
  <c r="M140" i="55"/>
  <c r="O139" i="55"/>
  <c r="M88" i="55"/>
  <c r="O87" i="55"/>
  <c r="AU160" i="11"/>
  <c r="AZ160" i="11" s="1"/>
  <c r="P160" i="11" s="1"/>
  <c r="Q160" i="11" s="1"/>
  <c r="T160" i="11" s="1"/>
  <c r="R160" i="11" s="1"/>
  <c r="AS160" i="11"/>
  <c r="O164" i="63" l="1"/>
  <c r="P164" i="63" l="1"/>
  <c r="O194" i="63" s="1"/>
  <c r="O194" i="72"/>
  <c r="Q194" i="11"/>
  <c r="O373" i="72" l="1"/>
  <c r="R194" i="11"/>
  <c r="T190" i="11"/>
  <c r="T194" i="11" l="1"/>
  <c r="G24" i="5" l="1"/>
  <c r="B31" i="6"/>
  <c r="F7" i="37"/>
  <c r="E21" i="11"/>
  <c r="E21" i="54"/>
  <c r="C41" i="54" l="1" a="1"/>
  <c r="C41" i="54" s="1"/>
  <c r="M41" i="54" s="1"/>
  <c r="S41" i="54" s="1"/>
  <c r="C37" i="54" a="1"/>
  <c r="C37" i="54" s="1"/>
  <c r="M37" i="54" s="1"/>
  <c r="S37" i="54" s="1"/>
  <c r="C33" i="54" a="1"/>
  <c r="C33" i="54" s="1"/>
  <c r="M33" i="54" s="1"/>
  <c r="S33" i="54" s="1"/>
  <c r="C29" i="54" a="1"/>
  <c r="C29" i="54" s="1"/>
  <c r="M29" i="54" s="1"/>
  <c r="S29" i="54" s="1"/>
  <c r="C25" i="54" a="1"/>
  <c r="C25" i="54" s="1"/>
  <c r="M25" i="54" s="1"/>
  <c r="S25" i="54" s="1"/>
  <c r="C39" i="54" a="1"/>
  <c r="C39" i="54" s="1"/>
  <c r="M39" i="54" s="1"/>
  <c r="S39" i="54" s="1"/>
  <c r="C34" i="54" a="1"/>
  <c r="C34" i="54" s="1"/>
  <c r="M34" i="54" s="1"/>
  <c r="S34" i="54" s="1"/>
  <c r="C28" i="54" a="1"/>
  <c r="C28" i="54" s="1"/>
  <c r="M28" i="54" s="1"/>
  <c r="S28" i="54" s="1"/>
  <c r="C23" i="54" a="1"/>
  <c r="C23" i="54" s="1"/>
  <c r="M23" i="54" s="1"/>
  <c r="S23" i="54" s="1"/>
  <c r="C38" i="54" a="1"/>
  <c r="C38" i="54" s="1"/>
  <c r="M38" i="54" s="1"/>
  <c r="S38" i="54" s="1"/>
  <c r="C32" i="54" a="1"/>
  <c r="C32" i="54" s="1"/>
  <c r="M32" i="54" s="1"/>
  <c r="S32" i="54" s="1"/>
  <c r="C27" i="54" a="1"/>
  <c r="C27" i="54" s="1"/>
  <c r="M27" i="54" s="1"/>
  <c r="S27" i="54" s="1"/>
  <c r="C22" i="54" a="1"/>
  <c r="C22" i="54" s="1"/>
  <c r="M22" i="54" s="1"/>
  <c r="S22" i="54" s="1"/>
  <c r="C35" i="54" a="1"/>
  <c r="C35" i="54" s="1"/>
  <c r="M35" i="54" s="1"/>
  <c r="S35" i="54" s="1"/>
  <c r="C24" i="54" a="1"/>
  <c r="C24" i="54" s="1"/>
  <c r="M24" i="54" s="1"/>
  <c r="S24" i="54" s="1"/>
  <c r="C40" i="54" a="1"/>
  <c r="C40" i="54" s="1"/>
  <c r="M40" i="54" s="1"/>
  <c r="S40" i="54" s="1"/>
  <c r="C36" i="54" a="1"/>
  <c r="C36" i="54" s="1"/>
  <c r="M36" i="54" s="1"/>
  <c r="S36" i="54" s="1"/>
  <c r="C26" i="54" a="1"/>
  <c r="C26" i="54" s="1"/>
  <c r="M26" i="54" s="1"/>
  <c r="S26" i="54" s="1"/>
  <c r="C31" i="54" a="1"/>
  <c r="C31" i="54" s="1"/>
  <c r="M31" i="54" s="1"/>
  <c r="S31" i="54" s="1"/>
  <c r="C30" i="54" a="1"/>
  <c r="C30" i="54" s="1"/>
  <c r="M30" i="54" s="1"/>
  <c r="S30" i="54" s="1"/>
  <c r="C41" i="11" a="1"/>
  <c r="C41" i="11" s="1"/>
  <c r="C37" i="11" a="1"/>
  <c r="C37" i="11" s="1"/>
  <c r="C33" i="11" a="1"/>
  <c r="C33" i="11" s="1"/>
  <c r="C29" i="11" a="1"/>
  <c r="C29" i="11" s="1"/>
  <c r="C25" i="11" a="1"/>
  <c r="C25" i="11" s="1"/>
  <c r="C36" i="11" a="1"/>
  <c r="C36" i="11" s="1"/>
  <c r="C31" i="11" a="1"/>
  <c r="C31" i="11" s="1"/>
  <c r="C26" i="11" a="1"/>
  <c r="C26" i="11" s="1"/>
  <c r="C40" i="11" a="1"/>
  <c r="C40" i="11" s="1"/>
  <c r="C35" i="11" a="1"/>
  <c r="C35" i="11" s="1"/>
  <c r="C30" i="11" a="1"/>
  <c r="C30" i="11" s="1"/>
  <c r="C24" i="11" a="1"/>
  <c r="C24" i="11" s="1"/>
  <c r="C32" i="11" a="1"/>
  <c r="C32" i="11" s="1"/>
  <c r="C22" i="11" a="1"/>
  <c r="C22" i="11" s="1"/>
  <c r="C27" i="11" a="1"/>
  <c r="C27" i="11" s="1"/>
  <c r="C23" i="11" a="1"/>
  <c r="C23" i="11" s="1"/>
  <c r="C39" i="11" a="1"/>
  <c r="C39" i="11" s="1"/>
  <c r="C28" i="11" a="1"/>
  <c r="C28" i="11" s="1"/>
  <c r="C38" i="11" a="1"/>
  <c r="C38" i="11" s="1"/>
  <c r="C34" i="11" a="1"/>
  <c r="C34" i="11" s="1"/>
  <c r="F1" i="37"/>
  <c r="R23" i="37" s="1"/>
  <c r="F8" i="37"/>
  <c r="B43" i="6"/>
  <c r="B32" i="6"/>
  <c r="G27" i="5"/>
  <c r="G25" i="5"/>
  <c r="G28" i="5"/>
  <c r="E23" i="21" s="1"/>
  <c r="E26" i="55" s="1"/>
  <c r="G43" i="77" s="1"/>
  <c r="G26" i="5"/>
  <c r="G24" i="72"/>
  <c r="G24" i="63"/>
  <c r="B37" i="6"/>
  <c r="F18" i="37"/>
  <c r="F19" i="37" s="1"/>
  <c r="E198" i="47"/>
  <c r="G203" i="72" s="1"/>
  <c r="E198" i="11"/>
  <c r="B22" i="11"/>
  <c r="R21" i="37" l="1"/>
  <c r="G15" i="40" s="1"/>
  <c r="Q31" i="37"/>
  <c r="Y34" i="11"/>
  <c r="H34" i="11" s="1"/>
  <c r="I37" i="63" s="1"/>
  <c r="M34" i="11"/>
  <c r="Y23" i="11"/>
  <c r="H23" i="11" s="1"/>
  <c r="I26" i="63" s="1"/>
  <c r="M23" i="11"/>
  <c r="Y24" i="11"/>
  <c r="H24" i="11" s="1"/>
  <c r="I27" i="63" s="1"/>
  <c r="M24" i="11"/>
  <c r="Y26" i="11"/>
  <c r="H26" i="11" s="1"/>
  <c r="I29" i="63" s="1"/>
  <c r="M26" i="11"/>
  <c r="Y29" i="11"/>
  <c r="H29" i="11" s="1"/>
  <c r="I32" i="63" s="1"/>
  <c r="M29" i="11"/>
  <c r="Y38" i="11"/>
  <c r="H38" i="11" s="1"/>
  <c r="I41" i="63" s="1"/>
  <c r="M38" i="11"/>
  <c r="Y27" i="11"/>
  <c r="H27" i="11" s="1"/>
  <c r="I30" i="63" s="1"/>
  <c r="M27" i="11"/>
  <c r="Y30" i="11"/>
  <c r="H30" i="11" s="1"/>
  <c r="I33" i="63" s="1"/>
  <c r="M30" i="11"/>
  <c r="Y31" i="11"/>
  <c r="H31" i="11" s="1"/>
  <c r="I34" i="63" s="1"/>
  <c r="M31" i="11"/>
  <c r="Y33" i="11"/>
  <c r="H33" i="11" s="1"/>
  <c r="I36" i="63" s="1"/>
  <c r="M33" i="11"/>
  <c r="Y28" i="11"/>
  <c r="H28" i="11" s="1"/>
  <c r="I31" i="63" s="1"/>
  <c r="M28" i="11"/>
  <c r="Y22" i="11"/>
  <c r="H22" i="11" s="1"/>
  <c r="I25" i="63" s="1"/>
  <c r="M22" i="11"/>
  <c r="Y35" i="11"/>
  <c r="H35" i="11" s="1"/>
  <c r="I38" i="63" s="1"/>
  <c r="M35" i="11"/>
  <c r="Y36" i="11"/>
  <c r="H36" i="11" s="1"/>
  <c r="I39" i="63" s="1"/>
  <c r="M36" i="11"/>
  <c r="Y37" i="11"/>
  <c r="H37" i="11" s="1"/>
  <c r="I40" i="63" s="1"/>
  <c r="M37" i="11"/>
  <c r="Y39" i="11"/>
  <c r="H39" i="11" s="1"/>
  <c r="I42" i="63" s="1"/>
  <c r="M39" i="11"/>
  <c r="Y32" i="11"/>
  <c r="H32" i="11" s="1"/>
  <c r="I35" i="63" s="1"/>
  <c r="M32" i="11"/>
  <c r="Y40" i="11"/>
  <c r="H40" i="11" s="1"/>
  <c r="I43" i="63" s="1"/>
  <c r="M40" i="11"/>
  <c r="Y25" i="11"/>
  <c r="H25" i="11" s="1"/>
  <c r="I28" i="63" s="1"/>
  <c r="M25" i="11"/>
  <c r="Y41" i="11"/>
  <c r="H41" i="11" s="1"/>
  <c r="I44" i="63" s="1"/>
  <c r="M41" i="11"/>
  <c r="R40" i="54"/>
  <c r="R34" i="54"/>
  <c r="R33" i="54"/>
  <c r="R35" i="54"/>
  <c r="R38" i="54"/>
  <c r="R39" i="54"/>
  <c r="R37" i="54"/>
  <c r="R36" i="54"/>
  <c r="R41" i="54"/>
  <c r="Y30" i="54"/>
  <c r="H30" i="54" s="1"/>
  <c r="Y27" i="54"/>
  <c r="H27" i="54" s="1"/>
  <c r="Y28" i="54"/>
  <c r="H28" i="54" s="1"/>
  <c r="Y29" i="54"/>
  <c r="H29" i="54" s="1"/>
  <c r="Y36" i="54"/>
  <c r="H36" i="54" s="1"/>
  <c r="Y31" i="54"/>
  <c r="H31" i="54" s="1"/>
  <c r="Y24" i="54"/>
  <c r="H24" i="54" s="1"/>
  <c r="Y32" i="54"/>
  <c r="H32" i="54" s="1"/>
  <c r="Y34" i="54"/>
  <c r="H34" i="54" s="1"/>
  <c r="Y33" i="54"/>
  <c r="H33" i="54" s="1"/>
  <c r="Y40" i="54"/>
  <c r="H40" i="54" s="1"/>
  <c r="Y26" i="54"/>
  <c r="H26" i="54" s="1"/>
  <c r="Y35" i="54"/>
  <c r="H35" i="54" s="1"/>
  <c r="Y38" i="54"/>
  <c r="H38" i="54" s="1"/>
  <c r="Y39" i="54"/>
  <c r="H39" i="54" s="1"/>
  <c r="Y37" i="54"/>
  <c r="H37" i="54" s="1"/>
  <c r="Y22" i="54"/>
  <c r="H22" i="54" s="1"/>
  <c r="Y23" i="54"/>
  <c r="H23" i="54" s="1"/>
  <c r="Y25" i="54"/>
  <c r="H25" i="54" s="1"/>
  <c r="Y41" i="54"/>
  <c r="H41" i="54" s="1"/>
  <c r="X23" i="11"/>
  <c r="G23" i="11" s="1"/>
  <c r="V23" i="11"/>
  <c r="E23" i="11" s="1"/>
  <c r="W23" i="11"/>
  <c r="F23" i="11" s="1"/>
  <c r="W26" i="11"/>
  <c r="F26" i="11" s="1"/>
  <c r="V26" i="11"/>
  <c r="X26" i="11"/>
  <c r="G26" i="11" s="1"/>
  <c r="W38" i="11"/>
  <c r="F38" i="11" s="1"/>
  <c r="V38" i="11"/>
  <c r="X38" i="11"/>
  <c r="G38" i="11" s="1"/>
  <c r="W30" i="11"/>
  <c r="F30" i="11" s="1"/>
  <c r="V30" i="11"/>
  <c r="X30" i="11"/>
  <c r="G30" i="11" s="1"/>
  <c r="V33" i="11"/>
  <c r="X33" i="11"/>
  <c r="G33" i="11" s="1"/>
  <c r="W33" i="11"/>
  <c r="F33" i="11" s="1"/>
  <c r="W28" i="11"/>
  <c r="F28" i="11" s="1"/>
  <c r="X28" i="11"/>
  <c r="G28" i="11" s="1"/>
  <c r="V28" i="11"/>
  <c r="W22" i="11"/>
  <c r="F22" i="11" s="1"/>
  <c r="V22" i="11"/>
  <c r="X22" i="11"/>
  <c r="G22" i="11" s="1"/>
  <c r="X35" i="11"/>
  <c r="G35" i="11" s="1"/>
  <c r="V35" i="11"/>
  <c r="W35" i="11"/>
  <c r="F35" i="11" s="1"/>
  <c r="W36" i="11"/>
  <c r="F36" i="11" s="1"/>
  <c r="X36" i="11"/>
  <c r="G36" i="11" s="1"/>
  <c r="V36" i="11"/>
  <c r="V37" i="11"/>
  <c r="X37" i="11"/>
  <c r="G37" i="11" s="1"/>
  <c r="W37" i="11"/>
  <c r="F37" i="11" s="1"/>
  <c r="W34" i="11"/>
  <c r="F34" i="11" s="1"/>
  <c r="V34" i="11"/>
  <c r="X34" i="11"/>
  <c r="G34" i="11" s="1"/>
  <c r="W24" i="11"/>
  <c r="F24" i="11" s="1"/>
  <c r="X24" i="11"/>
  <c r="G24" i="11" s="1"/>
  <c r="V24" i="11"/>
  <c r="V29" i="11"/>
  <c r="X29" i="11"/>
  <c r="G29" i="11" s="1"/>
  <c r="W29" i="11"/>
  <c r="F29" i="11" s="1"/>
  <c r="X27" i="11"/>
  <c r="G27" i="11" s="1"/>
  <c r="V27" i="11"/>
  <c r="W27" i="11"/>
  <c r="F27" i="11" s="1"/>
  <c r="X31" i="11"/>
  <c r="G31" i="11" s="1"/>
  <c r="V31" i="11"/>
  <c r="W31" i="11"/>
  <c r="F31" i="11" s="1"/>
  <c r="X39" i="11"/>
  <c r="G39" i="11" s="1"/>
  <c r="V39" i="11"/>
  <c r="W39" i="11"/>
  <c r="F39" i="11" s="1"/>
  <c r="W32" i="11"/>
  <c r="F32" i="11" s="1"/>
  <c r="X32" i="11"/>
  <c r="G32" i="11" s="1"/>
  <c r="V32" i="11"/>
  <c r="W40" i="11"/>
  <c r="F40" i="11" s="1"/>
  <c r="X40" i="11"/>
  <c r="G40" i="11" s="1"/>
  <c r="V40" i="11"/>
  <c r="V25" i="11"/>
  <c r="X25" i="11"/>
  <c r="G25" i="11" s="1"/>
  <c r="W25" i="11"/>
  <c r="F25" i="11" s="1"/>
  <c r="V41" i="11"/>
  <c r="X41" i="11"/>
  <c r="G41" i="11" s="1"/>
  <c r="W41" i="11"/>
  <c r="F41" i="11" s="1"/>
  <c r="W40" i="54"/>
  <c r="F40" i="54" s="1"/>
  <c r="V40" i="54"/>
  <c r="E40" i="54" s="1"/>
  <c r="X40" i="54"/>
  <c r="G40" i="54" s="1"/>
  <c r="V27" i="54"/>
  <c r="E27" i="54" s="1"/>
  <c r="X27" i="54"/>
  <c r="G27" i="54" s="1"/>
  <c r="W27" i="54"/>
  <c r="W28" i="54"/>
  <c r="V28" i="54"/>
  <c r="E28" i="54" s="1"/>
  <c r="X28" i="54"/>
  <c r="G28" i="54" s="1"/>
  <c r="X29" i="54"/>
  <c r="G29" i="54" s="1"/>
  <c r="W29" i="54"/>
  <c r="V29" i="54"/>
  <c r="E29" i="54" s="1"/>
  <c r="V31" i="54"/>
  <c r="E31" i="54" s="1"/>
  <c r="X31" i="54"/>
  <c r="G31" i="54" s="1"/>
  <c r="W31" i="54"/>
  <c r="W24" i="54"/>
  <c r="V24" i="54"/>
  <c r="E24" i="54" s="1"/>
  <c r="X24" i="54"/>
  <c r="G24" i="54" s="1"/>
  <c r="W32" i="54"/>
  <c r="V32" i="54"/>
  <c r="E32" i="54" s="1"/>
  <c r="X32" i="54"/>
  <c r="G32" i="54" s="1"/>
  <c r="X34" i="54"/>
  <c r="G34" i="54" s="1"/>
  <c r="W34" i="54"/>
  <c r="F34" i="54" s="1"/>
  <c r="V34" i="54"/>
  <c r="E34" i="54" s="1"/>
  <c r="X33" i="54"/>
  <c r="G33" i="54" s="1"/>
  <c r="W33" i="54"/>
  <c r="F33" i="54" s="1"/>
  <c r="V33" i="54"/>
  <c r="E33" i="54" s="1"/>
  <c r="X30" i="54"/>
  <c r="G30" i="54" s="1"/>
  <c r="W30" i="54"/>
  <c r="V30" i="54"/>
  <c r="E30" i="54" s="1"/>
  <c r="BC26" i="54"/>
  <c r="J26" i="54" s="1"/>
  <c r="X26" i="54"/>
  <c r="G26" i="54" s="1"/>
  <c r="W26" i="54"/>
  <c r="V26" i="54"/>
  <c r="E26" i="54" s="1"/>
  <c r="V35" i="54"/>
  <c r="E35" i="54" s="1"/>
  <c r="X35" i="54"/>
  <c r="G35" i="54" s="1"/>
  <c r="W35" i="54"/>
  <c r="F35" i="54" s="1"/>
  <c r="X38" i="54"/>
  <c r="G38" i="54" s="1"/>
  <c r="W38" i="54"/>
  <c r="F38" i="54" s="1"/>
  <c r="V38" i="54"/>
  <c r="E38" i="54" s="1"/>
  <c r="V39" i="54"/>
  <c r="E39" i="54" s="1"/>
  <c r="X39" i="54"/>
  <c r="G39" i="54" s="1"/>
  <c r="W39" i="54"/>
  <c r="F39" i="54" s="1"/>
  <c r="X37" i="54"/>
  <c r="G37" i="54" s="1"/>
  <c r="W37" i="54"/>
  <c r="F37" i="54" s="1"/>
  <c r="V37" i="54"/>
  <c r="E37" i="54" s="1"/>
  <c r="W36" i="54"/>
  <c r="F36" i="54" s="1"/>
  <c r="V36" i="54"/>
  <c r="E36" i="54" s="1"/>
  <c r="X36" i="54"/>
  <c r="G36" i="54" s="1"/>
  <c r="X22" i="54"/>
  <c r="G22" i="54" s="1"/>
  <c r="W22" i="54"/>
  <c r="V22" i="54"/>
  <c r="E22" i="54" s="1"/>
  <c r="V23" i="54"/>
  <c r="E23" i="54" s="1"/>
  <c r="X23" i="54"/>
  <c r="G23" i="54" s="1"/>
  <c r="W23" i="54"/>
  <c r="X25" i="54"/>
  <c r="G25" i="54" s="1"/>
  <c r="W25" i="54"/>
  <c r="V25" i="54"/>
  <c r="E25" i="54" s="1"/>
  <c r="X41" i="54"/>
  <c r="G41" i="54" s="1"/>
  <c r="W41" i="54"/>
  <c r="F41" i="54" s="1"/>
  <c r="V41" i="54"/>
  <c r="E41" i="54" s="1"/>
  <c r="R30" i="37"/>
  <c r="Q24" i="37"/>
  <c r="R27" i="37"/>
  <c r="Q21" i="37"/>
  <c r="E15" i="40" s="1"/>
  <c r="R31" i="37"/>
  <c r="Q26" i="37"/>
  <c r="R22" i="37"/>
  <c r="R20" i="37"/>
  <c r="G14" i="40" s="1"/>
  <c r="Q25" i="37"/>
  <c r="Q23" i="37"/>
  <c r="R28" i="37"/>
  <c r="G16" i="40" s="1"/>
  <c r="Q27" i="37"/>
  <c r="R29" i="37"/>
  <c r="G17" i="40" s="1"/>
  <c r="Q22" i="37"/>
  <c r="Q29" i="37"/>
  <c r="E17" i="40" s="1"/>
  <c r="Q20" i="37"/>
  <c r="E14" i="40" s="1"/>
  <c r="A26" i="54"/>
  <c r="BD26" i="54"/>
  <c r="K26" i="54" s="1"/>
  <c r="AB26" i="54"/>
  <c r="AC26" i="54" s="1"/>
  <c r="BB26" i="54"/>
  <c r="I26" i="54" s="1"/>
  <c r="D26" i="54"/>
  <c r="BE26" i="54"/>
  <c r="L26" i="54" s="1"/>
  <c r="Z26" i="54"/>
  <c r="R26" i="37"/>
  <c r="Q28" i="37"/>
  <c r="E16" i="40" s="1"/>
  <c r="R25" i="37"/>
  <c r="R24" i="37"/>
  <c r="Q30" i="37"/>
  <c r="B44" i="6"/>
  <c r="B39" i="6"/>
  <c r="B38" i="6"/>
  <c r="C41" i="72"/>
  <c r="BC38" i="47"/>
  <c r="BD38" i="47"/>
  <c r="K38" i="47" s="1"/>
  <c r="Z38" i="47"/>
  <c r="N38" i="47" s="1"/>
  <c r="BE38" i="47"/>
  <c r="L38" i="47" s="1"/>
  <c r="H41" i="72"/>
  <c r="F41" i="72"/>
  <c r="BB38" i="47"/>
  <c r="I38" i="47" s="1"/>
  <c r="J41" i="72" s="1"/>
  <c r="C40" i="72"/>
  <c r="BC37" i="47"/>
  <c r="BD37" i="47"/>
  <c r="K37" i="47" s="1"/>
  <c r="BB37" i="47"/>
  <c r="I37" i="47" s="1"/>
  <c r="J40" i="72" s="1"/>
  <c r="Z37" i="47"/>
  <c r="N37" i="47" s="1"/>
  <c r="H40" i="72"/>
  <c r="F40" i="72"/>
  <c r="BE37" i="47"/>
  <c r="L37" i="47" s="1"/>
  <c r="C34" i="72"/>
  <c r="BC31" i="47"/>
  <c r="BD31" i="47"/>
  <c r="K31" i="47" s="1"/>
  <c r="BB31" i="47"/>
  <c r="I31" i="47" s="1"/>
  <c r="J34" i="72" s="1"/>
  <c r="Z31" i="47"/>
  <c r="N31" i="47" s="1"/>
  <c r="H34" i="72"/>
  <c r="BE31" i="47"/>
  <c r="L31" i="47" s="1"/>
  <c r="F34" i="72"/>
  <c r="C31" i="72"/>
  <c r="BC28" i="47"/>
  <c r="BD28" i="47"/>
  <c r="K28" i="47" s="1"/>
  <c r="Z28" i="47"/>
  <c r="N28" i="47" s="1"/>
  <c r="BE28" i="47"/>
  <c r="L28" i="47" s="1"/>
  <c r="H31" i="72"/>
  <c r="BB28" i="47"/>
  <c r="I28" i="47" s="1"/>
  <c r="J31" i="72" s="1"/>
  <c r="F31" i="72"/>
  <c r="C43" i="72"/>
  <c r="BC40" i="47"/>
  <c r="BD40" i="47"/>
  <c r="K40" i="47" s="1"/>
  <c r="BE40" i="47"/>
  <c r="L40" i="47" s="1"/>
  <c r="Z40" i="47"/>
  <c r="N40" i="47" s="1"/>
  <c r="H43" i="72"/>
  <c r="BB40" i="47"/>
  <c r="I40" i="47" s="1"/>
  <c r="J43" i="72" s="1"/>
  <c r="F43" i="72"/>
  <c r="C39" i="72"/>
  <c r="BC36" i="47"/>
  <c r="BD36" i="47"/>
  <c r="K36" i="47" s="1"/>
  <c r="Z36" i="47"/>
  <c r="N36" i="47" s="1"/>
  <c r="BE36" i="47"/>
  <c r="L36" i="47" s="1"/>
  <c r="H39" i="72"/>
  <c r="BB36" i="47"/>
  <c r="I36" i="47" s="1"/>
  <c r="J39" i="72" s="1"/>
  <c r="F39" i="72"/>
  <c r="C33" i="72"/>
  <c r="BC30" i="47"/>
  <c r="BD30" i="47"/>
  <c r="K30" i="47" s="1"/>
  <c r="Z30" i="47"/>
  <c r="N30" i="47" s="1"/>
  <c r="BE30" i="47"/>
  <c r="L30" i="47" s="1"/>
  <c r="H33" i="72"/>
  <c r="F33" i="72"/>
  <c r="BB30" i="47"/>
  <c r="I30" i="47" s="1"/>
  <c r="J33" i="72" s="1"/>
  <c r="C42" i="72"/>
  <c r="BC39" i="47"/>
  <c r="BD39" i="47"/>
  <c r="K39" i="47" s="1"/>
  <c r="BB39" i="47"/>
  <c r="I39" i="47" s="1"/>
  <c r="J42" i="72" s="1"/>
  <c r="Z39" i="47"/>
  <c r="N39" i="47" s="1"/>
  <c r="H42" i="72"/>
  <c r="BE39" i="47"/>
  <c r="L39" i="47" s="1"/>
  <c r="F42" i="72"/>
  <c r="C25" i="72"/>
  <c r="BC22" i="47"/>
  <c r="BD22" i="47"/>
  <c r="K22" i="47" s="1"/>
  <c r="Z22" i="47"/>
  <c r="N22" i="47" s="1"/>
  <c r="BE22" i="47"/>
  <c r="L22" i="47" s="1"/>
  <c r="H25" i="72"/>
  <c r="BB22" i="47"/>
  <c r="I22" i="47" s="1"/>
  <c r="J25" i="72" s="1"/>
  <c r="C38" i="72"/>
  <c r="BC35" i="47"/>
  <c r="BD35" i="47"/>
  <c r="K35" i="47" s="1"/>
  <c r="BB35" i="47"/>
  <c r="I35" i="47" s="1"/>
  <c r="J38" i="72" s="1"/>
  <c r="Z35" i="47"/>
  <c r="N35" i="47" s="1"/>
  <c r="H38" i="72"/>
  <c r="BE35" i="47"/>
  <c r="L35" i="47" s="1"/>
  <c r="F38" i="72"/>
  <c r="C27" i="72"/>
  <c r="BC24" i="47"/>
  <c r="BD24" i="47"/>
  <c r="K24" i="47" s="1"/>
  <c r="Z24" i="47"/>
  <c r="N24" i="47" s="1"/>
  <c r="BE24" i="47"/>
  <c r="L24" i="47" s="1"/>
  <c r="H27" i="72"/>
  <c r="BB24" i="47"/>
  <c r="I24" i="47" s="1"/>
  <c r="J27" i="72" s="1"/>
  <c r="C37" i="72"/>
  <c r="BC34" i="47"/>
  <c r="BD34" i="47"/>
  <c r="K34" i="47" s="1"/>
  <c r="Z34" i="47"/>
  <c r="N34" i="47" s="1"/>
  <c r="BE34" i="47"/>
  <c r="L34" i="47" s="1"/>
  <c r="H37" i="72"/>
  <c r="F37" i="72"/>
  <c r="BB34" i="47"/>
  <c r="I34" i="47" s="1"/>
  <c r="J37" i="72" s="1"/>
  <c r="C29" i="72"/>
  <c r="BC26" i="47"/>
  <c r="BD26" i="47"/>
  <c r="K26" i="47" s="1"/>
  <c r="Z26" i="47"/>
  <c r="N26" i="47" s="1"/>
  <c r="BE26" i="47"/>
  <c r="L26" i="47" s="1"/>
  <c r="H29" i="72"/>
  <c r="F29" i="72"/>
  <c r="BB26" i="47"/>
  <c r="I26" i="47" s="1"/>
  <c r="J29" i="72" s="1"/>
  <c r="C35" i="72"/>
  <c r="BC32" i="47"/>
  <c r="BD32" i="47"/>
  <c r="K32" i="47" s="1"/>
  <c r="Z32" i="47"/>
  <c r="N32" i="47" s="1"/>
  <c r="BE32" i="47"/>
  <c r="L32" i="47" s="1"/>
  <c r="H35" i="72"/>
  <c r="BB32" i="47"/>
  <c r="I32" i="47" s="1"/>
  <c r="J35" i="72" s="1"/>
  <c r="F35" i="72"/>
  <c r="C26" i="72"/>
  <c r="BC23" i="47"/>
  <c r="BD23" i="47"/>
  <c r="K23" i="47" s="1"/>
  <c r="BB23" i="47"/>
  <c r="I23" i="47" s="1"/>
  <c r="J26" i="72" s="1"/>
  <c r="Z23" i="47"/>
  <c r="N23" i="47" s="1"/>
  <c r="H26" i="72"/>
  <c r="BE23" i="47"/>
  <c r="L23" i="47" s="1"/>
  <c r="C30" i="72"/>
  <c r="BC27" i="47"/>
  <c r="BD27" i="47"/>
  <c r="K27" i="47" s="1"/>
  <c r="BB27" i="47"/>
  <c r="I27" i="47" s="1"/>
  <c r="J30" i="72" s="1"/>
  <c r="Z27" i="47"/>
  <c r="N27" i="47" s="1"/>
  <c r="H30" i="72"/>
  <c r="BE27" i="47"/>
  <c r="L27" i="47" s="1"/>
  <c r="F30" i="72"/>
  <c r="C32" i="72"/>
  <c r="BC29" i="47"/>
  <c r="BD29" i="47"/>
  <c r="K29" i="47" s="1"/>
  <c r="BB29" i="47"/>
  <c r="I29" i="47" s="1"/>
  <c r="J32" i="72" s="1"/>
  <c r="Z29" i="47"/>
  <c r="N29" i="47" s="1"/>
  <c r="H32" i="72"/>
  <c r="F32" i="72"/>
  <c r="BE29" i="47"/>
  <c r="L29" i="47" s="1"/>
  <c r="C44" i="72"/>
  <c r="BC41" i="47"/>
  <c r="BE41" i="47"/>
  <c r="L41" i="47" s="1"/>
  <c r="BD41" i="47"/>
  <c r="K41" i="47" s="1"/>
  <c r="Z41" i="47"/>
  <c r="N41" i="47" s="1"/>
  <c r="BB41" i="47"/>
  <c r="I41" i="47" s="1"/>
  <c r="J44" i="72" s="1"/>
  <c r="H44" i="72"/>
  <c r="F44" i="72"/>
  <c r="C28" i="72"/>
  <c r="BC25" i="47"/>
  <c r="BD25" i="47"/>
  <c r="K25" i="47" s="1"/>
  <c r="BB25" i="47"/>
  <c r="I25" i="47" s="1"/>
  <c r="J28" i="72" s="1"/>
  <c r="Z25" i="47"/>
  <c r="N25" i="47" s="1"/>
  <c r="H28" i="72"/>
  <c r="BE25" i="47"/>
  <c r="L25" i="47" s="1"/>
  <c r="C36" i="72"/>
  <c r="BC33" i="47"/>
  <c r="BD33" i="47"/>
  <c r="K33" i="47" s="1"/>
  <c r="BB33" i="47"/>
  <c r="I33" i="47" s="1"/>
  <c r="J36" i="72" s="1"/>
  <c r="Z33" i="47"/>
  <c r="H36" i="72"/>
  <c r="F36" i="72"/>
  <c r="BE33" i="47"/>
  <c r="L33" i="47" s="1"/>
  <c r="BD36" i="54"/>
  <c r="K36" i="54" s="1"/>
  <c r="BC36" i="54"/>
  <c r="J36" i="54" s="1"/>
  <c r="BE36" i="54"/>
  <c r="L36" i="54" s="1"/>
  <c r="BB36" i="54"/>
  <c r="I36" i="54" s="1"/>
  <c r="Z36" i="54"/>
  <c r="BD40" i="54"/>
  <c r="K40" i="54" s="1"/>
  <c r="BC40" i="54"/>
  <c r="J40" i="54" s="1"/>
  <c r="BB40" i="54"/>
  <c r="I40" i="54" s="1"/>
  <c r="Z40" i="54"/>
  <c r="BE40" i="54"/>
  <c r="L40" i="54" s="1"/>
  <c r="BD37" i="54"/>
  <c r="K37" i="54" s="1"/>
  <c r="BC37" i="54"/>
  <c r="J37" i="54" s="1"/>
  <c r="BE37" i="54"/>
  <c r="L37" i="54" s="1"/>
  <c r="BB37" i="54"/>
  <c r="I37" i="54" s="1"/>
  <c r="Z37" i="54"/>
  <c r="BD33" i="54"/>
  <c r="K33" i="54" s="1"/>
  <c r="BC33" i="54"/>
  <c r="J33" i="54" s="1"/>
  <c r="BE33" i="54"/>
  <c r="L33" i="54" s="1"/>
  <c r="Z33" i="54"/>
  <c r="BB33" i="54"/>
  <c r="I33" i="54" s="1"/>
  <c r="BD30" i="54"/>
  <c r="K30" i="54" s="1"/>
  <c r="BC30" i="54"/>
  <c r="J30" i="54" s="1"/>
  <c r="BE30" i="54"/>
  <c r="L30" i="54" s="1"/>
  <c r="Z30" i="54"/>
  <c r="BB30" i="54"/>
  <c r="I30" i="54" s="1"/>
  <c r="BD41" i="54"/>
  <c r="K41" i="54" s="1"/>
  <c r="BC41" i="54"/>
  <c r="J41" i="54" s="1"/>
  <c r="BE41" i="54"/>
  <c r="L41" i="54" s="1"/>
  <c r="BB41" i="54"/>
  <c r="I41" i="54" s="1"/>
  <c r="Z41" i="54"/>
  <c r="BC28" i="54"/>
  <c r="J28" i="54" s="1"/>
  <c r="BD28" i="54"/>
  <c r="K28" i="54" s="1"/>
  <c r="Z28" i="54"/>
  <c r="BE28" i="54"/>
  <c r="L28" i="54" s="1"/>
  <c r="BB28" i="54"/>
  <c r="I28" i="54" s="1"/>
  <c r="BC23" i="54"/>
  <c r="J23" i="54" s="1"/>
  <c r="BB23" i="54"/>
  <c r="I23" i="54" s="1"/>
  <c r="BE23" i="54"/>
  <c r="L23" i="54" s="1"/>
  <c r="BD23" i="54"/>
  <c r="K23" i="54" s="1"/>
  <c r="Z23" i="54"/>
  <c r="BC24" i="54"/>
  <c r="J24" i="54" s="1"/>
  <c r="BD24" i="54"/>
  <c r="K24" i="54" s="1"/>
  <c r="BB24" i="54"/>
  <c r="I24" i="54" s="1"/>
  <c r="Z24" i="54"/>
  <c r="BE24" i="54"/>
  <c r="L24" i="54" s="1"/>
  <c r="BD22" i="54"/>
  <c r="K22" i="54" s="1"/>
  <c r="BE22" i="54"/>
  <c r="L22" i="54" s="1"/>
  <c r="BC22" i="54"/>
  <c r="J22" i="54" s="1"/>
  <c r="Z22" i="54"/>
  <c r="N22" i="54" s="1"/>
  <c r="BB22" i="54"/>
  <c r="I22" i="54" s="1"/>
  <c r="BC29" i="54"/>
  <c r="J29" i="54" s="1"/>
  <c r="BE29" i="54"/>
  <c r="L29" i="54" s="1"/>
  <c r="BB29" i="54"/>
  <c r="I29" i="54" s="1"/>
  <c r="BD29" i="54"/>
  <c r="K29" i="54" s="1"/>
  <c r="Z29" i="54"/>
  <c r="BD35" i="54"/>
  <c r="K35" i="54" s="1"/>
  <c r="BC35" i="54"/>
  <c r="J35" i="54" s="1"/>
  <c r="BE35" i="54"/>
  <c r="L35" i="54" s="1"/>
  <c r="Z35" i="54"/>
  <c r="BB35" i="54"/>
  <c r="I35" i="54" s="1"/>
  <c r="BD32" i="54"/>
  <c r="K32" i="54" s="1"/>
  <c r="BC32" i="54"/>
  <c r="J32" i="54" s="1"/>
  <c r="BB32" i="54"/>
  <c r="I32" i="54" s="1"/>
  <c r="Z32" i="54"/>
  <c r="BE32" i="54"/>
  <c r="L32" i="54" s="1"/>
  <c r="BC27" i="54"/>
  <c r="J27" i="54" s="1"/>
  <c r="BB27" i="54"/>
  <c r="I27" i="54" s="1"/>
  <c r="BD27" i="54"/>
  <c r="K27" i="54" s="1"/>
  <c r="BE27" i="54"/>
  <c r="L27" i="54" s="1"/>
  <c r="Z27" i="54"/>
  <c r="BD34" i="54"/>
  <c r="K34" i="54" s="1"/>
  <c r="BC34" i="54"/>
  <c r="J34" i="54" s="1"/>
  <c r="BB34" i="54"/>
  <c r="I34" i="54" s="1"/>
  <c r="BE34" i="54"/>
  <c r="L34" i="54" s="1"/>
  <c r="Z34" i="54"/>
  <c r="BD39" i="54"/>
  <c r="K39" i="54" s="1"/>
  <c r="BC39" i="54"/>
  <c r="J39" i="54" s="1"/>
  <c r="BE39" i="54"/>
  <c r="L39" i="54" s="1"/>
  <c r="BB39" i="54"/>
  <c r="I39" i="54" s="1"/>
  <c r="Z39" i="54"/>
  <c r="BC25" i="54"/>
  <c r="J25" i="54" s="1"/>
  <c r="BE25" i="54"/>
  <c r="L25" i="54" s="1"/>
  <c r="BD25" i="54"/>
  <c r="K25" i="54" s="1"/>
  <c r="Z25" i="54"/>
  <c r="BB25" i="54"/>
  <c r="I25" i="54" s="1"/>
  <c r="BD38" i="54"/>
  <c r="K38" i="54" s="1"/>
  <c r="BC38" i="54"/>
  <c r="J38" i="54" s="1"/>
  <c r="Z38" i="54"/>
  <c r="BE38" i="54"/>
  <c r="L38" i="54" s="1"/>
  <c r="BB38" i="54"/>
  <c r="I38" i="54" s="1"/>
  <c r="BD31" i="54"/>
  <c r="K31" i="54" s="1"/>
  <c r="BC31" i="54"/>
  <c r="J31" i="54" s="1"/>
  <c r="BE31" i="54"/>
  <c r="L31" i="54" s="1"/>
  <c r="BB31" i="54"/>
  <c r="I31" i="54" s="1"/>
  <c r="Z31" i="54"/>
  <c r="BD23" i="11"/>
  <c r="K23" i="11" s="1"/>
  <c r="BE23" i="11"/>
  <c r="L23" i="11" s="1"/>
  <c r="Z23" i="11"/>
  <c r="N23" i="11" s="1"/>
  <c r="BC23" i="11"/>
  <c r="J23" i="11" s="1"/>
  <c r="BB23" i="11"/>
  <c r="I23" i="11" s="1"/>
  <c r="BD28" i="11"/>
  <c r="K28" i="11" s="1"/>
  <c r="BB28" i="11"/>
  <c r="I28" i="11" s="1"/>
  <c r="Z28" i="11"/>
  <c r="N28" i="11" s="1"/>
  <c r="BE28" i="11"/>
  <c r="L28" i="11" s="1"/>
  <c r="BC28" i="11"/>
  <c r="J28" i="11" s="1"/>
  <c r="BC33" i="11"/>
  <c r="J33" i="11" s="1"/>
  <c r="BB33" i="11"/>
  <c r="I33" i="11" s="1"/>
  <c r="BE33" i="11"/>
  <c r="L33" i="11" s="1"/>
  <c r="BD33" i="11"/>
  <c r="K33" i="11" s="1"/>
  <c r="Z33" i="11"/>
  <c r="N33" i="11" s="1"/>
  <c r="BD24" i="11"/>
  <c r="K24" i="11" s="1"/>
  <c r="BB24" i="11"/>
  <c r="I24" i="11" s="1"/>
  <c r="BC24" i="11"/>
  <c r="J24" i="11" s="1"/>
  <c r="BE24" i="11"/>
  <c r="L24" i="11" s="1"/>
  <c r="Z24" i="11"/>
  <c r="N24" i="11" s="1"/>
  <c r="BC41" i="11"/>
  <c r="J41" i="11" s="1"/>
  <c r="BB41" i="11"/>
  <c r="I41" i="11" s="1"/>
  <c r="BD41" i="11"/>
  <c r="K41" i="11" s="1"/>
  <c r="Z41" i="11"/>
  <c r="N41" i="11" s="1"/>
  <c r="BE41" i="11"/>
  <c r="L41" i="11" s="1"/>
  <c r="BC39" i="11"/>
  <c r="J39" i="11" s="1"/>
  <c r="BE39" i="11"/>
  <c r="L39" i="11" s="1"/>
  <c r="BD39" i="11"/>
  <c r="K39" i="11" s="1"/>
  <c r="BB39" i="11"/>
  <c r="I39" i="11" s="1"/>
  <c r="Z39" i="11"/>
  <c r="N39" i="11" s="1"/>
  <c r="BC35" i="11"/>
  <c r="J35" i="11" s="1"/>
  <c r="BE35" i="11"/>
  <c r="L35" i="11" s="1"/>
  <c r="BD35" i="11"/>
  <c r="K35" i="11" s="1"/>
  <c r="Z35" i="11"/>
  <c r="N35" i="11" s="1"/>
  <c r="BB35" i="11"/>
  <c r="I35" i="11" s="1"/>
  <c r="BD26" i="11"/>
  <c r="K26" i="11" s="1"/>
  <c r="BE26" i="11"/>
  <c r="L26" i="11" s="1"/>
  <c r="BC26" i="11"/>
  <c r="J26" i="11" s="1"/>
  <c r="BB26" i="11"/>
  <c r="I26" i="11" s="1"/>
  <c r="Z26" i="11"/>
  <c r="N26" i="11" s="1"/>
  <c r="BC34" i="11"/>
  <c r="J34" i="11" s="1"/>
  <c r="BD34" i="11"/>
  <c r="K34" i="11" s="1"/>
  <c r="BB34" i="11"/>
  <c r="I34" i="11" s="1"/>
  <c r="Z34" i="11"/>
  <c r="N34" i="11" s="1"/>
  <c r="BE34" i="11"/>
  <c r="L34" i="11" s="1"/>
  <c r="BC36" i="11"/>
  <c r="J36" i="11" s="1"/>
  <c r="BB36" i="11"/>
  <c r="I36" i="11" s="1"/>
  <c r="BD36" i="11"/>
  <c r="K36" i="11" s="1"/>
  <c r="Z36" i="11"/>
  <c r="N36" i="11" s="1"/>
  <c r="BE36" i="11"/>
  <c r="L36" i="11" s="1"/>
  <c r="BC32" i="11"/>
  <c r="J32" i="11" s="1"/>
  <c r="BD32" i="11"/>
  <c r="K32" i="11" s="1"/>
  <c r="BB32" i="11"/>
  <c r="I32" i="11" s="1"/>
  <c r="BE32" i="11"/>
  <c r="L32" i="11" s="1"/>
  <c r="Z32" i="11"/>
  <c r="N32" i="11" s="1"/>
  <c r="BD22" i="11"/>
  <c r="K22" i="11" s="1"/>
  <c r="BE22" i="11"/>
  <c r="L22" i="11" s="1"/>
  <c r="BC22" i="11"/>
  <c r="J22" i="11" s="1"/>
  <c r="BB22" i="11"/>
  <c r="I22" i="11" s="1"/>
  <c r="Z22" i="11"/>
  <c r="N22" i="11" s="1"/>
  <c r="BD29" i="11"/>
  <c r="K29" i="11" s="1"/>
  <c r="BC29" i="11"/>
  <c r="J29" i="11" s="1"/>
  <c r="BB29" i="11"/>
  <c r="I29" i="11" s="1"/>
  <c r="BE29" i="11"/>
  <c r="L29" i="11" s="1"/>
  <c r="Z29" i="11"/>
  <c r="N29" i="11" s="1"/>
  <c r="BD30" i="11"/>
  <c r="K30" i="11" s="1"/>
  <c r="BE30" i="11"/>
  <c r="L30" i="11" s="1"/>
  <c r="BC30" i="11"/>
  <c r="J30" i="11" s="1"/>
  <c r="BB30" i="11"/>
  <c r="I30" i="11" s="1"/>
  <c r="Z30" i="11"/>
  <c r="N30" i="11" s="1"/>
  <c r="BC31" i="11"/>
  <c r="J31" i="11" s="1"/>
  <c r="BE31" i="11"/>
  <c r="L31" i="11" s="1"/>
  <c r="Z31" i="11"/>
  <c r="N31" i="11" s="1"/>
  <c r="BD31" i="11"/>
  <c r="K31" i="11" s="1"/>
  <c r="BB31" i="11"/>
  <c r="I31" i="11" s="1"/>
  <c r="BC40" i="11"/>
  <c r="J40" i="11" s="1"/>
  <c r="BE40" i="11"/>
  <c r="L40" i="11" s="1"/>
  <c r="BB40" i="11"/>
  <c r="I40" i="11" s="1"/>
  <c r="BD40" i="11"/>
  <c r="K40" i="11" s="1"/>
  <c r="Z40" i="11"/>
  <c r="N40" i="11" s="1"/>
  <c r="BC38" i="11"/>
  <c r="J38" i="11" s="1"/>
  <c r="BD38" i="11"/>
  <c r="K38" i="11" s="1"/>
  <c r="BE38" i="11"/>
  <c r="L38" i="11" s="1"/>
  <c r="Z38" i="11"/>
  <c r="N38" i="11" s="1"/>
  <c r="BB38" i="11"/>
  <c r="I38" i="11" s="1"/>
  <c r="BD25" i="11"/>
  <c r="K25" i="11" s="1"/>
  <c r="BC25" i="11"/>
  <c r="J25" i="11" s="1"/>
  <c r="BB25" i="11"/>
  <c r="I25" i="11" s="1"/>
  <c r="Z25" i="11"/>
  <c r="N25" i="11" s="1"/>
  <c r="BE25" i="11"/>
  <c r="L25" i="11" s="1"/>
  <c r="BC37" i="11"/>
  <c r="J37" i="11" s="1"/>
  <c r="BB37" i="11"/>
  <c r="I37" i="11" s="1"/>
  <c r="BE37" i="11"/>
  <c r="L37" i="11" s="1"/>
  <c r="BD37" i="11"/>
  <c r="K37" i="11" s="1"/>
  <c r="Z37" i="11"/>
  <c r="N37" i="11" s="1"/>
  <c r="BD27" i="11"/>
  <c r="K27" i="11" s="1"/>
  <c r="BE27" i="11"/>
  <c r="L27" i="11" s="1"/>
  <c r="BB27" i="11"/>
  <c r="I27" i="11" s="1"/>
  <c r="Z27" i="11"/>
  <c r="N27" i="11" s="1"/>
  <c r="BC27" i="11"/>
  <c r="J27" i="11" s="1"/>
  <c r="D33" i="47"/>
  <c r="D210" i="47" s="1"/>
  <c r="D215" i="72" s="1"/>
  <c r="C210" i="47"/>
  <c r="AB33" i="47"/>
  <c r="AC33" i="47" s="1"/>
  <c r="A33" i="47"/>
  <c r="A210" i="47" s="1"/>
  <c r="A215" i="72" s="1"/>
  <c r="C34" i="63"/>
  <c r="C43" i="63"/>
  <c r="C41" i="63"/>
  <c r="C30" i="63"/>
  <c r="C28" i="63"/>
  <c r="C38" i="63"/>
  <c r="C40" i="63"/>
  <c r="G203" i="63"/>
  <c r="C27" i="63"/>
  <c r="C29" i="63"/>
  <c r="C37" i="63"/>
  <c r="C39" i="63"/>
  <c r="C36" i="63"/>
  <c r="C35" i="63"/>
  <c r="C26" i="63"/>
  <c r="C25" i="63"/>
  <c r="C32" i="63"/>
  <c r="C31" i="63"/>
  <c r="C44" i="63"/>
  <c r="C42" i="63"/>
  <c r="C33" i="63"/>
  <c r="C207" i="11"/>
  <c r="D30" i="11"/>
  <c r="A30" i="11"/>
  <c r="AB30" i="11"/>
  <c r="AC30" i="11" s="1"/>
  <c r="AB30" i="47"/>
  <c r="AC30" i="47" s="1"/>
  <c r="AB24" i="47"/>
  <c r="AC24" i="47" s="1"/>
  <c r="AB34" i="47"/>
  <c r="AC34" i="47" s="1"/>
  <c r="AB37" i="47"/>
  <c r="AC37" i="47" s="1"/>
  <c r="AB26" i="47"/>
  <c r="AC26" i="47" s="1"/>
  <c r="AB22" i="47"/>
  <c r="AC22" i="47" s="1"/>
  <c r="AB23" i="47"/>
  <c r="AC23" i="47" s="1"/>
  <c r="AB27" i="47"/>
  <c r="AC27" i="47" s="1"/>
  <c r="AB38" i="47"/>
  <c r="AC38" i="47" s="1"/>
  <c r="AB31" i="47"/>
  <c r="AC31" i="47" s="1"/>
  <c r="AB32" i="47"/>
  <c r="AC32" i="47" s="1"/>
  <c r="AB28" i="47"/>
  <c r="AC28" i="47" s="1"/>
  <c r="AB36" i="47"/>
  <c r="AC36" i="47" s="1"/>
  <c r="AB39" i="47"/>
  <c r="AC39" i="47" s="1"/>
  <c r="AB35" i="47"/>
  <c r="AC35" i="47" s="1"/>
  <c r="AB29" i="47"/>
  <c r="AC29" i="47" s="1"/>
  <c r="AB41" i="47"/>
  <c r="AC41" i="47" s="1"/>
  <c r="AB25" i="47"/>
  <c r="AC25" i="47" s="1"/>
  <c r="AB40" i="47"/>
  <c r="AC40" i="47" s="1"/>
  <c r="AB22" i="11"/>
  <c r="AC22" i="11" s="1"/>
  <c r="AB27" i="11"/>
  <c r="AC27" i="11" s="1"/>
  <c r="AB26" i="11"/>
  <c r="AC26" i="11" s="1"/>
  <c r="AB31" i="11"/>
  <c r="AC31" i="11" s="1"/>
  <c r="AB40" i="11"/>
  <c r="AC40" i="11" s="1"/>
  <c r="AB38" i="11"/>
  <c r="AC38" i="11" s="1"/>
  <c r="AB24" i="11"/>
  <c r="AC24" i="11" s="1"/>
  <c r="AB23" i="11"/>
  <c r="AC23" i="11" s="1"/>
  <c r="AB29" i="11"/>
  <c r="AC29" i="11" s="1"/>
  <c r="AB32" i="11"/>
  <c r="AC32" i="11" s="1"/>
  <c r="AB25" i="11"/>
  <c r="AC25" i="11" s="1"/>
  <c r="AB35" i="11"/>
  <c r="AC35" i="11" s="1"/>
  <c r="AB37" i="11"/>
  <c r="AC37" i="11" s="1"/>
  <c r="AB28" i="11"/>
  <c r="AC28" i="11" s="1"/>
  <c r="AB33" i="11"/>
  <c r="AC33" i="11" s="1"/>
  <c r="AB34" i="11"/>
  <c r="AC34" i="11" s="1"/>
  <c r="AB36" i="11"/>
  <c r="AC36" i="11" s="1"/>
  <c r="C218" i="11"/>
  <c r="AB41" i="11"/>
  <c r="AC41" i="11" s="1"/>
  <c r="AB39" i="11"/>
  <c r="AC39" i="11" s="1"/>
  <c r="AB25" i="54"/>
  <c r="AC25" i="54" s="1"/>
  <c r="AB31" i="54"/>
  <c r="AC31" i="54" s="1"/>
  <c r="AB36" i="54"/>
  <c r="AC36" i="54" s="1"/>
  <c r="D40" i="54"/>
  <c r="AB40" i="54"/>
  <c r="AC40" i="54" s="1"/>
  <c r="AB29" i="54"/>
  <c r="AC29" i="54" s="1"/>
  <c r="AB37" i="54"/>
  <c r="AC37" i="54" s="1"/>
  <c r="AB35" i="54"/>
  <c r="AC35" i="54" s="1"/>
  <c r="AB33" i="54"/>
  <c r="AC33" i="54" s="1"/>
  <c r="AB32" i="54"/>
  <c r="AC32" i="54" s="1"/>
  <c r="AB27" i="54"/>
  <c r="AC27" i="54" s="1"/>
  <c r="D34" i="54"/>
  <c r="AB34" i="54"/>
  <c r="AC34" i="54" s="1"/>
  <c r="A39" i="54"/>
  <c r="AB39" i="54"/>
  <c r="AC39" i="54" s="1"/>
  <c r="AB38" i="54"/>
  <c r="AC38" i="54" s="1"/>
  <c r="AB30" i="54"/>
  <c r="AC30" i="54" s="1"/>
  <c r="AB41" i="54"/>
  <c r="AC41" i="54" s="1"/>
  <c r="AB28" i="54"/>
  <c r="AC28" i="54" s="1"/>
  <c r="AB23" i="54"/>
  <c r="AC23" i="54" s="1"/>
  <c r="AB24" i="54"/>
  <c r="AC24" i="54" s="1"/>
  <c r="AB22" i="54"/>
  <c r="AC22" i="54" s="1"/>
  <c r="A22" i="54"/>
  <c r="A21" i="54" s="1"/>
  <c r="A42" i="54" s="1"/>
  <c r="A32" i="54"/>
  <c r="D27" i="54"/>
  <c r="D22" i="54"/>
  <c r="A31" i="54"/>
  <c r="C217" i="47"/>
  <c r="D40" i="47"/>
  <c r="A40" i="47"/>
  <c r="D31" i="54"/>
  <c r="D29" i="54"/>
  <c r="A27" i="11"/>
  <c r="D27" i="11"/>
  <c r="C216" i="11"/>
  <c r="C204" i="11"/>
  <c r="D39" i="54"/>
  <c r="A40" i="54"/>
  <c r="A27" i="54"/>
  <c r="D37" i="54"/>
  <c r="A29" i="54"/>
  <c r="A37" i="54"/>
  <c r="A34" i="54"/>
  <c r="A41" i="11"/>
  <c r="D41" i="11"/>
  <c r="A39" i="11"/>
  <c r="D39" i="11"/>
  <c r="D32" i="54"/>
  <c r="A28" i="54"/>
  <c r="A41" i="54"/>
  <c r="D35" i="54"/>
  <c r="A35" i="54"/>
  <c r="A24" i="54"/>
  <c r="D24" i="54"/>
  <c r="A23" i="54"/>
  <c r="D23" i="54"/>
  <c r="A25" i="54"/>
  <c r="A38" i="54"/>
  <c r="D36" i="54"/>
  <c r="A36" i="54"/>
  <c r="D25" i="54"/>
  <c r="D41" i="54"/>
  <c r="D28" i="54"/>
  <c r="D33" i="54"/>
  <c r="A33" i="54"/>
  <c r="D38" i="54"/>
  <c r="D32" i="11"/>
  <c r="A32" i="11"/>
  <c r="C209" i="11"/>
  <c r="C200" i="11"/>
  <c r="D23" i="11"/>
  <c r="A23" i="11"/>
  <c r="A34" i="11"/>
  <c r="D34" i="11"/>
  <c r="C211" i="11"/>
  <c r="A38" i="47"/>
  <c r="D38" i="47"/>
  <c r="C215" i="47"/>
  <c r="D37" i="47"/>
  <c r="A37" i="47"/>
  <c r="C214" i="47"/>
  <c r="A22" i="11"/>
  <c r="D22" i="11"/>
  <c r="C199" i="11"/>
  <c r="A29" i="11"/>
  <c r="D29" i="11"/>
  <c r="C206" i="11"/>
  <c r="A32" i="47"/>
  <c r="D32" i="47"/>
  <c r="C209" i="47"/>
  <c r="A25" i="47"/>
  <c r="C202" i="47"/>
  <c r="D25" i="47"/>
  <c r="A30" i="54"/>
  <c r="D30" i="54"/>
  <c r="D31" i="11"/>
  <c r="A31" i="11"/>
  <c r="C208" i="11"/>
  <c r="A40" i="11"/>
  <c r="D40" i="11"/>
  <c r="C217" i="11"/>
  <c r="A38" i="11"/>
  <c r="D38" i="11"/>
  <c r="C215" i="11"/>
  <c r="D24" i="11"/>
  <c r="C201" i="11"/>
  <c r="A24" i="11"/>
  <c r="D36" i="47"/>
  <c r="A36" i="47"/>
  <c r="C213" i="47"/>
  <c r="A30" i="47"/>
  <c r="C207" i="47"/>
  <c r="D30" i="47"/>
  <c r="A39" i="47"/>
  <c r="D39" i="47"/>
  <c r="C216" i="47"/>
  <c r="D22" i="47"/>
  <c r="A22" i="47"/>
  <c r="A25" i="72" s="1"/>
  <c r="C199" i="47"/>
  <c r="Y199" i="47" s="1"/>
  <c r="H199" i="47" s="1"/>
  <c r="I204" i="72" s="1"/>
  <c r="A26" i="47"/>
  <c r="C203" i="47"/>
  <c r="D26" i="47"/>
  <c r="A36" i="11"/>
  <c r="D36" i="11"/>
  <c r="C213" i="11"/>
  <c r="A24" i="47"/>
  <c r="D24" i="47"/>
  <c r="C201" i="47"/>
  <c r="A34" i="47"/>
  <c r="D34" i="47"/>
  <c r="C211" i="47"/>
  <c r="A35" i="47"/>
  <c r="D35" i="47"/>
  <c r="C212" i="47"/>
  <c r="D28" i="11"/>
  <c r="A28" i="11"/>
  <c r="C205" i="11"/>
  <c r="D31" i="47"/>
  <c r="C208" i="47"/>
  <c r="A31" i="47"/>
  <c r="D28" i="47"/>
  <c r="A28" i="47"/>
  <c r="C205" i="47"/>
  <c r="A26" i="11"/>
  <c r="D26" i="11"/>
  <c r="C203" i="11"/>
  <c r="A33" i="11"/>
  <c r="D33" i="11"/>
  <c r="C210" i="11"/>
  <c r="A25" i="11"/>
  <c r="D25" i="11"/>
  <c r="C202" i="11"/>
  <c r="D35" i="11"/>
  <c r="C212" i="11"/>
  <c r="A35" i="11"/>
  <c r="D37" i="11"/>
  <c r="A37" i="11"/>
  <c r="C214" i="11"/>
  <c r="D23" i="47"/>
  <c r="C200" i="47"/>
  <c r="A23" i="47"/>
  <c r="A27" i="47"/>
  <c r="D27" i="47"/>
  <c r="C204" i="47"/>
  <c r="A29" i="47"/>
  <c r="D29" i="47"/>
  <c r="C206" i="47"/>
  <c r="A41" i="47"/>
  <c r="D41" i="47"/>
  <c r="C218" i="47"/>
  <c r="F32" i="54" l="1"/>
  <c r="F22" i="54"/>
  <c r="F27" i="54"/>
  <c r="F25" i="54"/>
  <c r="F26" i="54"/>
  <c r="F30" i="54"/>
  <c r="F24" i="54"/>
  <c r="F23" i="54"/>
  <c r="F31" i="54"/>
  <c r="F29" i="54"/>
  <c r="F28" i="54"/>
  <c r="Y205" i="47"/>
  <c r="H205" i="47" s="1"/>
  <c r="I210" i="72" s="1"/>
  <c r="M205" i="47"/>
  <c r="Y208" i="47"/>
  <c r="H208" i="47" s="1"/>
  <c r="I213" i="72" s="1"/>
  <c r="M208" i="47"/>
  <c r="Y211" i="47"/>
  <c r="H211" i="47" s="1"/>
  <c r="I216" i="72" s="1"/>
  <c r="M211" i="47"/>
  <c r="J33" i="47"/>
  <c r="O33" i="47" s="1"/>
  <c r="Q41" i="47"/>
  <c r="P44" i="72" s="1"/>
  <c r="T41" i="47"/>
  <c r="P41" i="47"/>
  <c r="O44" i="72" s="1"/>
  <c r="P29" i="47"/>
  <c r="O32" i="72" s="1"/>
  <c r="Q29" i="47"/>
  <c r="T32" i="47"/>
  <c r="P32" i="47"/>
  <c r="O35" i="72" s="1"/>
  <c r="Q32" i="47"/>
  <c r="P35" i="72" s="1"/>
  <c r="T34" i="47"/>
  <c r="Q34" i="47"/>
  <c r="P37" i="72" s="1"/>
  <c r="P34" i="47"/>
  <c r="O37" i="72" s="1"/>
  <c r="J22" i="47"/>
  <c r="O22" i="47" s="1"/>
  <c r="J39" i="47"/>
  <c r="O39" i="47" s="1"/>
  <c r="J30" i="47"/>
  <c r="O30" i="47" s="1"/>
  <c r="J36" i="47"/>
  <c r="O36" i="47" s="1"/>
  <c r="J40" i="47"/>
  <c r="O40" i="47" s="1"/>
  <c r="J28" i="47"/>
  <c r="O28" i="47" s="1"/>
  <c r="J31" i="47"/>
  <c r="O31" i="47" s="1"/>
  <c r="J37" i="47"/>
  <c r="O37" i="47" s="1"/>
  <c r="J38" i="47"/>
  <c r="O38" i="47" s="1"/>
  <c r="Y206" i="47"/>
  <c r="H206" i="47" s="1"/>
  <c r="I211" i="72" s="1"/>
  <c r="M206" i="47"/>
  <c r="Y218" i="47"/>
  <c r="H218" i="47" s="1"/>
  <c r="I223" i="72" s="1"/>
  <c r="M218" i="47"/>
  <c r="Y212" i="47"/>
  <c r="H212" i="47" s="1"/>
  <c r="I217" i="72" s="1"/>
  <c r="M212" i="47"/>
  <c r="Y213" i="47"/>
  <c r="H213" i="47" s="1"/>
  <c r="I218" i="72" s="1"/>
  <c r="M213" i="47"/>
  <c r="Y209" i="47"/>
  <c r="H209" i="47" s="1"/>
  <c r="I214" i="72" s="1"/>
  <c r="M209" i="47"/>
  <c r="Y215" i="47"/>
  <c r="H215" i="47" s="1"/>
  <c r="I220" i="72" s="1"/>
  <c r="M215" i="47"/>
  <c r="Y210" i="47"/>
  <c r="H210" i="47" s="1"/>
  <c r="I215" i="72" s="1"/>
  <c r="M210" i="47"/>
  <c r="N33" i="47"/>
  <c r="AH33" i="47" s="1"/>
  <c r="AQ33" i="47" s="1"/>
  <c r="J24" i="47"/>
  <c r="O24" i="47" s="1"/>
  <c r="J35" i="47"/>
  <c r="O35" i="47" s="1"/>
  <c r="Q39" i="47"/>
  <c r="P42" i="72" s="1"/>
  <c r="P39" i="47"/>
  <c r="O42" i="72" s="1"/>
  <c r="T39" i="47"/>
  <c r="T40" i="47"/>
  <c r="Q40" i="47"/>
  <c r="P43" i="72" s="1"/>
  <c r="P40" i="47"/>
  <c r="O43" i="72" s="1"/>
  <c r="Q31" i="47"/>
  <c r="P34" i="72" s="1"/>
  <c r="T31" i="47"/>
  <c r="P31" i="47"/>
  <c r="O34" i="72" s="1"/>
  <c r="Q37" i="47"/>
  <c r="P40" i="72" s="1"/>
  <c r="T37" i="47"/>
  <c r="P37" i="47"/>
  <c r="O40" i="72" s="1"/>
  <c r="Y203" i="47"/>
  <c r="H203" i="47" s="1"/>
  <c r="I208" i="72" s="1"/>
  <c r="M203" i="47"/>
  <c r="Y214" i="47"/>
  <c r="H214" i="47" s="1"/>
  <c r="I219" i="72" s="1"/>
  <c r="M214" i="47"/>
  <c r="J23" i="47"/>
  <c r="O23" i="47" s="1"/>
  <c r="J32" i="47"/>
  <c r="O32" i="47" s="1"/>
  <c r="J26" i="47"/>
  <c r="O26" i="47" s="1"/>
  <c r="J34" i="47"/>
  <c r="O34" i="47" s="1"/>
  <c r="Q35" i="47"/>
  <c r="P38" i="72" s="1"/>
  <c r="P35" i="47"/>
  <c r="O38" i="72" s="1"/>
  <c r="T35" i="47"/>
  <c r="P30" i="47"/>
  <c r="O33" i="72" s="1"/>
  <c r="Q30" i="47"/>
  <c r="P33" i="72" s="1"/>
  <c r="T30" i="47"/>
  <c r="P36" i="47"/>
  <c r="O39" i="72" s="1"/>
  <c r="T36" i="47"/>
  <c r="Q36" i="47"/>
  <c r="P39" i="72" s="1"/>
  <c r="P28" i="47"/>
  <c r="O31" i="72" s="1"/>
  <c r="Q28" i="47"/>
  <c r="T28" i="47" s="1"/>
  <c r="T38" i="47"/>
  <c r="P38" i="47"/>
  <c r="O41" i="72" s="1"/>
  <c r="Q38" i="47"/>
  <c r="P41" i="72" s="1"/>
  <c r="Y204" i="47"/>
  <c r="H204" i="47" s="1"/>
  <c r="I209" i="72" s="1"/>
  <c r="M204" i="47"/>
  <c r="Y200" i="47"/>
  <c r="H200" i="47" s="1"/>
  <c r="I205" i="72" s="1"/>
  <c r="M200" i="47"/>
  <c r="Y201" i="47"/>
  <c r="H201" i="47" s="1"/>
  <c r="I206" i="72" s="1"/>
  <c r="M201" i="47"/>
  <c r="Y216" i="47"/>
  <c r="H216" i="47" s="1"/>
  <c r="I221" i="72" s="1"/>
  <c r="M216" i="47"/>
  <c r="Y207" i="47"/>
  <c r="H207" i="47" s="1"/>
  <c r="I212" i="72" s="1"/>
  <c r="M207" i="47"/>
  <c r="Y202" i="47"/>
  <c r="H202" i="47" s="1"/>
  <c r="I207" i="72" s="1"/>
  <c r="M202" i="47"/>
  <c r="Y217" i="47"/>
  <c r="H217" i="47" s="1"/>
  <c r="I222" i="72" s="1"/>
  <c r="M217" i="47"/>
  <c r="J25" i="47"/>
  <c r="O25" i="47" s="1"/>
  <c r="J41" i="47"/>
  <c r="O41" i="47" s="1"/>
  <c r="J29" i="47"/>
  <c r="O29" i="47" s="1"/>
  <c r="J27" i="47"/>
  <c r="O27" i="47" s="1"/>
  <c r="O22" i="11"/>
  <c r="O26" i="11"/>
  <c r="O28" i="11"/>
  <c r="O40" i="11"/>
  <c r="O27" i="11"/>
  <c r="O23" i="11"/>
  <c r="O25" i="11"/>
  <c r="O39" i="11"/>
  <c r="O24" i="11"/>
  <c r="O37" i="11"/>
  <c r="O30" i="11"/>
  <c r="O38" i="11"/>
  <c r="O29" i="11"/>
  <c r="Y206" i="11"/>
  <c r="H206" i="11" s="1"/>
  <c r="I211" i="63" s="1"/>
  <c r="M206" i="11"/>
  <c r="Y211" i="11"/>
  <c r="H211" i="11" s="1"/>
  <c r="I216" i="63" s="1"/>
  <c r="M211" i="11"/>
  <c r="Y216" i="11"/>
  <c r="H216" i="11" s="1"/>
  <c r="I221" i="63" s="1"/>
  <c r="M216" i="11"/>
  <c r="Y218" i="11"/>
  <c r="H218" i="11" s="1"/>
  <c r="I223" i="63" s="1"/>
  <c r="M218" i="11"/>
  <c r="Y207" i="11"/>
  <c r="H207" i="11" s="1"/>
  <c r="I212" i="63" s="1"/>
  <c r="M207" i="11"/>
  <c r="O31" i="11"/>
  <c r="O32" i="11"/>
  <c r="O35" i="11"/>
  <c r="O33" i="11"/>
  <c r="T41" i="11"/>
  <c r="Q41" i="11"/>
  <c r="R41" i="11"/>
  <c r="S41" i="11"/>
  <c r="P41" i="11"/>
  <c r="Q40" i="11"/>
  <c r="S40" i="11"/>
  <c r="R40" i="11"/>
  <c r="P40" i="11"/>
  <c r="T40" i="11"/>
  <c r="R39" i="11"/>
  <c r="Q39" i="11"/>
  <c r="S39" i="11"/>
  <c r="P39" i="11"/>
  <c r="T39" i="11"/>
  <c r="Q36" i="11"/>
  <c r="S36" i="11"/>
  <c r="R36" i="11"/>
  <c r="P36" i="11"/>
  <c r="T36" i="11"/>
  <c r="S22" i="11"/>
  <c r="R33" i="11"/>
  <c r="T33" i="11"/>
  <c r="S33" i="11"/>
  <c r="P33" i="11"/>
  <c r="Q33" i="11"/>
  <c r="Q30" i="11"/>
  <c r="P30" i="11"/>
  <c r="R30" i="11"/>
  <c r="S30" i="11"/>
  <c r="T30" i="11"/>
  <c r="Q38" i="11"/>
  <c r="R38" i="11"/>
  <c r="S38" i="11"/>
  <c r="P38" i="11"/>
  <c r="T38" i="11"/>
  <c r="Q26" i="11"/>
  <c r="S26" i="11"/>
  <c r="P26" i="11"/>
  <c r="R26" i="11"/>
  <c r="T26" i="11"/>
  <c r="S23" i="11"/>
  <c r="Y201" i="11"/>
  <c r="H201" i="11" s="1"/>
  <c r="I206" i="63" s="1"/>
  <c r="M201" i="11"/>
  <c r="O36" i="11"/>
  <c r="Y202" i="11"/>
  <c r="H202" i="11" s="1"/>
  <c r="I207" i="63" s="1"/>
  <c r="M202" i="11"/>
  <c r="Y199" i="11"/>
  <c r="H199" i="11" s="1"/>
  <c r="I204" i="63" s="1"/>
  <c r="Y214" i="11"/>
  <c r="H214" i="11" s="1"/>
  <c r="I219" i="63" s="1"/>
  <c r="M214" i="11"/>
  <c r="Y212" i="11"/>
  <c r="H212" i="11" s="1"/>
  <c r="I217" i="63" s="1"/>
  <c r="M212" i="11"/>
  <c r="Y203" i="11"/>
  <c r="H203" i="11" s="1"/>
  <c r="I208" i="63" s="1"/>
  <c r="M203" i="11"/>
  <c r="Y208" i="11"/>
  <c r="H208" i="11" s="1"/>
  <c r="I213" i="63" s="1"/>
  <c r="M208" i="11"/>
  <c r="Y200" i="11"/>
  <c r="H200" i="11" s="1"/>
  <c r="I205" i="63" s="1"/>
  <c r="Y210" i="11"/>
  <c r="H210" i="11" s="1"/>
  <c r="I215" i="63" s="1"/>
  <c r="M210" i="11"/>
  <c r="Y205" i="11"/>
  <c r="H205" i="11" s="1"/>
  <c r="I210" i="63" s="1"/>
  <c r="M205" i="11"/>
  <c r="Y213" i="11"/>
  <c r="H213" i="11" s="1"/>
  <c r="I218" i="63" s="1"/>
  <c r="M213" i="11"/>
  <c r="Y217" i="11"/>
  <c r="H217" i="11" s="1"/>
  <c r="I222" i="63" s="1"/>
  <c r="M217" i="11"/>
  <c r="Y209" i="11"/>
  <c r="H209" i="11" s="1"/>
  <c r="I214" i="63" s="1"/>
  <c r="M209" i="11"/>
  <c r="O34" i="11"/>
  <c r="O41" i="11"/>
  <c r="R25" i="11"/>
  <c r="T25" i="11"/>
  <c r="S25" i="11"/>
  <c r="P25" i="11"/>
  <c r="Q25" i="11"/>
  <c r="Q32" i="11"/>
  <c r="S32" i="11"/>
  <c r="R32" i="11"/>
  <c r="P32" i="11"/>
  <c r="T32" i="11"/>
  <c r="R37" i="11"/>
  <c r="P37" i="11"/>
  <c r="T37" i="11"/>
  <c r="S37" i="11"/>
  <c r="Q37" i="11"/>
  <c r="R35" i="11"/>
  <c r="S35" i="11"/>
  <c r="T35" i="11"/>
  <c r="Q35" i="11"/>
  <c r="P35" i="11"/>
  <c r="Q28" i="11"/>
  <c r="S28" i="11"/>
  <c r="R28" i="11"/>
  <c r="T28" i="11"/>
  <c r="P28" i="11"/>
  <c r="R31" i="11"/>
  <c r="P31" i="11"/>
  <c r="Q31" i="11"/>
  <c r="T31" i="11"/>
  <c r="S31" i="11"/>
  <c r="R27" i="11"/>
  <c r="P27" i="11"/>
  <c r="S27" i="11"/>
  <c r="T27" i="11"/>
  <c r="Q27" i="11"/>
  <c r="R29" i="11"/>
  <c r="T29" i="11"/>
  <c r="S29" i="11"/>
  <c r="P29" i="11"/>
  <c r="Q29" i="11"/>
  <c r="S24" i="11"/>
  <c r="Q34" i="11"/>
  <c r="T34" i="11"/>
  <c r="P34" i="11"/>
  <c r="S34" i="11"/>
  <c r="R34" i="11"/>
  <c r="Y215" i="11"/>
  <c r="H215" i="11" s="1"/>
  <c r="I220" i="63" s="1"/>
  <c r="M215" i="11"/>
  <c r="Y204" i="11"/>
  <c r="H204" i="11" s="1"/>
  <c r="I209" i="63" s="1"/>
  <c r="M204" i="11"/>
  <c r="O29" i="54"/>
  <c r="O41" i="54"/>
  <c r="O31" i="54"/>
  <c r="O25" i="54"/>
  <c r="O39" i="54"/>
  <c r="O35" i="54"/>
  <c r="O30" i="54"/>
  <c r="O36" i="54"/>
  <c r="O24" i="54"/>
  <c r="N28" i="54"/>
  <c r="AH28" i="54" s="1"/>
  <c r="AQ28" i="54" s="1"/>
  <c r="O33" i="54"/>
  <c r="N40" i="54"/>
  <c r="AH40" i="54" s="1"/>
  <c r="AQ40" i="54" s="1"/>
  <c r="N36" i="54"/>
  <c r="AH36" i="54" s="1"/>
  <c r="AQ36" i="54" s="1"/>
  <c r="N38" i="54"/>
  <c r="AH38" i="54" s="1"/>
  <c r="AQ38" i="54" s="1"/>
  <c r="N25" i="54"/>
  <c r="AH25" i="54" s="1"/>
  <c r="AQ25" i="54" s="1"/>
  <c r="N39" i="54"/>
  <c r="AH39" i="54" s="1"/>
  <c r="AQ39" i="54" s="1"/>
  <c r="O34" i="54"/>
  <c r="N32" i="54"/>
  <c r="AH32" i="54" s="1"/>
  <c r="AQ32" i="54" s="1"/>
  <c r="O22" i="54"/>
  <c r="N24" i="54"/>
  <c r="AH24" i="54" s="1"/>
  <c r="AQ24" i="54" s="1"/>
  <c r="N23" i="54"/>
  <c r="AH23" i="54" s="1"/>
  <c r="AQ23" i="54" s="1"/>
  <c r="O23" i="54"/>
  <c r="N30" i="54"/>
  <c r="AH30" i="54" s="1"/>
  <c r="AQ30" i="54" s="1"/>
  <c r="O37" i="54"/>
  <c r="N26" i="54"/>
  <c r="AH26" i="54" s="1"/>
  <c r="AQ26" i="54" s="1"/>
  <c r="O28" i="54"/>
  <c r="N33" i="54"/>
  <c r="N37" i="54"/>
  <c r="AH37" i="54" s="1"/>
  <c r="AQ37" i="54" s="1"/>
  <c r="O40" i="54"/>
  <c r="O26" i="54"/>
  <c r="N31" i="54"/>
  <c r="AH31" i="54" s="1"/>
  <c r="AQ31" i="54" s="1"/>
  <c r="O38" i="54"/>
  <c r="N34" i="54"/>
  <c r="AH34" i="54" s="1"/>
  <c r="AQ34" i="54" s="1"/>
  <c r="N35" i="54"/>
  <c r="AH35" i="54" s="1"/>
  <c r="AQ35" i="54" s="1"/>
  <c r="N29" i="54"/>
  <c r="AH29" i="54" s="1"/>
  <c r="AQ29" i="54" s="1"/>
  <c r="N27" i="54"/>
  <c r="AH27" i="54" s="1"/>
  <c r="AQ27" i="54" s="1"/>
  <c r="O27" i="54"/>
  <c r="O32" i="54"/>
  <c r="N41" i="54"/>
  <c r="AH41" i="54" s="1"/>
  <c r="AQ41" i="54" s="1"/>
  <c r="AH22" i="54"/>
  <c r="AQ22" i="54" s="1"/>
  <c r="E31" i="11"/>
  <c r="E208" i="11" s="1"/>
  <c r="E24" i="11"/>
  <c r="E201" i="11" s="1"/>
  <c r="E34" i="11"/>
  <c r="E211" i="11" s="1"/>
  <c r="E37" i="11"/>
  <c r="E214" i="11" s="1"/>
  <c r="E22" i="11"/>
  <c r="E199" i="11" s="1"/>
  <c r="E38" i="11"/>
  <c r="E215" i="11" s="1"/>
  <c r="E25" i="11"/>
  <c r="E202" i="11" s="1"/>
  <c r="E32" i="11"/>
  <c r="E209" i="11" s="1"/>
  <c r="E39" i="11"/>
  <c r="E216" i="11" s="1"/>
  <c r="E36" i="11"/>
  <c r="G39" i="63" s="1"/>
  <c r="E35" i="11"/>
  <c r="E212" i="11" s="1"/>
  <c r="E30" i="11"/>
  <c r="G33" i="63" s="1"/>
  <c r="E41" i="11"/>
  <c r="E218" i="11" s="1"/>
  <c r="E40" i="11"/>
  <c r="E217" i="11" s="1"/>
  <c r="E28" i="11"/>
  <c r="E205" i="11" s="1"/>
  <c r="E27" i="11"/>
  <c r="E204" i="11" s="1"/>
  <c r="E29" i="11"/>
  <c r="E206" i="11" s="1"/>
  <c r="E33" i="11"/>
  <c r="E210" i="11" s="1"/>
  <c r="E26" i="11"/>
  <c r="E203" i="11" s="1"/>
  <c r="X199" i="47"/>
  <c r="G199" i="47" s="1"/>
  <c r="H204" i="72" s="1"/>
  <c r="W199" i="47"/>
  <c r="F199" i="47" s="1"/>
  <c r="X202" i="47"/>
  <c r="G202" i="47" s="1"/>
  <c r="H207" i="72" s="1"/>
  <c r="W202" i="47"/>
  <c r="F202" i="47" s="1"/>
  <c r="X211" i="47"/>
  <c r="G211" i="47" s="1"/>
  <c r="H216" i="72" s="1"/>
  <c r="W211" i="47"/>
  <c r="X216" i="47"/>
  <c r="G216" i="47" s="1"/>
  <c r="H221" i="72" s="1"/>
  <c r="W216" i="47"/>
  <c r="X207" i="47"/>
  <c r="G207" i="47" s="1"/>
  <c r="H212" i="72" s="1"/>
  <c r="W207" i="47"/>
  <c r="X217" i="47"/>
  <c r="G217" i="47" s="1"/>
  <c r="H222" i="72" s="1"/>
  <c r="W217" i="47"/>
  <c r="X200" i="47"/>
  <c r="G200" i="47" s="1"/>
  <c r="H205" i="72" s="1"/>
  <c r="W200" i="47"/>
  <c r="F200" i="47" s="1"/>
  <c r="W212" i="47"/>
  <c r="X212" i="47"/>
  <c r="G212" i="47" s="1"/>
  <c r="H217" i="72" s="1"/>
  <c r="W214" i="47"/>
  <c r="X214" i="47"/>
  <c r="G214" i="47" s="1"/>
  <c r="H219" i="72" s="1"/>
  <c r="X210" i="47"/>
  <c r="G210" i="47" s="1"/>
  <c r="H215" i="72" s="1"/>
  <c r="W210" i="47"/>
  <c r="W204" i="47"/>
  <c r="X204" i="47"/>
  <c r="G204" i="47" s="1"/>
  <c r="H209" i="72" s="1"/>
  <c r="X215" i="47"/>
  <c r="G215" i="47" s="1"/>
  <c r="H220" i="72" s="1"/>
  <c r="W215" i="47"/>
  <c r="W206" i="47"/>
  <c r="X206" i="47"/>
  <c r="G206" i="47" s="1"/>
  <c r="H211" i="72" s="1"/>
  <c r="X213" i="47"/>
  <c r="G213" i="47" s="1"/>
  <c r="H218" i="72" s="1"/>
  <c r="W213" i="47"/>
  <c r="X218" i="47"/>
  <c r="G218" i="47" s="1"/>
  <c r="H223" i="72" s="1"/>
  <c r="W218" i="47"/>
  <c r="X205" i="47"/>
  <c r="G205" i="47" s="1"/>
  <c r="H210" i="72" s="1"/>
  <c r="W205" i="47"/>
  <c r="X208" i="47"/>
  <c r="G208" i="47" s="1"/>
  <c r="H213" i="72" s="1"/>
  <c r="W208" i="47"/>
  <c r="X201" i="47"/>
  <c r="G201" i="47" s="1"/>
  <c r="H206" i="72" s="1"/>
  <c r="W201" i="47"/>
  <c r="F201" i="47" s="1"/>
  <c r="X203" i="47"/>
  <c r="G203" i="47" s="1"/>
  <c r="H208" i="72" s="1"/>
  <c r="W203" i="47"/>
  <c r="X209" i="47"/>
  <c r="G209" i="47" s="1"/>
  <c r="H214" i="72" s="1"/>
  <c r="W209" i="47"/>
  <c r="X211" i="11"/>
  <c r="G211" i="11" s="1"/>
  <c r="W211" i="11"/>
  <c r="F211" i="11" s="1"/>
  <c r="W216" i="11"/>
  <c r="F216" i="11" s="1"/>
  <c r="X216" i="11"/>
  <c r="G216" i="11" s="1"/>
  <c r="W212" i="11"/>
  <c r="F212" i="11" s="1"/>
  <c r="X212" i="11"/>
  <c r="G212" i="11" s="1"/>
  <c r="W205" i="11"/>
  <c r="F205" i="11" s="1"/>
  <c r="X205" i="11"/>
  <c r="G205" i="11" s="1"/>
  <c r="W217" i="11"/>
  <c r="F217" i="11" s="1"/>
  <c r="X217" i="11"/>
  <c r="G217" i="11" s="1"/>
  <c r="W209" i="11"/>
  <c r="F209" i="11" s="1"/>
  <c r="X209" i="11"/>
  <c r="G209" i="11" s="1"/>
  <c r="X207" i="11"/>
  <c r="G207" i="11" s="1"/>
  <c r="W207" i="11"/>
  <c r="F207" i="11" s="1"/>
  <c r="W201" i="11"/>
  <c r="F201" i="11" s="1"/>
  <c r="X201" i="11"/>
  <c r="G201" i="11" s="1"/>
  <c r="X215" i="11"/>
  <c r="G215" i="11" s="1"/>
  <c r="W215" i="11"/>
  <c r="F215" i="11" s="1"/>
  <c r="W208" i="11"/>
  <c r="F208" i="11" s="1"/>
  <c r="X208" i="11"/>
  <c r="G208" i="11" s="1"/>
  <c r="W206" i="11"/>
  <c r="F206" i="11" s="1"/>
  <c r="X206" i="11"/>
  <c r="G206" i="11" s="1"/>
  <c r="X199" i="11"/>
  <c r="G199" i="11" s="1"/>
  <c r="W199" i="11"/>
  <c r="F199" i="11" s="1"/>
  <c r="W214" i="11"/>
  <c r="F214" i="11" s="1"/>
  <c r="X214" i="11"/>
  <c r="G214" i="11" s="1"/>
  <c r="W202" i="11"/>
  <c r="F202" i="11" s="1"/>
  <c r="X202" i="11"/>
  <c r="G202" i="11" s="1"/>
  <c r="W210" i="11"/>
  <c r="F210" i="11" s="1"/>
  <c r="X210" i="11"/>
  <c r="G210" i="11" s="1"/>
  <c r="X203" i="11"/>
  <c r="G203" i="11" s="1"/>
  <c r="W203" i="11"/>
  <c r="F203" i="11" s="1"/>
  <c r="W213" i="11"/>
  <c r="F213" i="11" s="1"/>
  <c r="X213" i="11"/>
  <c r="G213" i="11" s="1"/>
  <c r="W200" i="11"/>
  <c r="F200" i="11" s="1"/>
  <c r="X200" i="11"/>
  <c r="G200" i="11" s="1"/>
  <c r="W204" i="11"/>
  <c r="F204" i="11" s="1"/>
  <c r="X204" i="11"/>
  <c r="G204" i="11" s="1"/>
  <c r="W218" i="11"/>
  <c r="F218" i="11" s="1"/>
  <c r="X218" i="11"/>
  <c r="G218" i="11" s="1"/>
  <c r="AI26" i="54"/>
  <c r="AJ26" i="54" s="1"/>
  <c r="AE26" i="54"/>
  <c r="AF26" i="54" s="1"/>
  <c r="F26" i="72"/>
  <c r="L36" i="72"/>
  <c r="L44" i="72"/>
  <c r="L30" i="72"/>
  <c r="L35" i="72"/>
  <c r="L37" i="72"/>
  <c r="L38" i="72"/>
  <c r="L39" i="72"/>
  <c r="L43" i="72"/>
  <c r="L31" i="72"/>
  <c r="L40" i="72"/>
  <c r="L28" i="72"/>
  <c r="L32" i="72"/>
  <c r="L26" i="72"/>
  <c r="L29" i="72"/>
  <c r="L27" i="72"/>
  <c r="L42" i="72"/>
  <c r="L33" i="72"/>
  <c r="L34" i="72"/>
  <c r="L41" i="72"/>
  <c r="L25" i="72"/>
  <c r="F27" i="72"/>
  <c r="F28" i="72"/>
  <c r="F28" i="63"/>
  <c r="F27" i="63"/>
  <c r="F26" i="63"/>
  <c r="F32" i="63"/>
  <c r="N27" i="72"/>
  <c r="N44" i="72"/>
  <c r="N36" i="72"/>
  <c r="N28" i="72"/>
  <c r="N31" i="72"/>
  <c r="N38" i="72"/>
  <c r="N40" i="72"/>
  <c r="N41" i="72"/>
  <c r="N42" i="72"/>
  <c r="N32" i="72"/>
  <c r="N34" i="72"/>
  <c r="N37" i="72"/>
  <c r="N43" i="72"/>
  <c r="N26" i="72"/>
  <c r="N25" i="72"/>
  <c r="F25" i="72"/>
  <c r="AI33" i="47"/>
  <c r="AL33" i="47" s="1"/>
  <c r="AE33" i="47"/>
  <c r="AF33" i="47" s="1"/>
  <c r="G36" i="72"/>
  <c r="E210" i="47"/>
  <c r="G215" i="72" s="1"/>
  <c r="C205" i="72"/>
  <c r="BE200" i="47"/>
  <c r="L200" i="47" s="1"/>
  <c r="BB200" i="47"/>
  <c r="I200" i="47" s="1"/>
  <c r="J205" i="72" s="1"/>
  <c r="BD200" i="47"/>
  <c r="K200" i="47" s="1"/>
  <c r="BC200" i="47"/>
  <c r="Z200" i="47"/>
  <c r="N200" i="47" s="1"/>
  <c r="C216" i="72"/>
  <c r="BE211" i="47"/>
  <c r="L211" i="47" s="1"/>
  <c r="BB211" i="47"/>
  <c r="I211" i="47" s="1"/>
  <c r="J216" i="72" s="1"/>
  <c r="BC211" i="47"/>
  <c r="BD211" i="47"/>
  <c r="K211" i="47" s="1"/>
  <c r="Z211" i="47"/>
  <c r="N211" i="47" s="1"/>
  <c r="C221" i="72"/>
  <c r="BE216" i="47"/>
  <c r="L216" i="47" s="1"/>
  <c r="BB216" i="47"/>
  <c r="I216" i="47" s="1"/>
  <c r="J221" i="72" s="1"/>
  <c r="BD216" i="47"/>
  <c r="K216" i="47" s="1"/>
  <c r="BC216" i="47"/>
  <c r="Z216" i="47"/>
  <c r="N216" i="47" s="1"/>
  <c r="C222" i="72"/>
  <c r="BE217" i="47"/>
  <c r="L217" i="47" s="1"/>
  <c r="BB217" i="47"/>
  <c r="I217" i="47" s="1"/>
  <c r="J222" i="72" s="1"/>
  <c r="BD217" i="47"/>
  <c r="K217" i="47" s="1"/>
  <c r="Z217" i="47"/>
  <c r="N217" i="47" s="1"/>
  <c r="BC217" i="47"/>
  <c r="C204" i="72"/>
  <c r="BE199" i="47"/>
  <c r="L199" i="47" s="1"/>
  <c r="BB199" i="47"/>
  <c r="I199" i="47" s="1"/>
  <c r="J204" i="72" s="1"/>
  <c r="BC199" i="47"/>
  <c r="Z199" i="47"/>
  <c r="N199" i="47" s="1"/>
  <c r="BD199" i="47"/>
  <c r="K199" i="47" s="1"/>
  <c r="C220" i="72"/>
  <c r="BE215" i="47"/>
  <c r="L215" i="47" s="1"/>
  <c r="BB215" i="47"/>
  <c r="I215" i="47" s="1"/>
  <c r="J220" i="72" s="1"/>
  <c r="BC215" i="47"/>
  <c r="Z215" i="47"/>
  <c r="N215" i="47" s="1"/>
  <c r="BD215" i="47"/>
  <c r="K215" i="47" s="1"/>
  <c r="C223" i="72"/>
  <c r="BE218" i="47"/>
  <c r="L218" i="47" s="1"/>
  <c r="BB218" i="47"/>
  <c r="I218" i="47" s="1"/>
  <c r="J223" i="72" s="1"/>
  <c r="BD218" i="47"/>
  <c r="K218" i="47" s="1"/>
  <c r="BC218" i="47"/>
  <c r="Z218" i="47"/>
  <c r="N218" i="47" s="1"/>
  <c r="C210" i="72"/>
  <c r="BE205" i="47"/>
  <c r="L205" i="47" s="1"/>
  <c r="BB205" i="47"/>
  <c r="I205" i="47" s="1"/>
  <c r="J210" i="72" s="1"/>
  <c r="BD205" i="47"/>
  <c r="K205" i="47" s="1"/>
  <c r="BC205" i="47"/>
  <c r="Z205" i="47"/>
  <c r="N205" i="47" s="1"/>
  <c r="C213" i="72"/>
  <c r="BE208" i="47"/>
  <c r="L208" i="47" s="1"/>
  <c r="BB208" i="47"/>
  <c r="I208" i="47" s="1"/>
  <c r="J213" i="72" s="1"/>
  <c r="BD208" i="47"/>
  <c r="K208" i="47" s="1"/>
  <c r="BC208" i="47"/>
  <c r="Z208" i="47"/>
  <c r="N208" i="47" s="1"/>
  <c r="C218" i="72"/>
  <c r="BE213" i="47"/>
  <c r="L213" i="47" s="1"/>
  <c r="BB213" i="47"/>
  <c r="I213" i="47" s="1"/>
  <c r="J218" i="72" s="1"/>
  <c r="BD213" i="47"/>
  <c r="K213" i="47" s="1"/>
  <c r="BC213" i="47"/>
  <c r="Z213" i="47"/>
  <c r="N213" i="47" s="1"/>
  <c r="C219" i="72"/>
  <c r="BE214" i="47"/>
  <c r="L214" i="47" s="1"/>
  <c r="BB214" i="47"/>
  <c r="I214" i="47" s="1"/>
  <c r="J219" i="72" s="1"/>
  <c r="BD214" i="47"/>
  <c r="K214" i="47" s="1"/>
  <c r="BC214" i="47"/>
  <c r="Z214" i="47"/>
  <c r="N214" i="47" s="1"/>
  <c r="C209" i="72"/>
  <c r="BE204" i="47"/>
  <c r="L204" i="47" s="1"/>
  <c r="BB204" i="47"/>
  <c r="I204" i="47" s="1"/>
  <c r="J209" i="72" s="1"/>
  <c r="BD204" i="47"/>
  <c r="K204" i="47" s="1"/>
  <c r="BC204" i="47"/>
  <c r="Z204" i="47"/>
  <c r="N204" i="47" s="1"/>
  <c r="C212" i="72"/>
  <c r="BE207" i="47"/>
  <c r="L207" i="47" s="1"/>
  <c r="BB207" i="47"/>
  <c r="I207" i="47" s="1"/>
  <c r="J212" i="72" s="1"/>
  <c r="BC207" i="47"/>
  <c r="BD207" i="47"/>
  <c r="K207" i="47" s="1"/>
  <c r="Z207" i="47"/>
  <c r="N207" i="47" s="1"/>
  <c r="C215" i="72"/>
  <c r="BE210" i="47"/>
  <c r="L210" i="47" s="1"/>
  <c r="BB210" i="47"/>
  <c r="I210" i="47" s="1"/>
  <c r="J215" i="72" s="1"/>
  <c r="BD210" i="47"/>
  <c r="K210" i="47" s="1"/>
  <c r="BC210" i="47"/>
  <c r="Z210" i="47"/>
  <c r="C211" i="72"/>
  <c r="BE206" i="47"/>
  <c r="L206" i="47" s="1"/>
  <c r="BB206" i="47"/>
  <c r="I206" i="47" s="1"/>
  <c r="J211" i="72" s="1"/>
  <c r="BD206" i="47"/>
  <c r="K206" i="47" s="1"/>
  <c r="BC206" i="47"/>
  <c r="Z206" i="47"/>
  <c r="N206" i="47" s="1"/>
  <c r="C217" i="72"/>
  <c r="BE212" i="47"/>
  <c r="L212" i="47" s="1"/>
  <c r="BB212" i="47"/>
  <c r="I212" i="47" s="1"/>
  <c r="J217" i="72" s="1"/>
  <c r="BD212" i="47"/>
  <c r="K212" i="47" s="1"/>
  <c r="BC212" i="47"/>
  <c r="Z212" i="47"/>
  <c r="N212" i="47" s="1"/>
  <c r="C207" i="72"/>
  <c r="BE202" i="47"/>
  <c r="L202" i="47" s="1"/>
  <c r="BB202" i="47"/>
  <c r="I202" i="47" s="1"/>
  <c r="J207" i="72" s="1"/>
  <c r="BD202" i="47"/>
  <c r="K202" i="47" s="1"/>
  <c r="BC202" i="47"/>
  <c r="Z202" i="47"/>
  <c r="N202" i="47" s="1"/>
  <c r="C206" i="72"/>
  <c r="BE201" i="47"/>
  <c r="L201" i="47" s="1"/>
  <c r="BB201" i="47"/>
  <c r="I201" i="47" s="1"/>
  <c r="J206" i="72" s="1"/>
  <c r="BD201" i="47"/>
  <c r="K201" i="47" s="1"/>
  <c r="Z201" i="47"/>
  <c r="N201" i="47" s="1"/>
  <c r="BC201" i="47"/>
  <c r="C208" i="72"/>
  <c r="BE203" i="47"/>
  <c r="L203" i="47" s="1"/>
  <c r="BB203" i="47"/>
  <c r="I203" i="47" s="1"/>
  <c r="J208" i="72" s="1"/>
  <c r="BC203" i="47"/>
  <c r="BD203" i="47"/>
  <c r="K203" i="47" s="1"/>
  <c r="Z203" i="47"/>
  <c r="N203" i="47" s="1"/>
  <c r="C214" i="72"/>
  <c r="BE209" i="47"/>
  <c r="L209" i="47" s="1"/>
  <c r="BB209" i="47"/>
  <c r="I209" i="47" s="1"/>
  <c r="J214" i="72" s="1"/>
  <c r="BD209" i="47"/>
  <c r="K209" i="47" s="1"/>
  <c r="Z209" i="47"/>
  <c r="N209" i="47" s="1"/>
  <c r="BC209" i="47"/>
  <c r="BD212" i="11"/>
  <c r="K212" i="11" s="1"/>
  <c r="BB212" i="11"/>
  <c r="I212" i="11" s="1"/>
  <c r="BE212" i="11"/>
  <c r="L212" i="11" s="1"/>
  <c r="Z212" i="11"/>
  <c r="N212" i="11" s="1"/>
  <c r="BC212" i="11"/>
  <c r="J212" i="11" s="1"/>
  <c r="BD205" i="11"/>
  <c r="K205" i="11" s="1"/>
  <c r="BB205" i="11"/>
  <c r="I205" i="11" s="1"/>
  <c r="BC205" i="11"/>
  <c r="J205" i="11" s="1"/>
  <c r="Z205" i="11"/>
  <c r="N205" i="11" s="1"/>
  <c r="BE205" i="11"/>
  <c r="L205" i="11" s="1"/>
  <c r="BD211" i="11"/>
  <c r="K211" i="11" s="1"/>
  <c r="BE211" i="11"/>
  <c r="L211" i="11" s="1"/>
  <c r="BB211" i="11"/>
  <c r="I211" i="11" s="1"/>
  <c r="BC211" i="11"/>
  <c r="J211" i="11" s="1"/>
  <c r="Z211" i="11"/>
  <c r="N211" i="11" s="1"/>
  <c r="BD216" i="11"/>
  <c r="K216" i="11" s="1"/>
  <c r="BB216" i="11"/>
  <c r="I216" i="11" s="1"/>
  <c r="BC216" i="11"/>
  <c r="J216" i="11" s="1"/>
  <c r="BE216" i="11"/>
  <c r="L216" i="11" s="1"/>
  <c r="Z216" i="11"/>
  <c r="N216" i="11" s="1"/>
  <c r="BD217" i="11"/>
  <c r="K217" i="11" s="1"/>
  <c r="BC217" i="11"/>
  <c r="J217" i="11" s="1"/>
  <c r="BB217" i="11"/>
  <c r="I217" i="11" s="1"/>
  <c r="Z217" i="11"/>
  <c r="N217" i="11" s="1"/>
  <c r="BE217" i="11"/>
  <c r="L217" i="11" s="1"/>
  <c r="BD214" i="11"/>
  <c r="K214" i="11" s="1"/>
  <c r="BE214" i="11"/>
  <c r="L214" i="11" s="1"/>
  <c r="BC214" i="11"/>
  <c r="J214" i="11" s="1"/>
  <c r="Z214" i="11"/>
  <c r="N214" i="11" s="1"/>
  <c r="BB214" i="11"/>
  <c r="I214" i="11" s="1"/>
  <c r="BD202" i="11"/>
  <c r="K202" i="11" s="1"/>
  <c r="BC202" i="11"/>
  <c r="J202" i="11" s="1"/>
  <c r="BE202" i="11"/>
  <c r="L202" i="11" s="1"/>
  <c r="Z202" i="11"/>
  <c r="N202" i="11" s="1"/>
  <c r="BB202" i="11"/>
  <c r="I202" i="11" s="1"/>
  <c r="BD210" i="11"/>
  <c r="K210" i="11" s="1"/>
  <c r="BE210" i="11"/>
  <c r="L210" i="11" s="1"/>
  <c r="BC210" i="11"/>
  <c r="J210" i="11" s="1"/>
  <c r="BB210" i="11"/>
  <c r="I210" i="11" s="1"/>
  <c r="Z210" i="11"/>
  <c r="N210" i="11" s="1"/>
  <c r="BD203" i="11"/>
  <c r="K203" i="11" s="1"/>
  <c r="BE203" i="11"/>
  <c r="L203" i="11" s="1"/>
  <c r="BB203" i="11"/>
  <c r="I203" i="11" s="1"/>
  <c r="BC203" i="11"/>
  <c r="J203" i="11" s="1"/>
  <c r="Z203" i="11"/>
  <c r="N203" i="11" s="1"/>
  <c r="BD201" i="11"/>
  <c r="K201" i="11" s="1"/>
  <c r="BB201" i="11"/>
  <c r="I201" i="11" s="1"/>
  <c r="BC201" i="11"/>
  <c r="J201" i="11" s="1"/>
  <c r="BE201" i="11"/>
  <c r="L201" i="11" s="1"/>
  <c r="Z201" i="11"/>
  <c r="N201" i="11" s="1"/>
  <c r="BD215" i="11"/>
  <c r="K215" i="11" s="1"/>
  <c r="BE215" i="11"/>
  <c r="L215" i="11" s="1"/>
  <c r="BC215" i="11"/>
  <c r="J215" i="11" s="1"/>
  <c r="BB215" i="11"/>
  <c r="I215" i="11" s="1"/>
  <c r="Z215" i="11"/>
  <c r="N215" i="11" s="1"/>
  <c r="BD208" i="11"/>
  <c r="K208" i="11" s="1"/>
  <c r="BC208" i="11"/>
  <c r="J208" i="11" s="1"/>
  <c r="BE208" i="11"/>
  <c r="L208" i="11" s="1"/>
  <c r="BB208" i="11"/>
  <c r="I208" i="11" s="1"/>
  <c r="Z208" i="11"/>
  <c r="N208" i="11" s="1"/>
  <c r="BD206" i="11"/>
  <c r="K206" i="11" s="1"/>
  <c r="BC206" i="11"/>
  <c r="J206" i="11" s="1"/>
  <c r="BE206" i="11"/>
  <c r="L206" i="11" s="1"/>
  <c r="BB206" i="11"/>
  <c r="I206" i="11" s="1"/>
  <c r="Z206" i="11"/>
  <c r="N206" i="11" s="1"/>
  <c r="BD199" i="11"/>
  <c r="K199" i="11" s="1"/>
  <c r="BE199" i="11"/>
  <c r="L199" i="11" s="1"/>
  <c r="BC199" i="11"/>
  <c r="J199" i="11" s="1"/>
  <c r="Z199" i="11"/>
  <c r="N199" i="11" s="1"/>
  <c r="BB199" i="11"/>
  <c r="I199" i="11" s="1"/>
  <c r="BD207" i="11"/>
  <c r="K207" i="11" s="1"/>
  <c r="BE207" i="11"/>
  <c r="L207" i="11" s="1"/>
  <c r="BB207" i="11"/>
  <c r="I207" i="11" s="1"/>
  <c r="BC207" i="11"/>
  <c r="J207" i="11" s="1"/>
  <c r="Z207" i="11"/>
  <c r="N207" i="11" s="1"/>
  <c r="BD209" i="11"/>
  <c r="K209" i="11" s="1"/>
  <c r="BB209" i="11"/>
  <c r="I209" i="11" s="1"/>
  <c r="Z209" i="11"/>
  <c r="N209" i="11" s="1"/>
  <c r="BE209" i="11"/>
  <c r="L209" i="11" s="1"/>
  <c r="BC209" i="11"/>
  <c r="J209" i="11" s="1"/>
  <c r="BD213" i="11"/>
  <c r="K213" i="11" s="1"/>
  <c r="BC213" i="11"/>
  <c r="J213" i="11" s="1"/>
  <c r="BB213" i="11"/>
  <c r="I213" i="11" s="1"/>
  <c r="BE213" i="11"/>
  <c r="L213" i="11" s="1"/>
  <c r="Z213" i="11"/>
  <c r="N213" i="11" s="1"/>
  <c r="BD200" i="11"/>
  <c r="K200" i="11" s="1"/>
  <c r="BB200" i="11"/>
  <c r="I200" i="11" s="1"/>
  <c r="BC200" i="11"/>
  <c r="J200" i="11" s="1"/>
  <c r="BE200" i="11"/>
  <c r="L200" i="11" s="1"/>
  <c r="Z200" i="11"/>
  <c r="N200" i="11" s="1"/>
  <c r="BD204" i="11"/>
  <c r="K204" i="11" s="1"/>
  <c r="BE204" i="11"/>
  <c r="L204" i="11" s="1"/>
  <c r="BB204" i="11"/>
  <c r="I204" i="11" s="1"/>
  <c r="Z204" i="11"/>
  <c r="N204" i="11" s="1"/>
  <c r="BC204" i="11"/>
  <c r="J204" i="11" s="1"/>
  <c r="BD218" i="11"/>
  <c r="K218" i="11" s="1"/>
  <c r="BE218" i="11"/>
  <c r="L218" i="11" s="1"/>
  <c r="BC218" i="11"/>
  <c r="J218" i="11" s="1"/>
  <c r="BB218" i="11"/>
  <c r="I218" i="11" s="1"/>
  <c r="Z218" i="11"/>
  <c r="N218" i="11" s="1"/>
  <c r="D36" i="72"/>
  <c r="AB210" i="47"/>
  <c r="AC210" i="47" s="1"/>
  <c r="A36" i="72"/>
  <c r="N33" i="72"/>
  <c r="AH35" i="47"/>
  <c r="AQ35" i="47" s="1"/>
  <c r="E38" i="72"/>
  <c r="E205" i="47"/>
  <c r="G210" i="72" s="1"/>
  <c r="G31" i="72"/>
  <c r="AH38" i="47"/>
  <c r="AQ38" i="47" s="1"/>
  <c r="E41" i="72"/>
  <c r="D218" i="47"/>
  <c r="D223" i="72" s="1"/>
  <c r="D44" i="72"/>
  <c r="D208" i="47"/>
  <c r="D213" i="72" s="1"/>
  <c r="D34" i="72"/>
  <c r="D203" i="47"/>
  <c r="D208" i="72" s="1"/>
  <c r="D29" i="72"/>
  <c r="D215" i="47"/>
  <c r="D220" i="72" s="1"/>
  <c r="D41" i="72"/>
  <c r="N39" i="72"/>
  <c r="E217" i="47"/>
  <c r="G222" i="72" s="1"/>
  <c r="G43" i="72"/>
  <c r="E212" i="47"/>
  <c r="G217" i="72" s="1"/>
  <c r="G38" i="72"/>
  <c r="E216" i="47"/>
  <c r="G221" i="72" s="1"/>
  <c r="G42" i="72"/>
  <c r="AH36" i="47"/>
  <c r="AQ36" i="47" s="1"/>
  <c r="E39" i="72"/>
  <c r="E215" i="47"/>
  <c r="G220" i="72" s="1"/>
  <c r="G41" i="72"/>
  <c r="AH27" i="47"/>
  <c r="AQ27" i="47" s="1"/>
  <c r="E30" i="72"/>
  <c r="E200" i="47"/>
  <c r="G205" i="72" s="1"/>
  <c r="G26" i="72"/>
  <c r="E199" i="47"/>
  <c r="G204" i="72" s="1"/>
  <c r="G25" i="72"/>
  <c r="AH26" i="47"/>
  <c r="AQ26" i="47" s="1"/>
  <c r="E29" i="72"/>
  <c r="E214" i="47"/>
  <c r="G219" i="72" s="1"/>
  <c r="G40" i="72"/>
  <c r="D204" i="47"/>
  <c r="D209" i="72" s="1"/>
  <c r="D30" i="72"/>
  <c r="D200" i="47"/>
  <c r="D205" i="72" s="1"/>
  <c r="D26" i="72"/>
  <c r="D211" i="47"/>
  <c r="D216" i="72" s="1"/>
  <c r="D37" i="72"/>
  <c r="D213" i="47"/>
  <c r="D218" i="72" s="1"/>
  <c r="D39" i="72"/>
  <c r="D202" i="47"/>
  <c r="D207" i="72" s="1"/>
  <c r="D28" i="72"/>
  <c r="D209" i="47"/>
  <c r="D214" i="72" s="1"/>
  <c r="D35" i="72"/>
  <c r="D214" i="47"/>
  <c r="D219" i="72" s="1"/>
  <c r="D40" i="72"/>
  <c r="N35" i="72"/>
  <c r="AH25" i="47"/>
  <c r="AQ25" i="47" s="1"/>
  <c r="E28" i="72"/>
  <c r="E213" i="47"/>
  <c r="G218" i="72" s="1"/>
  <c r="G39" i="72"/>
  <c r="AH28" i="47"/>
  <c r="AQ28" i="47" s="1"/>
  <c r="E31" i="72"/>
  <c r="AH32" i="47"/>
  <c r="AQ32" i="47" s="1"/>
  <c r="E35" i="72"/>
  <c r="AH24" i="47"/>
  <c r="AQ24" i="47" s="1"/>
  <c r="E27" i="72"/>
  <c r="D206" i="47"/>
  <c r="D211" i="72" s="1"/>
  <c r="D32" i="72"/>
  <c r="D212" i="47"/>
  <c r="D217" i="72" s="1"/>
  <c r="D38" i="72"/>
  <c r="D216" i="47"/>
  <c r="D221" i="72" s="1"/>
  <c r="D42" i="72"/>
  <c r="AH40" i="47"/>
  <c r="AQ40" i="47" s="1"/>
  <c r="E43" i="72"/>
  <c r="E202" i="47"/>
  <c r="G207" i="72" s="1"/>
  <c r="G28" i="72"/>
  <c r="E218" i="47"/>
  <c r="G223" i="72" s="1"/>
  <c r="G44" i="72"/>
  <c r="AH23" i="47"/>
  <c r="AQ23" i="47" s="1"/>
  <c r="E26" i="72"/>
  <c r="E211" i="47"/>
  <c r="G216" i="72" s="1"/>
  <c r="G37" i="72"/>
  <c r="AH30" i="47"/>
  <c r="AQ30" i="47" s="1"/>
  <c r="E33" i="72"/>
  <c r="N30" i="72"/>
  <c r="N29" i="72"/>
  <c r="AH41" i="47"/>
  <c r="AQ41" i="47" s="1"/>
  <c r="E44" i="72"/>
  <c r="E206" i="47"/>
  <c r="G211" i="72" s="1"/>
  <c r="G32" i="72"/>
  <c r="AH29" i="47"/>
  <c r="AQ29" i="47" s="1"/>
  <c r="E32" i="72"/>
  <c r="E209" i="47"/>
  <c r="G214" i="72" s="1"/>
  <c r="G35" i="72"/>
  <c r="E208" i="47"/>
  <c r="G213" i="72" s="1"/>
  <c r="G34" i="72"/>
  <c r="E204" i="47"/>
  <c r="G209" i="72" s="1"/>
  <c r="G30" i="72"/>
  <c r="AH37" i="47"/>
  <c r="AQ37" i="47" s="1"/>
  <c r="E40" i="72"/>
  <c r="E207" i="47"/>
  <c r="G212" i="72" s="1"/>
  <c r="G33" i="72"/>
  <c r="D205" i="47"/>
  <c r="D210" i="72" s="1"/>
  <c r="D31" i="72"/>
  <c r="D201" i="47"/>
  <c r="D206" i="72" s="1"/>
  <c r="D27" i="72"/>
  <c r="D199" i="47"/>
  <c r="D204" i="72" s="1"/>
  <c r="D25" i="72"/>
  <c r="D207" i="47"/>
  <c r="D212" i="72" s="1"/>
  <c r="D33" i="72"/>
  <c r="D217" i="47"/>
  <c r="D222" i="72" s="1"/>
  <c r="D43" i="72"/>
  <c r="AH39" i="47"/>
  <c r="AQ39" i="47" s="1"/>
  <c r="E42" i="72"/>
  <c r="AH31" i="47"/>
  <c r="AQ31" i="47" s="1"/>
  <c r="E34" i="72"/>
  <c r="AH22" i="47"/>
  <c r="AQ22" i="47" s="1"/>
  <c r="E25" i="72"/>
  <c r="E203" i="47"/>
  <c r="G208" i="72" s="1"/>
  <c r="G29" i="72"/>
  <c r="AH34" i="47"/>
  <c r="AQ34" i="47" s="1"/>
  <c r="E37" i="72"/>
  <c r="E201" i="47"/>
  <c r="G206" i="72" s="1"/>
  <c r="G27" i="72"/>
  <c r="A206" i="47"/>
  <c r="A211" i="72" s="1"/>
  <c r="A32" i="72"/>
  <c r="A200" i="47"/>
  <c r="A205" i="72" s="1"/>
  <c r="A26" i="72"/>
  <c r="A212" i="47"/>
  <c r="A217" i="72" s="1"/>
  <c r="A38" i="72"/>
  <c r="A216" i="47"/>
  <c r="A221" i="72" s="1"/>
  <c r="A42" i="72"/>
  <c r="A202" i="47"/>
  <c r="A207" i="72" s="1"/>
  <c r="A28" i="72"/>
  <c r="A217" i="47"/>
  <c r="A222" i="72" s="1"/>
  <c r="A43" i="72"/>
  <c r="A218" i="47"/>
  <c r="A223" i="72" s="1"/>
  <c r="A44" i="72"/>
  <c r="A213" i="47"/>
  <c r="A218" i="72" s="1"/>
  <c r="A39" i="72"/>
  <c r="A215" i="47"/>
  <c r="A220" i="72" s="1"/>
  <c r="A41" i="72"/>
  <c r="A208" i="47"/>
  <c r="A213" i="72" s="1"/>
  <c r="A34" i="72"/>
  <c r="A201" i="47"/>
  <c r="A206" i="72" s="1"/>
  <c r="A27" i="72"/>
  <c r="A203" i="47"/>
  <c r="A208" i="72" s="1"/>
  <c r="A29" i="72"/>
  <c r="A205" i="47"/>
  <c r="A210" i="72" s="1"/>
  <c r="A31" i="72"/>
  <c r="A214" i="47"/>
  <c r="A219" i="72" s="1"/>
  <c r="A40" i="72"/>
  <c r="A204" i="47"/>
  <c r="A209" i="72" s="1"/>
  <c r="A30" i="72"/>
  <c r="A211" i="47"/>
  <c r="A216" i="72" s="1"/>
  <c r="A37" i="72"/>
  <c r="A207" i="47"/>
  <c r="A212" i="72" s="1"/>
  <c r="A33" i="72"/>
  <c r="A209" i="47"/>
  <c r="A214" i="72" s="1"/>
  <c r="A35" i="72"/>
  <c r="H37" i="63"/>
  <c r="K36" i="63"/>
  <c r="K31" i="63"/>
  <c r="H40" i="63"/>
  <c r="H38" i="63"/>
  <c r="K35" i="63"/>
  <c r="J26" i="63"/>
  <c r="L41" i="63"/>
  <c r="F43" i="63"/>
  <c r="H34" i="63"/>
  <c r="J34" i="63"/>
  <c r="K29" i="63"/>
  <c r="L30" i="63"/>
  <c r="F33" i="63"/>
  <c r="H33" i="63"/>
  <c r="K33" i="63"/>
  <c r="C212" i="63"/>
  <c r="C218" i="63"/>
  <c r="C206" i="63"/>
  <c r="C220" i="63"/>
  <c r="C213" i="63"/>
  <c r="C211" i="63"/>
  <c r="C204" i="63"/>
  <c r="F42" i="63"/>
  <c r="F44" i="63"/>
  <c r="K44" i="63"/>
  <c r="J39" i="63"/>
  <c r="J36" i="63"/>
  <c r="L31" i="63"/>
  <c r="J31" i="63"/>
  <c r="F38" i="63"/>
  <c r="J28" i="63"/>
  <c r="J35" i="63"/>
  <c r="L32" i="63"/>
  <c r="K26" i="63"/>
  <c r="H27" i="63"/>
  <c r="J27" i="63"/>
  <c r="F41" i="63"/>
  <c r="J41" i="63"/>
  <c r="H43" i="63"/>
  <c r="J43" i="63"/>
  <c r="F34" i="63"/>
  <c r="F29" i="63"/>
  <c r="J29" i="63"/>
  <c r="K30" i="63"/>
  <c r="H25" i="63"/>
  <c r="J25" i="63"/>
  <c r="C207" i="63"/>
  <c r="C208" i="63"/>
  <c r="C214" i="63"/>
  <c r="K42" i="63"/>
  <c r="J44" i="63"/>
  <c r="L40" i="63"/>
  <c r="K38" i="63"/>
  <c r="C217" i="63"/>
  <c r="C210" i="63"/>
  <c r="C205" i="63"/>
  <c r="C209" i="63"/>
  <c r="L44" i="63"/>
  <c r="L39" i="63"/>
  <c r="K39" i="63"/>
  <c r="L37" i="63"/>
  <c r="F36" i="63"/>
  <c r="F40" i="63"/>
  <c r="J40" i="63"/>
  <c r="L38" i="63"/>
  <c r="H28" i="63"/>
  <c r="H35" i="63"/>
  <c r="K32" i="63"/>
  <c r="L26" i="63"/>
  <c r="H41" i="63"/>
  <c r="K41" i="63"/>
  <c r="K43" i="63"/>
  <c r="L34" i="63"/>
  <c r="L29" i="63"/>
  <c r="H29" i="63"/>
  <c r="H30" i="63"/>
  <c r="J30" i="63"/>
  <c r="L25" i="63"/>
  <c r="E33" i="63"/>
  <c r="L33" i="63"/>
  <c r="C219" i="63"/>
  <c r="C215" i="63"/>
  <c r="C222" i="63"/>
  <c r="A25" i="63"/>
  <c r="L42" i="63"/>
  <c r="F39" i="63"/>
  <c r="K37" i="63"/>
  <c r="K28" i="63"/>
  <c r="H32" i="63"/>
  <c r="K27" i="63"/>
  <c r="C216" i="63"/>
  <c r="C221" i="63"/>
  <c r="H42" i="63"/>
  <c r="J42" i="63"/>
  <c r="H44" i="63"/>
  <c r="H39" i="63"/>
  <c r="F37" i="63"/>
  <c r="J37" i="63"/>
  <c r="H36" i="63"/>
  <c r="L36" i="63"/>
  <c r="H31" i="63"/>
  <c r="K40" i="63"/>
  <c r="J38" i="63"/>
  <c r="L28" i="63"/>
  <c r="F35" i="63"/>
  <c r="L35" i="63"/>
  <c r="J32" i="63"/>
  <c r="H26" i="63"/>
  <c r="L27" i="63"/>
  <c r="L43" i="63"/>
  <c r="K34" i="63"/>
  <c r="K25" i="63"/>
  <c r="J33" i="63"/>
  <c r="A207" i="11"/>
  <c r="D207" i="11"/>
  <c r="AB207" i="11"/>
  <c r="AC207" i="11" s="1"/>
  <c r="AI29" i="54"/>
  <c r="AI40" i="54"/>
  <c r="AJ40" i="54" s="1"/>
  <c r="AI25" i="54"/>
  <c r="AL25" i="54" s="1"/>
  <c r="AE28" i="54"/>
  <c r="AF28" i="54" s="1"/>
  <c r="AE24" i="54"/>
  <c r="AF24" i="54" s="1"/>
  <c r="AE35" i="54"/>
  <c r="AF35" i="54" s="1"/>
  <c r="AI22" i="54"/>
  <c r="AL22" i="54" s="1"/>
  <c r="AI27" i="54"/>
  <c r="AL27" i="54" s="1"/>
  <c r="D33" i="63"/>
  <c r="A33" i="63"/>
  <c r="AH30" i="11"/>
  <c r="AQ30" i="11" s="1"/>
  <c r="AI30" i="11"/>
  <c r="AL30" i="11" s="1"/>
  <c r="AE30" i="11"/>
  <c r="AF30" i="11" s="1"/>
  <c r="N33" i="63"/>
  <c r="N29" i="63"/>
  <c r="N41" i="63"/>
  <c r="N34" i="63"/>
  <c r="N31" i="63"/>
  <c r="N43" i="63"/>
  <c r="N26" i="63"/>
  <c r="N37" i="63"/>
  <c r="N38" i="63"/>
  <c r="N39" i="63"/>
  <c r="N27" i="63"/>
  <c r="N32" i="63"/>
  <c r="N25" i="63"/>
  <c r="N40" i="63"/>
  <c r="N28" i="63"/>
  <c r="N36" i="63"/>
  <c r="N35" i="63"/>
  <c r="D203" i="11"/>
  <c r="D29" i="63"/>
  <c r="D208" i="11"/>
  <c r="D34" i="63"/>
  <c r="D206" i="11"/>
  <c r="D32" i="63"/>
  <c r="AE39" i="11"/>
  <c r="AF39" i="11" s="1"/>
  <c r="N42" i="63"/>
  <c r="AE41" i="11"/>
  <c r="AF41" i="11" s="1"/>
  <c r="N44" i="63"/>
  <c r="AH41" i="11"/>
  <c r="AQ41" i="11" s="1"/>
  <c r="E44" i="63"/>
  <c r="AH23" i="11"/>
  <c r="AQ23" i="11" s="1"/>
  <c r="E26" i="63"/>
  <c r="D202" i="11"/>
  <c r="D28" i="63"/>
  <c r="D210" i="11"/>
  <c r="D36" i="63"/>
  <c r="D200" i="11"/>
  <c r="D26" i="63"/>
  <c r="AH39" i="11"/>
  <c r="AQ39" i="11" s="1"/>
  <c r="E42" i="63"/>
  <c r="AH36" i="11"/>
  <c r="AQ36" i="11" s="1"/>
  <c r="E39" i="63"/>
  <c r="AH34" i="11"/>
  <c r="AQ34" i="11" s="1"/>
  <c r="E37" i="63"/>
  <c r="AH37" i="11"/>
  <c r="AQ37" i="11" s="1"/>
  <c r="E40" i="63"/>
  <c r="AH35" i="11"/>
  <c r="AQ35" i="11" s="1"/>
  <c r="E38" i="63"/>
  <c r="AH25" i="11"/>
  <c r="AQ25" i="11" s="1"/>
  <c r="E28" i="63"/>
  <c r="AH32" i="11"/>
  <c r="AQ32" i="11" s="1"/>
  <c r="E35" i="63"/>
  <c r="AH29" i="11"/>
  <c r="AQ29" i="11" s="1"/>
  <c r="E32" i="63"/>
  <c r="AH31" i="11"/>
  <c r="AQ31" i="11" s="1"/>
  <c r="E34" i="63"/>
  <c r="AH22" i="11"/>
  <c r="AQ22" i="11" s="1"/>
  <c r="E25" i="63"/>
  <c r="D214" i="11"/>
  <c r="D40" i="63"/>
  <c r="D212" i="11"/>
  <c r="D38" i="63"/>
  <c r="D211" i="11"/>
  <c r="D37" i="63"/>
  <c r="D218" i="11"/>
  <c r="D44" i="63"/>
  <c r="AH33" i="11"/>
  <c r="AQ33" i="11" s="1"/>
  <c r="E36" i="63"/>
  <c r="AH28" i="11"/>
  <c r="AQ28" i="11" s="1"/>
  <c r="E31" i="63"/>
  <c r="AH24" i="11"/>
  <c r="AQ24" i="11" s="1"/>
  <c r="E27" i="63"/>
  <c r="AH40" i="11"/>
  <c r="AQ40" i="11" s="1"/>
  <c r="E43" i="63"/>
  <c r="D205" i="11"/>
  <c r="D31" i="63"/>
  <c r="D201" i="11"/>
  <c r="D27" i="63"/>
  <c r="D199" i="11"/>
  <c r="D25" i="63"/>
  <c r="AI27" i="11"/>
  <c r="AJ27" i="11" s="1"/>
  <c r="N30" i="63"/>
  <c r="D213" i="11"/>
  <c r="D39" i="63"/>
  <c r="D215" i="11"/>
  <c r="D41" i="63"/>
  <c r="D217" i="11"/>
  <c r="D43" i="63"/>
  <c r="D209" i="11"/>
  <c r="D35" i="63"/>
  <c r="D216" i="11"/>
  <c r="D42" i="63"/>
  <c r="D204" i="11"/>
  <c r="D30" i="63"/>
  <c r="C223" i="63"/>
  <c r="AH38" i="11"/>
  <c r="AQ38" i="11" s="1"/>
  <c r="E41" i="63"/>
  <c r="AH26" i="11"/>
  <c r="AQ26" i="11" s="1"/>
  <c r="E29" i="63"/>
  <c r="AH27" i="11"/>
  <c r="AQ27" i="11" s="1"/>
  <c r="E30" i="63"/>
  <c r="A202" i="11"/>
  <c r="A28" i="63"/>
  <c r="A210" i="11"/>
  <c r="A36" i="63"/>
  <c r="A213" i="11"/>
  <c r="A39" i="63"/>
  <c r="A209" i="11"/>
  <c r="A35" i="63"/>
  <c r="A205" i="11"/>
  <c r="A31" i="63"/>
  <c r="A211" i="11"/>
  <c r="A37" i="63"/>
  <c r="A212" i="11"/>
  <c r="A38" i="63"/>
  <c r="A215" i="11"/>
  <c r="A41" i="63"/>
  <c r="A217" i="11"/>
  <c r="A43" i="63"/>
  <c r="A200" i="11"/>
  <c r="A26" i="63"/>
  <c r="A204" i="11"/>
  <c r="A30" i="63"/>
  <c r="A203" i="11"/>
  <c r="A29" i="63"/>
  <c r="A208" i="11"/>
  <c r="A34" i="63"/>
  <c r="A218" i="11"/>
  <c r="A44" i="63"/>
  <c r="A214" i="11"/>
  <c r="A40" i="63"/>
  <c r="A201" i="11"/>
  <c r="A27" i="63"/>
  <c r="A206" i="11"/>
  <c r="A32" i="63"/>
  <c r="A216" i="11"/>
  <c r="A42" i="63"/>
  <c r="E200" i="11"/>
  <c r="G26" i="63"/>
  <c r="AE27" i="11"/>
  <c r="AF27" i="11" s="1"/>
  <c r="AB204" i="47"/>
  <c r="AC204" i="47" s="1"/>
  <c r="AB200" i="47"/>
  <c r="AC200" i="47" s="1"/>
  <c r="AB212" i="47"/>
  <c r="AC212" i="47" s="1"/>
  <c r="AB201" i="47"/>
  <c r="AC201" i="47" s="1"/>
  <c r="AB216" i="47"/>
  <c r="AC216" i="47" s="1"/>
  <c r="AB206" i="47"/>
  <c r="AC206" i="47" s="1"/>
  <c r="AB205" i="47"/>
  <c r="AC205" i="47" s="1"/>
  <c r="AB203" i="47"/>
  <c r="AC203" i="47" s="1"/>
  <c r="AB207" i="47"/>
  <c r="AC207" i="47" s="1"/>
  <c r="AB202" i="47"/>
  <c r="AC202" i="47" s="1"/>
  <c r="AB209" i="47"/>
  <c r="AC209" i="47" s="1"/>
  <c r="AB214" i="47"/>
  <c r="AC214" i="47" s="1"/>
  <c r="AB213" i="47"/>
  <c r="AC213" i="47" s="1"/>
  <c r="AB215" i="47"/>
  <c r="AC215" i="47" s="1"/>
  <c r="AB208" i="47"/>
  <c r="AC208" i="47" s="1"/>
  <c r="AB211" i="47"/>
  <c r="AC211" i="47" s="1"/>
  <c r="AB218" i="47"/>
  <c r="AC218" i="47" s="1"/>
  <c r="AB199" i="47"/>
  <c r="AC199" i="47" s="1"/>
  <c r="AB217" i="47"/>
  <c r="AC217" i="47" s="1"/>
  <c r="AB206" i="11"/>
  <c r="AC206" i="11" s="1"/>
  <c r="AB214" i="11"/>
  <c r="AC214" i="11" s="1"/>
  <c r="AB212" i="11"/>
  <c r="AC212" i="11" s="1"/>
  <c r="AB217" i="11"/>
  <c r="AC217" i="11" s="1"/>
  <c r="AB211" i="11"/>
  <c r="AC211" i="11" s="1"/>
  <c r="AB209" i="11"/>
  <c r="AC209" i="11" s="1"/>
  <c r="AB205" i="11"/>
  <c r="AC205" i="11" s="1"/>
  <c r="AB215" i="11"/>
  <c r="AC215" i="11" s="1"/>
  <c r="AB216" i="11"/>
  <c r="AC216" i="11" s="1"/>
  <c r="AB202" i="11"/>
  <c r="AC202" i="11" s="1"/>
  <c r="AB210" i="11"/>
  <c r="AC210" i="11" s="1"/>
  <c r="AB213" i="11"/>
  <c r="AC213" i="11" s="1"/>
  <c r="AB201" i="11"/>
  <c r="AC201" i="11" s="1"/>
  <c r="AB218" i="11"/>
  <c r="AC218" i="11" s="1"/>
  <c r="AB203" i="11"/>
  <c r="AC203" i="11" s="1"/>
  <c r="AB208" i="11"/>
  <c r="AC208" i="11" s="1"/>
  <c r="AB204" i="11"/>
  <c r="AC204" i="11" s="1"/>
  <c r="AE22" i="54"/>
  <c r="AF22" i="54" s="1"/>
  <c r="AE27" i="54"/>
  <c r="AF27" i="54" s="1"/>
  <c r="AI40" i="47"/>
  <c r="AL40" i="47" s="1"/>
  <c r="AE40" i="47"/>
  <c r="AF40" i="47" s="1"/>
  <c r="AE31" i="54"/>
  <c r="AF31" i="54" s="1"/>
  <c r="AI31" i="54"/>
  <c r="AJ31" i="54" s="1"/>
  <c r="AE40" i="54"/>
  <c r="AF40" i="54" s="1"/>
  <c r="AE37" i="54"/>
  <c r="AF37" i="54" s="1"/>
  <c r="AI39" i="54"/>
  <c r="AL39" i="54" s="1"/>
  <c r="AE34" i="54"/>
  <c r="AF34" i="54" s="1"/>
  <c r="AI34" i="54"/>
  <c r="AL34" i="54" s="1"/>
  <c r="AI37" i="54"/>
  <c r="AL37" i="54" s="1"/>
  <c r="AE39" i="54"/>
  <c r="AF39" i="54" s="1"/>
  <c r="AE29" i="54"/>
  <c r="AF29" i="54" s="1"/>
  <c r="AI24" i="54"/>
  <c r="AJ24" i="54" s="1"/>
  <c r="AI41" i="11"/>
  <c r="AL41" i="11" s="1"/>
  <c r="AE36" i="54"/>
  <c r="AF36" i="54" s="1"/>
  <c r="AI38" i="54"/>
  <c r="AJ38" i="54" s="1"/>
  <c r="AK38" i="54" s="1"/>
  <c r="AI36" i="54"/>
  <c r="AL36" i="54" s="1"/>
  <c r="AE38" i="54"/>
  <c r="AF38" i="54" s="1"/>
  <c r="AI39" i="11"/>
  <c r="AL39" i="11" s="1"/>
  <c r="AI35" i="54"/>
  <c r="AJ35" i="54" s="1"/>
  <c r="AK35" i="54" s="1"/>
  <c r="AI23" i="54"/>
  <c r="AE23" i="54"/>
  <c r="AF23" i="54" s="1"/>
  <c r="AI28" i="54"/>
  <c r="AJ28" i="54" s="1"/>
  <c r="AE33" i="54"/>
  <c r="AF33" i="54" s="1"/>
  <c r="AI33" i="54"/>
  <c r="AJ33" i="54" s="1"/>
  <c r="AI41" i="54"/>
  <c r="AL41" i="54" s="1"/>
  <c r="A43" i="54"/>
  <c r="A66" i="54" s="1"/>
  <c r="A89" i="54" s="1"/>
  <c r="AE25" i="54"/>
  <c r="AF25" i="54" s="1"/>
  <c r="AE32" i="54"/>
  <c r="AF32" i="54" s="1"/>
  <c r="AE41" i="54"/>
  <c r="AF41" i="54" s="1"/>
  <c r="AI32" i="54"/>
  <c r="AL32" i="54" s="1"/>
  <c r="AE27" i="47"/>
  <c r="AF27" i="47" s="1"/>
  <c r="P27" i="47" s="1"/>
  <c r="O30" i="72" s="1"/>
  <c r="AI27" i="47"/>
  <c r="AE23" i="47"/>
  <c r="AF23" i="47" s="1"/>
  <c r="P23" i="47" s="1"/>
  <c r="AI23" i="47"/>
  <c r="AE37" i="11"/>
  <c r="AF37" i="11" s="1"/>
  <c r="AI37" i="11"/>
  <c r="AI25" i="11"/>
  <c r="AE25" i="11"/>
  <c r="AF25" i="11" s="1"/>
  <c r="AE26" i="11"/>
  <c r="AF26" i="11" s="1"/>
  <c r="AI26" i="11"/>
  <c r="AE30" i="47"/>
  <c r="AF30" i="47" s="1"/>
  <c r="AI30" i="47"/>
  <c r="AE32" i="47"/>
  <c r="AF32" i="47" s="1"/>
  <c r="AI32" i="47"/>
  <c r="AE29" i="11"/>
  <c r="AF29" i="11" s="1"/>
  <c r="AI29" i="11"/>
  <c r="AE34" i="11"/>
  <c r="AF34" i="11" s="1"/>
  <c r="AI34" i="11"/>
  <c r="AI32" i="11"/>
  <c r="AE32" i="11"/>
  <c r="AF32" i="11" s="1"/>
  <c r="AI31" i="47"/>
  <c r="AE31" i="47"/>
  <c r="AF31" i="47" s="1"/>
  <c r="AE26" i="47"/>
  <c r="AF26" i="47" s="1"/>
  <c r="P26" i="47" s="1"/>
  <c r="AI26" i="47"/>
  <c r="AE36" i="47"/>
  <c r="AF36" i="47" s="1"/>
  <c r="AI36" i="47"/>
  <c r="AE22" i="11"/>
  <c r="AF22" i="11" s="1"/>
  <c r="P22" i="11" s="1"/>
  <c r="AI22" i="11"/>
  <c r="AE38" i="47"/>
  <c r="AF38" i="47" s="1"/>
  <c r="AI38" i="47"/>
  <c r="AE41" i="47"/>
  <c r="AF41" i="47" s="1"/>
  <c r="AI41" i="47"/>
  <c r="AI35" i="11"/>
  <c r="AE35" i="11"/>
  <c r="AF35" i="11" s="1"/>
  <c r="AE24" i="47"/>
  <c r="AF24" i="47" s="1"/>
  <c r="P24" i="47" s="1"/>
  <c r="AI24" i="47"/>
  <c r="M199" i="47"/>
  <c r="AE38" i="11"/>
  <c r="AF38" i="11" s="1"/>
  <c r="AI38" i="11"/>
  <c r="AI23" i="11"/>
  <c r="AE23" i="11"/>
  <c r="AF23" i="11" s="1"/>
  <c r="P23" i="11" s="1"/>
  <c r="AE28" i="47"/>
  <c r="AF28" i="47" s="1"/>
  <c r="AI28" i="47"/>
  <c r="AE31" i="11"/>
  <c r="AF31" i="11" s="1"/>
  <c r="AI31" i="11"/>
  <c r="AE25" i="47"/>
  <c r="AF25" i="47" s="1"/>
  <c r="P25" i="47" s="1"/>
  <c r="AI25" i="47"/>
  <c r="AI33" i="11"/>
  <c r="AE33" i="11"/>
  <c r="AF33" i="11" s="1"/>
  <c r="AE35" i="47"/>
  <c r="AF35" i="47" s="1"/>
  <c r="AI35" i="47"/>
  <c r="AE34" i="47"/>
  <c r="AF34" i="47" s="1"/>
  <c r="AI34" i="47"/>
  <c r="AE36" i="11"/>
  <c r="AF36" i="11" s="1"/>
  <c r="AI36" i="11"/>
  <c r="A199" i="47"/>
  <c r="A204" i="72" s="1"/>
  <c r="A21" i="47"/>
  <c r="AE24" i="11"/>
  <c r="AF24" i="11" s="1"/>
  <c r="P24" i="11" s="1"/>
  <c r="AI24" i="11"/>
  <c r="A199" i="11"/>
  <c r="A21" i="11"/>
  <c r="A43" i="11" s="1"/>
  <c r="A220" i="11" s="1"/>
  <c r="AE29" i="47"/>
  <c r="AF29" i="47" s="1"/>
  <c r="AI29" i="47"/>
  <c r="AE28" i="11"/>
  <c r="AF28" i="11" s="1"/>
  <c r="AI28" i="11"/>
  <c r="AE22" i="47"/>
  <c r="AF22" i="47" s="1"/>
  <c r="P22" i="47" s="1"/>
  <c r="AI22" i="47"/>
  <c r="AE39" i="47"/>
  <c r="AF39" i="47" s="1"/>
  <c r="AI39" i="47"/>
  <c r="AE40" i="11"/>
  <c r="AF40" i="11" s="1"/>
  <c r="AI40" i="11"/>
  <c r="AE30" i="54"/>
  <c r="AF30" i="54" s="1"/>
  <c r="AI30" i="54"/>
  <c r="AE37" i="47"/>
  <c r="AF37" i="47" s="1"/>
  <c r="AI37" i="47"/>
  <c r="Q24" i="11" l="1"/>
  <c r="T24" i="11" s="1"/>
  <c r="P31" i="72"/>
  <c r="R28" i="47"/>
  <c r="P32" i="72"/>
  <c r="R29" i="47"/>
  <c r="T29" i="47"/>
  <c r="Q27" i="47"/>
  <c r="O29" i="72"/>
  <c r="Q26" i="47"/>
  <c r="Q25" i="47"/>
  <c r="T25" i="47" s="1"/>
  <c r="Q24" i="47"/>
  <c r="Q23" i="47"/>
  <c r="R23" i="47" s="1"/>
  <c r="Q23" i="11"/>
  <c r="T23" i="11" s="1"/>
  <c r="Q22" i="47"/>
  <c r="T22" i="47" s="1"/>
  <c r="Q22" i="11"/>
  <c r="T215" i="47"/>
  <c r="F206" i="47"/>
  <c r="F211" i="72" s="1"/>
  <c r="F204" i="47"/>
  <c r="F209" i="72" s="1"/>
  <c r="F214" i="47"/>
  <c r="F219" i="72" s="1"/>
  <c r="F209" i="47"/>
  <c r="F214" i="72" s="1"/>
  <c r="F205" i="47"/>
  <c r="F210" i="72" s="1"/>
  <c r="F213" i="47"/>
  <c r="F218" i="72" s="1"/>
  <c r="F215" i="47"/>
  <c r="F220" i="72" s="1"/>
  <c r="F210" i="47"/>
  <c r="F215" i="72" s="1"/>
  <c r="F217" i="47"/>
  <c r="F222" i="72" s="1"/>
  <c r="F216" i="47"/>
  <c r="F221" i="72" s="1"/>
  <c r="F212" i="47"/>
  <c r="F217" i="72" s="1"/>
  <c r="F203" i="47"/>
  <c r="F208" i="72" s="1"/>
  <c r="F208" i="47"/>
  <c r="F213" i="72" s="1"/>
  <c r="F218" i="47"/>
  <c r="F223" i="72" s="1"/>
  <c r="F207" i="47"/>
  <c r="F212" i="72" s="1"/>
  <c r="F211" i="47"/>
  <c r="F216" i="72" s="1"/>
  <c r="K36" i="72"/>
  <c r="J202" i="47"/>
  <c r="O202" i="47" s="1"/>
  <c r="J206" i="47"/>
  <c r="O206" i="47" s="1"/>
  <c r="J214" i="47"/>
  <c r="O214" i="47" s="1"/>
  <c r="J208" i="47"/>
  <c r="O208" i="47" s="1"/>
  <c r="J218" i="47"/>
  <c r="O218" i="47" s="1"/>
  <c r="J216" i="47"/>
  <c r="O216" i="47" s="1"/>
  <c r="J200" i="47"/>
  <c r="O200" i="47" s="1"/>
  <c r="K32" i="72"/>
  <c r="K28" i="72"/>
  <c r="K29" i="72"/>
  <c r="K26" i="72"/>
  <c r="K27" i="72"/>
  <c r="K40" i="72"/>
  <c r="K31" i="72"/>
  <c r="K39" i="72"/>
  <c r="K42" i="72"/>
  <c r="R208" i="47"/>
  <c r="S208" i="47"/>
  <c r="P208" i="47"/>
  <c r="O213" i="72" s="1"/>
  <c r="T208" i="47"/>
  <c r="Q208" i="47"/>
  <c r="P213" i="72" s="1"/>
  <c r="J209" i="47"/>
  <c r="O209" i="47" s="1"/>
  <c r="J203" i="47"/>
  <c r="O203" i="47" s="1"/>
  <c r="J201" i="47"/>
  <c r="O201" i="47" s="1"/>
  <c r="N210" i="47"/>
  <c r="E215" i="72" s="1"/>
  <c r="J207" i="47"/>
  <c r="O207" i="47" s="1"/>
  <c r="J199" i="47"/>
  <c r="O199" i="47" s="1"/>
  <c r="J217" i="47"/>
  <c r="O217" i="47" s="1"/>
  <c r="S217" i="47"/>
  <c r="T217" i="47"/>
  <c r="P217" i="47"/>
  <c r="O222" i="72" s="1"/>
  <c r="Q217" i="47"/>
  <c r="P222" i="72" s="1"/>
  <c r="R217" i="47"/>
  <c r="Q207" i="47"/>
  <c r="P212" i="72" s="1"/>
  <c r="S207" i="47"/>
  <c r="R207" i="47"/>
  <c r="P207" i="47"/>
  <c r="O212" i="72" s="1"/>
  <c r="T207" i="47"/>
  <c r="S201" i="47"/>
  <c r="S204" i="47"/>
  <c r="T214" i="47"/>
  <c r="Q214" i="47"/>
  <c r="P219" i="72" s="1"/>
  <c r="S214" i="47"/>
  <c r="R214" i="47"/>
  <c r="P214" i="47"/>
  <c r="O219" i="72" s="1"/>
  <c r="Q33" i="47"/>
  <c r="P36" i="72" s="1"/>
  <c r="T33" i="47"/>
  <c r="P33" i="47"/>
  <c r="O36" i="72" s="1"/>
  <c r="Q215" i="47"/>
  <c r="P220" i="72" s="1"/>
  <c r="S215" i="47"/>
  <c r="R215" i="47"/>
  <c r="P215" i="47"/>
  <c r="O220" i="72" s="1"/>
  <c r="S213" i="47"/>
  <c r="T213" i="47"/>
  <c r="P213" i="47"/>
  <c r="O218" i="72" s="1"/>
  <c r="R213" i="47"/>
  <c r="Q213" i="47"/>
  <c r="P218" i="72" s="1"/>
  <c r="T218" i="47"/>
  <c r="P218" i="47"/>
  <c r="O223" i="72" s="1"/>
  <c r="R218" i="47"/>
  <c r="Q218" i="47"/>
  <c r="P223" i="72" s="1"/>
  <c r="S218" i="47"/>
  <c r="J212" i="47"/>
  <c r="O212" i="47" s="1"/>
  <c r="J210" i="47"/>
  <c r="O210" i="47" s="1"/>
  <c r="J204" i="47"/>
  <c r="O204" i="47" s="1"/>
  <c r="J213" i="47"/>
  <c r="O213" i="47" s="1"/>
  <c r="J205" i="47"/>
  <c r="O205" i="47" s="1"/>
  <c r="K30" i="72"/>
  <c r="K44" i="72"/>
  <c r="K37" i="72"/>
  <c r="K35" i="72"/>
  <c r="K38" i="72"/>
  <c r="E36" i="72"/>
  <c r="K41" i="72"/>
  <c r="K34" i="72"/>
  <c r="K43" i="72"/>
  <c r="K33" i="72"/>
  <c r="K25" i="72"/>
  <c r="Q211" i="47"/>
  <c r="P216" i="72" s="1"/>
  <c r="S211" i="47"/>
  <c r="R211" i="47"/>
  <c r="P211" i="47"/>
  <c r="O216" i="72" s="1"/>
  <c r="T211" i="47"/>
  <c r="S205" i="47"/>
  <c r="T205" i="47"/>
  <c r="P205" i="47"/>
  <c r="O210" i="72" s="1"/>
  <c r="Q205" i="47"/>
  <c r="P210" i="72" s="1"/>
  <c r="R205" i="47"/>
  <c r="J215" i="47"/>
  <c r="O215" i="47" s="1"/>
  <c r="J211" i="47"/>
  <c r="O211" i="47" s="1"/>
  <c r="S202" i="47"/>
  <c r="R216" i="47"/>
  <c r="S216" i="47"/>
  <c r="P216" i="47"/>
  <c r="O221" i="72" s="1"/>
  <c r="T216" i="47"/>
  <c r="Q216" i="47"/>
  <c r="P221" i="72" s="1"/>
  <c r="S200" i="47"/>
  <c r="S203" i="47"/>
  <c r="R210" i="47"/>
  <c r="S210" i="47"/>
  <c r="S209" i="47"/>
  <c r="T209" i="47"/>
  <c r="P209" i="47"/>
  <c r="O214" i="72" s="1"/>
  <c r="R209" i="47"/>
  <c r="Q209" i="47"/>
  <c r="P214" i="72" s="1"/>
  <c r="R212" i="47"/>
  <c r="S212" i="47"/>
  <c r="T212" i="47"/>
  <c r="P212" i="47"/>
  <c r="O217" i="72" s="1"/>
  <c r="Q212" i="47"/>
  <c r="P217" i="72" s="1"/>
  <c r="T206" i="47"/>
  <c r="R206" i="47"/>
  <c r="S206" i="47"/>
  <c r="Q206" i="47"/>
  <c r="P211" i="72" s="1"/>
  <c r="P206" i="47"/>
  <c r="O211" i="72" s="1"/>
  <c r="O212" i="11"/>
  <c r="O209" i="11"/>
  <c r="O199" i="11"/>
  <c r="O211" i="11"/>
  <c r="O215" i="11"/>
  <c r="O201" i="11"/>
  <c r="O202" i="11"/>
  <c r="O218" i="11"/>
  <c r="O208" i="11"/>
  <c r="O210" i="11"/>
  <c r="O203" i="11"/>
  <c r="O206" i="11"/>
  <c r="O204" i="11"/>
  <c r="O214" i="11"/>
  <c r="T218" i="11"/>
  <c r="Q218" i="11"/>
  <c r="R218" i="11"/>
  <c r="S218" i="11"/>
  <c r="P218" i="11"/>
  <c r="Q211" i="11"/>
  <c r="R211" i="11"/>
  <c r="S211" i="11"/>
  <c r="P211" i="11"/>
  <c r="T211" i="11"/>
  <c r="O213" i="11"/>
  <c r="O207" i="11"/>
  <c r="O217" i="11"/>
  <c r="O216" i="11"/>
  <c r="S204" i="11"/>
  <c r="R204" i="11"/>
  <c r="P204" i="11"/>
  <c r="T204" i="11"/>
  <c r="Q204" i="11"/>
  <c r="T209" i="11"/>
  <c r="R209" i="11"/>
  <c r="S209" i="11"/>
  <c r="Q209" i="11"/>
  <c r="P209" i="11"/>
  <c r="S213" i="11"/>
  <c r="Q213" i="11"/>
  <c r="R213" i="11"/>
  <c r="P213" i="11"/>
  <c r="T213" i="11"/>
  <c r="T210" i="11"/>
  <c r="R210" i="11"/>
  <c r="S210" i="11"/>
  <c r="Q210" i="11"/>
  <c r="P210" i="11"/>
  <c r="R208" i="11"/>
  <c r="S208" i="11"/>
  <c r="P208" i="11"/>
  <c r="T208" i="11"/>
  <c r="Q208" i="11"/>
  <c r="S212" i="11"/>
  <c r="R212" i="11"/>
  <c r="P212" i="11"/>
  <c r="T212" i="11"/>
  <c r="Q212" i="11"/>
  <c r="S201" i="11"/>
  <c r="R207" i="11"/>
  <c r="Q207" i="11"/>
  <c r="S207" i="11"/>
  <c r="P207" i="11"/>
  <c r="T207" i="11"/>
  <c r="R216" i="11"/>
  <c r="S216" i="11"/>
  <c r="P216" i="11"/>
  <c r="T216" i="11"/>
  <c r="Q216" i="11"/>
  <c r="T206" i="11"/>
  <c r="Q206" i="11"/>
  <c r="R206" i="11"/>
  <c r="S206" i="11"/>
  <c r="P206" i="11"/>
  <c r="O200" i="11"/>
  <c r="O205" i="11"/>
  <c r="R215" i="11"/>
  <c r="Q215" i="11"/>
  <c r="S215" i="11"/>
  <c r="P215" i="11"/>
  <c r="T215" i="11"/>
  <c r="R217" i="11"/>
  <c r="Q217" i="11"/>
  <c r="P217" i="11"/>
  <c r="S217" i="11"/>
  <c r="T217" i="11"/>
  <c r="T205" i="11"/>
  <c r="Q205" i="11"/>
  <c r="R205" i="11"/>
  <c r="S205" i="11"/>
  <c r="P205" i="11"/>
  <c r="Q203" i="11"/>
  <c r="R203" i="11"/>
  <c r="P203" i="11"/>
  <c r="S203" i="11"/>
  <c r="T203" i="11"/>
  <c r="T214" i="11"/>
  <c r="R214" i="11"/>
  <c r="S214" i="11"/>
  <c r="P214" i="11"/>
  <c r="Q214" i="11"/>
  <c r="T202" i="11"/>
  <c r="R202" i="11"/>
  <c r="S202" i="11"/>
  <c r="P202" i="11"/>
  <c r="Q202" i="11"/>
  <c r="P34" i="54"/>
  <c r="Q34" i="54"/>
  <c r="T34" i="54"/>
  <c r="Q36" i="54"/>
  <c r="P36" i="54"/>
  <c r="T36" i="54"/>
  <c r="T33" i="54"/>
  <c r="Q33" i="54"/>
  <c r="P33" i="54"/>
  <c r="Q41" i="54"/>
  <c r="T41" i="54"/>
  <c r="P41" i="54"/>
  <c r="T35" i="54"/>
  <c r="P35" i="54"/>
  <c r="Q35" i="54"/>
  <c r="AH33" i="54"/>
  <c r="AQ33" i="54" s="1"/>
  <c r="T39" i="54"/>
  <c r="P39" i="54"/>
  <c r="Q39" i="54"/>
  <c r="T38" i="54"/>
  <c r="P38" i="54"/>
  <c r="Q38" i="54"/>
  <c r="Q40" i="54"/>
  <c r="T40" i="54"/>
  <c r="P40" i="54"/>
  <c r="P37" i="54"/>
  <c r="Q37" i="54"/>
  <c r="T37" i="54"/>
  <c r="P32" i="54"/>
  <c r="Q32" i="54" s="1"/>
  <c r="G42" i="63"/>
  <c r="G29" i="63"/>
  <c r="G32" i="63"/>
  <c r="G41" i="63"/>
  <c r="G43" i="63"/>
  <c r="G36" i="63"/>
  <c r="G35" i="63"/>
  <c r="G40" i="63"/>
  <c r="G31" i="63"/>
  <c r="G34" i="63"/>
  <c r="G44" i="63"/>
  <c r="G25" i="63"/>
  <c r="G30" i="63"/>
  <c r="G27" i="63"/>
  <c r="E207" i="11"/>
  <c r="G212" i="63" s="1"/>
  <c r="E213" i="11"/>
  <c r="G218" i="63" s="1"/>
  <c r="G28" i="63"/>
  <c r="G38" i="63"/>
  <c r="G37" i="63"/>
  <c r="AK26" i="54"/>
  <c r="AL26" i="54"/>
  <c r="AM26" i="54" s="1"/>
  <c r="AN26" i="54" s="1"/>
  <c r="A161" i="72"/>
  <c r="A161" i="63"/>
  <c r="A340" i="72"/>
  <c r="M36" i="72"/>
  <c r="M31" i="72"/>
  <c r="M40" i="72"/>
  <c r="M32" i="72"/>
  <c r="M43" i="72"/>
  <c r="M42" i="72"/>
  <c r="M25" i="72"/>
  <c r="M39" i="72"/>
  <c r="M30" i="72"/>
  <c r="M41" i="72"/>
  <c r="M27" i="72"/>
  <c r="M33" i="72"/>
  <c r="M34" i="72"/>
  <c r="M35" i="72"/>
  <c r="M28" i="72"/>
  <c r="M37" i="72"/>
  <c r="M26" i="72"/>
  <c r="M29" i="72"/>
  <c r="M44" i="72"/>
  <c r="M38" i="72"/>
  <c r="L214" i="72"/>
  <c r="L208" i="72"/>
  <c r="L206" i="72"/>
  <c r="L207" i="72"/>
  <c r="L217" i="72"/>
  <c r="L211" i="72"/>
  <c r="L215" i="72"/>
  <c r="L212" i="72"/>
  <c r="L209" i="72"/>
  <c r="L219" i="72"/>
  <c r="L218" i="72"/>
  <c r="L213" i="72"/>
  <c r="L210" i="72"/>
  <c r="L223" i="72"/>
  <c r="L220" i="72"/>
  <c r="L204" i="72"/>
  <c r="L222" i="72"/>
  <c r="L221" i="72"/>
  <c r="L216" i="72"/>
  <c r="L205" i="72"/>
  <c r="A43" i="47"/>
  <c r="A220" i="47" s="1"/>
  <c r="F205" i="72"/>
  <c r="F206" i="72"/>
  <c r="F207" i="72"/>
  <c r="F206" i="63"/>
  <c r="F207" i="63"/>
  <c r="F211" i="63"/>
  <c r="F205" i="63"/>
  <c r="N212" i="63"/>
  <c r="N218" i="72"/>
  <c r="N206" i="72"/>
  <c r="N220" i="72"/>
  <c r="N215" i="72"/>
  <c r="N216" i="72"/>
  <c r="N221" i="72"/>
  <c r="N214" i="72"/>
  <c r="N219" i="72"/>
  <c r="N222" i="72"/>
  <c r="N212" i="72"/>
  <c r="N217" i="72"/>
  <c r="N207" i="72"/>
  <c r="N208" i="72"/>
  <c r="N210" i="72"/>
  <c r="N213" i="72"/>
  <c r="N223" i="72"/>
  <c r="N204" i="72"/>
  <c r="S199" i="47"/>
  <c r="N205" i="72"/>
  <c r="F204" i="72"/>
  <c r="AJ33" i="47"/>
  <c r="AK33" i="47" s="1"/>
  <c r="AJ27" i="54"/>
  <c r="AK27" i="54" s="1"/>
  <c r="AV27" i="54" s="1"/>
  <c r="AW27" i="54" s="1"/>
  <c r="AX27" i="54" s="1"/>
  <c r="AE210" i="47"/>
  <c r="AF210" i="47" s="1"/>
  <c r="AI210" i="47"/>
  <c r="AJ210" i="47" s="1"/>
  <c r="AK210" i="47" s="1"/>
  <c r="AL29" i="54"/>
  <c r="N209" i="72"/>
  <c r="AH217" i="47"/>
  <c r="AQ217" i="47" s="1"/>
  <c r="E222" i="72"/>
  <c r="AH199" i="47"/>
  <c r="AQ199" i="47" s="1"/>
  <c r="E204" i="72"/>
  <c r="AH211" i="47"/>
  <c r="AQ211" i="47" s="1"/>
  <c r="E216" i="72"/>
  <c r="AH208" i="47"/>
  <c r="AQ208" i="47" s="1"/>
  <c r="E213" i="72"/>
  <c r="AH215" i="47"/>
  <c r="AQ215" i="47" s="1"/>
  <c r="E220" i="72"/>
  <c r="AH213" i="47"/>
  <c r="AQ213" i="47" s="1"/>
  <c r="E218" i="72"/>
  <c r="AH209" i="47"/>
  <c r="AQ209" i="47" s="1"/>
  <c r="E214" i="72"/>
  <c r="AH207" i="47"/>
  <c r="AQ207" i="47" s="1"/>
  <c r="E212" i="72"/>
  <c r="AH203" i="47"/>
  <c r="AQ203" i="47" s="1"/>
  <c r="E208" i="72"/>
  <c r="AH205" i="47"/>
  <c r="AQ205" i="47" s="1"/>
  <c r="E210" i="72"/>
  <c r="AH216" i="47"/>
  <c r="AQ216" i="47" s="1"/>
  <c r="E221" i="72"/>
  <c r="AH201" i="47"/>
  <c r="AQ201" i="47" s="1"/>
  <c r="E206" i="72"/>
  <c r="AH212" i="47"/>
  <c r="AQ212" i="47" s="1"/>
  <c r="E217" i="72"/>
  <c r="AH200" i="47"/>
  <c r="AQ200" i="47" s="1"/>
  <c r="E205" i="72"/>
  <c r="AH204" i="47"/>
  <c r="AQ204" i="47" s="1"/>
  <c r="E209" i="72"/>
  <c r="N211" i="72"/>
  <c r="AH218" i="47"/>
  <c r="AQ218" i="47" s="1"/>
  <c r="E223" i="72"/>
  <c r="AH214" i="47"/>
  <c r="AQ214" i="47" s="1"/>
  <c r="E219" i="72"/>
  <c r="AH202" i="47"/>
  <c r="AQ202" i="47" s="1"/>
  <c r="E207" i="72"/>
  <c r="AH206" i="47"/>
  <c r="AQ206" i="47" s="1"/>
  <c r="E211" i="72"/>
  <c r="P36" i="63"/>
  <c r="M34" i="63"/>
  <c r="K213" i="63"/>
  <c r="H204" i="63"/>
  <c r="L206" i="63"/>
  <c r="K218" i="63"/>
  <c r="F215" i="63"/>
  <c r="F221" i="63"/>
  <c r="J220" i="63"/>
  <c r="K214" i="63"/>
  <c r="L222" i="63"/>
  <c r="G220" i="63"/>
  <c r="G207" i="63"/>
  <c r="A209" i="63"/>
  <c r="A218" i="63"/>
  <c r="D222" i="63"/>
  <c r="D210" i="63"/>
  <c r="D215" i="63"/>
  <c r="D211" i="63"/>
  <c r="K212" i="63"/>
  <c r="A204" i="63"/>
  <c r="P34" i="63"/>
  <c r="M41" i="63"/>
  <c r="F31" i="63"/>
  <c r="P42" i="63"/>
  <c r="F30" i="63"/>
  <c r="F25" i="63"/>
  <c r="L209" i="63"/>
  <c r="F208" i="63"/>
  <c r="K204" i="63"/>
  <c r="H223" i="63"/>
  <c r="K223" i="63"/>
  <c r="H206" i="63"/>
  <c r="F218" i="63"/>
  <c r="L205" i="63"/>
  <c r="K205" i="63"/>
  <c r="H215" i="63"/>
  <c r="K215" i="63"/>
  <c r="H207" i="63"/>
  <c r="K207" i="63"/>
  <c r="K221" i="63"/>
  <c r="K220" i="63"/>
  <c r="L214" i="63"/>
  <c r="H216" i="63"/>
  <c r="K216" i="63"/>
  <c r="H222" i="63"/>
  <c r="L217" i="63"/>
  <c r="K217" i="63"/>
  <c r="K219" i="63"/>
  <c r="K211" i="63"/>
  <c r="O42" i="63"/>
  <c r="O43" i="63"/>
  <c r="P33" i="63"/>
  <c r="L212" i="63"/>
  <c r="D212" i="63"/>
  <c r="P43" i="63"/>
  <c r="P40" i="63"/>
  <c r="M28" i="63"/>
  <c r="M44" i="63"/>
  <c r="M43" i="63"/>
  <c r="H208" i="63"/>
  <c r="K206" i="63"/>
  <c r="J205" i="63"/>
  <c r="H220" i="63"/>
  <c r="H214" i="63"/>
  <c r="J216" i="63"/>
  <c r="G208" i="63"/>
  <c r="G217" i="63"/>
  <c r="G209" i="63"/>
  <c r="G206" i="63"/>
  <c r="A219" i="63"/>
  <c r="A217" i="63"/>
  <c r="D218" i="63"/>
  <c r="D208" i="63"/>
  <c r="F212" i="63"/>
  <c r="M39" i="63"/>
  <c r="M25" i="63"/>
  <c r="P39" i="63"/>
  <c r="P37" i="63"/>
  <c r="M35" i="63"/>
  <c r="M29" i="63"/>
  <c r="H209" i="63"/>
  <c r="F213" i="63"/>
  <c r="H213" i="63"/>
  <c r="M36" i="63"/>
  <c r="L221" i="63"/>
  <c r="F220" i="63"/>
  <c r="F216" i="63"/>
  <c r="F217" i="63"/>
  <c r="F219" i="63"/>
  <c r="M42" i="63"/>
  <c r="G213" i="63"/>
  <c r="G205" i="63"/>
  <c r="G214" i="63"/>
  <c r="G215" i="63"/>
  <c r="G211" i="63"/>
  <c r="G221" i="63"/>
  <c r="G219" i="63"/>
  <c r="G222" i="63"/>
  <c r="G210" i="63"/>
  <c r="A221" i="63"/>
  <c r="A206" i="63"/>
  <c r="A223" i="63"/>
  <c r="A208" i="63"/>
  <c r="A205" i="63"/>
  <c r="A220" i="63"/>
  <c r="A216" i="63"/>
  <c r="A214" i="63"/>
  <c r="A215" i="63"/>
  <c r="D209" i="63"/>
  <c r="D214" i="63"/>
  <c r="D220" i="63"/>
  <c r="D206" i="63"/>
  <c r="D223" i="63"/>
  <c r="D217" i="63"/>
  <c r="D205" i="63"/>
  <c r="D207" i="63"/>
  <c r="D213" i="63"/>
  <c r="O35" i="63"/>
  <c r="O39" i="63"/>
  <c r="O37" i="63"/>
  <c r="O41" i="63"/>
  <c r="M33" i="63"/>
  <c r="AH207" i="11"/>
  <c r="AQ207" i="11" s="1"/>
  <c r="O44" i="63"/>
  <c r="P44" i="63"/>
  <c r="M26" i="63"/>
  <c r="K209" i="63"/>
  <c r="L213" i="63"/>
  <c r="K208" i="63"/>
  <c r="J204" i="63"/>
  <c r="J223" i="63"/>
  <c r="L218" i="63"/>
  <c r="J215" i="63"/>
  <c r="J207" i="63"/>
  <c r="J221" i="63"/>
  <c r="L210" i="63"/>
  <c r="K210" i="63"/>
  <c r="K222" i="63"/>
  <c r="J217" i="63"/>
  <c r="J219" i="63"/>
  <c r="J211" i="63"/>
  <c r="G223" i="63"/>
  <c r="G204" i="63"/>
  <c r="G216" i="63"/>
  <c r="A211" i="63"/>
  <c r="A213" i="63"/>
  <c r="A222" i="63"/>
  <c r="A210" i="63"/>
  <c r="A207" i="63"/>
  <c r="D221" i="63"/>
  <c r="D204" i="63"/>
  <c r="D216" i="63"/>
  <c r="D219" i="63"/>
  <c r="O36" i="63"/>
  <c r="O38" i="63"/>
  <c r="O34" i="63"/>
  <c r="H212" i="63"/>
  <c r="M37" i="63"/>
  <c r="M27" i="63"/>
  <c r="P41" i="63"/>
  <c r="M31" i="63"/>
  <c r="P38" i="63"/>
  <c r="P35" i="63"/>
  <c r="M30" i="63"/>
  <c r="M38" i="63"/>
  <c r="M32" i="63"/>
  <c r="M40" i="63"/>
  <c r="J209" i="63"/>
  <c r="J213" i="63"/>
  <c r="L208" i="63"/>
  <c r="J208" i="63"/>
  <c r="L204" i="63"/>
  <c r="F223" i="63"/>
  <c r="L223" i="63"/>
  <c r="J206" i="63"/>
  <c r="H218" i="63"/>
  <c r="J218" i="63"/>
  <c r="H205" i="63"/>
  <c r="L215" i="63"/>
  <c r="L207" i="63"/>
  <c r="H221" i="63"/>
  <c r="L220" i="63"/>
  <c r="H210" i="63"/>
  <c r="J210" i="63"/>
  <c r="F214" i="63"/>
  <c r="J214" i="63"/>
  <c r="L216" i="63"/>
  <c r="F222" i="63"/>
  <c r="J222" i="63"/>
  <c r="H217" i="63"/>
  <c r="H219" i="63"/>
  <c r="L219" i="63"/>
  <c r="H211" i="63"/>
  <c r="L211" i="63"/>
  <c r="O40" i="63"/>
  <c r="O33" i="63"/>
  <c r="J212" i="63"/>
  <c r="A212" i="63"/>
  <c r="AJ29" i="54"/>
  <c r="AK29" i="54" s="1"/>
  <c r="AJ25" i="54"/>
  <c r="AK25" i="54" s="1"/>
  <c r="AO25" i="54" s="1"/>
  <c r="AE207" i="11"/>
  <c r="AF207" i="11" s="1"/>
  <c r="E212" i="63"/>
  <c r="AI207" i="11"/>
  <c r="AL207" i="11" s="1"/>
  <c r="AL40" i="54"/>
  <c r="AM40" i="54" s="1"/>
  <c r="AN40" i="54" s="1"/>
  <c r="AJ22" i="54"/>
  <c r="AK22" i="54" s="1"/>
  <c r="AV22" i="54" s="1"/>
  <c r="AW22" i="54" s="1"/>
  <c r="AX22" i="54" s="1"/>
  <c r="AL27" i="11"/>
  <c r="AM27" i="11" s="1"/>
  <c r="AN27" i="11" s="1"/>
  <c r="AJ30" i="11"/>
  <c r="AK30" i="11" s="1"/>
  <c r="AO30" i="11" s="1"/>
  <c r="AE218" i="11"/>
  <c r="AF218" i="11" s="1"/>
  <c r="N207" i="63"/>
  <c r="N220" i="63"/>
  <c r="N213" i="63"/>
  <c r="N211" i="63"/>
  <c r="N216" i="63"/>
  <c r="N218" i="63"/>
  <c r="N210" i="63"/>
  <c r="N206" i="63"/>
  <c r="N222" i="63"/>
  <c r="N217" i="63"/>
  <c r="N214" i="63"/>
  <c r="N208" i="63"/>
  <c r="N219" i="63"/>
  <c r="N215" i="63"/>
  <c r="N223" i="63"/>
  <c r="AI218" i="11"/>
  <c r="AJ218" i="11" s="1"/>
  <c r="AK218" i="11" s="1"/>
  <c r="AK27" i="11"/>
  <c r="AE216" i="11"/>
  <c r="AF216" i="11" s="1"/>
  <c r="N221" i="63"/>
  <c r="AH208" i="11"/>
  <c r="AQ208" i="11" s="1"/>
  <c r="E213" i="63"/>
  <c r="AH203" i="11"/>
  <c r="AQ203" i="11" s="1"/>
  <c r="E208" i="63"/>
  <c r="AH201" i="11"/>
  <c r="AQ201" i="11" s="1"/>
  <c r="E206" i="63"/>
  <c r="AH213" i="11"/>
  <c r="AQ213" i="11" s="1"/>
  <c r="E218" i="63"/>
  <c r="AH217" i="11"/>
  <c r="AQ217" i="11" s="1"/>
  <c r="E222" i="63"/>
  <c r="AH200" i="11"/>
  <c r="AQ200" i="11" s="1"/>
  <c r="E205" i="63"/>
  <c r="AH210" i="11"/>
  <c r="AQ210" i="11" s="1"/>
  <c r="E215" i="63"/>
  <c r="AH216" i="11"/>
  <c r="AQ216" i="11" s="1"/>
  <c r="E221" i="63"/>
  <c r="AH212" i="11"/>
  <c r="AQ212" i="11" s="1"/>
  <c r="E217" i="63"/>
  <c r="AH199" i="11"/>
  <c r="AQ199" i="11" s="1"/>
  <c r="E204" i="63"/>
  <c r="AH215" i="11"/>
  <c r="AQ215" i="11" s="1"/>
  <c r="E220" i="63"/>
  <c r="AE204" i="11"/>
  <c r="AF204" i="11" s="1"/>
  <c r="N209" i="63"/>
  <c r="AH205" i="11"/>
  <c r="AQ205" i="11" s="1"/>
  <c r="E210" i="63"/>
  <c r="AH209" i="11"/>
  <c r="AQ209" i="11" s="1"/>
  <c r="E214" i="63"/>
  <c r="AH206" i="11"/>
  <c r="AQ206" i="11" s="1"/>
  <c r="E211" i="63"/>
  <c r="AH204" i="11"/>
  <c r="AQ204" i="11" s="1"/>
  <c r="E209" i="63"/>
  <c r="AH218" i="11"/>
  <c r="AQ218" i="11" s="1"/>
  <c r="E223" i="63"/>
  <c r="AH202" i="11"/>
  <c r="AQ202" i="11" s="1"/>
  <c r="E207" i="63"/>
  <c r="AH211" i="11"/>
  <c r="AQ211" i="11" s="1"/>
  <c r="E216" i="63"/>
  <c r="AH214" i="11"/>
  <c r="AQ214" i="11" s="1"/>
  <c r="E219" i="63"/>
  <c r="AK31" i="54"/>
  <c r="AJ40" i="47"/>
  <c r="AM40" i="47" s="1"/>
  <c r="AN40" i="47" s="1"/>
  <c r="AI204" i="11"/>
  <c r="AJ204" i="11" s="1"/>
  <c r="AE217" i="47"/>
  <c r="AF217" i="47" s="1"/>
  <c r="AI217" i="47"/>
  <c r="AL217" i="47" s="1"/>
  <c r="AL31" i="54"/>
  <c r="AI216" i="11"/>
  <c r="AJ216" i="11" s="1"/>
  <c r="AK216" i="11" s="1"/>
  <c r="AJ39" i="54"/>
  <c r="AK39" i="54" s="1"/>
  <c r="AV39" i="54" s="1"/>
  <c r="AW39" i="54" s="1"/>
  <c r="AX39" i="54" s="1"/>
  <c r="AJ41" i="11"/>
  <c r="AM41" i="11" s="1"/>
  <c r="AN41" i="11" s="1"/>
  <c r="AJ37" i="54"/>
  <c r="AM37" i="54" s="1"/>
  <c r="AN37" i="54" s="1"/>
  <c r="AJ39" i="11"/>
  <c r="AM39" i="11" s="1"/>
  <c r="AN39" i="11" s="1"/>
  <c r="AJ34" i="54"/>
  <c r="AK34" i="54" s="1"/>
  <c r="AV34" i="54" s="1"/>
  <c r="AW34" i="54" s="1"/>
  <c r="AX34" i="54" s="1"/>
  <c r="AL33" i="54"/>
  <c r="AM33" i="54" s="1"/>
  <c r="AN33" i="54" s="1"/>
  <c r="AL38" i="54"/>
  <c r="AV38" i="54" s="1"/>
  <c r="AW38" i="54" s="1"/>
  <c r="AX38" i="54" s="1"/>
  <c r="AJ36" i="54"/>
  <c r="AM36" i="54" s="1"/>
  <c r="AN36" i="54" s="1"/>
  <c r="AL35" i="54"/>
  <c r="AO35" i="54" s="1"/>
  <c r="AL24" i="54"/>
  <c r="AK24" i="54"/>
  <c r="AJ41" i="54"/>
  <c r="AK41" i="54" s="1"/>
  <c r="AL23" i="54"/>
  <c r="AJ23" i="54"/>
  <c r="AK23" i="54" s="1"/>
  <c r="AL28" i="54"/>
  <c r="AM28" i="54" s="1"/>
  <c r="AN28" i="54" s="1"/>
  <c r="AK28" i="54"/>
  <c r="AJ32" i="54"/>
  <c r="AK32" i="54" s="1"/>
  <c r="AO32" i="54" s="1"/>
  <c r="AL23" i="11"/>
  <c r="AJ23" i="11"/>
  <c r="AK23" i="11" s="1"/>
  <c r="AL24" i="11"/>
  <c r="AJ24" i="11"/>
  <c r="AK24" i="11" s="1"/>
  <c r="AI209" i="11"/>
  <c r="AE209" i="11"/>
  <c r="AF209" i="11" s="1"/>
  <c r="AI211" i="11"/>
  <c r="AE211" i="11"/>
  <c r="AF211" i="11" s="1"/>
  <c r="AL26" i="47"/>
  <c r="AJ26" i="47"/>
  <c r="AL32" i="47"/>
  <c r="AJ32" i="47"/>
  <c r="AK32" i="47" s="1"/>
  <c r="AL27" i="47"/>
  <c r="AJ27" i="47"/>
  <c r="AK27" i="47" s="1"/>
  <c r="A112" i="54"/>
  <c r="A135" i="54" s="1"/>
  <c r="L160" i="54" s="1"/>
  <c r="AJ37" i="47"/>
  <c r="AL37" i="47"/>
  <c r="AE216" i="47"/>
  <c r="AF216" i="47" s="1"/>
  <c r="AI216" i="47"/>
  <c r="AL39" i="47"/>
  <c r="AJ39" i="47"/>
  <c r="AK39" i="47" s="1"/>
  <c r="AE203" i="11"/>
  <c r="AF203" i="11" s="1"/>
  <c r="AI203" i="11"/>
  <c r="AI202" i="11"/>
  <c r="AE202" i="11"/>
  <c r="AF202" i="11" s="1"/>
  <c r="AE200" i="47"/>
  <c r="AF200" i="47" s="1"/>
  <c r="P200" i="47" s="1"/>
  <c r="AI200" i="47"/>
  <c r="AE218" i="47"/>
  <c r="AF218" i="47" s="1"/>
  <c r="AI218" i="47"/>
  <c r="AL28" i="47"/>
  <c r="AJ28" i="47"/>
  <c r="AK28" i="47" s="1"/>
  <c r="AK33" i="54"/>
  <c r="AL38" i="11"/>
  <c r="AJ38" i="11"/>
  <c r="AE210" i="11"/>
  <c r="AF210" i="11" s="1"/>
  <c r="AI210" i="11"/>
  <c r="AJ35" i="11"/>
  <c r="AK35" i="11" s="1"/>
  <c r="AL35" i="11"/>
  <c r="AL22" i="11"/>
  <c r="AJ22" i="11"/>
  <c r="AK22" i="11" s="1"/>
  <c r="AE208" i="11"/>
  <c r="AF208" i="11" s="1"/>
  <c r="AI208" i="11"/>
  <c r="AL31" i="47"/>
  <c r="AJ31" i="47"/>
  <c r="AE212" i="11"/>
  <c r="AF212" i="11" s="1"/>
  <c r="AI212" i="11"/>
  <c r="AE214" i="11"/>
  <c r="AF214" i="11" s="1"/>
  <c r="AI214" i="11"/>
  <c r="AJ34" i="11"/>
  <c r="AL34" i="11"/>
  <c r="AJ29" i="11"/>
  <c r="AL29" i="11"/>
  <c r="AL30" i="47"/>
  <c r="AJ30" i="47"/>
  <c r="AK30" i="47" s="1"/>
  <c r="AL25" i="11"/>
  <c r="AJ25" i="11"/>
  <c r="AK25" i="11" s="1"/>
  <c r="AL23" i="47"/>
  <c r="AJ23" i="47"/>
  <c r="AK23" i="47" s="1"/>
  <c r="AE211" i="47"/>
  <c r="AF211" i="47" s="1"/>
  <c r="AI211" i="47"/>
  <c r="AL28" i="11"/>
  <c r="AJ28" i="11"/>
  <c r="AK28" i="11" s="1"/>
  <c r="A198" i="11"/>
  <c r="A42" i="11"/>
  <c r="A219" i="11" s="1"/>
  <c r="AJ34" i="47"/>
  <c r="AL34" i="47"/>
  <c r="AL33" i="11"/>
  <c r="AJ33" i="11"/>
  <c r="AK33" i="11" s="1"/>
  <c r="AL25" i="47"/>
  <c r="AJ25" i="47"/>
  <c r="AK25" i="47" s="1"/>
  <c r="AL31" i="11"/>
  <c r="AJ31" i="11"/>
  <c r="AE217" i="11"/>
  <c r="AF217" i="11" s="1"/>
  <c r="AI217" i="11"/>
  <c r="AE212" i="47"/>
  <c r="AF212" i="47" s="1"/>
  <c r="AI212" i="47"/>
  <c r="AE214" i="47"/>
  <c r="AF214" i="47" s="1"/>
  <c r="AI214" i="47"/>
  <c r="AE204" i="47"/>
  <c r="AF204" i="47" s="1"/>
  <c r="P204" i="47" s="1"/>
  <c r="AI204" i="47"/>
  <c r="AE206" i="47"/>
  <c r="AF206" i="47" s="1"/>
  <c r="AI206" i="47"/>
  <c r="AI203" i="47"/>
  <c r="AE203" i="47"/>
  <c r="AF203" i="47" s="1"/>
  <c r="P203" i="47" s="1"/>
  <c r="O208" i="72" s="1"/>
  <c r="AE213" i="11"/>
  <c r="AF213" i="11" s="1"/>
  <c r="AI213" i="11"/>
  <c r="AJ36" i="11"/>
  <c r="AL36" i="11"/>
  <c r="AE205" i="11"/>
  <c r="AF205" i="11" s="1"/>
  <c r="AI205" i="11"/>
  <c r="AJ24" i="47"/>
  <c r="AK24" i="47" s="1"/>
  <c r="AL24" i="47"/>
  <c r="AL36" i="47"/>
  <c r="AJ36" i="47"/>
  <c r="AL32" i="11"/>
  <c r="AJ32" i="11"/>
  <c r="AL37" i="11"/>
  <c r="AJ37" i="11"/>
  <c r="AK37" i="11" s="1"/>
  <c r="AJ30" i="54"/>
  <c r="AK30" i="54" s="1"/>
  <c r="AL30" i="54"/>
  <c r="AE206" i="11"/>
  <c r="AF206" i="11" s="1"/>
  <c r="AI206" i="11"/>
  <c r="AL40" i="11"/>
  <c r="AJ40" i="11"/>
  <c r="AE215" i="11"/>
  <c r="AF215" i="11" s="1"/>
  <c r="AI215" i="11"/>
  <c r="AE201" i="11"/>
  <c r="AF201" i="11" s="1"/>
  <c r="P201" i="11" s="1"/>
  <c r="AI201" i="11"/>
  <c r="AE213" i="47"/>
  <c r="AF213" i="47" s="1"/>
  <c r="AI213" i="47"/>
  <c r="AL22" i="47"/>
  <c r="AJ22" i="47"/>
  <c r="AK22" i="47" s="1"/>
  <c r="AI201" i="47"/>
  <c r="AE201" i="47"/>
  <c r="AF201" i="47" s="1"/>
  <c r="P201" i="47" s="1"/>
  <c r="AL29" i="47"/>
  <c r="AJ29" i="47"/>
  <c r="AK29" i="47" s="1"/>
  <c r="A42" i="47"/>
  <c r="A219" i="47" s="1"/>
  <c r="A198" i="47"/>
  <c r="AL35" i="47"/>
  <c r="AJ35" i="47"/>
  <c r="AE205" i="47"/>
  <c r="AF205" i="47" s="1"/>
  <c r="AI205" i="47"/>
  <c r="AK40" i="54"/>
  <c r="AI209" i="47"/>
  <c r="AE209" i="47"/>
  <c r="AF209" i="47" s="1"/>
  <c r="AE207" i="47"/>
  <c r="AF207" i="47" s="1"/>
  <c r="AI207" i="47"/>
  <c r="AE199" i="47"/>
  <c r="AF199" i="47" s="1"/>
  <c r="P199" i="47" s="1"/>
  <c r="AI199" i="47"/>
  <c r="AL41" i="47"/>
  <c r="AJ41" i="47"/>
  <c r="AK41" i="47" s="1"/>
  <c r="AL38" i="47"/>
  <c r="AJ38" i="47"/>
  <c r="AK38" i="47" s="1"/>
  <c r="AE202" i="47"/>
  <c r="AF202" i="47" s="1"/>
  <c r="P202" i="47" s="1"/>
  <c r="AI202" i="47"/>
  <c r="AE215" i="47"/>
  <c r="AF215" i="47" s="1"/>
  <c r="AI215" i="47"/>
  <c r="AE208" i="47"/>
  <c r="AF208" i="47" s="1"/>
  <c r="AI208" i="47"/>
  <c r="AL26" i="11"/>
  <c r="AJ26" i="11"/>
  <c r="AK26" i="11" s="1"/>
  <c r="R24" i="11" l="1"/>
  <c r="Q201" i="11"/>
  <c r="Q200" i="47"/>
  <c r="R200" i="47" s="1"/>
  <c r="Q202" i="47"/>
  <c r="R202" i="47" s="1"/>
  <c r="O209" i="72"/>
  <c r="Q204" i="47"/>
  <c r="R25" i="47"/>
  <c r="P30" i="72"/>
  <c r="R27" i="47"/>
  <c r="T27" i="47"/>
  <c r="Q203" i="47"/>
  <c r="P29" i="72"/>
  <c r="R26" i="47"/>
  <c r="T26" i="47"/>
  <c r="Q201" i="47"/>
  <c r="T201" i="47" s="1"/>
  <c r="T23" i="47"/>
  <c r="R22" i="47"/>
  <c r="R24" i="47"/>
  <c r="T24" i="47"/>
  <c r="R23" i="11"/>
  <c r="R32" i="54"/>
  <c r="T32" i="54"/>
  <c r="Q199" i="47"/>
  <c r="R22" i="11"/>
  <c r="T22" i="11"/>
  <c r="AH210" i="47"/>
  <c r="AQ210" i="47" s="1"/>
  <c r="Q210" i="47"/>
  <c r="P215" i="72" s="1"/>
  <c r="P210" i="47"/>
  <c r="O215" i="72" s="1"/>
  <c r="T210" i="47"/>
  <c r="K221" i="72"/>
  <c r="K216" i="72"/>
  <c r="K215" i="72"/>
  <c r="K212" i="72"/>
  <c r="K206" i="72"/>
  <c r="K214" i="72"/>
  <c r="K205" i="72"/>
  <c r="K220" i="72"/>
  <c r="K204" i="72"/>
  <c r="K208" i="72"/>
  <c r="K223" i="72"/>
  <c r="K219" i="72"/>
  <c r="K207" i="72"/>
  <c r="K218" i="72"/>
  <c r="K213" i="72"/>
  <c r="K211" i="72"/>
  <c r="K210" i="72"/>
  <c r="K209" i="72"/>
  <c r="K217" i="72"/>
  <c r="K222" i="72"/>
  <c r="AV26" i="54"/>
  <c r="AW26" i="54" s="1"/>
  <c r="AX26" i="54" s="1"/>
  <c r="AO26" i="54"/>
  <c r="AP26" i="54" s="1"/>
  <c r="AR26" i="54" s="1"/>
  <c r="A340" i="63"/>
  <c r="AO29" i="54"/>
  <c r="M213" i="72"/>
  <c r="M212" i="72"/>
  <c r="M222" i="72"/>
  <c r="M216" i="72"/>
  <c r="M206" i="72"/>
  <c r="M219" i="72"/>
  <c r="M223" i="72"/>
  <c r="M221" i="72"/>
  <c r="M208" i="72"/>
  <c r="M209" i="72"/>
  <c r="M214" i="72"/>
  <c r="M220" i="72"/>
  <c r="M207" i="72"/>
  <c r="M205" i="72"/>
  <c r="M211" i="72"/>
  <c r="M204" i="72"/>
  <c r="M217" i="72"/>
  <c r="M218" i="72"/>
  <c r="M210" i="72"/>
  <c r="M215" i="72"/>
  <c r="AV29" i="54"/>
  <c r="AW29" i="54" s="1"/>
  <c r="AX29" i="54" s="1"/>
  <c r="AO22" i="54"/>
  <c r="AM33" i="47"/>
  <c r="AN33" i="47" s="1"/>
  <c r="AO27" i="54"/>
  <c r="AM29" i="54"/>
  <c r="AN29" i="54" s="1"/>
  <c r="AV25" i="54"/>
  <c r="AW25" i="54" s="1"/>
  <c r="AX25" i="54" s="1"/>
  <c r="AL210" i="47"/>
  <c r="AM210" i="47" s="1"/>
  <c r="AN210" i="47" s="1"/>
  <c r="AM27" i="54"/>
  <c r="AN27" i="54" s="1"/>
  <c r="M222" i="63"/>
  <c r="P220" i="63"/>
  <c r="P215" i="63"/>
  <c r="M215" i="63"/>
  <c r="M204" i="63"/>
  <c r="P221" i="63"/>
  <c r="O215" i="63"/>
  <c r="O213" i="63"/>
  <c r="M212" i="63"/>
  <c r="P212" i="63"/>
  <c r="M210" i="63"/>
  <c r="M209" i="63"/>
  <c r="F204" i="63"/>
  <c r="O216" i="63"/>
  <c r="P222" i="63"/>
  <c r="P213" i="63"/>
  <c r="P214" i="63"/>
  <c r="M205" i="63"/>
  <c r="M208" i="63"/>
  <c r="F209" i="63"/>
  <c r="M221" i="63"/>
  <c r="O214" i="63"/>
  <c r="O222" i="63"/>
  <c r="O218" i="63"/>
  <c r="M207" i="63"/>
  <c r="M218" i="63"/>
  <c r="P218" i="63"/>
  <c r="P219" i="63"/>
  <c r="M214" i="63"/>
  <c r="M216" i="63"/>
  <c r="M213" i="63"/>
  <c r="O217" i="63"/>
  <c r="F210" i="63"/>
  <c r="M217" i="63"/>
  <c r="M220" i="63"/>
  <c r="P217" i="63"/>
  <c r="P216" i="63"/>
  <c r="M211" i="63"/>
  <c r="M219" i="63"/>
  <c r="M206" i="63"/>
  <c r="P223" i="63"/>
  <c r="M223" i="63"/>
  <c r="O223" i="63"/>
  <c r="O219" i="63"/>
  <c r="O220" i="63"/>
  <c r="O221" i="63"/>
  <c r="O212" i="63"/>
  <c r="AM25" i="54"/>
  <c r="AN25" i="54" s="1"/>
  <c r="AP25" i="54" s="1"/>
  <c r="AY25" i="54" s="1"/>
  <c r="AJ207" i="11"/>
  <c r="AM207" i="11" s="1"/>
  <c r="AN207" i="11" s="1"/>
  <c r="AM22" i="54"/>
  <c r="AN22" i="54" s="1"/>
  <c r="AV27" i="11"/>
  <c r="AW27" i="11" s="1"/>
  <c r="AX27" i="11" s="1"/>
  <c r="AM30" i="11"/>
  <c r="AN30" i="11" s="1"/>
  <c r="AP30" i="11" s="1"/>
  <c r="AY30" i="11" s="1"/>
  <c r="AV30" i="11"/>
  <c r="AW30" i="11" s="1"/>
  <c r="AX30" i="11" s="1"/>
  <c r="AL218" i="11"/>
  <c r="AO218" i="11" s="1"/>
  <c r="AK204" i="11"/>
  <c r="AO27" i="11"/>
  <c r="AP27" i="11" s="1"/>
  <c r="AY27" i="11" s="1"/>
  <c r="AV31" i="54"/>
  <c r="AW31" i="54" s="1"/>
  <c r="AX31" i="54" s="1"/>
  <c r="AO23" i="54"/>
  <c r="AK40" i="47"/>
  <c r="AO40" i="47" s="1"/>
  <c r="AP40" i="47" s="1"/>
  <c r="AL204" i="11"/>
  <c r="AM204" i="11" s="1"/>
  <c r="AN204" i="11" s="1"/>
  <c r="AV28" i="54"/>
  <c r="AW28" i="54" s="1"/>
  <c r="AX28" i="54" s="1"/>
  <c r="AM31" i="54"/>
  <c r="AN31" i="54" s="1"/>
  <c r="AJ217" i="47"/>
  <c r="AM217" i="47" s="1"/>
  <c r="AN217" i="47" s="1"/>
  <c r="AO31" i="54"/>
  <c r="AL216" i="11"/>
  <c r="AO216" i="11" s="1"/>
  <c r="AO39" i="54"/>
  <c r="AV24" i="54"/>
  <c r="AW24" i="54" s="1"/>
  <c r="AX24" i="54" s="1"/>
  <c r="AM39" i="54"/>
  <c r="AN39" i="54" s="1"/>
  <c r="AV23" i="54"/>
  <c r="AW23" i="54" s="1"/>
  <c r="AX23" i="54" s="1"/>
  <c r="AV35" i="54"/>
  <c r="AW35" i="54" s="1"/>
  <c r="AX35" i="54" s="1"/>
  <c r="AK41" i="11"/>
  <c r="AK37" i="54"/>
  <c r="AO37" i="54" s="1"/>
  <c r="AP37" i="54" s="1"/>
  <c r="AK39" i="11"/>
  <c r="AO39" i="11" s="1"/>
  <c r="AP39" i="11" s="1"/>
  <c r="AM35" i="54"/>
  <c r="AN35" i="54" s="1"/>
  <c r="AP35" i="54" s="1"/>
  <c r="AM34" i="54"/>
  <c r="AN34" i="54" s="1"/>
  <c r="AO34" i="54"/>
  <c r="AK36" i="54"/>
  <c r="AO36" i="54" s="1"/>
  <c r="AP36" i="54" s="1"/>
  <c r="AY36" i="54" s="1"/>
  <c r="AM24" i="54"/>
  <c r="AN24" i="54" s="1"/>
  <c r="AM38" i="54"/>
  <c r="AN38" i="54" s="1"/>
  <c r="AO38" i="54"/>
  <c r="AO24" i="54"/>
  <c r="AM41" i="54"/>
  <c r="AN41" i="54" s="1"/>
  <c r="AM23" i="54"/>
  <c r="AN23" i="54" s="1"/>
  <c r="AO28" i="54"/>
  <c r="AP28" i="54" s="1"/>
  <c r="AT28" i="54" s="1"/>
  <c r="AM35" i="47"/>
  <c r="AN35" i="47" s="1"/>
  <c r="AM36" i="47"/>
  <c r="AN36" i="47" s="1"/>
  <c r="AM28" i="11"/>
  <c r="AN28" i="11" s="1"/>
  <c r="AM38" i="47"/>
  <c r="AN38" i="47" s="1"/>
  <c r="AM40" i="11"/>
  <c r="AN40" i="11" s="1"/>
  <c r="AM31" i="11"/>
  <c r="AN31" i="11" s="1"/>
  <c r="AM31" i="47"/>
  <c r="AN31" i="47" s="1"/>
  <c r="AV32" i="54"/>
  <c r="AW32" i="54" s="1"/>
  <c r="AX32" i="54" s="1"/>
  <c r="AM32" i="54"/>
  <c r="AN32" i="54" s="1"/>
  <c r="AP32" i="54" s="1"/>
  <c r="AR32" i="54" s="1"/>
  <c r="AM30" i="54"/>
  <c r="AN30" i="54" s="1"/>
  <c r="AM29" i="11"/>
  <c r="AN29" i="11" s="1"/>
  <c r="AM36" i="11"/>
  <c r="AN36" i="11" s="1"/>
  <c r="AM34" i="47"/>
  <c r="AN34" i="47" s="1"/>
  <c r="A66" i="11"/>
  <c r="A243" i="11" s="1"/>
  <c r="AM25" i="11"/>
  <c r="AN25" i="11" s="1"/>
  <c r="AM22" i="11"/>
  <c r="AN22" i="11" s="1"/>
  <c r="AM37" i="47"/>
  <c r="AN37" i="47" s="1"/>
  <c r="AM22" i="47"/>
  <c r="AN22" i="47" s="1"/>
  <c r="AM32" i="11"/>
  <c r="AN32" i="11" s="1"/>
  <c r="AM24" i="47"/>
  <c r="AN24" i="47" s="1"/>
  <c r="AM35" i="11"/>
  <c r="AN35" i="11" s="1"/>
  <c r="AM38" i="11"/>
  <c r="AN38" i="11" s="1"/>
  <c r="AM27" i="47"/>
  <c r="AN27" i="47" s="1"/>
  <c r="AL208" i="47"/>
  <c r="AJ208" i="47"/>
  <c r="AK208" i="47" s="1"/>
  <c r="AL202" i="47"/>
  <c r="AJ202" i="47"/>
  <c r="AV38" i="47"/>
  <c r="AW38" i="47" s="1"/>
  <c r="AX38" i="47" s="1"/>
  <c r="AO38" i="47"/>
  <c r="AO41" i="47"/>
  <c r="AV41" i="47"/>
  <c r="AW41" i="47" s="1"/>
  <c r="AX41" i="47" s="1"/>
  <c r="AL205" i="11"/>
  <c r="AJ205" i="11"/>
  <c r="AK205" i="11" s="1"/>
  <c r="AV33" i="11"/>
  <c r="AW33" i="11" s="1"/>
  <c r="AX33" i="11" s="1"/>
  <c r="AO33" i="11"/>
  <c r="AL214" i="11"/>
  <c r="AJ214" i="11"/>
  <c r="AO22" i="11"/>
  <c r="AV22" i="11"/>
  <c r="AW22" i="11" s="1"/>
  <c r="AX22" i="11" s="1"/>
  <c r="AV35" i="11"/>
  <c r="AW35" i="11" s="1"/>
  <c r="AX35" i="11" s="1"/>
  <c r="AO35" i="11"/>
  <c r="AL210" i="11"/>
  <c r="AJ210" i="11"/>
  <c r="AL200" i="47"/>
  <c r="AJ200" i="47"/>
  <c r="AK200" i="47" s="1"/>
  <c r="AL215" i="47"/>
  <c r="AJ215" i="47"/>
  <c r="AK215" i="47" s="1"/>
  <c r="AO40" i="54"/>
  <c r="AP40" i="54" s="1"/>
  <c r="AV40" i="54"/>
  <c r="AW40" i="54" s="1"/>
  <c r="AX40" i="54" s="1"/>
  <c r="AJ201" i="47"/>
  <c r="AK201" i="47" s="1"/>
  <c r="AL201" i="47"/>
  <c r="AO22" i="47"/>
  <c r="AV22" i="47"/>
  <c r="AW22" i="47" s="1"/>
  <c r="AX22" i="47" s="1"/>
  <c r="AL217" i="11"/>
  <c r="AJ217" i="11"/>
  <c r="AV25" i="47"/>
  <c r="AW25" i="47" s="1"/>
  <c r="AX25" i="47" s="1"/>
  <c r="AO25" i="47"/>
  <c r="AL211" i="47"/>
  <c r="AJ211" i="47"/>
  <c r="AM23" i="47"/>
  <c r="AN23" i="47" s="1"/>
  <c r="AO30" i="47"/>
  <c r="AV30" i="47"/>
  <c r="AW30" i="47" s="1"/>
  <c r="AX30" i="47" s="1"/>
  <c r="AM34" i="11"/>
  <c r="AN34" i="11" s="1"/>
  <c r="AL212" i="11"/>
  <c r="AJ212" i="11"/>
  <c r="AK212" i="11" s="1"/>
  <c r="AK38" i="11"/>
  <c r="AO41" i="54"/>
  <c r="AV41" i="54"/>
  <c r="AW41" i="54" s="1"/>
  <c r="AX41" i="54" s="1"/>
  <c r="AL202" i="11"/>
  <c r="AJ202" i="11"/>
  <c r="AK202" i="11" s="1"/>
  <c r="AO32" i="47"/>
  <c r="AV32" i="47"/>
  <c r="AW32" i="47" s="1"/>
  <c r="AX32" i="47" s="1"/>
  <c r="AM26" i="47"/>
  <c r="AN26" i="47" s="1"/>
  <c r="AK26" i="47"/>
  <c r="AL209" i="11"/>
  <c r="AJ209" i="11"/>
  <c r="AL209" i="47"/>
  <c r="AJ209" i="47"/>
  <c r="AL205" i="47"/>
  <c r="AJ205" i="47"/>
  <c r="AK35" i="47"/>
  <c r="O160" i="54"/>
  <c r="AL213" i="47"/>
  <c r="AJ213" i="47"/>
  <c r="AK213" i="47" s="1"/>
  <c r="AK40" i="11"/>
  <c r="AM37" i="11"/>
  <c r="AN37" i="11" s="1"/>
  <c r="AK32" i="11"/>
  <c r="AV24" i="47"/>
  <c r="AW24" i="47" s="1"/>
  <c r="AX24" i="47" s="1"/>
  <c r="AO24" i="47"/>
  <c r="AK36" i="11"/>
  <c r="AJ213" i="11"/>
  <c r="AL213" i="11"/>
  <c r="AL203" i="47"/>
  <c r="AJ203" i="47"/>
  <c r="AL206" i="47"/>
  <c r="AJ206" i="47"/>
  <c r="AL204" i="47"/>
  <c r="AJ204" i="47"/>
  <c r="AK204" i="47" s="1"/>
  <c r="AJ212" i="47"/>
  <c r="AL212" i="47"/>
  <c r="AO23" i="47"/>
  <c r="AV23" i="47"/>
  <c r="AW23" i="47" s="1"/>
  <c r="AX23" i="47" s="1"/>
  <c r="AK34" i="11"/>
  <c r="AM28" i="47"/>
  <c r="AN28" i="47" s="1"/>
  <c r="AM39" i="47"/>
  <c r="AN39" i="47" s="1"/>
  <c r="AK37" i="47"/>
  <c r="AM32" i="47"/>
  <c r="AN32" i="47" s="1"/>
  <c r="AL211" i="11"/>
  <c r="AJ211" i="11"/>
  <c r="AM24" i="11"/>
  <c r="AN24" i="11" s="1"/>
  <c r="AM23" i="11"/>
  <c r="AN23" i="11" s="1"/>
  <c r="AO26" i="11"/>
  <c r="AV26" i="11"/>
  <c r="AW26" i="11" s="1"/>
  <c r="AX26" i="11" s="1"/>
  <c r="AJ199" i="47"/>
  <c r="AK199" i="47" s="1"/>
  <c r="AL199" i="47"/>
  <c r="AJ201" i="11"/>
  <c r="AK201" i="11" s="1"/>
  <c r="AL201" i="11"/>
  <c r="AV33" i="47"/>
  <c r="AW33" i="47" s="1"/>
  <c r="AX33" i="47" s="1"/>
  <c r="AO33" i="47"/>
  <c r="AK29" i="11"/>
  <c r="AO33" i="54"/>
  <c r="AP33" i="54" s="1"/>
  <c r="AV33" i="54"/>
  <c r="AW33" i="54" s="1"/>
  <c r="AX33" i="54" s="1"/>
  <c r="AL203" i="11"/>
  <c r="AJ203" i="11"/>
  <c r="AK203" i="11" s="1"/>
  <c r="AO27" i="47"/>
  <c r="AV27" i="47"/>
  <c r="AW27" i="47" s="1"/>
  <c r="AX27" i="47" s="1"/>
  <c r="AO24" i="11"/>
  <c r="AV24" i="11"/>
  <c r="AW24" i="11" s="1"/>
  <c r="AX24" i="11" s="1"/>
  <c r="AV23" i="11"/>
  <c r="AW23" i="11" s="1"/>
  <c r="AX23" i="11" s="1"/>
  <c r="AO23" i="11"/>
  <c r="AO29" i="47"/>
  <c r="AV29" i="47"/>
  <c r="AW29" i="47" s="1"/>
  <c r="AX29" i="47" s="1"/>
  <c r="AJ206" i="11"/>
  <c r="AK206" i="11" s="1"/>
  <c r="AL206" i="11"/>
  <c r="AV30" i="54"/>
  <c r="AW30" i="54" s="1"/>
  <c r="AX30" i="54" s="1"/>
  <c r="AO30" i="54"/>
  <c r="AM26" i="11"/>
  <c r="AN26" i="11" s="1"/>
  <c r="AM41" i="47"/>
  <c r="AN41" i="47" s="1"/>
  <c r="AL207" i="47"/>
  <c r="AJ207" i="47"/>
  <c r="AK207" i="47" s="1"/>
  <c r="A66" i="47"/>
  <c r="A89" i="47" s="1"/>
  <c r="A266" i="47" s="1"/>
  <c r="AM29" i="47"/>
  <c r="AN29" i="47" s="1"/>
  <c r="AL215" i="11"/>
  <c r="AJ215" i="11"/>
  <c r="AK215" i="11" s="1"/>
  <c r="AO37" i="11"/>
  <c r="AV37" i="11"/>
  <c r="AW37" i="11" s="1"/>
  <c r="AX37" i="11" s="1"/>
  <c r="AK36" i="47"/>
  <c r="AJ214" i="47"/>
  <c r="AL214" i="47"/>
  <c r="AK31" i="11"/>
  <c r="AM25" i="47"/>
  <c r="AN25" i="47" s="1"/>
  <c r="AM33" i="11"/>
  <c r="AN33" i="11" s="1"/>
  <c r="AK34" i="47"/>
  <c r="AV28" i="11"/>
  <c r="AW28" i="11" s="1"/>
  <c r="AX28" i="11" s="1"/>
  <c r="AO28" i="11"/>
  <c r="AV25" i="11"/>
  <c r="AW25" i="11" s="1"/>
  <c r="AX25" i="11" s="1"/>
  <c r="AO25" i="11"/>
  <c r="AM30" i="47"/>
  <c r="AN30" i="47" s="1"/>
  <c r="AK31" i="47"/>
  <c r="AL208" i="11"/>
  <c r="AJ208" i="11"/>
  <c r="AK208" i="11" s="1"/>
  <c r="AO28" i="47"/>
  <c r="AV28" i="47"/>
  <c r="AW28" i="47" s="1"/>
  <c r="AX28" i="47" s="1"/>
  <c r="AL218" i="47"/>
  <c r="AJ218" i="47"/>
  <c r="AK218" i="47" s="1"/>
  <c r="AV39" i="47"/>
  <c r="AW39" i="47" s="1"/>
  <c r="AX39" i="47" s="1"/>
  <c r="AO39" i="47"/>
  <c r="AJ216" i="47"/>
  <c r="AK216" i="47" s="1"/>
  <c r="AL216" i="47"/>
  <c r="J160" i="54"/>
  <c r="T201" i="11" l="1"/>
  <c r="R201" i="11"/>
  <c r="T202" i="47"/>
  <c r="T200" i="47"/>
  <c r="R201" i="47"/>
  <c r="P209" i="72"/>
  <c r="T204" i="47"/>
  <c r="R204" i="47"/>
  <c r="P208" i="72"/>
  <c r="R203" i="47"/>
  <c r="T203" i="47"/>
  <c r="T199" i="47"/>
  <c r="R199" i="47"/>
  <c r="AY26" i="54"/>
  <c r="AT26" i="54"/>
  <c r="AU26" i="54" s="1"/>
  <c r="AZ26" i="54" s="1"/>
  <c r="P26" i="54" s="1"/>
  <c r="Q26" i="54" s="1"/>
  <c r="T26" i="54" s="1"/>
  <c r="R26" i="54" s="1"/>
  <c r="AP29" i="54"/>
  <c r="AR29" i="54" s="1"/>
  <c r="AP27" i="54"/>
  <c r="AT27" i="54" s="1"/>
  <c r="AP22" i="54"/>
  <c r="AT22" i="54" s="1"/>
  <c r="AP33" i="47"/>
  <c r="AY33" i="47" s="1"/>
  <c r="AO210" i="47"/>
  <c r="AP210" i="47" s="1"/>
  <c r="AV210" i="47"/>
  <c r="AW210" i="47" s="1"/>
  <c r="AX210" i="47" s="1"/>
  <c r="AK207" i="11"/>
  <c r="AO207" i="11" s="1"/>
  <c r="AP207" i="11" s="1"/>
  <c r="AT30" i="11"/>
  <c r="AR30" i="11"/>
  <c r="AS30" i="11" s="1"/>
  <c r="AM218" i="11"/>
  <c r="AN218" i="11" s="1"/>
  <c r="AP218" i="11" s="1"/>
  <c r="AV218" i="11"/>
  <c r="AW218" i="11" s="1"/>
  <c r="AX218" i="11" s="1"/>
  <c r="AT27" i="11"/>
  <c r="AR27" i="11"/>
  <c r="AS27" i="11" s="1"/>
  <c r="AV40" i="47"/>
  <c r="AW40" i="47" s="1"/>
  <c r="AX40" i="47" s="1"/>
  <c r="AP23" i="54"/>
  <c r="AR23" i="54" s="1"/>
  <c r="AS23" i="54" s="1"/>
  <c r="AP24" i="54"/>
  <c r="AY24" i="54" s="1"/>
  <c r="AK217" i="47"/>
  <c r="AO217" i="47" s="1"/>
  <c r="AP217" i="47" s="1"/>
  <c r="AV204" i="11"/>
  <c r="AW204" i="11" s="1"/>
  <c r="AX204" i="11" s="1"/>
  <c r="AV216" i="11"/>
  <c r="AW216" i="11" s="1"/>
  <c r="AX216" i="11" s="1"/>
  <c r="AO204" i="11"/>
  <c r="AP204" i="11" s="1"/>
  <c r="AT204" i="11" s="1"/>
  <c r="AP31" i="54"/>
  <c r="AR31" i="54" s="1"/>
  <c r="AS31" i="54" s="1"/>
  <c r="AM216" i="11"/>
  <c r="AN216" i="11" s="1"/>
  <c r="AP216" i="11" s="1"/>
  <c r="AP39" i="54"/>
  <c r="AT39" i="54" s="1"/>
  <c r="AV37" i="54"/>
  <c r="AW37" i="54" s="1"/>
  <c r="AX37" i="54" s="1"/>
  <c r="AV39" i="11"/>
  <c r="AW39" i="11" s="1"/>
  <c r="AX39" i="11" s="1"/>
  <c r="AO41" i="11"/>
  <c r="AP41" i="11" s="1"/>
  <c r="AY41" i="11" s="1"/>
  <c r="AV41" i="11"/>
  <c r="AW41" i="11" s="1"/>
  <c r="AX41" i="11" s="1"/>
  <c r="AP38" i="54"/>
  <c r="AT38" i="54" s="1"/>
  <c r="AP34" i="54"/>
  <c r="AT34" i="54" s="1"/>
  <c r="AP41" i="54"/>
  <c r="AY41" i="54" s="1"/>
  <c r="AP22" i="47"/>
  <c r="AT22" i="47" s="1"/>
  <c r="AV36" i="54"/>
  <c r="AW36" i="54" s="1"/>
  <c r="AX36" i="54" s="1"/>
  <c r="AP28" i="11"/>
  <c r="AR28" i="11" s="1"/>
  <c r="AP33" i="11"/>
  <c r="AR33" i="11" s="1"/>
  <c r="AP30" i="54"/>
  <c r="AY30" i="54" s="1"/>
  <c r="AP27" i="47"/>
  <c r="AY27" i="47" s="1"/>
  <c r="AT25" i="54"/>
  <c r="AR36" i="54"/>
  <c r="AS36" i="54" s="1"/>
  <c r="AP30" i="47"/>
  <c r="AY30" i="47" s="1"/>
  <c r="AT36" i="54"/>
  <c r="AM211" i="47"/>
  <c r="AN211" i="47" s="1"/>
  <c r="AM217" i="11"/>
  <c r="AN217" i="11" s="1"/>
  <c r="A89" i="11"/>
  <c r="AT32" i="54"/>
  <c r="AU32" i="54" s="1"/>
  <c r="AZ32" i="54" s="1"/>
  <c r="AP35" i="11"/>
  <c r="AR35" i="11" s="1"/>
  <c r="AP38" i="47"/>
  <c r="AY38" i="47" s="1"/>
  <c r="AP26" i="11"/>
  <c r="AR26" i="11" s="1"/>
  <c r="AM211" i="11"/>
  <c r="AN211" i="11" s="1"/>
  <c r="AM212" i="47"/>
  <c r="AN212" i="47" s="1"/>
  <c r="AM213" i="11"/>
  <c r="AN213" i="11" s="1"/>
  <c r="AM214" i="11"/>
  <c r="AN214" i="11" s="1"/>
  <c r="AR25" i="54"/>
  <c r="AS25" i="54" s="1"/>
  <c r="AM214" i="47"/>
  <c r="AN214" i="47" s="1"/>
  <c r="AP41" i="47"/>
  <c r="AR41" i="47" s="1"/>
  <c r="AM203" i="47"/>
  <c r="AN203" i="47" s="1"/>
  <c r="AM205" i="47"/>
  <c r="AN205" i="47" s="1"/>
  <c r="AM202" i="11"/>
  <c r="AN202" i="11" s="1"/>
  <c r="AK211" i="47"/>
  <c r="AO211" i="47" s="1"/>
  <c r="AM210" i="11"/>
  <c r="AN210" i="11" s="1"/>
  <c r="AM202" i="47"/>
  <c r="AN202" i="47" s="1"/>
  <c r="AY32" i="54"/>
  <c r="AY28" i="54"/>
  <c r="AR28" i="54"/>
  <c r="AU28" i="54" s="1"/>
  <c r="AZ28" i="54" s="1"/>
  <c r="P28" i="54" s="1"/>
  <c r="Q28" i="54" s="1"/>
  <c r="T28" i="54" s="1"/>
  <c r="R28" i="54" s="1"/>
  <c r="AP29" i="47"/>
  <c r="AR29" i="47" s="1"/>
  <c r="AP32" i="47"/>
  <c r="AR32" i="47" s="1"/>
  <c r="AP24" i="47"/>
  <c r="AR24" i="47" s="1"/>
  <c r="AM209" i="47"/>
  <c r="AN209" i="47" s="1"/>
  <c r="AM209" i="11"/>
  <c r="AN209" i="11" s="1"/>
  <c r="AK210" i="11"/>
  <c r="AV210" i="11" s="1"/>
  <c r="AW210" i="11" s="1"/>
  <c r="AX210" i="11" s="1"/>
  <c r="AM205" i="11"/>
  <c r="AN205" i="11" s="1"/>
  <c r="AM199" i="47"/>
  <c r="AN199" i="47" s="1"/>
  <c r="AP25" i="11"/>
  <c r="AR25" i="11" s="1"/>
  <c r="AM207" i="47"/>
  <c r="AN207" i="47" s="1"/>
  <c r="AM203" i="11"/>
  <c r="AN203" i="11" s="1"/>
  <c r="AM206" i="47"/>
  <c r="AN206" i="47" s="1"/>
  <c r="AK209" i="47"/>
  <c r="AV209" i="47" s="1"/>
  <c r="AW209" i="47" s="1"/>
  <c r="AX209" i="47" s="1"/>
  <c r="AK209" i="11"/>
  <c r="AO209" i="11" s="1"/>
  <c r="AM201" i="47"/>
  <c r="AN201" i="47" s="1"/>
  <c r="AP22" i="11"/>
  <c r="AT22" i="11" s="1"/>
  <c r="AV204" i="47"/>
  <c r="AW204" i="47" s="1"/>
  <c r="AX204" i="47" s="1"/>
  <c r="AO204" i="47"/>
  <c r="AO206" i="11"/>
  <c r="AV206" i="11"/>
  <c r="AW206" i="11" s="1"/>
  <c r="AX206" i="11" s="1"/>
  <c r="AO34" i="47"/>
  <c r="AP34" i="47" s="1"/>
  <c r="AV34" i="47"/>
  <c r="AW34" i="47" s="1"/>
  <c r="AX34" i="47" s="1"/>
  <c r="AO207" i="47"/>
  <c r="AV207" i="47"/>
  <c r="AW207" i="47" s="1"/>
  <c r="AX207" i="47" s="1"/>
  <c r="AS26" i="54"/>
  <c r="AO213" i="47"/>
  <c r="AV213" i="47"/>
  <c r="AW213" i="47" s="1"/>
  <c r="AX213" i="47" s="1"/>
  <c r="AT40" i="54"/>
  <c r="AR40" i="54"/>
  <c r="AY40" i="54"/>
  <c r="AO199" i="47"/>
  <c r="AV199" i="47"/>
  <c r="AW199" i="47" s="1"/>
  <c r="AX199" i="47" s="1"/>
  <c r="AK203" i="47"/>
  <c r="AO36" i="11"/>
  <c r="AP36" i="11" s="1"/>
  <c r="AV36" i="11"/>
  <c r="AW36" i="11" s="1"/>
  <c r="AX36" i="11" s="1"/>
  <c r="AT35" i="54"/>
  <c r="AR35" i="54"/>
  <c r="AY35" i="54"/>
  <c r="AO38" i="11"/>
  <c r="AP38" i="11" s="1"/>
  <c r="AV38" i="11"/>
  <c r="AW38" i="11" s="1"/>
  <c r="AX38" i="11" s="1"/>
  <c r="AK202" i="47"/>
  <c r="AM216" i="47"/>
  <c r="AN216" i="47" s="1"/>
  <c r="AM218" i="47"/>
  <c r="AN218" i="47" s="1"/>
  <c r="AM208" i="11"/>
  <c r="AN208" i="11" s="1"/>
  <c r="AO31" i="47"/>
  <c r="AP31" i="47" s="1"/>
  <c r="AV31" i="47"/>
  <c r="AW31" i="47" s="1"/>
  <c r="AX31" i="47" s="1"/>
  <c r="AP25" i="47"/>
  <c r="AK214" i="47"/>
  <c r="A243" i="47"/>
  <c r="AO29" i="11"/>
  <c r="AP29" i="11" s="1"/>
  <c r="AV29" i="11"/>
  <c r="AW29" i="11" s="1"/>
  <c r="AX29" i="11" s="1"/>
  <c r="AV201" i="11"/>
  <c r="AW201" i="11" s="1"/>
  <c r="AX201" i="11" s="1"/>
  <c r="AO201" i="11"/>
  <c r="AP23" i="11"/>
  <c r="AO37" i="47"/>
  <c r="AP37" i="47" s="1"/>
  <c r="AV37" i="47"/>
  <c r="AW37" i="47" s="1"/>
  <c r="AX37" i="47" s="1"/>
  <c r="AP28" i="47"/>
  <c r="AK212" i="47"/>
  <c r="AK206" i="47"/>
  <c r="AP37" i="11"/>
  <c r="A112" i="47"/>
  <c r="AV35" i="47"/>
  <c r="AW35" i="47" s="1"/>
  <c r="AX35" i="47" s="1"/>
  <c r="AO35" i="47"/>
  <c r="AP35" i="47" s="1"/>
  <c r="AK205" i="47"/>
  <c r="AS32" i="54"/>
  <c r="AM212" i="11"/>
  <c r="AN212" i="11" s="1"/>
  <c r="AM215" i="47"/>
  <c r="AN215" i="47" s="1"/>
  <c r="AM200" i="47"/>
  <c r="AN200" i="47" s="1"/>
  <c r="AK214" i="11"/>
  <c r="AV215" i="11"/>
  <c r="AW215" i="11" s="1"/>
  <c r="AX215" i="11" s="1"/>
  <c r="AO215" i="11"/>
  <c r="AV26" i="47"/>
  <c r="AW26" i="47" s="1"/>
  <c r="AX26" i="47" s="1"/>
  <c r="AO26" i="47"/>
  <c r="AP26" i="47" s="1"/>
  <c r="AV212" i="11"/>
  <c r="AW212" i="11" s="1"/>
  <c r="AX212" i="11" s="1"/>
  <c r="AO212" i="11"/>
  <c r="AO216" i="47"/>
  <c r="AV216" i="47"/>
  <c r="AW216" i="47" s="1"/>
  <c r="AX216" i="47" s="1"/>
  <c r="AO218" i="47"/>
  <c r="AV218" i="47"/>
  <c r="AW218" i="47" s="1"/>
  <c r="AX218" i="47" s="1"/>
  <c r="AO208" i="11"/>
  <c r="AV208" i="11"/>
  <c r="AW208" i="11" s="1"/>
  <c r="AX208" i="11" s="1"/>
  <c r="AT33" i="54"/>
  <c r="AR33" i="54"/>
  <c r="AY33" i="54"/>
  <c r="AK213" i="11"/>
  <c r="AO32" i="11"/>
  <c r="AP32" i="11" s="1"/>
  <c r="AV32" i="11"/>
  <c r="AW32" i="11" s="1"/>
  <c r="AX32" i="11" s="1"/>
  <c r="AM213" i="47"/>
  <c r="AN213" i="47" s="1"/>
  <c r="AK217" i="11"/>
  <c r="AR39" i="11"/>
  <c r="AT39" i="11"/>
  <c r="AY39" i="11"/>
  <c r="AO208" i="47"/>
  <c r="AV208" i="47"/>
  <c r="AW208" i="47" s="1"/>
  <c r="AX208" i="47" s="1"/>
  <c r="AO31" i="11"/>
  <c r="AP31" i="11" s="1"/>
  <c r="AV31" i="11"/>
  <c r="AW31" i="11" s="1"/>
  <c r="AX31" i="11" s="1"/>
  <c r="AO36" i="47"/>
  <c r="AP36" i="47" s="1"/>
  <c r="AV36" i="47"/>
  <c r="AW36" i="47" s="1"/>
  <c r="AX36" i="47" s="1"/>
  <c r="AM215" i="11"/>
  <c r="AN215" i="11" s="1"/>
  <c r="AT40" i="47"/>
  <c r="AR40" i="47"/>
  <c r="AY40" i="47"/>
  <c r="AM206" i="11"/>
  <c r="AN206" i="11" s="1"/>
  <c r="AR37" i="54"/>
  <c r="AT37" i="54"/>
  <c r="AY37" i="54"/>
  <c r="AO203" i="11"/>
  <c r="AV203" i="11"/>
  <c r="AW203" i="11" s="1"/>
  <c r="AX203" i="11" s="1"/>
  <c r="AM201" i="11"/>
  <c r="AN201" i="11" s="1"/>
  <c r="AP24" i="11"/>
  <c r="AK211" i="11"/>
  <c r="AP39" i="47"/>
  <c r="AV34" i="11"/>
  <c r="AW34" i="11" s="1"/>
  <c r="AX34" i="11" s="1"/>
  <c r="AO34" i="11"/>
  <c r="AP34" i="11" s="1"/>
  <c r="AM204" i="47"/>
  <c r="AN204" i="47" s="1"/>
  <c r="AO40" i="11"/>
  <c r="AP40" i="11" s="1"/>
  <c r="AV40" i="11"/>
  <c r="AW40" i="11" s="1"/>
  <c r="AX40" i="11" s="1"/>
  <c r="AO202" i="11"/>
  <c r="AV202" i="11"/>
  <c r="AW202" i="11" s="1"/>
  <c r="AX202" i="11" s="1"/>
  <c r="AP23" i="47"/>
  <c r="AO201" i="47"/>
  <c r="AV201" i="47"/>
  <c r="AW201" i="47" s="1"/>
  <c r="AX201" i="47" s="1"/>
  <c r="AO215" i="47"/>
  <c r="AV215" i="47"/>
  <c r="AW215" i="47" s="1"/>
  <c r="AX215" i="47" s="1"/>
  <c r="AV200" i="47"/>
  <c r="AW200" i="47" s="1"/>
  <c r="AX200" i="47" s="1"/>
  <c r="AO200" i="47"/>
  <c r="AO205" i="11"/>
  <c r="AV205" i="11"/>
  <c r="AW205" i="11" s="1"/>
  <c r="AX205" i="11" s="1"/>
  <c r="AM208" i="47"/>
  <c r="AN208" i="47" s="1"/>
  <c r="AT29" i="54" l="1"/>
  <c r="AU29" i="54" s="1"/>
  <c r="AZ29" i="54" s="1"/>
  <c r="P29" i="54" s="1"/>
  <c r="Q29" i="54" s="1"/>
  <c r="T29" i="54" s="1"/>
  <c r="R29" i="54" s="1"/>
  <c r="AY29" i="54"/>
  <c r="A135" i="47"/>
  <c r="A312" i="47" s="1"/>
  <c r="AR27" i="54"/>
  <c r="AU27" i="54" s="1"/>
  <c r="AZ27" i="54" s="1"/>
  <c r="P27" i="54" s="1"/>
  <c r="Q27" i="54" s="1"/>
  <c r="T27" i="54" s="1"/>
  <c r="R27" i="54" s="1"/>
  <c r="AY27" i="54"/>
  <c r="AR22" i="54"/>
  <c r="AS22" i="54" s="1"/>
  <c r="AY22" i="54"/>
  <c r="AT33" i="47"/>
  <c r="AR33" i="47"/>
  <c r="AS33" i="47" s="1"/>
  <c r="AV207" i="11"/>
  <c r="AW207" i="11" s="1"/>
  <c r="AX207" i="11" s="1"/>
  <c r="AU30" i="11"/>
  <c r="AZ30" i="11" s="1"/>
  <c r="AY218" i="11"/>
  <c r="AT218" i="11"/>
  <c r="AR218" i="11"/>
  <c r="AS218" i="11" s="1"/>
  <c r="AU27" i="11"/>
  <c r="AZ27" i="11" s="1"/>
  <c r="AY23" i="54"/>
  <c r="AT23" i="54"/>
  <c r="AU23" i="54" s="1"/>
  <c r="AZ23" i="54" s="1"/>
  <c r="P23" i="54" s="1"/>
  <c r="Q23" i="54" s="1"/>
  <c r="T23" i="54" s="1"/>
  <c r="R23" i="54" s="1"/>
  <c r="AV217" i="47"/>
  <c r="AW217" i="47" s="1"/>
  <c r="AX217" i="47" s="1"/>
  <c r="AR24" i="54"/>
  <c r="AT24" i="54"/>
  <c r="AR204" i="11"/>
  <c r="AU204" i="11" s="1"/>
  <c r="AZ204" i="11" s="1"/>
  <c r="AY31" i="54"/>
  <c r="AR27" i="47"/>
  <c r="AS27" i="47" s="1"/>
  <c r="AY204" i="11"/>
  <c r="AT31" i="54"/>
  <c r="AU31" i="54" s="1"/>
  <c r="AZ31" i="54" s="1"/>
  <c r="P31" i="54" s="1"/>
  <c r="Q31" i="54" s="1"/>
  <c r="T31" i="54" s="1"/>
  <c r="R31" i="54" s="1"/>
  <c r="AR39" i="54"/>
  <c r="AS39" i="54" s="1"/>
  <c r="AY39" i="54"/>
  <c r="AT41" i="47"/>
  <c r="AU41" i="47" s="1"/>
  <c r="AZ41" i="47" s="1"/>
  <c r="AT29" i="47"/>
  <c r="AU29" i="47" s="1"/>
  <c r="AZ29" i="47" s="1"/>
  <c r="AT30" i="47"/>
  <c r="AV211" i="47"/>
  <c r="AW211" i="47" s="1"/>
  <c r="AX211" i="47" s="1"/>
  <c r="AR41" i="11"/>
  <c r="AS41" i="11" s="1"/>
  <c r="AT41" i="11"/>
  <c r="AY34" i="54"/>
  <c r="AY22" i="47"/>
  <c r="AR34" i="54"/>
  <c r="AU34" i="54" s="1"/>
  <c r="AZ34" i="54" s="1"/>
  <c r="AR22" i="47"/>
  <c r="AU22" i="47" s="1"/>
  <c r="AZ22" i="47" s="1"/>
  <c r="AY38" i="54"/>
  <c r="AR38" i="54"/>
  <c r="AT41" i="54"/>
  <c r="AR41" i="54"/>
  <c r="AS41" i="54" s="1"/>
  <c r="AT35" i="11"/>
  <c r="AU35" i="11" s="1"/>
  <c r="AZ35" i="11" s="1"/>
  <c r="AY35" i="11"/>
  <c r="AR30" i="47"/>
  <c r="AS30" i="47" s="1"/>
  <c r="AP204" i="47"/>
  <c r="AY204" i="47" s="1"/>
  <c r="AT32" i="47"/>
  <c r="AU32" i="47" s="1"/>
  <c r="AZ32" i="47" s="1"/>
  <c r="AT27" i="47"/>
  <c r="AP211" i="47"/>
  <c r="AY211" i="47" s="1"/>
  <c r="AY28" i="11"/>
  <c r="AY22" i="11"/>
  <c r="AO210" i="11"/>
  <c r="AP210" i="11" s="1"/>
  <c r="AT28" i="11"/>
  <c r="AU28" i="11" s="1"/>
  <c r="AZ28" i="11" s="1"/>
  <c r="AT26" i="11"/>
  <c r="AU26" i="11" s="1"/>
  <c r="AZ26" i="11" s="1"/>
  <c r="AY33" i="11"/>
  <c r="AT33" i="11"/>
  <c r="AU33" i="11" s="1"/>
  <c r="AZ33" i="11" s="1"/>
  <c r="AY26" i="11"/>
  <c r="AU25" i="54"/>
  <c r="AZ25" i="54" s="1"/>
  <c r="P25" i="54" s="1"/>
  <c r="Q25" i="54" s="1"/>
  <c r="T25" i="54" s="1"/>
  <c r="R25" i="54" s="1"/>
  <c r="AP209" i="11"/>
  <c r="AY209" i="11" s="1"/>
  <c r="AT30" i="54"/>
  <c r="AR30" i="54"/>
  <c r="AS30" i="54" s="1"/>
  <c r="AP203" i="11"/>
  <c r="AR203" i="11" s="1"/>
  <c r="AT25" i="11"/>
  <c r="AU25" i="11" s="1"/>
  <c r="AZ25" i="11" s="1"/>
  <c r="AU36" i="54"/>
  <c r="AZ36" i="54" s="1"/>
  <c r="AO209" i="47"/>
  <c r="AP209" i="47" s="1"/>
  <c r="AP199" i="47"/>
  <c r="AR199" i="47" s="1"/>
  <c r="AP201" i="47"/>
  <c r="AR201" i="47" s="1"/>
  <c r="AY29" i="47"/>
  <c r="AY41" i="47"/>
  <c r="AR38" i="47"/>
  <c r="AT38" i="47"/>
  <c r="AP202" i="11"/>
  <c r="AT202" i="11" s="1"/>
  <c r="A266" i="11"/>
  <c r="A112" i="11"/>
  <c r="AP218" i="47"/>
  <c r="AR218" i="47" s="1"/>
  <c r="AS28" i="54"/>
  <c r="AP205" i="11"/>
  <c r="AR205" i="11" s="1"/>
  <c r="AY24" i="47"/>
  <c r="AR22" i="11"/>
  <c r="AS22" i="11" s="1"/>
  <c r="AY32" i="47"/>
  <c r="AV209" i="11"/>
  <c r="AW209" i="11" s="1"/>
  <c r="AX209" i="11" s="1"/>
  <c r="AY25" i="11"/>
  <c r="AT24" i="47"/>
  <c r="AU24" i="47" s="1"/>
  <c r="AZ24" i="47" s="1"/>
  <c r="AP200" i="47"/>
  <c r="AT200" i="47" s="1"/>
  <c r="AP207" i="47"/>
  <c r="AT207" i="47" s="1"/>
  <c r="AT34" i="11"/>
  <c r="AR34" i="11"/>
  <c r="AY34" i="11"/>
  <c r="AT24" i="11"/>
  <c r="AR24" i="11"/>
  <c r="AY24" i="11"/>
  <c r="AT36" i="47"/>
  <c r="AR36" i="47"/>
  <c r="AY36" i="47"/>
  <c r="AO213" i="11"/>
  <c r="AP213" i="11" s="1"/>
  <c r="AV213" i="11"/>
  <c r="AW213" i="11" s="1"/>
  <c r="AX213" i="11" s="1"/>
  <c r="AS35" i="11"/>
  <c r="AP208" i="11"/>
  <c r="AS25" i="11"/>
  <c r="AT23" i="47"/>
  <c r="AR23" i="47"/>
  <c r="AY23" i="47"/>
  <c r="AT40" i="11"/>
  <c r="AR40" i="11"/>
  <c r="AY40" i="11"/>
  <c r="AU37" i="54"/>
  <c r="AZ37" i="54" s="1"/>
  <c r="AS37" i="54"/>
  <c r="AP213" i="47"/>
  <c r="AS41" i="47"/>
  <c r="AP215" i="47"/>
  <c r="AV206" i="47"/>
  <c r="AW206" i="47" s="1"/>
  <c r="AX206" i="47" s="1"/>
  <c r="AO206" i="47"/>
  <c r="AP206" i="47" s="1"/>
  <c r="AT36" i="11"/>
  <c r="AR36" i="11"/>
  <c r="AY36" i="11"/>
  <c r="AS28" i="11"/>
  <c r="AP208" i="47"/>
  <c r="AT216" i="11"/>
  <c r="AR216" i="11"/>
  <c r="AY216" i="11"/>
  <c r="AR39" i="47"/>
  <c r="AT39" i="47"/>
  <c r="AY39" i="47"/>
  <c r="AP206" i="11"/>
  <c r="AP215" i="11"/>
  <c r="AR31" i="11"/>
  <c r="AT31" i="11"/>
  <c r="AY31" i="11"/>
  <c r="AS39" i="11"/>
  <c r="AU39" i="11"/>
  <c r="AZ39" i="11" s="1"/>
  <c r="AS33" i="54"/>
  <c r="AU33" i="54"/>
  <c r="AZ33" i="54" s="1"/>
  <c r="AS26" i="11"/>
  <c r="AP212" i="11"/>
  <c r="A289" i="47"/>
  <c r="AO212" i="47"/>
  <c r="AP212" i="47" s="1"/>
  <c r="AV212" i="47"/>
  <c r="AW212" i="47" s="1"/>
  <c r="AX212" i="47" s="1"/>
  <c r="AT37" i="47"/>
  <c r="AR37" i="47"/>
  <c r="AY37" i="47"/>
  <c r="AP216" i="47"/>
  <c r="AR38" i="11"/>
  <c r="AT38" i="11"/>
  <c r="AY38" i="11"/>
  <c r="AU35" i="54"/>
  <c r="AZ35" i="54" s="1"/>
  <c r="AS35" i="54"/>
  <c r="AO203" i="47"/>
  <c r="AP203" i="47" s="1"/>
  <c r="AV203" i="47"/>
  <c r="AW203" i="47" s="1"/>
  <c r="AX203" i="47" s="1"/>
  <c r="AS29" i="54"/>
  <c r="AT34" i="47"/>
  <c r="AR34" i="47"/>
  <c r="AY34" i="47"/>
  <c r="AS40" i="47"/>
  <c r="AU40" i="47"/>
  <c r="AZ40" i="47" s="1"/>
  <c r="AS29" i="47"/>
  <c r="AT26" i="47"/>
  <c r="AR26" i="47"/>
  <c r="AY26" i="47"/>
  <c r="AT35" i="47"/>
  <c r="AR35" i="47"/>
  <c r="AY35" i="47"/>
  <c r="AR210" i="47"/>
  <c r="AT210" i="47"/>
  <c r="AY210" i="47"/>
  <c r="AT28" i="47"/>
  <c r="AR28" i="47"/>
  <c r="AY28" i="47"/>
  <c r="AT25" i="47"/>
  <c r="AR25" i="47"/>
  <c r="AY25" i="47"/>
  <c r="AV202" i="47"/>
  <c r="AW202" i="47" s="1"/>
  <c r="AX202" i="47" s="1"/>
  <c r="AO202" i="47"/>
  <c r="AP202" i="47" s="1"/>
  <c r="AR207" i="11"/>
  <c r="AT207" i="11"/>
  <c r="AY207" i="11"/>
  <c r="AR217" i="47"/>
  <c r="AT217" i="47"/>
  <c r="AY217" i="47"/>
  <c r="AV211" i="11"/>
  <c r="AW211" i="11" s="1"/>
  <c r="AX211" i="11" s="1"/>
  <c r="AO211" i="11"/>
  <c r="AP211" i="11" s="1"/>
  <c r="AP201" i="11"/>
  <c r="AO217" i="11"/>
  <c r="AP217" i="11" s="1"/>
  <c r="AV217" i="11"/>
  <c r="AW217" i="11" s="1"/>
  <c r="AX217" i="11" s="1"/>
  <c r="AR32" i="11"/>
  <c r="AT32" i="11"/>
  <c r="AY32" i="11"/>
  <c r="AS32" i="47"/>
  <c r="AV214" i="11"/>
  <c r="AW214" i="11" s="1"/>
  <c r="AX214" i="11" s="1"/>
  <c r="AO214" i="11"/>
  <c r="AP214" i="11" s="1"/>
  <c r="AO205" i="47"/>
  <c r="AP205" i="47" s="1"/>
  <c r="AV205" i="47"/>
  <c r="AW205" i="47" s="1"/>
  <c r="AX205" i="47" s="1"/>
  <c r="AT37" i="11"/>
  <c r="AR37" i="11"/>
  <c r="AY37" i="11"/>
  <c r="AR23" i="11"/>
  <c r="AT23" i="11"/>
  <c r="AY23" i="11"/>
  <c r="AT29" i="11"/>
  <c r="AR29" i="11"/>
  <c r="AY29" i="11"/>
  <c r="AO214" i="47"/>
  <c r="AP214" i="47" s="1"/>
  <c r="AV214" i="47"/>
  <c r="AW214" i="47" s="1"/>
  <c r="AX214" i="47" s="1"/>
  <c r="AT31" i="47"/>
  <c r="AR31" i="47"/>
  <c r="AY31" i="47"/>
  <c r="AS33" i="11"/>
  <c r="AS40" i="54"/>
  <c r="AU40" i="54"/>
  <c r="AZ40" i="54" s="1"/>
  <c r="AS24" i="47"/>
  <c r="J193" i="47" l="1"/>
  <c r="L193" i="47"/>
  <c r="J370" i="47"/>
  <c r="A158" i="47"/>
  <c r="L192" i="47" s="1"/>
  <c r="O193" i="47"/>
  <c r="AS27" i="54"/>
  <c r="AU22" i="54"/>
  <c r="AZ22" i="54" s="1"/>
  <c r="P22" i="54" s="1"/>
  <c r="Q22" i="54" s="1"/>
  <c r="T22" i="54" s="1"/>
  <c r="R22" i="54" s="1"/>
  <c r="AU33" i="47"/>
  <c r="AZ33" i="47" s="1"/>
  <c r="O27" i="72"/>
  <c r="AU218" i="11"/>
  <c r="AZ218" i="11" s="1"/>
  <c r="O29" i="63"/>
  <c r="O209" i="63"/>
  <c r="O28" i="63"/>
  <c r="O31" i="63"/>
  <c r="O30" i="63"/>
  <c r="AU24" i="54"/>
  <c r="AZ24" i="54" s="1"/>
  <c r="P24" i="54" s="1"/>
  <c r="Q24" i="54" s="1"/>
  <c r="T24" i="54" s="1"/>
  <c r="R24" i="54" s="1"/>
  <c r="AS24" i="54"/>
  <c r="AU27" i="47"/>
  <c r="AZ27" i="47" s="1"/>
  <c r="AS204" i="11"/>
  <c r="AU39" i="54"/>
  <c r="AZ39" i="54" s="1"/>
  <c r="AT199" i="47"/>
  <c r="AU199" i="47" s="1"/>
  <c r="AZ199" i="47" s="1"/>
  <c r="AY199" i="47"/>
  <c r="AR204" i="47"/>
  <c r="AS204" i="47" s="1"/>
  <c r="AT211" i="47"/>
  <c r="AU30" i="47"/>
  <c r="AZ30" i="47" s="1"/>
  <c r="AR211" i="47"/>
  <c r="AS211" i="47" s="1"/>
  <c r="AS22" i="47"/>
  <c r="AT204" i="47"/>
  <c r="AR200" i="47"/>
  <c r="AU200" i="47" s="1"/>
  <c r="AZ200" i="47" s="1"/>
  <c r="AU41" i="11"/>
  <c r="AZ41" i="11" s="1"/>
  <c r="AU41" i="54"/>
  <c r="AZ41" i="54" s="1"/>
  <c r="AS34" i="54"/>
  <c r="AU38" i="54"/>
  <c r="AZ38" i="54" s="1"/>
  <c r="AS38" i="54"/>
  <c r="AT209" i="11"/>
  <c r="AR209" i="11"/>
  <c r="AS209" i="11" s="1"/>
  <c r="AT218" i="47"/>
  <c r="AU218" i="47" s="1"/>
  <c r="AZ218" i="47" s="1"/>
  <c r="AY218" i="47"/>
  <c r="AR210" i="11"/>
  <c r="AS210" i="11" s="1"/>
  <c r="AY210" i="11"/>
  <c r="AY203" i="11"/>
  <c r="AT210" i="11"/>
  <c r="AU30" i="54"/>
  <c r="AZ30" i="54" s="1"/>
  <c r="P30" i="54" s="1"/>
  <c r="Q30" i="54" s="1"/>
  <c r="T30" i="54" s="1"/>
  <c r="R30" i="54" s="1"/>
  <c r="AY202" i="11"/>
  <c r="AT203" i="11"/>
  <c r="AU203" i="11" s="1"/>
  <c r="AZ203" i="11" s="1"/>
  <c r="AT209" i="47"/>
  <c r="AR209" i="47"/>
  <c r="AS209" i="47" s="1"/>
  <c r="AY209" i="47"/>
  <c r="AY201" i="47"/>
  <c r="AU22" i="11"/>
  <c r="AZ22" i="11" s="1"/>
  <c r="AU38" i="47"/>
  <c r="AZ38" i="47" s="1"/>
  <c r="AS38" i="47"/>
  <c r="AT201" i="47"/>
  <c r="AU201" i="47" s="1"/>
  <c r="AZ201" i="47" s="1"/>
  <c r="AR202" i="11"/>
  <c r="AS202" i="11" s="1"/>
  <c r="AY205" i="11"/>
  <c r="AT205" i="11"/>
  <c r="AU205" i="11" s="1"/>
  <c r="AZ205" i="11" s="1"/>
  <c r="AY200" i="47"/>
  <c r="A289" i="11"/>
  <c r="A135" i="11"/>
  <c r="O370" i="47"/>
  <c r="O373" i="47" s="1"/>
  <c r="AR207" i="47"/>
  <c r="AS207" i="47" s="1"/>
  <c r="AY207" i="47"/>
  <c r="AU207" i="11"/>
  <c r="AZ207" i="11" s="1"/>
  <c r="AS207" i="11"/>
  <c r="AS25" i="47"/>
  <c r="AU25" i="47"/>
  <c r="AZ25" i="47" s="1"/>
  <c r="AU26" i="47"/>
  <c r="AZ26" i="47" s="1"/>
  <c r="AS26" i="47"/>
  <c r="AR216" i="47"/>
  <c r="AT216" i="47"/>
  <c r="AY216" i="47"/>
  <c r="AR212" i="47"/>
  <c r="AT212" i="47"/>
  <c r="AY212" i="47"/>
  <c r="AS39" i="47"/>
  <c r="AU39" i="47"/>
  <c r="AZ39" i="47" s="1"/>
  <c r="AS218" i="47"/>
  <c r="AT215" i="47"/>
  <c r="AR215" i="47"/>
  <c r="AY215" i="47"/>
  <c r="AS23" i="47"/>
  <c r="AU23" i="47"/>
  <c r="AZ23" i="47" s="1"/>
  <c r="AU37" i="11"/>
  <c r="AZ37" i="11" s="1"/>
  <c r="AS37" i="11"/>
  <c r="AR217" i="11"/>
  <c r="AT217" i="11"/>
  <c r="AY217" i="11"/>
  <c r="AT202" i="47"/>
  <c r="AR202" i="47"/>
  <c r="AY202" i="47"/>
  <c r="AS35" i="47"/>
  <c r="AU35" i="47"/>
  <c r="AZ35" i="47" s="1"/>
  <c r="AU34" i="47"/>
  <c r="AZ34" i="47" s="1"/>
  <c r="AS34" i="47"/>
  <c r="AU37" i="47"/>
  <c r="AZ37" i="47" s="1"/>
  <c r="AS37" i="47"/>
  <c r="AR212" i="11"/>
  <c r="AT212" i="11"/>
  <c r="AY212" i="11"/>
  <c r="AU31" i="11"/>
  <c r="AZ31" i="11" s="1"/>
  <c r="AS31" i="11"/>
  <c r="AS216" i="11"/>
  <c r="AU216" i="11"/>
  <c r="AZ216" i="11" s="1"/>
  <c r="AS36" i="11"/>
  <c r="AU36" i="11"/>
  <c r="AZ36" i="11" s="1"/>
  <c r="AT213" i="47"/>
  <c r="AR213" i="47"/>
  <c r="AY213" i="47"/>
  <c r="AU40" i="11"/>
  <c r="AZ40" i="11" s="1"/>
  <c r="AS40" i="11"/>
  <c r="AT203" i="47"/>
  <c r="AR203" i="47"/>
  <c r="AY203" i="47"/>
  <c r="AR215" i="11"/>
  <c r="AT215" i="11"/>
  <c r="AY215" i="11"/>
  <c r="AT206" i="47"/>
  <c r="AR206" i="47"/>
  <c r="AY206" i="47"/>
  <c r="AT213" i="11"/>
  <c r="AR213" i="11"/>
  <c r="AY213" i="11"/>
  <c r="AS24" i="11"/>
  <c r="AU24" i="11"/>
  <c r="AZ24" i="11" s="1"/>
  <c r="AS199" i="47"/>
  <c r="AS203" i="11"/>
  <c r="AR205" i="47"/>
  <c r="AT205" i="47"/>
  <c r="AY205" i="47"/>
  <c r="AS205" i="11"/>
  <c r="AR214" i="47"/>
  <c r="AT214" i="47"/>
  <c r="AY214" i="47"/>
  <c r="AR214" i="11"/>
  <c r="AT214" i="11"/>
  <c r="AY214" i="11"/>
  <c r="L370" i="47"/>
  <c r="AS34" i="11"/>
  <c r="AU34" i="11"/>
  <c r="AZ34" i="11" s="1"/>
  <c r="AS31" i="47"/>
  <c r="AU31" i="47"/>
  <c r="AZ31" i="47" s="1"/>
  <c r="AT201" i="11"/>
  <c r="AR201" i="11"/>
  <c r="AY201" i="11"/>
  <c r="AS29" i="11"/>
  <c r="AU29" i="11"/>
  <c r="AZ29" i="11" s="1"/>
  <c r="AS23" i="11"/>
  <c r="AU23" i="11"/>
  <c r="AZ23" i="11" s="1"/>
  <c r="AS32" i="11"/>
  <c r="AU32" i="11"/>
  <c r="AZ32" i="11" s="1"/>
  <c r="AR211" i="11"/>
  <c r="AT211" i="11"/>
  <c r="AY211" i="11"/>
  <c r="AU217" i="47"/>
  <c r="AZ217" i="47" s="1"/>
  <c r="AS217" i="47"/>
  <c r="AS28" i="47"/>
  <c r="AU28" i="47"/>
  <c r="AZ28" i="47" s="1"/>
  <c r="AS210" i="47"/>
  <c r="AU210" i="47"/>
  <c r="AZ210" i="47" s="1"/>
  <c r="AS38" i="11"/>
  <c r="AU38" i="11"/>
  <c r="AZ38" i="11" s="1"/>
  <c r="AT206" i="11"/>
  <c r="AR206" i="11"/>
  <c r="AY206" i="11"/>
  <c r="AR208" i="47"/>
  <c r="AT208" i="47"/>
  <c r="AY208" i="47"/>
  <c r="AS201" i="47"/>
  <c r="AT208" i="11"/>
  <c r="AR208" i="11"/>
  <c r="AY208" i="11"/>
  <c r="AS36" i="47"/>
  <c r="AU36" i="47"/>
  <c r="AZ36" i="47" s="1"/>
  <c r="A335" i="47" l="1"/>
  <c r="L369" i="47" s="1"/>
  <c r="J192" i="47"/>
  <c r="O192" i="47"/>
  <c r="O32" i="63"/>
  <c r="O25" i="72"/>
  <c r="O28" i="72"/>
  <c r="O206" i="72"/>
  <c r="O26" i="63"/>
  <c r="P31" i="63"/>
  <c r="O25" i="63"/>
  <c r="P30" i="63"/>
  <c r="P28" i="63"/>
  <c r="P29" i="63"/>
  <c r="P209" i="63"/>
  <c r="O27" i="63"/>
  <c r="O210" i="63"/>
  <c r="O208" i="63"/>
  <c r="AU211" i="47"/>
  <c r="AZ211" i="47" s="1"/>
  <c r="AU204" i="47"/>
  <c r="AZ204" i="47" s="1"/>
  <c r="AS200" i="47"/>
  <c r="AU210" i="11"/>
  <c r="AZ210" i="11" s="1"/>
  <c r="AU209" i="11"/>
  <c r="AZ209" i="11" s="1"/>
  <c r="AU202" i="11"/>
  <c r="AZ202" i="11" s="1"/>
  <c r="AU209" i="47"/>
  <c r="AZ209" i="47" s="1"/>
  <c r="A158" i="11"/>
  <c r="A312" i="11"/>
  <c r="L370" i="11" s="1"/>
  <c r="O193" i="11"/>
  <c r="L193" i="11"/>
  <c r="J193" i="11"/>
  <c r="AU207" i="47"/>
  <c r="AZ207" i="47" s="1"/>
  <c r="AU208" i="11"/>
  <c r="AZ208" i="11" s="1"/>
  <c r="AS208" i="11"/>
  <c r="AU208" i="47"/>
  <c r="AZ208" i="47" s="1"/>
  <c r="AS208" i="47"/>
  <c r="AS206" i="47"/>
  <c r="AU206" i="47"/>
  <c r="AZ206" i="47" s="1"/>
  <c r="AU215" i="47"/>
  <c r="AZ215" i="47" s="1"/>
  <c r="AS215" i="47"/>
  <c r="AU212" i="47"/>
  <c r="AZ212" i="47" s="1"/>
  <c r="AS212" i="47"/>
  <c r="AS205" i="47"/>
  <c r="AU205" i="47"/>
  <c r="AZ205" i="47" s="1"/>
  <c r="AS213" i="11"/>
  <c r="AU213" i="11"/>
  <c r="AZ213" i="11" s="1"/>
  <c r="AS215" i="11"/>
  <c r="AU215" i="11"/>
  <c r="AZ215" i="11" s="1"/>
  <c r="AU203" i="47"/>
  <c r="AZ203" i="47" s="1"/>
  <c r="AS203" i="47"/>
  <c r="AS214" i="11"/>
  <c r="AU214" i="11"/>
  <c r="AZ214" i="11" s="1"/>
  <c r="AU216" i="47"/>
  <c r="AZ216" i="47" s="1"/>
  <c r="AS216" i="47"/>
  <c r="AS211" i="11"/>
  <c r="AU211" i="11"/>
  <c r="AZ211" i="11" s="1"/>
  <c r="AS201" i="11"/>
  <c r="AU201" i="11"/>
  <c r="AZ201" i="11" s="1"/>
  <c r="AS213" i="47"/>
  <c r="AU213" i="47"/>
  <c r="AZ213" i="47" s="1"/>
  <c r="AS212" i="11"/>
  <c r="AU212" i="11"/>
  <c r="AZ212" i="11" s="1"/>
  <c r="AU206" i="11"/>
  <c r="AZ206" i="11" s="1"/>
  <c r="AS206" i="11"/>
  <c r="AS214" i="47"/>
  <c r="AU214" i="47"/>
  <c r="AZ214" i="47" s="1"/>
  <c r="AS202" i="47"/>
  <c r="AU202" i="47"/>
  <c r="AZ202" i="47" s="1"/>
  <c r="AS217" i="11"/>
  <c r="AU217" i="11"/>
  <c r="AZ217" i="11" s="1"/>
  <c r="J369" i="47" l="1"/>
  <c r="O369" i="47"/>
  <c r="O211" i="63"/>
  <c r="P32" i="63"/>
  <c r="O205" i="72"/>
  <c r="O26" i="72"/>
  <c r="O204" i="72"/>
  <c r="O207" i="72"/>
  <c r="P28" i="72"/>
  <c r="P25" i="72"/>
  <c r="P27" i="72"/>
  <c r="Q160" i="54"/>
  <c r="Q373" i="47"/>
  <c r="Q193" i="11"/>
  <c r="P210" i="63"/>
  <c r="O206" i="63"/>
  <c r="P208" i="63"/>
  <c r="P27" i="63"/>
  <c r="P25" i="63"/>
  <c r="P26" i="63"/>
  <c r="O207" i="63"/>
  <c r="O192" i="11"/>
  <c r="Q192" i="11"/>
  <c r="J370" i="11"/>
  <c r="O370" i="11"/>
  <c r="O373" i="11" s="1"/>
  <c r="J192" i="11"/>
  <c r="A335" i="11"/>
  <c r="L192" i="11"/>
  <c r="P211" i="63" l="1"/>
  <c r="Q192" i="47"/>
  <c r="V42" i="47"/>
  <c r="P207" i="72"/>
  <c r="V219" i="47"/>
  <c r="R192" i="47"/>
  <c r="P26" i="72"/>
  <c r="O45" i="72" s="1"/>
  <c r="G377" i="72" s="1"/>
  <c r="Q193" i="47"/>
  <c r="P206" i="72"/>
  <c r="P205" i="72"/>
  <c r="P204" i="72"/>
  <c r="T42" i="54"/>
  <c r="G29" i="5" s="1"/>
  <c r="B33" i="6" s="1"/>
  <c r="B45" i="6" s="1"/>
  <c r="R160" i="54"/>
  <c r="P206" i="63"/>
  <c r="P207" i="63"/>
  <c r="T42" i="11"/>
  <c r="T193" i="11" s="1"/>
  <c r="O161" i="63"/>
  <c r="O45" i="63"/>
  <c r="G377" i="63" s="1"/>
  <c r="L369" i="11"/>
  <c r="O369" i="11"/>
  <c r="J369" i="11"/>
  <c r="W42" i="47" l="1"/>
  <c r="T219" i="47"/>
  <c r="Q369" i="47"/>
  <c r="Q370" i="47"/>
  <c r="R193" i="47"/>
  <c r="T42" i="47"/>
  <c r="O161" i="72"/>
  <c r="O340" i="72"/>
  <c r="O224" i="72"/>
  <c r="K377" i="72" s="1"/>
  <c r="O377" i="72" s="1"/>
  <c r="W219" i="47"/>
  <c r="S160" i="54"/>
  <c r="O163" i="54"/>
  <c r="O162" i="54" s="1"/>
  <c r="R373" i="47"/>
  <c r="T192" i="11"/>
  <c r="R193" i="11"/>
  <c r="R192" i="11"/>
  <c r="G32" i="21" l="1"/>
  <c r="H17" i="74" s="1"/>
  <c r="Y219" i="47"/>
  <c r="G30" i="5"/>
  <c r="E22" i="21"/>
  <c r="N13" i="21" s="1"/>
  <c r="A377" i="72"/>
  <c r="X219" i="47"/>
  <c r="Z219" i="47" s="1"/>
  <c r="U377" i="72" s="1"/>
  <c r="T193" i="47"/>
  <c r="T192" i="47"/>
  <c r="I377" i="72"/>
  <c r="T370" i="47"/>
  <c r="O377" i="47"/>
  <c r="O376" i="47" s="1"/>
  <c r="T369" i="47"/>
  <c r="R370" i="47"/>
  <c r="R369" i="47"/>
  <c r="P13" i="21" l="1"/>
  <c r="T13" i="21" s="1"/>
  <c r="T373" i="47"/>
  <c r="S373" i="47"/>
  <c r="I34" i="55"/>
  <c r="E24" i="21"/>
  <c r="E27" i="55" s="1"/>
  <c r="E25" i="55"/>
  <c r="R373" i="11"/>
  <c r="Q373" i="11"/>
  <c r="DG28" i="35"/>
  <c r="DG2" i="35" s="1"/>
  <c r="DF2" i="35"/>
  <c r="G44" i="77" l="1"/>
  <c r="G45" i="77" s="1"/>
  <c r="DH28" i="35"/>
  <c r="DI28" i="35" l="1"/>
  <c r="DH2" i="35"/>
  <c r="T28" i="35" l="1"/>
  <c r="DI2" i="35"/>
  <c r="BW28" i="35" l="1"/>
  <c r="BZ28" i="35" s="1"/>
  <c r="BU28" i="35"/>
  <c r="BV28" i="35" s="1"/>
  <c r="BX28" i="35" l="1"/>
  <c r="BY28" i="35"/>
  <c r="M199" i="11" l="1"/>
  <c r="AB199" i="11"/>
  <c r="AC199" i="11" s="1"/>
  <c r="M222" i="11"/>
  <c r="AB222" i="11"/>
  <c r="AC222" i="11" s="1"/>
  <c r="M337" i="11"/>
  <c r="AB337" i="11"/>
  <c r="AC337" i="11" s="1"/>
  <c r="AB200" i="11"/>
  <c r="AC200" i="11" s="1"/>
  <c r="AB223" i="11"/>
  <c r="AC223" i="11" s="1"/>
  <c r="M223" i="11"/>
  <c r="M338" i="11"/>
  <c r="S338" i="11" s="1"/>
  <c r="M200" i="11"/>
  <c r="S200" i="11" s="1"/>
  <c r="D4" i="35"/>
  <c r="D3" i="35"/>
  <c r="AB338" i="11"/>
  <c r="AC338" i="11" s="1"/>
  <c r="AI199" i="11" l="1"/>
  <c r="S199" i="11"/>
  <c r="N204" i="63"/>
  <c r="AE199" i="11"/>
  <c r="AF199" i="11" s="1"/>
  <c r="P199" i="11" s="1"/>
  <c r="O204" i="63" s="1"/>
  <c r="S222" i="11"/>
  <c r="N227" i="63"/>
  <c r="AE222" i="11"/>
  <c r="AF222" i="11" s="1"/>
  <c r="P222" i="11" s="1"/>
  <c r="AI222" i="11"/>
  <c r="S337" i="11"/>
  <c r="AI337" i="11"/>
  <c r="N343" i="63"/>
  <c r="AE337" i="11"/>
  <c r="AF337" i="11" s="1"/>
  <c r="S223" i="11"/>
  <c r="N228" i="63"/>
  <c r="AI223" i="11"/>
  <c r="AE223" i="11"/>
  <c r="AF223" i="11" s="1"/>
  <c r="P223" i="11" s="1"/>
  <c r="AE200" i="11"/>
  <c r="AF200" i="11" s="1"/>
  <c r="P200" i="11" s="1"/>
  <c r="Q200" i="11" s="1"/>
  <c r="T200" i="11" s="1"/>
  <c r="AI200" i="11"/>
  <c r="AJ200" i="11" s="1"/>
  <c r="AK200" i="11" s="1"/>
  <c r="AI338" i="11"/>
  <c r="AJ338" i="11" s="1"/>
  <c r="N205" i="63"/>
  <c r="AE338" i="11"/>
  <c r="AF338" i="11" s="1"/>
  <c r="N344" i="63"/>
  <c r="Q199" i="11" l="1"/>
  <c r="T199" i="11" s="1"/>
  <c r="AJ199" i="11"/>
  <c r="AL199" i="11"/>
  <c r="AJ222" i="11"/>
  <c r="AL222" i="11"/>
  <c r="Q222" i="11"/>
  <c r="O227" i="63"/>
  <c r="AL337" i="11"/>
  <c r="AJ337" i="11"/>
  <c r="O228" i="63"/>
  <c r="Q223" i="11"/>
  <c r="AL223" i="11"/>
  <c r="AJ223" i="11"/>
  <c r="R200" i="11"/>
  <c r="O205" i="63"/>
  <c r="AL200" i="11"/>
  <c r="AV200" i="11" s="1"/>
  <c r="AW200" i="11" s="1"/>
  <c r="AX200" i="11" s="1"/>
  <c r="AL338" i="11"/>
  <c r="AM338" i="11" s="1"/>
  <c r="AN338" i="11" s="1"/>
  <c r="AK338" i="11"/>
  <c r="P205" i="63"/>
  <c r="Q370" i="11" l="1"/>
  <c r="P204" i="63"/>
  <c r="O224" i="63" s="1"/>
  <c r="R199" i="11"/>
  <c r="AK199" i="11"/>
  <c r="AM199" i="11"/>
  <c r="AN199" i="11" s="1"/>
  <c r="P227" i="63"/>
  <c r="T222" i="11"/>
  <c r="R222" i="11"/>
  <c r="AK222" i="11"/>
  <c r="AM222" i="11"/>
  <c r="AN222" i="11" s="1"/>
  <c r="AK337" i="11"/>
  <c r="AM337" i="11"/>
  <c r="AN337" i="11" s="1"/>
  <c r="AK223" i="11"/>
  <c r="AM223" i="11"/>
  <c r="AN223" i="11" s="1"/>
  <c r="P228" i="63"/>
  <c r="R223" i="11"/>
  <c r="T223" i="11"/>
  <c r="AO200" i="11"/>
  <c r="AM200" i="11"/>
  <c r="AN200" i="11" s="1"/>
  <c r="AO338" i="11"/>
  <c r="AP338" i="11" s="1"/>
  <c r="AR338" i="11" s="1"/>
  <c r="AS338" i="11" s="1"/>
  <c r="AV338" i="11"/>
  <c r="AW338" i="11" s="1"/>
  <c r="AX338" i="11" s="1"/>
  <c r="T219" i="11"/>
  <c r="R370" i="11" l="1"/>
  <c r="AV199" i="11"/>
  <c r="AW199" i="11" s="1"/>
  <c r="AX199" i="11" s="1"/>
  <c r="AO199" i="11"/>
  <c r="AP199" i="11" s="1"/>
  <c r="T242" i="11"/>
  <c r="H37" i="21" s="1"/>
  <c r="O247" i="63"/>
  <c r="I378" i="63" s="1"/>
  <c r="AV222" i="11"/>
  <c r="AW222" i="11" s="1"/>
  <c r="AX222" i="11" s="1"/>
  <c r="AO222" i="11"/>
  <c r="AP222" i="11" s="1"/>
  <c r="AO337" i="11"/>
  <c r="AP337" i="11" s="1"/>
  <c r="AV337" i="11"/>
  <c r="AW337" i="11" s="1"/>
  <c r="AX337" i="11" s="1"/>
  <c r="O340" i="63"/>
  <c r="AV223" i="11"/>
  <c r="AW223" i="11" s="1"/>
  <c r="AX223" i="11" s="1"/>
  <c r="AO223" i="11"/>
  <c r="AP223" i="11" s="1"/>
  <c r="AP200" i="11"/>
  <c r="AR200" i="11" s="1"/>
  <c r="AS200" i="11" s="1"/>
  <c r="AY338" i="11"/>
  <c r="AT338" i="11"/>
  <c r="AU338" i="11" s="1"/>
  <c r="AZ338" i="11" s="1"/>
  <c r="P338" i="11" s="1"/>
  <c r="Q338" i="11" s="1"/>
  <c r="T338" i="11" s="1"/>
  <c r="R338" i="11" s="1"/>
  <c r="I377" i="63"/>
  <c r="K377" i="63"/>
  <c r="O377" i="63" s="1"/>
  <c r="H32" i="21" s="1"/>
  <c r="O377" i="11"/>
  <c r="O376" i="11" s="1"/>
  <c r="AT199" i="11" l="1"/>
  <c r="AR199" i="11"/>
  <c r="AY199" i="11"/>
  <c r="P377" i="11"/>
  <c r="P376" i="11" s="1"/>
  <c r="T370" i="11"/>
  <c r="S373" i="11" s="1"/>
  <c r="K378" i="63"/>
  <c r="O378" i="63" s="1"/>
  <c r="A378" i="63" s="1"/>
  <c r="AR222" i="11"/>
  <c r="AS222" i="11" s="1"/>
  <c r="AT222" i="11"/>
  <c r="AY222" i="11"/>
  <c r="AR337" i="11"/>
  <c r="AS337" i="11" s="1"/>
  <c r="AT337" i="11"/>
  <c r="AY337" i="11"/>
  <c r="AT223" i="11"/>
  <c r="AR223" i="11"/>
  <c r="AY223" i="11"/>
  <c r="I37" i="21"/>
  <c r="K60" i="55"/>
  <c r="O14" i="21"/>
  <c r="S14" i="21" s="1"/>
  <c r="I105" i="68"/>
  <c r="J37" i="21"/>
  <c r="AY200" i="11"/>
  <c r="AT200" i="11"/>
  <c r="AU200" i="11" s="1"/>
  <c r="AZ200" i="11" s="1"/>
  <c r="I17" i="74"/>
  <c r="I41" i="68"/>
  <c r="O344" i="63"/>
  <c r="P344" i="63"/>
  <c r="A30" i="21"/>
  <c r="C33" i="55"/>
  <c r="W32" i="77" s="1"/>
  <c r="G32" i="77" s="1"/>
  <c r="A31" i="21"/>
  <c r="A377" i="63"/>
  <c r="O13" i="21"/>
  <c r="S13" i="21" s="1"/>
  <c r="AS199" i="11" l="1"/>
  <c r="AU199" i="11"/>
  <c r="AZ199" i="11" s="1"/>
  <c r="AU222" i="11"/>
  <c r="AZ222" i="11" s="1"/>
  <c r="AU337" i="11"/>
  <c r="AZ337" i="11" s="1"/>
  <c r="P337" i="11" s="1"/>
  <c r="AU223" i="11"/>
  <c r="AZ223" i="11" s="1"/>
  <c r="AS223" i="11"/>
  <c r="O60" i="55"/>
  <c r="M60" i="55"/>
  <c r="M62" i="55" s="1"/>
  <c r="X35" i="77"/>
  <c r="K62" i="55"/>
  <c r="G33" i="77"/>
  <c r="W38" i="77"/>
  <c r="G38" i="77" s="1"/>
  <c r="W36" i="77"/>
  <c r="G36" i="77" s="1"/>
  <c r="W34" i="77"/>
  <c r="G34" i="77" s="1"/>
  <c r="P34" i="55"/>
  <c r="Z2" i="55"/>
  <c r="Z8" i="55" s="1"/>
  <c r="E19" i="55" s="1"/>
  <c r="A29" i="21"/>
  <c r="A28" i="21"/>
  <c r="A27" i="21"/>
  <c r="A32" i="21"/>
  <c r="C31" i="55"/>
  <c r="C46" i="55"/>
  <c r="T2" i="55"/>
  <c r="A31" i="55"/>
  <c r="A43" i="55" s="1"/>
  <c r="C39" i="55"/>
  <c r="J32" i="21"/>
  <c r="K34" i="55"/>
  <c r="W35" i="77" s="1"/>
  <c r="I32" i="21"/>
  <c r="Q337" i="11" l="1"/>
  <c r="O343" i="63"/>
  <c r="G35" i="77"/>
  <c r="G37" i="77" s="1"/>
  <c r="K41" i="55"/>
  <c r="K42" i="55"/>
  <c r="K43" i="55"/>
  <c r="M43" i="55"/>
  <c r="I41" i="55"/>
  <c r="I42" i="55"/>
  <c r="I43" i="55"/>
  <c r="W2" i="55"/>
  <c r="X2" i="55" s="1" a="1"/>
  <c r="X2" i="55" s="1"/>
  <c r="AA3" i="55"/>
  <c r="I40" i="55"/>
  <c r="F34" i="55" s="1"/>
  <c r="I42" i="68" s="1"/>
  <c r="K40" i="55"/>
  <c r="M42" i="55"/>
  <c r="M40" i="55"/>
  <c r="M41" i="55"/>
  <c r="E41" i="55"/>
  <c r="A39" i="55"/>
  <c r="A33" i="55"/>
  <c r="A42" i="55"/>
  <c r="A38" i="55"/>
  <c r="A36" i="55"/>
  <c r="A34" i="55"/>
  <c r="A30" i="55"/>
  <c r="A40" i="55"/>
  <c r="A41" i="55"/>
  <c r="A32" i="55"/>
  <c r="A37" i="55"/>
  <c r="A35" i="55"/>
  <c r="O34" i="55"/>
  <c r="M34" i="55"/>
  <c r="U2" i="55" a="1"/>
  <c r="U2" i="55" s="1"/>
  <c r="U3" i="55" s="1" a="1"/>
  <c r="U3" i="55" s="1"/>
  <c r="U4" i="55" s="1" a="1"/>
  <c r="U4" i="55" s="1"/>
  <c r="U5" i="55" s="1" a="1"/>
  <c r="U5" i="55" s="1"/>
  <c r="U6" i="55" s="1" a="1"/>
  <c r="U6" i="55" s="1"/>
  <c r="T337" i="11" l="1"/>
  <c r="P343" i="63"/>
  <c r="O373" i="63" s="1"/>
  <c r="Q371" i="11"/>
  <c r="Q374" i="11" s="1"/>
  <c r="Q369" i="11"/>
  <c r="O43" i="55"/>
  <c r="O42" i="55"/>
  <c r="O41" i="55"/>
  <c r="AW108" i="76"/>
  <c r="AW107" i="76"/>
  <c r="X3" i="55" a="1"/>
  <c r="X3" i="55" s="1"/>
  <c r="F35" i="55"/>
  <c r="O40" i="55"/>
  <c r="U7" i="55" a="1"/>
  <c r="U7" i="55" s="1"/>
  <c r="U8" i="55" s="1"/>
  <c r="E18" i="55" s="1"/>
  <c r="R337" i="11" l="1"/>
  <c r="T367" i="11"/>
  <c r="T371" i="11" s="1"/>
  <c r="S374" i="11" s="1"/>
  <c r="T369" i="11"/>
  <c r="K35" i="55"/>
  <c r="G35" i="55"/>
  <c r="I35" i="55"/>
  <c r="I36" i="55" s="1"/>
  <c r="X4" i="55" a="1"/>
  <c r="X4" i="55" s="1"/>
  <c r="P15" i="7"/>
  <c r="P16" i="7" s="1"/>
  <c r="N16" i="7" s="1"/>
  <c r="R369" i="11" l="1"/>
  <c r="R371" i="11"/>
  <c r="R374" i="11" s="1"/>
  <c r="X5" i="55" a="1"/>
  <c r="X5" i="55" s="1"/>
  <c r="G36" i="55"/>
  <c r="P36" i="55" s="1"/>
  <c r="O36" i="55"/>
  <c r="M35" i="55"/>
  <c r="K36" i="55"/>
  <c r="X6" i="55" l="1" a="1"/>
  <c r="X6" i="55" s="1"/>
  <c r="X7" i="55" s="1" a="1"/>
  <c r="X7" i="55" s="1"/>
  <c r="M36" i="55"/>
  <c r="O35" i="55"/>
  <c r="X8" i="55" l="1"/>
  <c r="E15" i="55" l="1"/>
  <c r="F14" i="16" s="1"/>
  <c r="J47" i="21"/>
  <c r="I112" i="55"/>
  <c r="I113" i="55" l="1"/>
  <c r="I114" i="55" s="1"/>
  <c r="K112" i="55"/>
  <c r="K113" i="55" s="1"/>
  <c r="M113" i="55" s="1"/>
  <c r="O113" i="55" s="1"/>
  <c r="I47" i="21"/>
  <c r="N17" i="74"/>
  <c r="O16" i="21"/>
  <c r="S16" i="21" s="1"/>
  <c r="P16" i="21"/>
  <c r="T16" i="21" s="1"/>
  <c r="O17" i="74"/>
  <c r="S20" i="21" l="1"/>
  <c r="S19" i="21"/>
  <c r="F5" i="35" s="1"/>
  <c r="B1" i="35" s="1"/>
  <c r="AI8" i="36" s="1"/>
  <c r="T19" i="21"/>
  <c r="F5" i="46" s="1"/>
  <c r="B1" i="46" s="1"/>
  <c r="AI9" i="36" s="1"/>
  <c r="T20" i="21"/>
  <c r="M112" i="55"/>
  <c r="M114" i="55" s="1"/>
  <c r="O112" i="55"/>
  <c r="K114" i="55"/>
  <c r="AU17" i="36" l="1" a="1"/>
  <c r="AU17" i="36" s="1"/>
  <c r="AU16" i="36" a="1"/>
  <c r="AU16" i="36" s="1"/>
  <c r="S21" i="21"/>
  <c r="G5" i="35" s="1"/>
  <c r="T21" i="21"/>
  <c r="G5" i="46" s="1"/>
  <c r="H47" i="16"/>
  <c r="I47" i="16"/>
  <c r="H25" i="16"/>
  <c r="I25" i="16"/>
  <c r="H69" i="16"/>
  <c r="H68" i="16" s="1"/>
  <c r="H149" i="16"/>
  <c r="P78" i="16"/>
  <c r="O78" i="16" s="1"/>
  <c r="F78" i="16"/>
  <c r="A78" i="16" s="1"/>
  <c r="A87" i="16" s="1"/>
  <c r="A79" i="16" l="1"/>
  <c r="A84" i="16"/>
  <c r="A52" i="55" s="1"/>
  <c r="A82" i="16"/>
  <c r="A83" i="16"/>
  <c r="A51" i="55" s="1"/>
  <c r="A80" i="16"/>
  <c r="A85" i="16"/>
  <c r="A53" i="55" s="1"/>
  <c r="A86" i="16"/>
  <c r="A81" i="16"/>
  <c r="A46" i="55"/>
  <c r="A49" i="55" l="1"/>
  <c r="J87" i="16"/>
  <c r="W247" i="77" s="1"/>
  <c r="A50" i="55"/>
  <c r="A47" i="55"/>
  <c r="A45" i="55"/>
  <c r="A44" i="55"/>
  <c r="A48" i="55"/>
  <c r="A55" i="55"/>
  <c r="A54" i="55"/>
  <c r="A246" i="77" l="1"/>
  <c r="A247" i="77"/>
  <c r="C246" i="77"/>
  <c r="G247" i="7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TAKIS</author>
  </authors>
  <commentList>
    <comment ref="K7" authorId="0" shapeId="0" xr:uid="{00000000-0006-0000-2700-000001000000}">
      <text>
        <r>
          <rPr>
            <b/>
            <sz val="8"/>
            <color indexed="81"/>
            <rFont val="Tahoma"/>
            <family val="2"/>
            <charset val="161"/>
          </rPr>
          <t>Insert Temp</t>
        </r>
      </text>
    </comment>
    <comment ref="M7" authorId="0" shapeId="0" xr:uid="{00000000-0006-0000-2700-000002000000}">
      <text>
        <r>
          <rPr>
            <b/>
            <sz val="8"/>
            <color indexed="81"/>
            <rFont val="Tahoma"/>
            <family val="2"/>
            <charset val="161"/>
          </rPr>
          <t>Insert API / Density</t>
        </r>
      </text>
    </comment>
    <comment ref="F21" authorId="0" shapeId="0" xr:uid="{00000000-0006-0000-2700-000003000000}">
      <text>
        <r>
          <rPr>
            <sz val="8"/>
            <color indexed="81"/>
            <rFont val="Tahoma"/>
            <family val="2"/>
            <charset val="161"/>
          </rPr>
          <t>INSERT CARGO</t>
        </r>
      </text>
    </comment>
  </commentList>
</comments>
</file>

<file path=xl/sharedStrings.xml><?xml version="1.0" encoding="utf-8"?>
<sst xmlns="http://schemas.openxmlformats.org/spreadsheetml/2006/main" count="5155" uniqueCount="1586">
  <si>
    <t>Cover Page</t>
  </si>
  <si>
    <t>DESCRIPTION</t>
  </si>
  <si>
    <t>:</t>
  </si>
  <si>
    <t>Name of Surveyor</t>
  </si>
  <si>
    <t>Name of Master</t>
  </si>
  <si>
    <t>Name of Chief Engineer</t>
  </si>
  <si>
    <t>N/A</t>
  </si>
  <si>
    <t>IMO No.</t>
  </si>
  <si>
    <t>Port of Registry / Flag</t>
  </si>
  <si>
    <t>Name of Vessel:</t>
  </si>
  <si>
    <t>Time of Survey</t>
  </si>
  <si>
    <t>Place of Survey</t>
  </si>
  <si>
    <t>Our Ref</t>
  </si>
  <si>
    <t xml:space="preserve">77 High Street, #05-13 High Street Plaza, Singapore 179433 </t>
  </si>
  <si>
    <t>Head Office: Company Registration No. 201425804R</t>
  </si>
  <si>
    <t>Chief Engineer</t>
  </si>
  <si>
    <t>S</t>
  </si>
  <si>
    <t>LSMGO</t>
  </si>
  <si>
    <t>MGO</t>
  </si>
  <si>
    <t>LSMDO</t>
  </si>
  <si>
    <t>MDO</t>
  </si>
  <si>
    <t>LSFO</t>
  </si>
  <si>
    <t>G</t>
  </si>
  <si>
    <t>3-S</t>
  </si>
  <si>
    <t>3-P</t>
  </si>
  <si>
    <t>U</t>
  </si>
  <si>
    <t>2-S</t>
  </si>
  <si>
    <t>2-P</t>
  </si>
  <si>
    <t>1-S</t>
  </si>
  <si>
    <t>1-P</t>
  </si>
  <si>
    <t>HSFO</t>
  </si>
  <si>
    <t>MT</t>
  </si>
  <si>
    <t>kg/L</t>
  </si>
  <si>
    <t>m</t>
  </si>
  <si>
    <t>Weight
 in Air</t>
  </si>
  <si>
    <t>Weight
 in Vac</t>
  </si>
  <si>
    <t>Temp</t>
  </si>
  <si>
    <t>U-S-G-E</t>
  </si>
  <si>
    <t>Ullage Sounding Gauge</t>
  </si>
  <si>
    <t>Actual Height as Measured</t>
  </si>
  <si>
    <t>Tank ID</t>
  </si>
  <si>
    <t>List:</t>
  </si>
  <si>
    <t>Time of Survey:</t>
  </si>
  <si>
    <t>Trim:</t>
  </si>
  <si>
    <t>Date of Survey:</t>
  </si>
  <si>
    <t>Aft:</t>
  </si>
  <si>
    <t>Place of Survey:</t>
  </si>
  <si>
    <t>Fwd:</t>
  </si>
  <si>
    <t>Verified as oily mixture</t>
  </si>
  <si>
    <t>Remarks</t>
  </si>
  <si>
    <r>
      <t>Quantity Retention (m</t>
    </r>
    <r>
      <rPr>
        <b/>
        <vertAlign val="superscript"/>
        <sz val="11"/>
        <rFont val="Calibri"/>
        <family val="2"/>
        <scheme val="minor"/>
      </rPr>
      <t>3</t>
    </r>
    <r>
      <rPr>
        <b/>
        <sz val="11"/>
        <rFont val="Calibri"/>
        <family val="2"/>
        <scheme val="minor"/>
      </rPr>
      <t>)</t>
    </r>
  </si>
  <si>
    <r>
      <t>Tank Capacity (m</t>
    </r>
    <r>
      <rPr>
        <b/>
        <vertAlign val="superscript"/>
        <sz val="11"/>
        <rFont val="Calibri"/>
        <family val="2"/>
        <scheme val="minor"/>
      </rPr>
      <t>3</t>
    </r>
    <r>
      <rPr>
        <b/>
        <sz val="11"/>
        <rFont val="Calibri"/>
        <family val="2"/>
        <scheme val="minor"/>
      </rPr>
      <t>)</t>
    </r>
  </si>
  <si>
    <t>List of Tanks as per MARPOL 1/VI Certificates (only Fuel Oil to be listed)</t>
  </si>
  <si>
    <t>Weight Differential</t>
  </si>
  <si>
    <t>This certificate has been issued without prejudice and liability</t>
  </si>
  <si>
    <t>log book to be corrected accordingly to reflect the changes.</t>
  </si>
  <si>
    <t>LT= UTC+13:00</t>
  </si>
  <si>
    <t>LT= UTC+12:00</t>
  </si>
  <si>
    <t>LT= UTC+10:00</t>
  </si>
  <si>
    <t>LT= UTC+09:30</t>
  </si>
  <si>
    <t>LT= UTC+09:00</t>
  </si>
  <si>
    <t>LT= UTC+08:00</t>
  </si>
  <si>
    <t>LT= UTC+07:00</t>
  </si>
  <si>
    <t>LT= UTC+06:30</t>
  </si>
  <si>
    <t>LT= UTC+06:00</t>
  </si>
  <si>
    <t>LT= UTC+05:30</t>
  </si>
  <si>
    <t>LT= UTC+05:00</t>
  </si>
  <si>
    <t>LT= UTC+04:30</t>
  </si>
  <si>
    <t>LT= UTC+04:00</t>
  </si>
  <si>
    <t>LT= UTC+03:00</t>
  </si>
  <si>
    <t>Charterer:</t>
  </si>
  <si>
    <t>LT= UTC+02:00</t>
  </si>
  <si>
    <t>Disponent Owner:</t>
  </si>
  <si>
    <t>LT= UTC+01:00</t>
  </si>
  <si>
    <t>Head Owner:</t>
  </si>
  <si>
    <t>LT= UTC+00:00</t>
  </si>
  <si>
    <t>IMO No.:</t>
  </si>
  <si>
    <t>LT= UTC-01:00</t>
  </si>
  <si>
    <t>PoR / Flag:</t>
  </si>
  <si>
    <t>LT= UTC-02:00</t>
  </si>
  <si>
    <t>LT= UTC-02:30</t>
  </si>
  <si>
    <t>LT= UTC-03:00</t>
  </si>
  <si>
    <t>LT= UTC-04:00</t>
  </si>
  <si>
    <t>Dec</t>
  </si>
  <si>
    <t>LT= UTC-04:30</t>
  </si>
  <si>
    <t>Nov</t>
  </si>
  <si>
    <t>LT= UTC-05:00</t>
  </si>
  <si>
    <t>Oct</t>
  </si>
  <si>
    <t>LT= UTC-06:00</t>
  </si>
  <si>
    <t>Sep</t>
  </si>
  <si>
    <t>LT= UTC-07:00</t>
  </si>
  <si>
    <t>Aug</t>
  </si>
  <si>
    <t>LT= UTC-08:00</t>
  </si>
  <si>
    <t>Jul</t>
  </si>
  <si>
    <t>LT= UTC-10:00</t>
  </si>
  <si>
    <t>Charterers</t>
  </si>
  <si>
    <t>Jun</t>
  </si>
  <si>
    <t>LT= UTC-11:00</t>
  </si>
  <si>
    <t>Disponent Owners</t>
  </si>
  <si>
    <t>May</t>
  </si>
  <si>
    <t>Apr</t>
  </si>
  <si>
    <t>(Re)Delivery is AFTER the time of survey</t>
  </si>
  <si>
    <t>Mar</t>
  </si>
  <si>
    <t>delivery:</t>
  </si>
  <si>
    <t>(Re)Delivery is AT THE TIME of survey</t>
  </si>
  <si>
    <t>As per Master's re-delivery message</t>
  </si>
  <si>
    <t>CERTIFICATE OF RE-DELIVERY (OFFHIRE)</t>
  </si>
  <si>
    <t>Feb</t>
  </si>
  <si>
    <t>Survey:</t>
  </si>
  <si>
    <t>(Re)Delivery is BEFORE the time of survey</t>
  </si>
  <si>
    <t>As per Master's delivery message</t>
  </si>
  <si>
    <t>CERTIFICATE OF DELIVERY (ONHIRE)</t>
  </si>
  <si>
    <t>Jan</t>
  </si>
  <si>
    <t>UTC</t>
  </si>
  <si>
    <t>LT</t>
  </si>
  <si>
    <r>
      <t xml:space="preserve">AVG.TEMP
</t>
    </r>
    <r>
      <rPr>
        <b/>
        <vertAlign val="superscript"/>
        <sz val="9"/>
        <rFont val="Arial"/>
        <family val="2"/>
      </rPr>
      <t>o</t>
    </r>
    <r>
      <rPr>
        <b/>
        <sz val="9"/>
        <rFont val="Arial"/>
        <family val="2"/>
      </rPr>
      <t>C</t>
    </r>
  </si>
  <si>
    <r>
      <t xml:space="preserve">AVG.TEMP
</t>
    </r>
    <r>
      <rPr>
        <b/>
        <vertAlign val="superscript"/>
        <sz val="9"/>
        <rFont val="Arial"/>
        <family val="2"/>
      </rPr>
      <t>o</t>
    </r>
    <r>
      <rPr>
        <b/>
        <sz val="9"/>
        <rFont val="Arial"/>
        <family val="2"/>
      </rPr>
      <t>F</t>
    </r>
  </si>
  <si>
    <r>
      <t xml:space="preserve">TEMP3
</t>
    </r>
    <r>
      <rPr>
        <b/>
        <vertAlign val="superscript"/>
        <sz val="9"/>
        <rFont val="Arial"/>
        <family val="2"/>
      </rPr>
      <t>o</t>
    </r>
    <r>
      <rPr>
        <b/>
        <sz val="9"/>
        <rFont val="Arial"/>
        <family val="2"/>
      </rPr>
      <t>F</t>
    </r>
  </si>
  <si>
    <r>
      <t xml:space="preserve">TEMP2
</t>
    </r>
    <r>
      <rPr>
        <b/>
        <vertAlign val="superscript"/>
        <sz val="9"/>
        <rFont val="Arial"/>
        <family val="2"/>
      </rPr>
      <t>o</t>
    </r>
    <r>
      <rPr>
        <b/>
        <sz val="9"/>
        <rFont val="Arial"/>
        <family val="2"/>
      </rPr>
      <t>F</t>
    </r>
  </si>
  <si>
    <r>
      <t xml:space="preserve">TEMP1
</t>
    </r>
    <r>
      <rPr>
        <b/>
        <vertAlign val="superscript"/>
        <sz val="9"/>
        <rFont val="Arial"/>
        <family val="2"/>
      </rPr>
      <t>o</t>
    </r>
    <r>
      <rPr>
        <b/>
        <sz val="9"/>
        <rFont val="Arial"/>
        <family val="2"/>
      </rPr>
      <t>F</t>
    </r>
  </si>
  <si>
    <t>TANK NO</t>
  </si>
  <si>
    <r>
      <t xml:space="preserve">TEMP3
</t>
    </r>
    <r>
      <rPr>
        <b/>
        <vertAlign val="superscript"/>
        <sz val="9"/>
        <rFont val="Arial"/>
        <family val="2"/>
      </rPr>
      <t>o</t>
    </r>
    <r>
      <rPr>
        <b/>
        <sz val="9"/>
        <rFont val="Arial"/>
        <family val="2"/>
      </rPr>
      <t>C</t>
    </r>
  </si>
  <si>
    <r>
      <t xml:space="preserve">TEMP2
</t>
    </r>
    <r>
      <rPr>
        <b/>
        <vertAlign val="superscript"/>
        <sz val="9"/>
        <rFont val="Arial"/>
        <family val="2"/>
      </rPr>
      <t>o</t>
    </r>
    <r>
      <rPr>
        <b/>
        <sz val="9"/>
        <rFont val="Arial"/>
        <family val="2"/>
      </rPr>
      <t>C</t>
    </r>
  </si>
  <si>
    <r>
      <t xml:space="preserve">TEMP1
</t>
    </r>
    <r>
      <rPr>
        <b/>
        <vertAlign val="superscript"/>
        <sz val="9"/>
        <rFont val="Arial"/>
        <family val="2"/>
      </rPr>
      <t>o</t>
    </r>
    <r>
      <rPr>
        <b/>
        <sz val="9"/>
        <rFont val="Arial"/>
        <family val="2"/>
      </rPr>
      <t>C</t>
    </r>
  </si>
  <si>
    <r>
      <rPr>
        <b/>
        <vertAlign val="superscript"/>
        <sz val="10"/>
        <color rgb="FF002060"/>
        <rFont val="Arial"/>
        <family val="2"/>
      </rPr>
      <t>o</t>
    </r>
    <r>
      <rPr>
        <b/>
        <sz val="10"/>
        <color rgb="FF002060"/>
        <rFont val="Arial"/>
        <family val="2"/>
      </rPr>
      <t xml:space="preserve">F =&gt; </t>
    </r>
    <r>
      <rPr>
        <b/>
        <vertAlign val="superscript"/>
        <sz val="10"/>
        <color rgb="FF002060"/>
        <rFont val="Arial"/>
        <family val="2"/>
      </rPr>
      <t>o</t>
    </r>
    <r>
      <rPr>
        <b/>
        <sz val="10"/>
        <color rgb="FF002060"/>
        <rFont val="Arial"/>
        <family val="2"/>
      </rPr>
      <t>C</t>
    </r>
  </si>
  <si>
    <r>
      <rPr>
        <b/>
        <vertAlign val="superscript"/>
        <sz val="10"/>
        <color rgb="FF002060"/>
        <rFont val="Arial"/>
        <family val="2"/>
      </rPr>
      <t>o</t>
    </r>
    <r>
      <rPr>
        <b/>
        <sz val="10"/>
        <color rgb="FF002060"/>
        <rFont val="Arial"/>
        <family val="2"/>
      </rPr>
      <t xml:space="preserve">C =&gt; </t>
    </r>
    <r>
      <rPr>
        <b/>
        <vertAlign val="superscript"/>
        <sz val="10"/>
        <color rgb="FF002060"/>
        <rFont val="Arial"/>
        <family val="2"/>
      </rPr>
      <t>o</t>
    </r>
    <r>
      <rPr>
        <b/>
        <sz val="10"/>
        <color rgb="FF002060"/>
        <rFont val="Arial"/>
        <family val="2"/>
      </rPr>
      <t>F</t>
    </r>
  </si>
  <si>
    <t>AVERAGE TEMPERATURE CALCULATION AND CONVERSION</t>
  </si>
  <si>
    <t>API Gravity @ 60°F, °API</t>
  </si>
  <si>
    <t>Density @ 15°C, Kg/L</t>
  </si>
  <si>
    <t>Specific Gravity @ 60/60°F</t>
  </si>
  <si>
    <t>DENSITY TO R.D. &amp; API GRAVITY</t>
  </si>
  <si>
    <t>R.D. TO DENSITY &amp; API GRAVITY</t>
  </si>
  <si>
    <t>API GRAVITY TO  R.D. &amp; DENSITY</t>
  </si>
  <si>
    <t>DENSITY CONVERSION</t>
  </si>
  <si>
    <t>New Density= (Old Density x Old GOV + New Density x New GOV) / Total GOV</t>
  </si>
  <si>
    <t>Dens x GOV</t>
  </si>
  <si>
    <r>
      <t>GOV (m</t>
    </r>
    <r>
      <rPr>
        <b/>
        <vertAlign val="superscript"/>
        <sz val="8"/>
        <rFont val="Arial"/>
        <family val="2"/>
      </rPr>
      <t>3</t>
    </r>
    <r>
      <rPr>
        <b/>
        <sz val="8"/>
        <rFont val="Arial"/>
        <family val="2"/>
      </rPr>
      <t>)</t>
    </r>
  </si>
  <si>
    <t>VOLUME 2:</t>
  </si>
  <si>
    <t>SOUND/ULL 2:</t>
  </si>
  <si>
    <t>REQ. VOLUME:</t>
  </si>
  <si>
    <t>FIND SOUND/ULL:</t>
  </si>
  <si>
    <t>VOLUME 1:</t>
  </si>
  <si>
    <t>SOUND/ULL 1:</t>
  </si>
  <si>
    <t>TRIM2</t>
  </si>
  <si>
    <t>REQ. TRIM</t>
  </si>
  <si>
    <t>TRIM1</t>
  </si>
  <si>
    <t>ULLAGE INTERPOLATION</t>
  </si>
  <si>
    <t>ULLAGE &amp; TRIM INTERPOLATION</t>
  </si>
  <si>
    <t>(Insert Data Only in Blue Colored Cells)</t>
  </si>
  <si>
    <t>SURVEYOR'S TOOLS</t>
  </si>
  <si>
    <t>Administrator</t>
  </si>
  <si>
    <t>ROB AT "F.W.E." ON:</t>
  </si>
  <si>
    <t>ROB AS DECLARED BY CH. ENG ON:</t>
  </si>
  <si>
    <t>ROB AT "E.O.S.P."  ON:</t>
  </si>
  <si>
    <t>ROB AS MEASURED BY SURVEYOR ON:</t>
  </si>
  <si>
    <t>NA</t>
  </si>
  <si>
    <t>Name of Buyer</t>
  </si>
  <si>
    <t>Name of Supplier</t>
  </si>
  <si>
    <t>BUNKER QUANTITY SURVEY (BQS)</t>
  </si>
  <si>
    <t>Barge Out-Turn</t>
  </si>
  <si>
    <t>Name of Vessel</t>
  </si>
  <si>
    <t>Preliminary Report</t>
  </si>
  <si>
    <t>NON-NOMINATED TANKS</t>
  </si>
  <si>
    <t>NOMINATED TANKS</t>
  </si>
  <si>
    <t>AFTER BUNKERING (CLOSING GAUGING)</t>
  </si>
  <si>
    <t>BEFORE BUNKERING (OPENING GAUGING)</t>
  </si>
  <si>
    <t>cm</t>
  </si>
  <si>
    <t>WCF</t>
  </si>
  <si>
    <t>VCF</t>
  </si>
  <si>
    <t>Free
Water
Volume</t>
  </si>
  <si>
    <t>Free
Water
Dip</t>
  </si>
  <si>
    <t>Reference Height from Table</t>
  </si>
  <si>
    <t>Fuel
Grade</t>
  </si>
  <si>
    <t>Tank
ID</t>
  </si>
  <si>
    <t>Date of Survey</t>
  </si>
  <si>
    <t>Name of Barge</t>
  </si>
  <si>
    <t>AFTER</t>
  </si>
  <si>
    <t>BEFORE</t>
  </si>
  <si>
    <t>DRAFTS</t>
  </si>
  <si>
    <t>Remarks:</t>
  </si>
  <si>
    <t>750 ml</t>
  </si>
  <si>
    <t>Quantity of Sample</t>
  </si>
  <si>
    <t>Sampling Point</t>
  </si>
  <si>
    <t>Sampling Method</t>
  </si>
  <si>
    <t>Supply Vessel Sample Data</t>
  </si>
  <si>
    <t>Seal No.- for Laboratory</t>
  </si>
  <si>
    <t>Ship's Manifold</t>
  </si>
  <si>
    <t>Receiving Vessel Sample Data</t>
  </si>
  <si>
    <t>BUNKER SAMPLE INFORMATION</t>
  </si>
  <si>
    <t>Surveyor Returned to Base</t>
  </si>
  <si>
    <t>Barge Cast-Off</t>
  </si>
  <si>
    <t>Hose Disconnected</t>
  </si>
  <si>
    <t>Quantities Agreed</t>
  </si>
  <si>
    <t>Dispute</t>
  </si>
  <si>
    <t>Final Inspection at Barge</t>
  </si>
  <si>
    <t>Final Inspection at Vessel</t>
  </si>
  <si>
    <t>Completed Bunkering</t>
  </si>
  <si>
    <t>Commenced Bunkering</t>
  </si>
  <si>
    <t>Hose Connected</t>
  </si>
  <si>
    <t>Bunker Barge Alongside</t>
  </si>
  <si>
    <t>Time</t>
  </si>
  <si>
    <t>Date</t>
  </si>
  <si>
    <t>Operation</t>
  </si>
  <si>
    <t>SURVEYOR'S TIME LOG</t>
  </si>
  <si>
    <t>GRAVITATION OF FUEL DECLARATION</t>
  </si>
  <si>
    <t>FO v/v</t>
  </si>
  <si>
    <t>MGO v/v</t>
  </si>
  <si>
    <t>FO PIPE SUCTION v/v</t>
  </si>
  <si>
    <t>MGO PIPE SUCTION v/v</t>
  </si>
  <si>
    <t>Seal No.</t>
  </si>
  <si>
    <t>Valve No.</t>
  </si>
  <si>
    <t>FUEL TRANSFER PUMP / STORAGE TANK VALVE SEALING DECLARATION</t>
  </si>
  <si>
    <t>Hose was disconnected at 14:45 and barge castoff at 15:00</t>
  </si>
  <si>
    <t>09-</t>
  </si>
  <si>
    <t>The C/E agreed to the shortage and signed the BDN but no letter of protest has been issued</t>
  </si>
  <si>
    <t>08-</t>
  </si>
  <si>
    <t>the barge would otherwise charge the charterer for waiting time and delays.</t>
  </si>
  <si>
    <t>everything in the report and to avoid delays to disconnect the hose and cast-off the barge as</t>
  </si>
  <si>
    <t>Surveyor advised the agent to contact the charterers for advise but the agent advised to put</t>
  </si>
  <si>
    <t>07-</t>
  </si>
  <si>
    <t>Final draft and quantity checks resulted in no change in the original shortage amount</t>
  </si>
  <si>
    <t>06-</t>
  </si>
  <si>
    <t>Re-gauging of non-nominated tanks were carried out with negligible change in quantities</t>
  </si>
  <si>
    <t>05-</t>
  </si>
  <si>
    <t>checked and found empty</t>
  </si>
  <si>
    <t>Barge tanks were re-gauged but we did not found any discrepancy.  4 P/S tanks were visually</t>
  </si>
  <si>
    <t>04-</t>
  </si>
  <si>
    <t>FO tanks 3 P / 3 S were re-gauged but shortage still existed</t>
  </si>
  <si>
    <t>03-</t>
  </si>
  <si>
    <t>tanks in order for the fuel to settle in the tanks</t>
  </si>
  <si>
    <t xml:space="preserve">We advised the C/E not to disconnect the hose and to wait sometime before re-gauging the </t>
  </si>
  <si>
    <t>02-</t>
  </si>
  <si>
    <t>Upon completion of HSFO bunkering a shortage of approx 9.5 MT was discovered</t>
  </si>
  <si>
    <t>01-</t>
  </si>
  <si>
    <t>Grade in Dispute</t>
  </si>
  <si>
    <t>STATEMENT OF FACTS</t>
  </si>
  <si>
    <t>Corrected Trim :</t>
  </si>
  <si>
    <t>App Trim:</t>
  </si>
  <si>
    <t>CORRECTED AFT DRAFT</t>
  </si>
  <si>
    <t>STERN CORRECTION</t>
  </si>
  <si>
    <t>AFT</t>
  </si>
  <si>
    <t>AFT MEAN DRAFT</t>
  </si>
  <si>
    <t>CORRECTED FORE DRAFT</t>
  </si>
  <si>
    <t>STEM CORRECTION</t>
  </si>
  <si>
    <t>FORE MEAN DRAFT</t>
  </si>
  <si>
    <t>MID</t>
  </si>
  <si>
    <t>LBM</t>
  </si>
  <si>
    <t>FORE</t>
  </si>
  <si>
    <t>FWD</t>
  </si>
  <si>
    <t>CORR</t>
  </si>
  <si>
    <t>LBP</t>
  </si>
  <si>
    <t>Unit</t>
  </si>
  <si>
    <t>Distance of Draft Marks to PP</t>
  </si>
  <si>
    <t>STBD</t>
  </si>
  <si>
    <t>PORT</t>
  </si>
  <si>
    <t>TRIM CORRECTION</t>
  </si>
  <si>
    <t>The Final Report will be issued in due course</t>
  </si>
  <si>
    <t>Bilge, FO Sludge; F.O. Drain, Waste Oil</t>
  </si>
  <si>
    <t>4-S</t>
  </si>
  <si>
    <t>4-P</t>
  </si>
  <si>
    <t>Vessel at anchor/slight sea and swell.</t>
  </si>
  <si>
    <t>Date of Data Compilation:</t>
  </si>
  <si>
    <t>Per Day Consumption</t>
  </si>
  <si>
    <t>Last 30 days Total Consumption</t>
  </si>
  <si>
    <t>Last 30 days Consumption Generator</t>
  </si>
  <si>
    <t>Last 30 days Consumption Main Engine</t>
  </si>
  <si>
    <t>Hours</t>
  </si>
  <si>
    <t>Total Steaming Time</t>
  </si>
  <si>
    <t>SOUTH PORT MANILA</t>
  </si>
  <si>
    <t>E</t>
  </si>
  <si>
    <t>N</t>
  </si>
  <si>
    <t>NINGBO</t>
  </si>
  <si>
    <t>SHANGHAI</t>
  </si>
  <si>
    <t>QING DAO</t>
  </si>
  <si>
    <t>NANSHA</t>
  </si>
  <si>
    <t>LAEM CHABANG</t>
  </si>
  <si>
    <t>HO CHI MIN</t>
  </si>
  <si>
    <t>Generator</t>
  </si>
  <si>
    <t>Main Engine</t>
  </si>
  <si>
    <t>Steaming Time</t>
  </si>
  <si>
    <t>Vessel Postion / Location</t>
  </si>
  <si>
    <t xml:space="preserve">Date </t>
  </si>
  <si>
    <t>Consumption by Flow Meter</t>
  </si>
  <si>
    <t>Consumption by Log Book</t>
  </si>
  <si>
    <t>Y</t>
  </si>
  <si>
    <t>ROB - BUNKER ROB SURVEY</t>
  </si>
  <si>
    <t>BQS - BUNKER QUANTITY SURVEY</t>
  </si>
  <si>
    <t>BOTH BQS &amp; ROB SURVEYS</t>
  </si>
  <si>
    <t>BUNKER QUANTITY SURVEY (BQS) &amp; BUNKER ROB SURVEY (ROB)</t>
  </si>
  <si>
    <t>BUNKER ROB SURVEY (ROB)</t>
  </si>
  <si>
    <t>Nominated</t>
  </si>
  <si>
    <t>Density</t>
  </si>
  <si>
    <t>API</t>
  </si>
  <si>
    <r>
      <rPr>
        <vertAlign val="superscript"/>
        <sz val="11"/>
        <color theme="1"/>
        <rFont val="Calibri"/>
        <family val="2"/>
        <scheme val="minor"/>
      </rPr>
      <t xml:space="preserve">° </t>
    </r>
    <r>
      <rPr>
        <sz val="11"/>
        <color theme="1"/>
        <rFont val="Calibri"/>
        <family val="2"/>
        <scheme val="minor"/>
      </rPr>
      <t>C</t>
    </r>
  </si>
  <si>
    <r>
      <rPr>
        <vertAlign val="superscript"/>
        <sz val="11"/>
        <color theme="1"/>
        <rFont val="Calibri"/>
        <family val="2"/>
        <scheme val="minor"/>
      </rPr>
      <t xml:space="preserve">° </t>
    </r>
    <r>
      <rPr>
        <sz val="11"/>
        <color theme="1"/>
        <rFont val="Calibri"/>
        <family val="2"/>
        <scheme val="minor"/>
      </rPr>
      <t>F</t>
    </r>
  </si>
  <si>
    <t>m3</t>
  </si>
  <si>
    <t>Bbls</t>
  </si>
  <si>
    <t>Residuals</t>
  </si>
  <si>
    <t>5-P</t>
  </si>
  <si>
    <t>5-S</t>
  </si>
  <si>
    <t>Client Name</t>
  </si>
  <si>
    <t>Vessel Type</t>
  </si>
  <si>
    <t>Client Ref</t>
  </si>
  <si>
    <t>Name of Head Owner</t>
  </si>
  <si>
    <t>Name of Disponent Owner</t>
  </si>
  <si>
    <t>Name of Operator</t>
  </si>
  <si>
    <t>Name of Manager</t>
  </si>
  <si>
    <t>Name of Charterer</t>
  </si>
  <si>
    <t>All Grades</t>
  </si>
  <si>
    <t>Distillates</t>
  </si>
  <si>
    <t>Tables 54B (Dens-m3-°C)</t>
  </si>
  <si>
    <t>Tables   6B (API-Bbls-°F)</t>
  </si>
  <si>
    <t>MT:</t>
  </si>
  <si>
    <t>Grade:</t>
  </si>
  <si>
    <t>ROB as Declared by Ch. Eng:</t>
  </si>
  <si>
    <t>ROB as Measured:</t>
  </si>
  <si>
    <t>File No.:</t>
  </si>
  <si>
    <t>Supplier(s):</t>
  </si>
  <si>
    <t>Bunker Tanker / Barge:</t>
  </si>
  <si>
    <r>
      <t>Quantity Retention (m</t>
    </r>
    <r>
      <rPr>
        <b/>
        <vertAlign val="superscript"/>
        <sz val="10"/>
        <rFont val="Arial"/>
        <family val="2"/>
      </rPr>
      <t>3</t>
    </r>
    <r>
      <rPr>
        <b/>
        <sz val="10"/>
        <rFont val="Arial"/>
        <family val="2"/>
      </rPr>
      <t>)</t>
    </r>
  </si>
  <si>
    <t>SLUDGE  RETENTION  RECORD</t>
  </si>
  <si>
    <t>Total Quantity Retention:</t>
  </si>
  <si>
    <t>This quantity is not included in ROB.</t>
  </si>
  <si>
    <t>GRADES</t>
  </si>
  <si>
    <t>Barge Representative</t>
  </si>
  <si>
    <t>inches</t>
  </si>
  <si>
    <t>Factor</t>
  </si>
  <si>
    <t>Unit A</t>
  </si>
  <si>
    <t>Unit B</t>
  </si>
  <si>
    <t>ft-in</t>
  </si>
  <si>
    <t>Table 56</t>
  </si>
  <si>
    <t>&gt;=48&lt;=52</t>
  </si>
  <si>
    <t>ALFA</t>
  </si>
  <si>
    <t>a(2)</t>
  </si>
  <si>
    <t>a(1)</t>
  </si>
  <si>
    <t>a(4)</t>
  </si>
  <si>
    <t>a(3)</t>
  </si>
  <si>
    <t>temp-60</t>
  </si>
  <si>
    <t>a(2)+b(1)</t>
  </si>
  <si>
    <t>b(1)</t>
  </si>
  <si>
    <t>P</t>
  </si>
  <si>
    <t>K1</t>
  </si>
  <si>
    <t>K0</t>
  </si>
  <si>
    <t>TEMP</t>
  </si>
  <si>
    <t>FOR API</t>
  </si>
  <si>
    <t>FOR API &gt;=48 AND API &lt;=52</t>
  </si>
  <si>
    <t>alfa</t>
  </si>
  <si>
    <t>k1/p</t>
  </si>
  <si>
    <t>k0/p/p</t>
  </si>
  <si>
    <t>k0/p</t>
  </si>
  <si>
    <t>OF ALFAS</t>
  </si>
  <si>
    <t>EVALUATION</t>
  </si>
  <si>
    <t>T.O.V.</t>
  </si>
  <si>
    <t>ft</t>
  </si>
  <si>
    <t/>
  </si>
  <si>
    <t>API/Dens</t>
  </si>
  <si>
    <t>SG</t>
  </si>
  <si>
    <t>Assist</t>
  </si>
  <si>
    <t>ROB</t>
  </si>
  <si>
    <t>BQS</t>
  </si>
  <si>
    <t>Vessel BQS Report</t>
  </si>
  <si>
    <t>Barge BQS Report</t>
  </si>
  <si>
    <t>Vessel ROB Report</t>
  </si>
  <si>
    <t>OTHER</t>
  </si>
  <si>
    <t>Sludge Retention</t>
  </si>
  <si>
    <t>Time Log</t>
  </si>
  <si>
    <t>Bunker Consumption</t>
  </si>
  <si>
    <t>1</t>
  </si>
  <si>
    <t>2</t>
  </si>
  <si>
    <t>3</t>
  </si>
  <si>
    <t>4</t>
  </si>
  <si>
    <t>5</t>
  </si>
  <si>
    <t>6</t>
  </si>
  <si>
    <t>7</t>
  </si>
  <si>
    <t>8</t>
  </si>
  <si>
    <t>9</t>
  </si>
  <si>
    <t>10</t>
  </si>
  <si>
    <t>11</t>
  </si>
  <si>
    <t>12</t>
  </si>
  <si>
    <t>13</t>
  </si>
  <si>
    <t>14</t>
  </si>
  <si>
    <t>15</t>
  </si>
  <si>
    <t>16</t>
  </si>
  <si>
    <t>17</t>
  </si>
  <si>
    <t>18</t>
  </si>
  <si>
    <t>Always</t>
  </si>
  <si>
    <t>vcf calc</t>
  </si>
  <si>
    <t>VCF 6B CALC</t>
  </si>
  <si>
    <t>VCF 6B</t>
  </si>
  <si>
    <t>Density always</t>
  </si>
  <si>
    <t>FOR VCF 54B</t>
  </si>
  <si>
    <t>MISSING NAME</t>
  </si>
  <si>
    <t>REPETITION</t>
  </si>
  <si>
    <t>NAME NOT EXIST (YELLOW)</t>
  </si>
  <si>
    <t>G.S.V.
 @ 15° C</t>
  </si>
  <si>
    <t>G.S.V.
 @ 60° F</t>
  </si>
  <si>
    <t>Density
 @ 15°C</t>
  </si>
  <si>
    <t>API Gravity
 @ 60°F</t>
  </si>
  <si>
    <t>Free Water Dip</t>
  </si>
  <si>
    <t>Free Water Volume</t>
  </si>
  <si>
    <t>G.O.V.</t>
  </si>
  <si>
    <t>TOTALS:</t>
  </si>
  <si>
    <t>Total Non Nominated:</t>
  </si>
  <si>
    <t>Total Nominated:</t>
  </si>
  <si>
    <t>RECEIVED PER GRADE:</t>
  </si>
  <si>
    <t>VESSEL  TANKS  INFORMATION</t>
  </si>
  <si>
    <t>CODE</t>
  </si>
  <si>
    <t>WTR001</t>
  </si>
  <si>
    <t>WTR000</t>
  </si>
  <si>
    <t>WTR002</t>
  </si>
  <si>
    <t>Due to early departure procedure, not enough time for settling</t>
  </si>
  <si>
    <t>TEMP000</t>
  </si>
  <si>
    <t>*** TEMPERATURE ***</t>
  </si>
  <si>
    <t>TEMP001</t>
  </si>
  <si>
    <t>Due to high temperature, …..</t>
  </si>
  <si>
    <t>TEMP002</t>
  </si>
  <si>
    <t>GEN000</t>
  </si>
  <si>
    <t>GEN001</t>
  </si>
  <si>
    <t>GEN002</t>
  </si>
  <si>
    <t>*** GENERAL ***</t>
  </si>
  <si>
    <t>Ullages were measured by Ship's Radar system</t>
  </si>
  <si>
    <t>Ullages and Temps were taken by ship's electronic gauges</t>
  </si>
  <si>
    <r>
      <t>Total Quantity Retention (m</t>
    </r>
    <r>
      <rPr>
        <b/>
        <vertAlign val="superscript"/>
        <sz val="10"/>
        <rFont val="Arial"/>
        <family val="2"/>
      </rPr>
      <t>3</t>
    </r>
    <r>
      <rPr>
        <b/>
        <sz val="10"/>
        <rFont val="Arial"/>
        <family val="2"/>
      </rPr>
      <t>):</t>
    </r>
  </si>
  <si>
    <t>The above consumption is exlcuding any stoppages/slowing down for pilot or restricted areas</t>
  </si>
  <si>
    <t>GEN003</t>
  </si>
  <si>
    <t>(Consumption by Flow Meter)</t>
  </si>
  <si>
    <t>(Consumption by Log Book)</t>
  </si>
  <si>
    <t>Deg</t>
  </si>
  <si>
    <t>Min</t>
  </si>
  <si>
    <t>N/S</t>
  </si>
  <si>
    <t>E/W</t>
  </si>
  <si>
    <t>Latitude</t>
  </si>
  <si>
    <t>Longitude</t>
  </si>
  <si>
    <t>MT/Day</t>
  </si>
  <si>
    <t>GEN004</t>
  </si>
  <si>
    <t>No water found</t>
  </si>
  <si>
    <t>Singapore Office</t>
  </si>
  <si>
    <t>Canada Office</t>
  </si>
  <si>
    <t>Panama Office</t>
  </si>
  <si>
    <t>UAE Office</t>
  </si>
  <si>
    <t>Req Vol1</t>
  </si>
  <si>
    <t>ULL 1:</t>
  </si>
  <si>
    <t>REQ ULL:</t>
  </si>
  <si>
    <t>ULL 2:</t>
  </si>
  <si>
    <t>Vol11</t>
  </si>
  <si>
    <t>Vol12</t>
  </si>
  <si>
    <t>Vol21</t>
  </si>
  <si>
    <t>Req Vol2</t>
  </si>
  <si>
    <t>Vol22</t>
  </si>
  <si>
    <t>Vol31</t>
  </si>
  <si>
    <t>Req Vol3</t>
  </si>
  <si>
    <t>Vol32</t>
  </si>
  <si>
    <t>Tank No</t>
  </si>
  <si>
    <t>Measurement</t>
  </si>
  <si>
    <t>ACTUAL SOUND/ULL:</t>
  </si>
  <si>
    <t>ACTUAL TRIM</t>
  </si>
  <si>
    <t>TRIM ACTUAL</t>
  </si>
  <si>
    <t>ULL ACT</t>
  </si>
  <si>
    <t>Column:</t>
  </si>
  <si>
    <t>TankRow:</t>
  </si>
  <si>
    <t>Col Ullage:</t>
  </si>
  <si>
    <t>Col Volume:</t>
  </si>
  <si>
    <t>USER PROFILE</t>
  </si>
  <si>
    <t>SURVEY TYPE</t>
  </si>
  <si>
    <t>ATTENDING OFFICE</t>
  </si>
  <si>
    <t>INPUTS</t>
  </si>
  <si>
    <t>OTHER REPORTS</t>
  </si>
  <si>
    <t>ALARMS:</t>
  </si>
  <si>
    <t>*** WEATHER ***</t>
  </si>
  <si>
    <t>WEA000</t>
  </si>
  <si>
    <t>WEA001</t>
  </si>
  <si>
    <t>TankOffset:</t>
  </si>
  <si>
    <t>The cause of shortage is undetermined and subject to further investigation.</t>
  </si>
  <si>
    <t>We advised the C/E to re-gauge all the fuel tanks once the vessel was at anchor.</t>
  </si>
  <si>
    <t>Conversions Tool</t>
  </si>
  <si>
    <t>Speed</t>
  </si>
  <si>
    <t>Service Speed</t>
  </si>
  <si>
    <t>Eco Speed</t>
  </si>
  <si>
    <t>Harbour Condition</t>
  </si>
  <si>
    <t>Anchor (Idle)</t>
  </si>
  <si>
    <t>Ladden</t>
  </si>
  <si>
    <t>Ballast</t>
  </si>
  <si>
    <t>Consumption (Main &amp; Aux engines)</t>
  </si>
  <si>
    <t>Kts</t>
  </si>
  <si>
    <t>Gauging</t>
  </si>
  <si>
    <t>Alarms</t>
  </si>
  <si>
    <t>Office Address 1</t>
  </si>
  <si>
    <t>Office Address 2</t>
  </si>
  <si>
    <t>Office Address 3</t>
  </si>
  <si>
    <t>Office Address 4</t>
  </si>
  <si>
    <t>Fuel Pump / Storage Tank Valve ID</t>
  </si>
  <si>
    <t>Sampling methods:</t>
  </si>
  <si>
    <t>Manual valve-setting continuous-drip sampler</t>
  </si>
  <si>
    <t>Automatic Sampler (time-proportional)</t>
  </si>
  <si>
    <t>Automatic Sampler (flow-proportional)</t>
  </si>
  <si>
    <t>Seal No.- for MARPOL</t>
  </si>
  <si>
    <t>Grade(s) Supplied</t>
  </si>
  <si>
    <t>This quantity is not included in ROB</t>
  </si>
  <si>
    <t>QUANTITY PER GRADE:</t>
  </si>
  <si>
    <t>GRADE:</t>
  </si>
  <si>
    <t>ROB BY CH. ENG ON:</t>
  </si>
  <si>
    <t>ROB AT "E.O.S.P." ON:</t>
  </si>
  <si>
    <t>SHO001</t>
  </si>
  <si>
    <t>SHO002</t>
  </si>
  <si>
    <t>SHO000</t>
  </si>
  <si>
    <t>Speed and Consumption as per C/P:</t>
  </si>
  <si>
    <t>Before Bunkering</t>
  </si>
  <si>
    <t>After Bunkering</t>
  </si>
  <si>
    <t>VESSEL</t>
  </si>
  <si>
    <t>Tank Names (Sugg)</t>
  </si>
  <si>
    <t>BARGE</t>
  </si>
  <si>
    <t>6-P</t>
  </si>
  <si>
    <t>6-S</t>
  </si>
  <si>
    <t>Filter</t>
  </si>
  <si>
    <t>Size</t>
  </si>
  <si>
    <t>Delivery/Redelivery between:</t>
  </si>
  <si>
    <t>for Charterers:</t>
  </si>
  <si>
    <t>for Ship:</t>
  </si>
  <si>
    <t>Port (Cargo ops)</t>
  </si>
  <si>
    <t>Ladden (Service Speed)</t>
  </si>
  <si>
    <t>Ballast (Service Speed)</t>
  </si>
  <si>
    <t>IFO</t>
  </si>
  <si>
    <t>MDO/MGO</t>
  </si>
  <si>
    <t>Statement of Facts</t>
  </si>
  <si>
    <t>ROB SURVEY REPORTS</t>
  </si>
  <si>
    <t>BunkerManager by AMS-Marine Software</t>
  </si>
  <si>
    <t>Create PDF</t>
  </si>
  <si>
    <t>Create &amp; Email PDF</t>
  </si>
  <si>
    <t>To:</t>
  </si>
  <si>
    <t>Cc:</t>
  </si>
  <si>
    <t xml:space="preserve">RECORD OF BUNKER CONSUMPTION </t>
  </si>
  <si>
    <t>REMARKS LIBRARY</t>
  </si>
  <si>
    <t>Subject:</t>
  </si>
  <si>
    <t>Body:</t>
  </si>
  <si>
    <t>Survey Report</t>
  </si>
  <si>
    <t>Kaivan</t>
  </si>
  <si>
    <t>Bunker Sample Info</t>
  </si>
  <si>
    <t>Gravitation Declaration</t>
  </si>
  <si>
    <t>Valves Declaration</t>
  </si>
  <si>
    <t>Remarks Library</t>
  </si>
  <si>
    <t>On/Off Hire Certificate</t>
  </si>
  <si>
    <t>Consumption</t>
  </si>
  <si>
    <t>#</t>
  </si>
  <si>
    <t>NOW</t>
  </si>
  <si>
    <t>MODE1</t>
  </si>
  <si>
    <t>MODE2</t>
  </si>
  <si>
    <t>MODE3</t>
  </si>
  <si>
    <t>INPUT</t>
  </si>
  <si>
    <t>Send to Printer</t>
  </si>
  <si>
    <t>Vessel ROB Certificate</t>
  </si>
  <si>
    <t>kaivan@chinoy.ca</t>
  </si>
  <si>
    <t>VESSEL ROB CERTIFICATE</t>
  </si>
  <si>
    <t>BARGE GAUGING DATA</t>
  </si>
  <si>
    <t>VESSEL GAUGING DATA</t>
  </si>
  <si>
    <t>Vessel Gauging Data</t>
  </si>
  <si>
    <t>Barge Gauging Data</t>
  </si>
  <si>
    <t>Vessel Gauging @ Opening</t>
  </si>
  <si>
    <t>Vessel Gauging @ Closing</t>
  </si>
  <si>
    <t>Barge Gauging @ Opening</t>
  </si>
  <si>
    <t>Barge Gauging @ Closing</t>
  </si>
  <si>
    <t>BARGE  TANKS  INFORMATION</t>
  </si>
  <si>
    <t>Gauging Started</t>
  </si>
  <si>
    <t>Gauging Completed</t>
  </si>
  <si>
    <t>Date/Time of Survey Completed</t>
  </si>
  <si>
    <t>Print in Color</t>
  </si>
  <si>
    <t>Print Black &amp; White</t>
  </si>
  <si>
    <t>7-P</t>
  </si>
  <si>
    <t>7-S</t>
  </si>
  <si>
    <t>8-P</t>
  </si>
  <si>
    <t>8-S</t>
  </si>
  <si>
    <t>9-P</t>
  </si>
  <si>
    <t>9-S</t>
  </si>
  <si>
    <t>10-P</t>
  </si>
  <si>
    <t>10-S</t>
  </si>
  <si>
    <t>11-P</t>
  </si>
  <si>
    <t>11-S</t>
  </si>
  <si>
    <t>12-P</t>
  </si>
  <si>
    <t>12-S</t>
  </si>
  <si>
    <t>1-C</t>
  </si>
  <si>
    <t>2-C</t>
  </si>
  <si>
    <t>3-C</t>
  </si>
  <si>
    <t>4-C</t>
  </si>
  <si>
    <t>5-C</t>
  </si>
  <si>
    <t>6-C</t>
  </si>
  <si>
    <t>7-C</t>
  </si>
  <si>
    <t>8-C</t>
  </si>
  <si>
    <t>9-C</t>
  </si>
  <si>
    <t>10-C</t>
  </si>
  <si>
    <t>11-C</t>
  </si>
  <si>
    <t>12-C</t>
  </si>
  <si>
    <t>Deep Tk P</t>
  </si>
  <si>
    <t>Deep Tk S</t>
  </si>
  <si>
    <t>Deep Tk C</t>
  </si>
  <si>
    <t>Deep Tk 1</t>
  </si>
  <si>
    <t>Deep Tk 2</t>
  </si>
  <si>
    <t>Deep Tk 3</t>
  </si>
  <si>
    <t>Deep Tk 4</t>
  </si>
  <si>
    <t>Serv Tk P</t>
  </si>
  <si>
    <t>Serv Tk S</t>
  </si>
  <si>
    <t>Serv Tk 1</t>
  </si>
  <si>
    <t>Serv Tk 2</t>
  </si>
  <si>
    <t>Sett Tk 1</t>
  </si>
  <si>
    <t>Sett Tk 2</t>
  </si>
  <si>
    <t>OVF Tk 1</t>
  </si>
  <si>
    <t>OVF Tk 2</t>
  </si>
  <si>
    <t>OVF Tk 3</t>
  </si>
  <si>
    <t>OVF Tk 4</t>
  </si>
  <si>
    <t>Name of Barge:</t>
  </si>
  <si>
    <t>Grades Received:</t>
  </si>
  <si>
    <t>Grades Supplied:</t>
  </si>
  <si>
    <t>Gravitating of Fuel involves inter-tank transfers i.e. running oil from one end to another to inflate the quantity.</t>
  </si>
  <si>
    <t>During opening gauge the fuel could be transferred from high level to a low level (or empty / slack tank) by gravity. For example a barge may have four tanks 1P/1S, 2P/2S, 3P/3S and 4P/4S. The opening gauge starts from say aft tanks 4P/4S. While the gauging is underway, the tank level of 4P/4S could be easily dropped under gravity to a slack or empty tank forward say 1P/1S. Thus essentially the same fuel quantity is measured twice. This method is still in use and if not detected the barge can claim that full quantity was delivered to the vessel but the vessel will have a substantial shortfall. Once the bunkering has commenced it is too late to do anything and it will be virtually impossible to trace the ‘missing’ fuel.</t>
  </si>
  <si>
    <t>I hereby, confirm that checks against gravitating of fuel was conducted as above and witnessed by the ship’s representative.</t>
  </si>
  <si>
    <t xml:space="preserve">It is imperative that the surveyor re-gauges the tanks in the following sequence: If the initial gauging was forward to aft then, after gauging the last aft tank; the surveyor shall re-gauge all tanks from aft to forward. The readings should be exactly the same. As an additional precaution, at the commencement of bunker transfer, the surveyor shall re-gauge the first tank(s) used to transfer oil to the vessel. The reading should match that taken during the initial gauging. </t>
  </si>
  <si>
    <t>GEN005</t>
  </si>
  <si>
    <t>GEN006</t>
  </si>
  <si>
    <t>CHANGE IN NON-NOMINATED QUANTITY:</t>
  </si>
  <si>
    <t>Vessel Berthed</t>
  </si>
  <si>
    <t>Vessel Anchored</t>
  </si>
  <si>
    <t>Operations</t>
  </si>
  <si>
    <t>At Sea</t>
  </si>
  <si>
    <t>No</t>
  </si>
  <si>
    <t>Create &amp; Email Excel file (XLSX)</t>
  </si>
  <si>
    <t>Create Excel file (XLSX)</t>
  </si>
  <si>
    <t>See the attached file with the Survey Report.</t>
  </si>
  <si>
    <t>EVALUATION OF ALPHAS FOR API</t>
  </si>
  <si>
    <t>^IF(COUNTIFS(Table5[2],$E$21)&lt;ROWS($C20:$C$22),"",INDEX(Table5[1],SMALL(IF((Table5[2]^$E$21),ROW(Table5[1])-ROW(Table5[[#Headers],[2]])),ROW()-ROW(C$21))))</t>
  </si>
  <si>
    <t>^IF(OR($C20^"",$C20^0),"",INDEX(Table5[#All],MATCH($C20,Table5[1],0)+1,2))</t>
  </si>
  <si>
    <t>^IF(ISERROR(U20),"",IF(OR($C20^"",$C20^0),"",IF($Z$1^1,U20,INT(U20)&amp;"'-"&amp;TRIM(TEXT(ROUND(MOD(U20,1)*12,1),"# ???/???"))&amp;"""")))</t>
  </si>
  <si>
    <t>^IF(ISERROR(V20),"",IF(OR($C20^"",$C20^0,$H20^UMETHOD),"",IF($Z$1^1,V20,INT(V20)&amp;"'-"&amp;TRIM(TEXT(ROUND(MOD(V20,1)*12,1),"# ???/???"))&amp;"""")))</t>
  </si>
  <si>
    <t>^IF(ISERROR(W20),"",IF(OR($C20^"",$C20^0),"",IF($Z$1^1,W20,INT(W20)&amp;"'-"&amp;TRIM(TEXT(ROUND(MOD(W20,1)*12,1),"# ???/???"))&amp;"""")))</t>
  </si>
  <si>
    <t>^IF(ISERROR($AZ20),"",IF(OR($C20^"",$C20^0,$AZ20^0),"",$AZ20))</t>
  </si>
  <si>
    <t>^IF(ISERROR($BA20),"",IF(OR($C20^"",$C20^0,$BA20^""),"",$BA20*IF($Y$1^B1SEL,1,IF($Y$1^2,FBBLS,1/FBBLS))))</t>
  </si>
  <si>
    <t>^IF(ISERROR($BB20),"",IF(OR($C20^"",$C20^0,$BB20^""),"",$BB20*IF($Z$1^W1SEL,1,IF($Z$1^2,FINCH,1/FINCH))))</t>
  </si>
  <si>
    <t>^IF(ISERROR($BC20),"",IF(OR($C20^"",$C20^0,$BC20^""),"",$BC20*IF($Y$1^B1SEL,1,IF($Y$1^2,FBBLS,1/FBBLS))))</t>
  </si>
  <si>
    <t>^IF(OR($C20^"",$C20^0),"",INDEX(APIDENST,MATCH($C20,Table5[1],0),$Y$1))</t>
  </si>
  <si>
    <t>^IF(ISERROR(X20),"",IF(OR($C20^"",$C20^0,X20^""),"",IF($Y$1^T1SEL,X20,IF($Y$1^2,(X20*9/5)+32,(X20-32)*5/9))))</t>
  </si>
  <si>
    <t>^IF(OR(I20^"",K20^""),"",I20-K20)</t>
  </si>
  <si>
    <t>^IF(OR(L20^"",M20^""),"",IF($Y$1^1,ROUND(EXP(-AD20*(M20-15)*(1+0.8*AD20*(M20-15))),4),AX20))</t>
  </si>
  <si>
    <t>^IF(OR(L20^"",M20^""),"",ROUND(N20*O20,3))</t>
  </si>
  <si>
    <t>^IF(L20^"","",IF($Y$1^1,ROUND(P20*L20,3),ROUND(S20*AA20,3)))</t>
  </si>
  <si>
    <t>^IF(L20^"","",IF($Y$1^1,ROUND(L20-0.0011,5),ROUND((1.00122697*(141.5/(L20+131.5))-1.22269727*10^-3)*8.32823*42/2204.62,5)))</t>
  </si>
  <si>
    <t>^IF(OR(L20^"",M20^""),"",IF($Y$1^1,ROUND((P20*(L20-0.0011)),3),ROUND(P20*R20,3)))</t>
  </si>
  <si>
    <t>^IF(COUNTIFS(Table5[2],$E$21,Table5[3],NOMY)&lt;ROWS($C20:$C$22),"",INDEX(Table5[1],SMALL(IF((Table5[2]^$E$21)+(Table5[3]^NOMY)^2,ROW(Table5[1])-ROW(Table5[[#Headers],[2]])),ROW()-ROW(C$21))))</t>
  </si>
  <si>
    <t>Nominated Quantity,</t>
  </si>
  <si>
    <t>(MT)</t>
  </si>
  <si>
    <t>(% V/V)</t>
  </si>
  <si>
    <t>AVERAGE</t>
  </si>
  <si>
    <t>General housekeeping</t>
  </si>
  <si>
    <t>Mooring arrangements</t>
  </si>
  <si>
    <t>Engine Room</t>
  </si>
  <si>
    <t>Cargo Control room</t>
  </si>
  <si>
    <t>Pumping rate</t>
  </si>
  <si>
    <t>Hose connection</t>
  </si>
  <si>
    <t>Piping/mainfold</t>
  </si>
  <si>
    <t>Deck and fittings</t>
  </si>
  <si>
    <t>Safety / pollution awareness</t>
  </si>
  <si>
    <t>Adequate manpower available</t>
  </si>
  <si>
    <t>Crew fully conversant in English</t>
  </si>
  <si>
    <t>Equipment in working order</t>
  </si>
  <si>
    <t>Cooperation from barge</t>
  </si>
  <si>
    <t>BARGE EVALUATION</t>
  </si>
  <si>
    <t>Gross Transfer Time</t>
  </si>
  <si>
    <t>Surveyor Time (base to base)</t>
  </si>
  <si>
    <t>hh:mm</t>
  </si>
  <si>
    <t>Spec Limits</t>
  </si>
  <si>
    <t>Test Results</t>
  </si>
  <si>
    <t>Supplier Data</t>
  </si>
  <si>
    <t>% Diff</t>
  </si>
  <si>
    <t>ROB AUDIT SUMMARY</t>
  </si>
  <si>
    <t>Legend:</t>
  </si>
  <si>
    <t>Grade 0 = Poor</t>
  </si>
  <si>
    <t>Grade 5 = Excellent</t>
  </si>
  <si>
    <t>Barge Evaluation</t>
  </si>
  <si>
    <t>MODEY</t>
  </si>
  <si>
    <t>MODEN</t>
  </si>
  <si>
    <t>Select All</t>
  </si>
  <si>
    <t>Select None</t>
  </si>
  <si>
    <t>As per Survey Type</t>
  </si>
  <si>
    <t>Comments</t>
  </si>
  <si>
    <t>Activity</t>
  </si>
  <si>
    <t>Notes</t>
  </si>
  <si>
    <t>To</t>
  </si>
  <si>
    <t>Leaking hose connection</t>
  </si>
  <si>
    <t>Stoppage due to potential cappuccino bunkers</t>
  </si>
  <si>
    <t>GRADE</t>
  </si>
  <si>
    <t>From</t>
  </si>
  <si>
    <t>Duration</t>
  </si>
  <si>
    <t>Define</t>
  </si>
  <si>
    <t>*** TIME LOG ***</t>
  </si>
  <si>
    <t>TIM000</t>
  </si>
  <si>
    <t>TIM001</t>
  </si>
  <si>
    <t>TIM002</t>
  </si>
  <si>
    <t>Weight Differential (MT):</t>
  </si>
  <si>
    <t>Spec Met?</t>
  </si>
  <si>
    <t>QUANTITIES COMPARISON</t>
  </si>
  <si>
    <t>KEY POINT ANALYSIS COMPARISON</t>
  </si>
  <si>
    <t>Supplier's Specs, Water</t>
  </si>
  <si>
    <t>Supplier's Specs, Viscosity</t>
  </si>
  <si>
    <t>Analysis Specs, Viscosity</t>
  </si>
  <si>
    <t>Analysis Specs, Water</t>
  </si>
  <si>
    <t>BDN Quantity,</t>
  </si>
  <si>
    <t>Density:</t>
  </si>
  <si>
    <t>Viscosity:</t>
  </si>
  <si>
    <t>Units</t>
  </si>
  <si>
    <t>Water Content:</t>
  </si>
  <si>
    <t>% (v/v)</t>
  </si>
  <si>
    <t>Summary Report</t>
  </si>
  <si>
    <t>Water % (v/v):</t>
  </si>
  <si>
    <t>Viscosity (cSt):</t>
  </si>
  <si>
    <t>Operation Time Summary</t>
  </si>
  <si>
    <t>OPERATION TIME SUMMARY</t>
  </si>
  <si>
    <t>Net Transfer Time:</t>
  </si>
  <si>
    <t>USD $</t>
  </si>
  <si>
    <r>
      <t xml:space="preserve">Qty Diff </t>
    </r>
    <r>
      <rPr>
        <b/>
        <sz val="10"/>
        <color rgb="FFFF0000"/>
        <rFont val="Arial"/>
        <family val="2"/>
      </rPr>
      <t>(b-a)</t>
    </r>
  </si>
  <si>
    <r>
      <t xml:space="preserve">After testing </t>
    </r>
    <r>
      <rPr>
        <sz val="10"/>
        <color rgb="FFFF0000"/>
        <rFont val="Arial"/>
        <family val="2"/>
      </rPr>
      <t>(d)</t>
    </r>
    <r>
      <rPr>
        <sz val="10"/>
        <rFont val="Arial"/>
        <family val="2"/>
      </rPr>
      <t>:</t>
    </r>
  </si>
  <si>
    <r>
      <t xml:space="preserve">Before testing </t>
    </r>
    <r>
      <rPr>
        <sz val="10"/>
        <color rgb="FFFF0000"/>
        <rFont val="Arial"/>
        <family val="2"/>
      </rPr>
      <t>(c)</t>
    </r>
    <r>
      <rPr>
        <sz val="10"/>
        <rFont val="Arial"/>
        <family val="2"/>
      </rPr>
      <t>:</t>
    </r>
  </si>
  <si>
    <r>
      <t xml:space="preserve">Commercial Loss/Gain </t>
    </r>
    <r>
      <rPr>
        <b/>
        <sz val="10"/>
        <color rgb="FFFF0000"/>
        <rFont val="Arial"/>
        <family val="2"/>
      </rPr>
      <t>(d-c)</t>
    </r>
    <r>
      <rPr>
        <b/>
        <sz val="10"/>
        <rFont val="Arial"/>
        <family val="2"/>
      </rPr>
      <t>:</t>
    </r>
  </si>
  <si>
    <r>
      <t>15ºC kg/m</t>
    </r>
    <r>
      <rPr>
        <vertAlign val="superscript"/>
        <sz val="10"/>
        <rFont val="Arial"/>
        <family val="2"/>
      </rPr>
      <t>3</t>
    </r>
  </si>
  <si>
    <r>
      <t xml:space="preserve">BDN </t>
    </r>
    <r>
      <rPr>
        <sz val="10"/>
        <color rgb="FFFF0000"/>
        <rFont val="Arial"/>
        <family val="2"/>
      </rPr>
      <t>(a)</t>
    </r>
  </si>
  <si>
    <r>
      <t xml:space="preserve">Vessel Out-Turn </t>
    </r>
    <r>
      <rPr>
        <sz val="10"/>
        <color rgb="FFFF0000"/>
        <rFont val="Arial"/>
        <family val="2"/>
      </rPr>
      <t>(b)</t>
    </r>
  </si>
  <si>
    <t>BUNKER DELIVERY SUMMARY</t>
  </si>
  <si>
    <t>Receiver's name:</t>
  </si>
  <si>
    <t>Surveyor's Name:</t>
  </si>
  <si>
    <t>Signature1:</t>
  </si>
  <si>
    <t>Signature2:</t>
  </si>
  <si>
    <t>The Surveyor,</t>
  </si>
  <si>
    <t>Phone: +123456789</t>
  </si>
  <si>
    <t>Mob: +0987654321</t>
  </si>
  <si>
    <t>Mob: +0987654322</t>
  </si>
  <si>
    <t>Email: surveyor@gmail.com</t>
  </si>
  <si>
    <t>EMPTY SHEET ON FOR REFRESH PURPOSES</t>
  </si>
  <si>
    <t>software@ams-marine.com  ||  www.ams-marine.com</t>
  </si>
  <si>
    <t>ERROR HEIGHT</t>
  </si>
  <si>
    <t>ERROR DENS DIST</t>
  </si>
  <si>
    <t>ERROR DENS RES</t>
  </si>
  <si>
    <t>ERROR NOMINATION</t>
  </si>
  <si>
    <t>Max</t>
  </si>
  <si>
    <t>Values</t>
  </si>
  <si>
    <t>DENS1</t>
  </si>
  <si>
    <t>DENS2</t>
  </si>
  <si>
    <t>Col Dens:</t>
  </si>
  <si>
    <t>Standard User</t>
  </si>
  <si>
    <t>Power User</t>
  </si>
  <si>
    <t>(@ xx°C mm²/s)</t>
  </si>
  <si>
    <t>Ullage 
Sounding 
Gauge</t>
  </si>
  <si>
    <t xml:space="preserve">     Date/Time Vessel Closing Gauging Started</t>
  </si>
  <si>
    <t xml:space="preserve">     Date/Time Vessel Closing Gauging Completed</t>
  </si>
  <si>
    <t xml:space="preserve">     Date/Time Barge Opening Gauging Started</t>
  </si>
  <si>
    <t xml:space="preserve">     Date/Time Barge Opening Gauging Completed</t>
  </si>
  <si>
    <t xml:space="preserve">     Date/Time Barge Closing Gauging Started</t>
  </si>
  <si>
    <t xml:space="preserve">     Date/Time Barge Closing Gauging Completed</t>
  </si>
  <si>
    <t>SS600</t>
  </si>
  <si>
    <t>Pre-Survey Vessel Acknowledgement</t>
  </si>
  <si>
    <t>Bunker Quantity Survey</t>
  </si>
  <si>
    <t xml:space="preserve">
</t>
  </si>
  <si>
    <t>We have been appointed by Messrs.</t>
  </si>
  <si>
    <t>Sampling</t>
  </si>
  <si>
    <t>The attending surveyor will be witnessing and supervising the collection of the representative samples during the bunkering operation. The sampling shall be carried out on the vessels bunker manifold as per the requirements set out in Singapore Standard SS600 Code of Practice for bunkering(latest edition).</t>
  </si>
  <si>
    <t>Will you, Chief Engineer, be taking your own sample(s)</t>
  </si>
  <si>
    <t>If Yes, number of samples</t>
  </si>
  <si>
    <t>Will you be sending your own sample(s) for analysis ?</t>
  </si>
  <si>
    <t>If Yes, to which laboratory</t>
  </si>
  <si>
    <t>General Information</t>
  </si>
  <si>
    <t>Grade</t>
  </si>
  <si>
    <t>Nominated Quantity</t>
  </si>
  <si>
    <t>Pressure</t>
    <phoneticPr fontId="0" type="noConversion"/>
  </si>
  <si>
    <t>Tank Sequence</t>
  </si>
  <si>
    <t>Boiler fuel consumption in Port</t>
  </si>
  <si>
    <t xml:space="preserve">   Grade</t>
  </si>
  <si>
    <t>Generator fuel consumption in Port</t>
  </si>
  <si>
    <t>Caution</t>
  </si>
  <si>
    <t>Yes</t>
  </si>
  <si>
    <t>Was Chief Engineer advised not to carry out any internal transfer during the entire bunkering operations?</t>
  </si>
  <si>
    <t>Safety</t>
  </si>
  <si>
    <t>Do I have permission to take photographs during bunkering ?</t>
  </si>
  <si>
    <t>Equipment</t>
  </si>
  <si>
    <t>Measuring 
Tape</t>
  </si>
  <si>
    <t>Digital 
Therommeter</t>
  </si>
  <si>
    <t>Personal Gas Detector</t>
  </si>
  <si>
    <t>Serial Number</t>
  </si>
  <si>
    <t>005523</t>
  </si>
  <si>
    <t>9-02436</t>
  </si>
  <si>
    <t>KA414-1104254</t>
  </si>
  <si>
    <t>Calibration Due</t>
  </si>
  <si>
    <t xml:space="preserve">Chief Engineer : </t>
  </si>
  <si>
    <t xml:space="preserve">Name : </t>
  </si>
  <si>
    <t xml:space="preserve">Time : </t>
  </si>
  <si>
    <t>Name of Bunker Tanker</t>
  </si>
  <si>
    <t>Location of survey</t>
  </si>
  <si>
    <t>Date of survey</t>
  </si>
  <si>
    <t>Opening Reading</t>
  </si>
  <si>
    <t>Draft Fwd</t>
  </si>
  <si>
    <t>Trim</t>
  </si>
  <si>
    <t>Trim Correction applied</t>
  </si>
  <si>
    <t>Sea State</t>
  </si>
  <si>
    <t>Slight</t>
  </si>
  <si>
    <t>Draft Aft</t>
  </si>
  <si>
    <t>List</t>
  </si>
  <si>
    <t>List Correction applied</t>
  </si>
  <si>
    <t>Tank No.</t>
  </si>
  <si>
    <t>Total :</t>
  </si>
  <si>
    <t>Closing Reading</t>
  </si>
  <si>
    <t>Rank</t>
  </si>
  <si>
    <t>Name</t>
  </si>
  <si>
    <t>Drip Sampling Container seal no.</t>
  </si>
  <si>
    <t>Needle Valve seal no.</t>
  </si>
  <si>
    <t>Sufficient tank space for line clearing:</t>
  </si>
  <si>
    <t>Opening gauges and cargo temperatures witnessed by Chief Engineer and Bunker Surveyor in the presence of Cargo Officer</t>
  </si>
  <si>
    <t>Name in full:</t>
  </si>
  <si>
    <t>Signature of Cargo Officer:</t>
  </si>
  <si>
    <t>Bunker tanker's stamp:</t>
  </si>
  <si>
    <t>Name in full / licence no:</t>
  </si>
  <si>
    <t>IMO No</t>
  </si>
  <si>
    <t>Location of Survey</t>
  </si>
  <si>
    <t>In view of the importance of agreeing to and drawing of a representative sample of the product, we are requesting the representative from the Vessel, Supplier and parties concerned to witness the sample taking and the subsequent decanting, sealing and labelling of the sample bottles.</t>
  </si>
  <si>
    <t>Details of Sample(s) taken by Surveyor</t>
  </si>
  <si>
    <t>Vessel</t>
  </si>
  <si>
    <t>Sampling Device on Vessel</t>
  </si>
  <si>
    <t>Sampling Device Provided by</t>
  </si>
  <si>
    <t>Bunker Tanker</t>
  </si>
  <si>
    <t>Sampling Device Used</t>
  </si>
  <si>
    <t>Manual Drip Sampler</t>
  </si>
  <si>
    <t>Location of manifold</t>
  </si>
  <si>
    <t>Continuous Drip</t>
  </si>
  <si>
    <t>Sampling Cubitainer sealed</t>
  </si>
  <si>
    <t>Sampler Reg. Valve sealed</t>
  </si>
  <si>
    <t>Sample</t>
  </si>
  <si>
    <t>Supplier Seal No.</t>
  </si>
  <si>
    <t>Purpose</t>
  </si>
  <si>
    <t>Fuel Quality Testing</t>
  </si>
  <si>
    <t>Vessel Retention</t>
  </si>
  <si>
    <t xml:space="preserve">Bunker Tanker Retention </t>
  </si>
  <si>
    <t>Vessel Retention (MARPOL)</t>
  </si>
  <si>
    <t>Barge Extra</t>
  </si>
  <si>
    <t>Bunker Tanker's Line System</t>
  </si>
  <si>
    <t>Single</t>
  </si>
  <si>
    <t>Vessel's Line System</t>
  </si>
  <si>
    <t>Bunker Tanker's Hose Size</t>
  </si>
  <si>
    <t>Vessel's Bunker Line Size</t>
  </si>
  <si>
    <t>Bunker Tanker Representative</t>
  </si>
  <si>
    <t>Declared Before Bunkering</t>
  </si>
  <si>
    <t>Tank No. / Compartment</t>
  </si>
  <si>
    <t>Sounding</t>
  </si>
  <si>
    <t>Volume</t>
  </si>
  <si>
    <t>Contents (Engine Oil / Water)        &amp; Remarks</t>
  </si>
  <si>
    <t>Declared By :</t>
  </si>
  <si>
    <t>Name :</t>
  </si>
  <si>
    <t>Time  :</t>
  </si>
  <si>
    <t>Bunker Tanker's Stamp</t>
  </si>
  <si>
    <t>Declared / Inspected After Bunkering (For Quantity Dispute)</t>
  </si>
  <si>
    <t>Contents (Engine Oil / Water) &amp; Remarks</t>
  </si>
  <si>
    <t>Mass Metering System Seals Checklist</t>
  </si>
  <si>
    <t>Item Description</t>
  </si>
  <si>
    <t>Seal No</t>
  </si>
  <si>
    <t>Before delivery 
Intact</t>
  </si>
  <si>
    <t>After delivery 
Intact</t>
  </si>
  <si>
    <t>ü</t>
  </si>
  <si>
    <t>Declaration</t>
  </si>
  <si>
    <t>Mass Flow Metering System Information</t>
  </si>
  <si>
    <t>Meter Density</t>
  </si>
  <si>
    <t>Meter Temperature</t>
  </si>
  <si>
    <t>Flow Meter Calibration Date</t>
  </si>
  <si>
    <t>Transmitter Model</t>
  </si>
  <si>
    <t>Meter Pressure (Bar): Inlet &amp; Outlet</t>
  </si>
  <si>
    <t>Transmitter Serial No</t>
  </si>
  <si>
    <t>Line Packing Condition:Before/After</t>
  </si>
  <si>
    <t>Transmitter Seal Number</t>
  </si>
  <si>
    <t>A</t>
  </si>
  <si>
    <t>B</t>
  </si>
  <si>
    <t>C</t>
  </si>
  <si>
    <t>D</t>
  </si>
  <si>
    <t>F</t>
  </si>
  <si>
    <t>Vessel's Received Quantity (M/T) - Manual Sounding</t>
  </si>
  <si>
    <t>DELIVERED PER GRADE:</t>
  </si>
  <si>
    <t>Barge</t>
  </si>
  <si>
    <t>Preview</t>
  </si>
  <si>
    <t>Received</t>
  </si>
  <si>
    <t>Delivered</t>
  </si>
  <si>
    <t>Chief Engineer of</t>
  </si>
  <si>
    <t>Location:</t>
  </si>
  <si>
    <t>MT/day</t>
  </si>
  <si>
    <t>The samples collected will be subsequently sealed, labelled and distributed accordingly.</t>
  </si>
  <si>
    <t>Agreed Pump Rate (MT/hr)</t>
  </si>
  <si>
    <t>Location :</t>
  </si>
  <si>
    <t>GEN007</t>
  </si>
  <si>
    <t>Calibration Tables/Chart By</t>
  </si>
  <si>
    <t>Bunker Tanker Non-Cargo Declaration / Inspection Report</t>
  </si>
  <si>
    <t>Sampling Report</t>
  </si>
  <si>
    <t>Auto Sampler</t>
  </si>
  <si>
    <t>Drain Valve</t>
  </si>
  <si>
    <t>Others</t>
  </si>
  <si>
    <t>Fwd</t>
  </si>
  <si>
    <t>Midship</t>
  </si>
  <si>
    <t>Aft</t>
  </si>
  <si>
    <t>Port Side</t>
  </si>
  <si>
    <t>Stbd Side</t>
  </si>
  <si>
    <t>Tick Symbol</t>
  </si>
  <si>
    <t>√</t>
  </si>
  <si>
    <t>Nominated Tanks</t>
  </si>
  <si>
    <t>Bunker Delivery Note (BDN)</t>
  </si>
  <si>
    <t>Supplier Density @15°C</t>
  </si>
  <si>
    <t>POIUY</t>
  </si>
  <si>
    <t>EFVBNJ</t>
  </si>
  <si>
    <t>Good</t>
  </si>
  <si>
    <t>HSBT 1P, LSFOT 2S</t>
  </si>
  <si>
    <t>Mass in Air Conversion Factor (ASTM Table 56)</t>
  </si>
  <si>
    <t>Calm</t>
  </si>
  <si>
    <t>Moderate</t>
  </si>
  <si>
    <t>Rough</t>
  </si>
  <si>
    <t>GEN008</t>
  </si>
  <si>
    <t>Licence No</t>
  </si>
  <si>
    <t>Free Water Vol.</t>
  </si>
  <si>
    <t>Total Observed Vol.</t>
  </si>
  <si>
    <t>Gross Corrected Vol.</t>
  </si>
  <si>
    <t>Metric Tons (in Air)</t>
  </si>
  <si>
    <t>Total Non-Nominated:</t>
  </si>
  <si>
    <t>Opening Measurements witnessed by,</t>
  </si>
  <si>
    <t>Closing Measurements witnessed by,</t>
  </si>
  <si>
    <t>Supplier's Specs,</t>
  </si>
  <si>
    <t>(@ 60°F)</t>
  </si>
  <si>
    <t>(@ 15°C)</t>
  </si>
  <si>
    <t>Analysis Specs,</t>
  </si>
  <si>
    <t>API NOT USED</t>
  </si>
  <si>
    <t>NEW DENS</t>
  </si>
  <si>
    <t>Grades Ordered</t>
  </si>
  <si>
    <t>Sounding Tape S.No.</t>
  </si>
  <si>
    <t>Thermometer S.No.</t>
  </si>
  <si>
    <t>Inspectorate SA</t>
  </si>
  <si>
    <t>BUNKERS INTERNATIONAL SA</t>
  </si>
  <si>
    <t>VSL NOMINATED (ALL GRADES)</t>
  </si>
  <si>
    <t>--(M/T)--</t>
  </si>
  <si>
    <t>The tested results will be updated in due course and will be updated to customer</t>
  </si>
  <si>
    <t>SUM000</t>
  </si>
  <si>
    <t>SUM001</t>
  </si>
  <si>
    <t>SUM002</t>
  </si>
  <si>
    <t>*** SUMMARY ***</t>
  </si>
  <si>
    <t>Density @ 15°C as per Bunker Delivery Note.</t>
  </si>
  <si>
    <t xml:space="preserve">*** SHORTAGE *** </t>
  </si>
  <si>
    <t xml:space="preserve">*** WATER *** </t>
  </si>
  <si>
    <t>Closing gauges and cargo temperatures witnessed by Chief Engineer and Bunker Surveyor in the presence of Cargo Officer</t>
  </si>
  <si>
    <t>Surveyor's Licence No.</t>
  </si>
  <si>
    <t>Date / Time:</t>
  </si>
  <si>
    <t>Vessel's Stamp:</t>
  </si>
  <si>
    <t>NEW TOV</t>
  </si>
  <si>
    <t>GOV1</t>
  </si>
  <si>
    <t>DENS1xGOV1</t>
  </si>
  <si>
    <t>GOV2-GOV1</t>
  </si>
  <si>
    <t>NEW DENSxNEW GOV</t>
  </si>
  <si>
    <t>GOV2</t>
  </si>
  <si>
    <t>GOV1-GOV2</t>
  </si>
  <si>
    <t>(F Density x Total GOV) - New Density x New GOV)/ Old GOV= Old Density</t>
  </si>
  <si>
    <t>BRG NOMINATED (ALL GRADES)</t>
  </si>
  <si>
    <t>VSL NOMINATED (RES/DIST)</t>
  </si>
  <si>
    <t>BRG NOMINATED  (RES/DIST)</t>
  </si>
  <si>
    <t>Suppliers</t>
  </si>
  <si>
    <t>Analysis</t>
  </si>
  <si>
    <t>Viscosity</t>
  </si>
  <si>
    <t>Water</t>
  </si>
  <si>
    <t>DISTILATES</t>
  </si>
  <si>
    <t>RESIDUALS</t>
  </si>
  <si>
    <t>DENSITY</t>
  </si>
  <si>
    <t>Flow Meter Serial No</t>
  </si>
  <si>
    <t>Corrected Ullage Sounding Gauge</t>
  </si>
  <si>
    <t>Type Measurement</t>
  </si>
  <si>
    <t>(as</t>
  </si>
  <si>
    <t>calculated)</t>
  </si>
  <si>
    <t>Automatic interpolation with supplied density</t>
  </si>
  <si>
    <t>not used</t>
  </si>
  <si>
    <t>Supplied</t>
  </si>
  <si>
    <t>Companies</t>
  </si>
  <si>
    <t>Spare</t>
  </si>
  <si>
    <t xml:space="preserve"> U-S-G-E</t>
  </si>
  <si>
    <t>GEN009</t>
  </si>
  <si>
    <t>The representation of all parties concerned is important to avoid disputes at a later stage and to verify findings that will be used to determine the quantities remaining onboard</t>
  </si>
  <si>
    <t>GEN010</t>
  </si>
  <si>
    <t>Vessel was in steady condition at time of taking readings</t>
  </si>
  <si>
    <t>We, the undersigned have jointly checked all items on the checklist.</t>
  </si>
  <si>
    <t>Show Pictures</t>
  </si>
  <si>
    <t>Hide Pictures</t>
  </si>
  <si>
    <t>Seal No.- for Barge Retention</t>
  </si>
  <si>
    <t>Seal No.- for Vessel Retention</t>
  </si>
  <si>
    <t>Seal No.- for Surveyor (laboratory)</t>
  </si>
  <si>
    <t>Seal No.- for Surveyor (retention)</t>
  </si>
  <si>
    <t>A.</t>
  </si>
  <si>
    <t>B.</t>
  </si>
  <si>
    <t>Surveyor boarded Vessel</t>
  </si>
  <si>
    <t>Surveyor left base</t>
  </si>
  <si>
    <t>Surveyor Left Base</t>
  </si>
  <si>
    <t>Surveyor left Vessel</t>
  </si>
  <si>
    <t>Surveyor boarded Barge</t>
  </si>
  <si>
    <t>Initial Inspection at Vessel</t>
  </si>
  <si>
    <t>Initial Inspection at Barge</t>
  </si>
  <si>
    <t>Surveyor left Barge</t>
  </si>
  <si>
    <t>Barge Name:</t>
  </si>
  <si>
    <t>To minimize bunker misappropriation due to the above practice; surveyor shall re-gauge the bunkering tanks on the barge just prior to start of bunkering in the presence of ship's representative. This procedure shall be repeated for each grade.</t>
  </si>
  <si>
    <t>Precautions against Gravitating of Fuel during Bunkering</t>
  </si>
  <si>
    <t>ERRORS</t>
  </si>
  <si>
    <t>Initial Oil:</t>
  </si>
  <si>
    <t>Added Oil:</t>
  </si>
  <si>
    <t>FINAL OIL MIXTURE:</t>
  </si>
  <si>
    <t>Short Name</t>
  </si>
  <si>
    <t>PIA</t>
  </si>
  <si>
    <r>
      <t xml:space="preserve">DENSITY COMMINGLE / Case 1: </t>
    </r>
    <r>
      <rPr>
        <b/>
        <u/>
        <sz val="12"/>
        <color rgb="FF002060"/>
        <rFont val="Arial"/>
        <family val="2"/>
      </rPr>
      <t>Initial &amp; Added TOV</t>
    </r>
  </si>
  <si>
    <r>
      <t xml:space="preserve">DENSITY COMMINGLE / Case 2: </t>
    </r>
    <r>
      <rPr>
        <b/>
        <u/>
        <sz val="12"/>
        <color rgb="FF002060"/>
        <rFont val="Arial"/>
        <family val="2"/>
      </rPr>
      <t>Initial &amp; Final TOV</t>
    </r>
  </si>
  <si>
    <t>Was Chief Engineer advised not to pre-sign any documents related to this bunkering until the job has been completed and to consult Bunker Surveyor when in doubt ?</t>
  </si>
  <si>
    <t>Will vessel provide SOLAS approved safe access to bunker tanker for Bunker Surveyor ?</t>
  </si>
  <si>
    <t xml:space="preserve">Bunker Surveyor : </t>
  </si>
  <si>
    <t>Petro Inspect Asia Pte. Ltd</t>
  </si>
  <si>
    <t>Petro Inspect Americas</t>
  </si>
  <si>
    <t>Head Office: World Trade Centre | 404-999 Canada Place</t>
  </si>
  <si>
    <t xml:space="preserve">Vancouver | British Columbia | V6C 3E2 | CANADA </t>
  </si>
  <si>
    <t>T: +(65) 6717-7140 | F: +(65) 6717-7141 |  E: ops@petro-inspect.com</t>
  </si>
  <si>
    <t>T: +1 (604) 641-1204 | F:+1 (604) 608-9874 |  E: ops@petro-inspect.com</t>
  </si>
  <si>
    <t>PI UAE</t>
  </si>
  <si>
    <t>PI AM</t>
  </si>
  <si>
    <t>Stoppages</t>
  </si>
  <si>
    <t>---------------------------</t>
  </si>
  <si>
    <t>1) Stoppages during Transfer</t>
  </si>
  <si>
    <t>2) Stoppages during Transfer</t>
  </si>
  <si>
    <t>3) Stoppages during Transfer</t>
  </si>
  <si>
    <t>4) Stoppages during Transfer</t>
  </si>
  <si>
    <t>5) Stoppages during Transfer</t>
  </si>
  <si>
    <t>a. Stoppage from</t>
  </si>
  <si>
    <t>a. Stoppage to</t>
  </si>
  <si>
    <t>b. Stoppage from</t>
  </si>
  <si>
    <t>b. Stoppage to</t>
  </si>
  <si>
    <t>c. Stoppage from</t>
  </si>
  <si>
    <t>c. Stoppage to</t>
  </si>
  <si>
    <t>d. Stoppage from</t>
  </si>
  <si>
    <t>d. Stoppage to</t>
  </si>
  <si>
    <t>e. Stoppage from</t>
  </si>
  <si>
    <t>e. Stoppage to</t>
  </si>
  <si>
    <t xml:space="preserve"> - Stoppages during Transfer</t>
  </si>
  <si>
    <t>Total Stoppages:</t>
  </si>
  <si>
    <t xml:space="preserve"> - Stoppages During Transfer  </t>
  </si>
  <si>
    <t>Signature of Surveyor:</t>
  </si>
  <si>
    <t>1 Barge</t>
  </si>
  <si>
    <t>2 Barges</t>
  </si>
  <si>
    <t>3 Barges</t>
  </si>
  <si>
    <t>4 Barges</t>
  </si>
  <si>
    <t>5 Barges</t>
  </si>
  <si>
    <t>6 Barges</t>
  </si>
  <si>
    <t>Barge Assignment,</t>
  </si>
  <si>
    <t>(1-6)</t>
  </si>
  <si>
    <t>Barge 2, Name</t>
  </si>
  <si>
    <t>Barge 2, License No.</t>
  </si>
  <si>
    <t>Barge 2, Representative</t>
  </si>
  <si>
    <t>Barge 2, Name of Supplier</t>
  </si>
  <si>
    <t>Barge 6, Name</t>
  </si>
  <si>
    <t>Barge 6, License No.</t>
  </si>
  <si>
    <t>Barge 6, Representative</t>
  </si>
  <si>
    <t>Barge 6, Name of Supplier</t>
  </si>
  <si>
    <t>Barge 5, Name</t>
  </si>
  <si>
    <t>Barge 5, License No.</t>
  </si>
  <si>
    <t>Barge 5, Representative</t>
  </si>
  <si>
    <t>Barge 5, Name of Supplier</t>
  </si>
  <si>
    <t>Barge 4, Name</t>
  </si>
  <si>
    <t>Barge 4, License No.</t>
  </si>
  <si>
    <t>Barge 4, Representative</t>
  </si>
  <si>
    <t>Barge 4, Name of Supplier</t>
  </si>
  <si>
    <t>Barge 3, Name</t>
  </si>
  <si>
    <t>Barge 3, License No.</t>
  </si>
  <si>
    <t>Barge 3, Representative</t>
  </si>
  <si>
    <t>Barge 3, Name of Supplier</t>
  </si>
  <si>
    <t>Available Barges</t>
  </si>
  <si>
    <t>Barge Names</t>
  </si>
  <si>
    <t>LICENSE</t>
  </si>
  <si>
    <t>REPRES</t>
  </si>
  <si>
    <t>SUPPLIER</t>
  </si>
  <si>
    <t>Barge 6 Chief</t>
  </si>
  <si>
    <t>Barge 5 Chief</t>
  </si>
  <si>
    <t>Aegean Marine Petroleum S.A. 5</t>
  </si>
  <si>
    <t>Aegean Marine Petroleum S.A. 6</t>
  </si>
  <si>
    <t>Aegean Marine Petroleum S.A. 4</t>
  </si>
  <si>
    <t>Barge 4 Chief</t>
  </si>
  <si>
    <t>Supplier:</t>
  </si>
  <si>
    <t>SELECTED SUPPLIERS</t>
  </si>
  <si>
    <t>INPUT PAGES</t>
  </si>
  <si>
    <t>Name of Barge(s):</t>
  </si>
  <si>
    <t>SELECTED BARGES</t>
  </si>
  <si>
    <t>BARGE ID</t>
  </si>
  <si>
    <t>BARGE NAME</t>
  </si>
  <si>
    <t>DENSITY INTERPOLATION</t>
  </si>
  <si>
    <t>VOLUME INTERPOLATION / BEFORE</t>
  </si>
  <si>
    <t>VOLUME INTERPOLATION / AFTER</t>
  </si>
  <si>
    <t>Name of Barge(s)</t>
  </si>
  <si>
    <t>ERROR NOM WRONG</t>
  </si>
  <si>
    <t>NOMINATIONS</t>
  </si>
  <si>
    <t>ALERT VESSEL</t>
  </si>
  <si>
    <t>ALERT BARGE</t>
  </si>
  <si>
    <t>ERROR MISS NOM</t>
  </si>
  <si>
    <t>SELECTED GRADES (IF MAIN, ALL GRADES, IF COPY BARGE, BARGE GRADES)</t>
  </si>
  <si>
    <t>Barge Representive:</t>
  </si>
  <si>
    <t>MENU NAMES</t>
  </si>
  <si>
    <t>℗</t>
  </si>
  <si>
    <t>SA License 6</t>
  </si>
  <si>
    <t>SA License 5</t>
  </si>
  <si>
    <t>SA License 4</t>
  </si>
  <si>
    <t>SA License 3</t>
  </si>
  <si>
    <t>Leonidas 4</t>
  </si>
  <si>
    <t>Hermes 6</t>
  </si>
  <si>
    <t>Pericleus 5</t>
  </si>
  <si>
    <t>OUT-TURN</t>
  </si>
  <si>
    <t>in MT</t>
  </si>
  <si>
    <t>Barge 1 is automatically filled and is appearing for information only.</t>
  </si>
  <si>
    <t>Guidelines</t>
  </si>
  <si>
    <t>NO DELIVERY / RE-DELIVERY EVENT</t>
  </si>
  <si>
    <t>-</t>
  </si>
  <si>
    <t>®</t>
  </si>
  <si>
    <t xml:space="preserve">  -</t>
  </si>
  <si>
    <t>SHORT NAME</t>
  </si>
  <si>
    <t>Flow Meter Type</t>
  </si>
  <si>
    <t>Air</t>
  </si>
  <si>
    <t>Vaccum</t>
  </si>
  <si>
    <t>Flow (Vac)</t>
  </si>
  <si>
    <t>Flow (Air)</t>
  </si>
  <si>
    <t>Tank Meas.</t>
  </si>
  <si>
    <t>ALL</t>
  </si>
  <si>
    <t>Insert in Light Blue/Yellow Cells the Out-Turn values, as caclulated by an Additional program copy for each Additional Barge.</t>
  </si>
  <si>
    <t>(each Grade)</t>
  </si>
  <si>
    <r>
      <t xml:space="preserve">To prevent inadvertent or deliberate transfer of bunker fuel to settling tanks or by-passing to overflow or any other concealed tank all storage tank valves or fuel pump suction valves shall be in closed position and sealed. The seals shall only be broken after completion of bunkering and if no discrepancy occurs. In case of any discrepancies the seals shall be re-checked for integrity and broken only after full investigation has been carried out into the cause of the discrepancy.
The seal numbers to be noted below and photographs taken where permitted by law and signed by the Chief Engineer and the surveyor.
</t>
    </r>
    <r>
      <rPr>
        <b/>
        <sz val="11"/>
        <color theme="1"/>
        <rFont val="Calibri"/>
        <family val="2"/>
        <scheme val="minor"/>
      </rPr>
      <t>I hereby, confirm that valves as below have been sealed and witnessed by the ship’s representative.</t>
    </r>
    <r>
      <rPr>
        <sz val="10"/>
        <rFont val="Calibri"/>
        <family val="2"/>
        <scheme val="minor"/>
      </rPr>
      <t xml:space="preserve">
</t>
    </r>
  </si>
  <si>
    <t>Barge Draft Fore, Before Transfer</t>
  </si>
  <si>
    <t>Barge Draft Aft, Before Transfer</t>
  </si>
  <si>
    <t>Barge List, Before Transfer</t>
  </si>
  <si>
    <t>Vessel Draft Fore, Before Transfer</t>
  </si>
  <si>
    <t>Vessel Draft Aft, Before Transfer</t>
  </si>
  <si>
    <t>Vessel List, Before Transfer</t>
  </si>
  <si>
    <t>Vessel Draft Fore, After Transfer</t>
  </si>
  <si>
    <t>Vessel Draft Aft, After Transfer</t>
  </si>
  <si>
    <t>Vessel List, After Transfer</t>
  </si>
  <si>
    <t>Barge Draft Fore, After Transfer</t>
  </si>
  <si>
    <t>Barge Draft Aft, After Transfer</t>
  </si>
  <si>
    <t>Barge List, After Transfer</t>
  </si>
  <si>
    <t>Drafts</t>
  </si>
  <si>
    <t>MULTI GRADES OPERATIONS</t>
  </si>
  <si>
    <t>DRAFTS BEFORE &amp; AFTER EACH GRADE TRANSFER</t>
  </si>
  <si>
    <t>Insert in Light Blue/Yellow Cells the Draft values, for each Grade.</t>
  </si>
  <si>
    <t>Show Drafts table in Cover Page?</t>
  </si>
  <si>
    <t>V E S S E L</t>
  </si>
  <si>
    <t>B A R G E</t>
  </si>
  <si>
    <t>Bunker Consumption page IS NOT required</t>
  </si>
  <si>
    <t>Bunker Consumption page IS required</t>
  </si>
  <si>
    <t>Nothing to fill here as per currect choices!</t>
  </si>
  <si>
    <t>IF(SURVEYMODE=3,"BQS",IF(COVERDRAFTS="Y","Y","N"))</t>
  </si>
  <si>
    <t>Grade(s) Supplied:</t>
  </si>
  <si>
    <t>Tan</t>
  </si>
  <si>
    <t>Tan, Darker 10%</t>
  </si>
  <si>
    <t>Tan, Darker 25%</t>
  </si>
  <si>
    <t>Tan, Darker 50%</t>
  </si>
  <si>
    <t>Olive Green, Lighter 60%</t>
  </si>
  <si>
    <t>Olive Green, Lighter 40%</t>
  </si>
  <si>
    <t>Red, Lighter 60%</t>
  </si>
  <si>
    <t>Red, Lighter 40%</t>
  </si>
  <si>
    <t>Purple, Lighter 60%</t>
  </si>
  <si>
    <t>Purple, Lighter 40%</t>
  </si>
  <si>
    <t>Aqua, Lighter 60%</t>
  </si>
  <si>
    <t>Aqua, Lighter 40%</t>
  </si>
  <si>
    <t>Orange, Lighter 60%</t>
  </si>
  <si>
    <t>Orange, Lighter 40%</t>
  </si>
  <si>
    <t>BARGE &amp; VESSEL OUT-TURNS</t>
  </si>
  <si>
    <t>FOR EACH ADDITIONAL BARGE OPERATION</t>
  </si>
  <si>
    <t>BARGE NAME:</t>
  </si>
  <si>
    <t>Sum:</t>
  </si>
  <si>
    <t xml:space="preserve"> / Trim:</t>
  </si>
  <si>
    <t xml:space="preserve"> / List:</t>
  </si>
  <si>
    <t>dF:</t>
  </si>
  <si>
    <t xml:space="preserve"> / dA:</t>
  </si>
  <si>
    <t>Before</t>
  </si>
  <si>
    <t>After</t>
  </si>
  <si>
    <t xml:space="preserve"> </t>
  </si>
  <si>
    <t>Check that Light Blue cells are corectly filled in.</t>
  </si>
  <si>
    <t>Gray cells haven't to be filled. Thus, ignore them.</t>
  </si>
  <si>
    <t>FINAL</t>
  </si>
  <si>
    <t>NOM QTY</t>
  </si>
  <si>
    <t>Drafts:</t>
  </si>
  <si>
    <t>dF</t>
  </si>
  <si>
    <t>dA</t>
  </si>
  <si>
    <t>&amp;IF(AND(BARGESEL&gt;1,BARGECALC=1),"Calculate Barge 1 at this Program copy.",IF(AND(BARGESEL&gt;1,BARGECALC&gt;1),"Calculate Additional "&amp;MYBARGEID&amp;" at a new program copy.",IF(BARGESEL=1,"","")))</t>
  </si>
  <si>
    <t>For detailed drafts, see Vessel Gauging Report</t>
  </si>
  <si>
    <t>Ship's Declaration</t>
  </si>
  <si>
    <t>Trim Correction Tool</t>
  </si>
  <si>
    <t>INITIAL</t>
  </si>
  <si>
    <t>Initial Draft Fwd</t>
  </si>
  <si>
    <t>Initial Draft Aft</t>
  </si>
  <si>
    <t>Recommented for Printing, based on user choices of ''Survey Type'' and ''Current Barge''.</t>
  </si>
  <si>
    <t>Pre-Survey              (SS)</t>
  </si>
  <si>
    <t>Barge BQS Report   (SS)</t>
  </si>
  <si>
    <t>Sampling Report      (SS)</t>
  </si>
  <si>
    <t>FlowMeter CL          (SS)</t>
  </si>
  <si>
    <t>FlowMeter               (SS)</t>
  </si>
  <si>
    <t>Barge Non-Cargo    (SS)</t>
  </si>
  <si>
    <t>Vessel BQS Report  (SS)</t>
  </si>
  <si>
    <t>Grades to Show:</t>
  </si>
  <si>
    <t>Barge Calculation Method,</t>
  </si>
  <si>
    <t>Nominated Tank</t>
  </si>
  <si>
    <t>SB 788H</t>
  </si>
  <si>
    <t>SB 0608C</t>
  </si>
  <si>
    <t>STANLEY KWOK</t>
  </si>
  <si>
    <t>09346</t>
  </si>
  <si>
    <t xml:space="preserve"> Y/N</t>
  </si>
  <si>
    <t>GRADES OF SELECTED BARGE</t>
  </si>
  <si>
    <t>MAX GRADES FOR ALL BARGES</t>
  </si>
  <si>
    <t>Barge 1</t>
  </si>
  <si>
    <t>BARGE ID:</t>
  </si>
  <si>
    <t>VISWA</t>
  </si>
  <si>
    <t>1P/1S</t>
  </si>
  <si>
    <t>LSGO STB</t>
  </si>
  <si>
    <t>All Barges Role</t>
  </si>
  <si>
    <t>Selected Barge Role</t>
  </si>
  <si>
    <t>ALL BARGE GRADES</t>
  </si>
  <si>
    <t>SELECTED BARGE GRADES</t>
  </si>
  <si>
    <t>ops@petro-inspect.com</t>
  </si>
  <si>
    <t>Email Settings</t>
  </si>
  <si>
    <t>Grades Management</t>
  </si>
  <si>
    <t>Grades Categorization</t>
  </si>
  <si>
    <t>ORDER</t>
  </si>
  <si>
    <t>Signature of Ch. Engineer:</t>
  </si>
  <si>
    <t>Final Weight subject to Customer tested density and water.</t>
  </si>
  <si>
    <t>Bunker Tanker Delivery Quantity (M/T) - Manual Sounding</t>
  </si>
  <si>
    <t xml:space="preserve">License No: </t>
  </si>
  <si>
    <t>List of Tanks as per MARPOL 1 / VI Certificates</t>
  </si>
  <si>
    <t xml:space="preserve">- - - - - - - - - - - - - - - - - - - - - - - - - - - - - - - - - - - - - - - - - - - - - - - - - - - - - - - - - - - - - - - - - - - - - - - - - </t>
  </si>
  <si>
    <t>- - - - - - - - - - - - - - - - - - - - - - - - - - - - - - - - - - - - - - - - -</t>
  </si>
  <si>
    <t xml:space="preserve">Barge 6, </t>
  </si>
  <si>
    <t xml:space="preserve">Barge 5, </t>
  </si>
  <si>
    <t xml:space="preserve">Barge 4, </t>
  </si>
  <si>
    <t xml:space="preserve">Barge 3, </t>
  </si>
  <si>
    <t xml:space="preserve">Barge 2, </t>
  </si>
  <si>
    <t xml:space="preserve">
            T.O.V.</t>
  </si>
  <si>
    <t>Observed Ullage Sounding Gauge</t>
  </si>
  <si>
    <t>Conversion Factors (from A to B)</t>
  </si>
  <si>
    <t>^IF(L20^"","",IF($Y$1^1,ROUND(L20-0.0011,5),ROUND((1.00122697*(141.5/(L20+131.5))-1.22269727*10^-3)*8.32823*42/2204.62,5+2)))</t>
  </si>
  <si>
    <t>Methods</t>
  </si>
  <si>
    <t>Final Draft Fwd</t>
  </si>
  <si>
    <t>Final Draft Aft</t>
  </si>
  <si>
    <t>PIP</t>
  </si>
  <si>
    <t>Petro Inspect Middle East FZE</t>
  </si>
  <si>
    <t>PO Box : 50375 / Fujairah Free Zone</t>
  </si>
  <si>
    <t>Company Registration No : 15-FZE-1534 / License No : 3739</t>
  </si>
  <si>
    <t>T : (09)2282979/F : ( 09) 2282979/E : ops@petro-inspect.com</t>
  </si>
  <si>
    <t>Edif Plaza 2000 10TH Fl | Calle 53 Marbella</t>
  </si>
  <si>
    <t>Panama City | Panama</t>
  </si>
  <si>
    <t>Petro Inspect Panama</t>
  </si>
  <si>
    <t>Date/Time Gauging Completed</t>
  </si>
  <si>
    <t>PRINT ERRORS</t>
  </si>
  <si>
    <t>OUTTURN</t>
  </si>
  <si>
    <t>Structural</t>
  </si>
  <si>
    <t>In pages</t>
  </si>
  <si>
    <t>Date/Time of Survey Commenced</t>
  </si>
  <si>
    <t>Date/Time Gauging Commenced</t>
  </si>
  <si>
    <t>MENU APPEARANCE</t>
  </si>
  <si>
    <t>ORIG SHEET NAMES</t>
  </si>
  <si>
    <t>MY SHEETS ARRAY</t>
  </si>
  <si>
    <t>Ships Declaration</t>
  </si>
  <si>
    <t>OnOff Hire Certificate</t>
  </si>
  <si>
    <t>Trim Correction</t>
  </si>
  <si>
    <t>Pre-Survey (SS)</t>
  </si>
  <si>
    <t>Vessel BQS Report (SS)</t>
  </si>
  <si>
    <t>Barge BQS Report (SS)</t>
  </si>
  <si>
    <t>Sampling Report (SS)</t>
  </si>
  <si>
    <t>Barge Non-Cargo (SS)</t>
  </si>
  <si>
    <t>FlowMeter CL (SS)</t>
  </si>
  <si>
    <t>FlowMeter (SS)</t>
  </si>
  <si>
    <t>PrintDlg exist</t>
  </si>
  <si>
    <t>PrintDlgSS exist</t>
  </si>
  <si>
    <t>Meter Delivering Flow Rate (MT/h)</t>
  </si>
  <si>
    <t>Flow Meter Make/Model</t>
  </si>
  <si>
    <t>Meter Qmin &amp; Qmax</t>
  </si>
  <si>
    <t>Stamping plate Qmin &amp; Qmax</t>
  </si>
  <si>
    <t>Stripping Carried Out</t>
  </si>
  <si>
    <t>Free text here</t>
  </si>
  <si>
    <t>Documents Collected</t>
  </si>
  <si>
    <t xml:space="preserve">MFM Zero Verification Report </t>
  </si>
  <si>
    <t>MPA MFM approval Letter</t>
  </si>
  <si>
    <t>MFM Seal Verification Certificate</t>
  </si>
  <si>
    <t>Meter Calibration Certificate</t>
  </si>
  <si>
    <t>Bunker Profile Picture</t>
  </si>
  <si>
    <t>Collected</t>
  </si>
  <si>
    <t>Nom.Qty</t>
  </si>
  <si>
    <t>Nom. Qty</t>
  </si>
  <si>
    <t>POWER USER SETTINGS</t>
  </si>
  <si>
    <t>Dens.Vac @ 15ºC:</t>
  </si>
  <si>
    <t>Show Detailed Summary Calculations</t>
  </si>
  <si>
    <t>at Vessel &amp; Barge BQS Report:</t>
  </si>
  <si>
    <t>STANDARD USER SETTINGS</t>
  </si>
  <si>
    <t>GEN011</t>
  </si>
  <si>
    <t>The vessel declares that bunker fuel is only contained in the listed bunker tanks in this Report.</t>
  </si>
  <si>
    <t>Receiving FO/GO specification and quantity on pre-requisition form checked and accepted by Chief Engineer.</t>
  </si>
  <si>
    <t>Master</t>
  </si>
  <si>
    <t>Print in 1 page</t>
  </si>
  <si>
    <t>Print in 2 pages</t>
  </si>
  <si>
    <t>0.00</t>
  </si>
  <si>
    <t>Barge Representative:</t>
  </si>
  <si>
    <t>Vessel Representative</t>
  </si>
  <si>
    <t>Autofit pages</t>
  </si>
  <si>
    <t>Client Name / Ref. No:</t>
  </si>
  <si>
    <t>Version:</t>
  </si>
  <si>
    <t>FINAL REPORT</t>
  </si>
  <si>
    <t xml:space="preserve">    </t>
  </si>
  <si>
    <t>Grade of Fuel Ordered</t>
  </si>
  <si>
    <t>Supplier</t>
  </si>
  <si>
    <t>Bunker Tanker (B/T)</t>
  </si>
  <si>
    <t>Location</t>
  </si>
  <si>
    <t>Grade of Fuel Bunkered</t>
  </si>
  <si>
    <t xml:space="preserve">Bunker Nomination </t>
  </si>
  <si>
    <t xml:space="preserve">Vessel Received Quantity </t>
  </si>
  <si>
    <t xml:space="preserve">Bunker Tanker Supplied Quantity </t>
  </si>
  <si>
    <t xml:space="preserve">Bunker Delivery Note (BDN) Quantity </t>
  </si>
  <si>
    <t>B1.2: Stoppages</t>
  </si>
  <si>
    <t>B1.3: Remarks</t>
  </si>
  <si>
    <t>B1.4: Document Attached:</t>
  </si>
  <si>
    <r>
      <t>B-1: Time Log</t>
    </r>
    <r>
      <rPr>
        <sz val="11"/>
        <rFont val="Times New Roman"/>
        <family val="1"/>
      </rPr>
      <t/>
    </r>
  </si>
  <si>
    <t>MODE ADDITIONAL BARGE</t>
  </si>
  <si>
    <t>Final Report            (SS)</t>
  </si>
  <si>
    <t>Final Report (SS)</t>
  </si>
  <si>
    <t>A-2: R.O.B. Finding</t>
  </si>
  <si>
    <t>A-1: Bunker Quantity Information</t>
  </si>
  <si>
    <t>Vessel Reported</t>
  </si>
  <si>
    <t>Surveyor Finding</t>
  </si>
  <si>
    <t>Difference (+/-)</t>
  </si>
  <si>
    <t xml:space="preserve">Report No.: </t>
  </si>
  <si>
    <r>
      <t>Our procedure for BQS is in accordance with Singapore Standard (SS) 600:2014 (Code of Practice for Bunkering) and Petro Inspect Asia S.O.P for bunker survey</t>
    </r>
    <r>
      <rPr>
        <sz val="9"/>
        <rFont val="Calibri"/>
        <family val="2"/>
        <scheme val="minor"/>
      </rPr>
      <t>.</t>
    </r>
  </si>
  <si>
    <t>1)</t>
  </si>
  <si>
    <t>2)</t>
  </si>
  <si>
    <t>3)</t>
  </si>
  <si>
    <t>4)</t>
  </si>
  <si>
    <t>5)</t>
  </si>
  <si>
    <t>6)</t>
  </si>
  <si>
    <t>7)</t>
  </si>
  <si>
    <t>8)</t>
  </si>
  <si>
    <t>Pre-survey vessel acknowledgement</t>
  </si>
  <si>
    <t>Vessel’s Measurement report</t>
  </si>
  <si>
    <t>Bunker tanker’s measurement report</t>
  </si>
  <si>
    <t>Survey time-log</t>
  </si>
  <si>
    <t>Sample witnessing report</t>
  </si>
  <si>
    <t>Bunker tanker non-cargo declaration/inspection report</t>
  </si>
  <si>
    <t>Bunker ROB quantity report</t>
  </si>
  <si>
    <t>Bunker delivery note (BDN)</t>
  </si>
  <si>
    <t>ENDRESS &amp; HAUSER</t>
  </si>
  <si>
    <t>K6056A02000</t>
  </si>
  <si>
    <t>PROMASS 84F</t>
  </si>
  <si>
    <t>K5079502000</t>
  </si>
  <si>
    <t>Tk 2p,2s</t>
  </si>
  <si>
    <t>N/a</t>
  </si>
  <si>
    <t>Opening Totalizer Reading - Delivery</t>
  </si>
  <si>
    <t>Closing Totalizer Reading - Delivery</t>
  </si>
  <si>
    <t>Opening Totalizer Reading - Loading</t>
  </si>
  <si>
    <t>Closing Totalizer Reading - Loading</t>
  </si>
  <si>
    <t>Bunker Tanker:</t>
  </si>
  <si>
    <t>Bunker Surveyor, License No. 09346</t>
  </si>
  <si>
    <t>None</t>
  </si>
  <si>
    <t xml:space="preserve">Quantity Differences (B - C) </t>
  </si>
  <si>
    <t>Net Transfer Time</t>
  </si>
  <si>
    <t>Stoppages Time</t>
  </si>
  <si>
    <t>Number of Stoppages:</t>
  </si>
  <si>
    <t>There was no Spillage throughout the whole operation.</t>
  </si>
  <si>
    <t>Vessel and Barge tanks were check before and after bunkering with vessel’s engineer and Barge’s cargo officer.</t>
  </si>
  <si>
    <t>Continuous drip samples were drawn at vessel’s manifold throughout operation and sealed by us in the presence of vessel’s chief Engineer and barge’s representative.</t>
  </si>
  <si>
    <t>Equipment Used (Barge):</t>
  </si>
  <si>
    <t>Surveyor's</t>
  </si>
  <si>
    <t>Equipment Used (Vessel):</t>
  </si>
  <si>
    <t>Vessel's</t>
  </si>
  <si>
    <t>Barge's</t>
  </si>
  <si>
    <t>Measuring Tape</t>
  </si>
  <si>
    <t>Thermometer</t>
  </si>
  <si>
    <t>Mass Flowmeter (Vac)</t>
  </si>
  <si>
    <t>Mass Flowmeter (Air)</t>
  </si>
  <si>
    <t>Mass Flowmeter</t>
  </si>
  <si>
    <t>S/no.MD 2226-16</t>
  </si>
  <si>
    <t>S/no. 903692</t>
  </si>
  <si>
    <t>A-3: Mass Flow Metering Information</t>
  </si>
  <si>
    <t>H</t>
  </si>
  <si>
    <t>I</t>
  </si>
  <si>
    <t>Quantity Delivered - Mass in Air (G*H)</t>
  </si>
  <si>
    <t>Quantity Delivered - Mass in Air (Mass in Vaccum * Conversion Factor)</t>
  </si>
  <si>
    <t>A-4: Mass Flow Metering Photo</t>
  </si>
  <si>
    <t>Mass Flow Meter Reading (Opening)</t>
  </si>
  <si>
    <t>Mass Flow Meter Reading (Closing)</t>
  </si>
  <si>
    <t xml:space="preserve">The Report is prepared for the sole use of the Client and is prepared based on the Services required by the Client and the conditions under which the Services are performed by Petro Inspect Asia Pte. Ltd (PIA). </t>
  </si>
  <si>
    <t>The Report may not be reproduced in part or in full unless approval in writing has given by PIA.</t>
  </si>
  <si>
    <t>The results reported herein have been performed in accordance with the terms of accreditation under the Singapore Accreditation Council.</t>
  </si>
  <si>
    <t>i)</t>
  </si>
  <si>
    <t>ii)</t>
  </si>
  <si>
    <t>iii)</t>
  </si>
  <si>
    <t>iv)</t>
  </si>
  <si>
    <t xml:space="preserve">The Report may not be used in any publicity material without the written consent of by PIA. </t>
  </si>
  <si>
    <t>ALL S/N</t>
  </si>
  <si>
    <t>UNIQUE</t>
  </si>
  <si>
    <t>9)</t>
  </si>
  <si>
    <t>10)</t>
  </si>
  <si>
    <t>to conduct a bunker quantity survey. We will be measuring the bunker tanks on the vessel and bunker tanker before and after the bunkering process. We will be carrying the survey as set out in Singapore Standard SS600 Code of practice for bunkering (latest edition) and Technical Reference for Bunker Mass Flow Metering (TR) 48:2015. We request that all our measurements are witnessed by a representative from the vessel.</t>
  </si>
  <si>
    <t>Date of Survey Started:</t>
  </si>
  <si>
    <t>Name of Surveyor:</t>
  </si>
  <si>
    <t>DISABLED</t>
  </si>
  <si>
    <t>API-DENS</t>
  </si>
  <si>
    <t>DENS-API</t>
  </si>
  <si>
    <t>FINAL SELECTOR</t>
  </si>
  <si>
    <t>GASOLINE</t>
  </si>
  <si>
    <t>UNKNWN</t>
  </si>
  <si>
    <t>JET</t>
  </si>
  <si>
    <t>FUEL</t>
  </si>
  <si>
    <t>CRUDE</t>
  </si>
  <si>
    <t>D60F</t>
  </si>
  <si>
    <t>6B</t>
  </si>
  <si>
    <t>6A</t>
  </si>
  <si>
    <t>54B</t>
  </si>
  <si>
    <t>54A</t>
  </si>
  <si>
    <t>CALCULATIONS AS CHANGED BY ARONIS</t>
  </si>
  <si>
    <t xml:space="preserve">   (Dens Air * VCF)</t>
  </si>
  <si>
    <t>Specific Gravity:</t>
  </si>
  <si>
    <t xml:space="preserve">  BBLS @ 60°F</t>
  </si>
  <si>
    <t xml:space="preserve">     BBLS @ TEMP</t>
  </si>
  <si>
    <t>DECIMALS</t>
  </si>
  <si>
    <t xml:space="preserve">       M3 @ 15°C</t>
  </si>
  <si>
    <t xml:space="preserve">        M3 @TEMP</t>
  </si>
  <si>
    <t>MT Air @ 15°C</t>
  </si>
  <si>
    <t>VARIATION</t>
  </si>
  <si>
    <t>QTY TO LOAD</t>
  </si>
  <si>
    <t>T52 - (M3/Bbls)</t>
  </si>
  <si>
    <t>T13 - (MT/Bbls)</t>
  </si>
  <si>
    <t>T11 - (LT/Bbls)</t>
  </si>
  <si>
    <t>SP. GRAV @ 60°F</t>
  </si>
  <si>
    <t>DENS Air  @ 15°C</t>
  </si>
  <si>
    <t>Temp °F</t>
  </si>
  <si>
    <t>Dens @ Temp</t>
  </si>
  <si>
    <t>Temp °C</t>
  </si>
  <si>
    <t>DENS Vac @ 15°C</t>
  </si>
  <si>
    <t>C-F</t>
  </si>
  <si>
    <t>BBLS @ 60°F</t>
  </si>
  <si>
    <t>CATEGORY</t>
  </si>
  <si>
    <t>F-F</t>
  </si>
  <si>
    <t>BBLS @ Temp</t>
  </si>
  <si>
    <t>user</t>
  </si>
  <si>
    <t>M3 @ 15°C</t>
  </si>
  <si>
    <t>CARGO NAME</t>
  </si>
  <si>
    <t>5 (0.12345)</t>
  </si>
  <si>
    <t>F-C</t>
  </si>
  <si>
    <t>TEMP °F</t>
  </si>
  <si>
    <t>M3 @ Temp</t>
  </si>
  <si>
    <t>PRODUCT</t>
  </si>
  <si>
    <t>Dens Vac 15°C</t>
  </si>
  <si>
    <t>4 (0.1234)</t>
  </si>
  <si>
    <t>C-C</t>
  </si>
  <si>
    <t>TEMP °C</t>
  </si>
  <si>
    <t>API 60°F</t>
  </si>
  <si>
    <t>Super ASTM</t>
  </si>
  <si>
    <t>SuperASTM</t>
  </si>
  <si>
    <t>CARGO</t>
  </si>
  <si>
    <t>PI Surveyor Seal No.</t>
  </si>
  <si>
    <t>Samples poured - First Pass</t>
  </si>
  <si>
    <t>Total of</t>
  </si>
  <si>
    <t>Add. Seal No.</t>
  </si>
  <si>
    <t>Recorded in BDN</t>
  </si>
  <si>
    <t>Ch. Eng's Seal No.</t>
  </si>
  <si>
    <t>samples drawn, labeled and sealed</t>
  </si>
  <si>
    <t>DRAFTS DEACTIVATED AT COVER PAGE</t>
  </si>
  <si>
    <t>USD/MT</t>
  </si>
  <si>
    <t>Mass Flow - Metering Delivery Report</t>
  </si>
  <si>
    <t>DENS?</t>
  </si>
  <si>
    <t>Sampling Source</t>
  </si>
  <si>
    <t>Manage Additional Logos</t>
  </si>
  <si>
    <t>in all pages they exist:</t>
  </si>
  <si>
    <t>Show Additional Logo on Top of pages</t>
  </si>
  <si>
    <t>Hide Additional Logo on Top of pages</t>
  </si>
  <si>
    <t>Office Address 5</t>
  </si>
  <si>
    <t>Office Address 6</t>
  </si>
  <si>
    <t>Office Address 7</t>
  </si>
  <si>
    <t>Office Address 8</t>
  </si>
  <si>
    <t>Office Address 9</t>
  </si>
  <si>
    <t>Office Address 10</t>
  </si>
  <si>
    <t>Office Address 11</t>
  </si>
  <si>
    <t>Office Address 12</t>
  </si>
  <si>
    <t>Office Address 13</t>
  </si>
  <si>
    <t>Office Address 14</t>
  </si>
  <si>
    <t>Office Address 15</t>
  </si>
  <si>
    <t>Office Address 16</t>
  </si>
  <si>
    <t>Office Address 17</t>
  </si>
  <si>
    <t>Office Address 18</t>
  </si>
  <si>
    <t>Office Address 19</t>
  </si>
  <si>
    <t>Office Address 20</t>
  </si>
  <si>
    <t>USA Office</t>
  </si>
  <si>
    <t>Hong Kong Office</t>
  </si>
  <si>
    <t>Malaysia Office</t>
  </si>
  <si>
    <t>Brazil Office</t>
  </si>
  <si>
    <t>Gibraltar Office</t>
  </si>
  <si>
    <t>Athens Office</t>
  </si>
  <si>
    <t>Trinidad Office</t>
  </si>
  <si>
    <t>Russia Office</t>
  </si>
  <si>
    <t>Netherlands Office</t>
  </si>
  <si>
    <t>Specially designed for Petro Inspect</t>
  </si>
  <si>
    <t>Dark Red</t>
  </si>
  <si>
    <t>Red</t>
  </si>
  <si>
    <t>Orange</t>
  </si>
  <si>
    <t>Dark Blue, Lighter 40%</t>
  </si>
  <si>
    <t>Green</t>
  </si>
  <si>
    <t>Light Blue</t>
  </si>
  <si>
    <t>Click on the below Company Logo to load a new one:</t>
  </si>
  <si>
    <t>1.12</t>
  </si>
  <si>
    <t>Supplier's Specs, Sulphur</t>
  </si>
  <si>
    <t>(% m/m)</t>
  </si>
  <si>
    <t>Analysis Specs, Sulphur</t>
  </si>
  <si>
    <t>Sulphur % (m/m):</t>
  </si>
  <si>
    <t>^DENSITY^</t>
  </si>
  <si>
    <t>^VISCOSITY^</t>
  </si>
  <si>
    <t>^WATER^</t>
  </si>
  <si>
    <t>^SULPHUR^</t>
  </si>
  <si>
    <t>Sulphur Content:</t>
  </si>
  <si>
    <t>% (m/m)</t>
  </si>
  <si>
    <t>DELIVERY / RE-DELIVERY</t>
  </si>
  <si>
    <t>Lighthouse Office</t>
  </si>
  <si>
    <t>Lighthouse Maritime Services LLC</t>
  </si>
  <si>
    <t>P.O. Box 9340 Fujairah, United Arab Emirates</t>
  </si>
  <si>
    <t>License No.1011290 | Federal Registry No.10207800</t>
  </si>
  <si>
    <t>E: bunkers@lighthousemaritime.com</t>
  </si>
  <si>
    <t>LMS</t>
  </si>
  <si>
    <t>De Schans 15-31/8231 KJ Lelystad</t>
  </si>
  <si>
    <t>The Netherlands</t>
  </si>
  <si>
    <t>Petro Inspect (Netherlands) BV</t>
  </si>
  <si>
    <t>E: ops.eu@petro-inspect.com</t>
  </si>
  <si>
    <t>Petro Inspect Brazil Inspecoes De Carga Eireli</t>
  </si>
  <si>
    <t>Rua: Marechal Deodoro, 277, Centro,</t>
  </si>
  <si>
    <t>Paranaguá-PR CEP: 83203-040</t>
  </si>
  <si>
    <t xml:space="preserve">E: ops@petro-inspect.com  </t>
  </si>
  <si>
    <t>Petro Inspect Americas Inc.</t>
  </si>
  <si>
    <t>3900 N. Causeway Blvd. Suite 1205.</t>
  </si>
  <si>
    <t>Metairie, LA 7000 ,USA</t>
  </si>
  <si>
    <t>E: ops@petro-inspect.com</t>
  </si>
  <si>
    <t>Petro Inspect International</t>
  </si>
  <si>
    <t>ISTANBUL / TURKEY</t>
  </si>
  <si>
    <t>MEHMET EROĞLU</t>
  </si>
  <si>
    <t>3,35</t>
  </si>
  <si>
    <t>3,40</t>
  </si>
  <si>
    <t>111,9</t>
  </si>
  <si>
    <t>113,55</t>
  </si>
  <si>
    <t>1000 ml</t>
  </si>
  <si>
    <t>PETROL OFİSİ</t>
  </si>
  <si>
    <t>VICE 2</t>
  </si>
  <si>
    <t>Barge 2</t>
  </si>
  <si>
    <t>OMER DOST</t>
  </si>
  <si>
    <t>BULK CARRIER</t>
  </si>
  <si>
    <t>0,5</t>
  </si>
  <si>
    <t>193,5</t>
  </si>
  <si>
    <t>187,0</t>
  </si>
  <si>
    <t>189,7</t>
  </si>
  <si>
    <t>183,3</t>
  </si>
  <si>
    <t>Barge's Manifold</t>
  </si>
  <si>
    <t>GAUGE</t>
  </si>
  <si>
    <t>3P</t>
  </si>
  <si>
    <t>3S</t>
  </si>
  <si>
    <t>HFO SERV</t>
  </si>
  <si>
    <t>HFO SETT</t>
  </si>
  <si>
    <t>HFO OVER</t>
  </si>
  <si>
    <t>EASTERN MEDTIRRANEAN MTME-LIE</t>
  </si>
  <si>
    <t>HFO 1C</t>
  </si>
  <si>
    <t>HFO 2C</t>
  </si>
  <si>
    <t>DO P</t>
  </si>
  <si>
    <t>DO S</t>
  </si>
  <si>
    <t>DO SERV</t>
  </si>
  <si>
    <t>5P</t>
  </si>
  <si>
    <t>5S</t>
  </si>
  <si>
    <t>F.O. SLUDGE</t>
  </si>
  <si>
    <t>PI/2022/15000/TR</t>
  </si>
  <si>
    <t>9174270</t>
  </si>
  <si>
    <t>M/T YALÇIN 2</t>
  </si>
  <si>
    <t>ENERGY</t>
  </si>
  <si>
    <t>VALETTA / MALTA</t>
  </si>
  <si>
    <t>LEADER SHIPPING</t>
  </si>
  <si>
    <t>ESTORES KENNETH CABANIG</t>
  </si>
  <si>
    <t>CANO ARTHUR D. CADAVOS</t>
  </si>
  <si>
    <t>MV PESSADA</t>
  </si>
  <si>
    <t>A FO P</t>
  </si>
  <si>
    <t>AFO S</t>
  </si>
  <si>
    <t>DO SETT</t>
  </si>
  <si>
    <t>TEMEL KALYONCU</t>
  </si>
  <si>
    <t>2P</t>
  </si>
  <si>
    <t>6S</t>
  </si>
  <si>
    <t>21210283-84</t>
  </si>
  <si>
    <t xml:space="preserve"> LSFO : BOTTLE :0261072 - SEAL : 0289081 // LSMGO BOTTLE:0261067-SEAL:1005785</t>
  </si>
  <si>
    <t xml:space="preserve"> LSFO : BOTTLE :0261071 - SEAL : 0289083 // LSMGO BOTTLE:0261070-SEAL:1005766</t>
  </si>
  <si>
    <t xml:space="preserve"> LSFO : BOTTLE :0261068 - SEAL : 0289082 // LSMGO BOTTLE:0261069-SEAL:1005786</t>
  </si>
  <si>
    <t xml:space="preserve"> LSFO SEAL : 0289084 // LSMGO SEAL:1005767</t>
  </si>
  <si>
    <t>LSFO : 062778 // LSMGO : 062780</t>
  </si>
  <si>
    <t>LSFO : 062777 // LSMGO : 062779</t>
  </si>
  <si>
    <t>LSFO : 035639 // LSMGO : 035640</t>
  </si>
  <si>
    <t>WASTE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</si>
</sst>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8">
    <numFmt numFmtId="41" formatCode="_(* #,##0_);_(* \(#,##0\);_(* &quot;-&quot;_);_(@_)"/>
    <numFmt numFmtId="43" formatCode="_(* #,##0.00_);_(* \(#,##0.00\);_(* &quot;-&quot;??_);_(@_)"/>
    <numFmt numFmtId="164" formatCode="_(&quot;£&quot;* #,##0_);_(&quot;£&quot;* \(#,##0\);_(&quot;£&quot;* &quot;-&quot;_);_(@_)"/>
    <numFmt numFmtId="165" formatCode="_(&quot;£&quot;* #,##0.00_);_(&quot;£&quot;* \(#,##0.00\);_(&quot;£&quot;* &quot;-&quot;??_);_(@_)"/>
    <numFmt numFmtId="166" formatCode="General_)"/>
    <numFmt numFmtId="167" formatCode="#,##0.000_ ;\-#,##0.000\ "/>
    <numFmt numFmtId="168" formatCode="\$#,##0\ ;\(\$#,##0\)"/>
    <numFmt numFmtId="169" formatCode="###.0#"/>
    <numFmt numFmtId="170" formatCode="#."/>
    <numFmt numFmtId="171" formatCode="#,###,##0"/>
    <numFmt numFmtId="172" formatCode="0.00000"/>
    <numFmt numFmtId="173" formatCode="&quot;$&quot;#,##0;\-&quot;$&quot;#,##0"/>
    <numFmt numFmtId="174" formatCode="#0.000"/>
    <numFmt numFmtId="175" formatCode="#,##0.000"/>
    <numFmt numFmtId="176" formatCode="0.0000"/>
    <numFmt numFmtId="177" formatCode="0.00000000"/>
    <numFmt numFmtId="178" formatCode="0.000"/>
    <numFmt numFmtId="179" formatCode="0.0"/>
    <numFmt numFmtId="180" formatCode="dd\-mmm\-yyyy"/>
    <numFmt numFmtId="181" formatCode="dd/mmm/yy\ hh:mm"/>
    <numFmt numFmtId="182" formatCode="00000"/>
    <numFmt numFmtId="183" formatCode="00"/>
    <numFmt numFmtId="184" formatCode="00.0"/>
    <numFmt numFmtId="185" formatCode="0.000000"/>
    <numFmt numFmtId="186" formatCode="0.0000000"/>
    <numFmt numFmtId="187" formatCode="0.000000000"/>
    <numFmt numFmtId="188" formatCode="0.0000000000"/>
    <numFmt numFmtId="189" formatCode="0.00000000000"/>
    <numFmt numFmtId="190" formatCode="_-* #,##0.00\ _Δ_ρ_χ_-;\-* #,##0.00\ _Δ_ρ_χ_-;_-* &quot;-&quot;??\ _Δ_ρ_χ_-;_-@_-"/>
    <numFmt numFmtId="191" formatCode="_-* #,##0.00\ &quot;Δρχ&quot;_-;\-* #,##0.00\ &quot;Δρχ&quot;_-;_-* &quot;-&quot;??\ &quot;Δρχ&quot;_-;_-@_-"/>
    <numFmt numFmtId="192" formatCode="0.0\°"/>
    <numFmt numFmtId="193" formatCode="000"/>
    <numFmt numFmtId="194" formatCode="mmm\ dd\,\ yyyy"/>
    <numFmt numFmtId="195" formatCode="[hh]:mm"/>
    <numFmt numFmtId="196" formatCode="&quot;$&quot;#,##0.0"/>
    <numFmt numFmtId="197" formatCode="@* \:"/>
    <numFmt numFmtId="198" formatCode="dd\ mmmm\ yyyy"/>
    <numFmt numFmtId="199" formatCode="_)@* \:"/>
    <numFmt numFmtId="200" formatCode="_)@"/>
    <numFmt numFmtId="201" formatCode="##.00"/>
    <numFmt numFmtId="202" formatCode="#0.0"/>
    <numFmt numFmtId="203" formatCode="#0.00"/>
    <numFmt numFmtId="204" formatCode="0.000_ ;[Red]\-0.000\ "/>
    <numFmt numFmtId="205" formatCode="_)_)@* \:"/>
    <numFmt numFmtId="206" formatCode="_)_)@"/>
    <numFmt numFmtId="207" formatCode="dd\ mmm\ yyyy"/>
    <numFmt numFmtId="208" formatCode="dd/mmm/yy\ /\ hh:mm"/>
    <numFmt numFmtId="209" formatCode="00.000"/>
    <numFmt numFmtId="210" formatCode="[$-409]dd/mmm/yy;@"/>
    <numFmt numFmtId="211" formatCode="hh:mm;@"/>
    <numFmt numFmtId="212" formatCode="_-* #,##0.00\ _F_-;\-* #,##0.00\ _F_-;_-* &quot;-&quot;??\ _F_-;_-@_-"/>
    <numFmt numFmtId="213" formatCode="_-* #,##0.0\ _F_-;\-* #,##0.0\ _F_-;_-* &quot;-&quot;??\ _F_-;_-@_-"/>
    <numFmt numFmtId="214" formatCode="#,##0.0000"/>
    <numFmt numFmtId="215" formatCode="0.0\ \F"/>
    <numFmt numFmtId="216" formatCode="0.0\ \C"/>
    <numFmt numFmtId="217" formatCode="dd/mm/yy;@"/>
    <numFmt numFmtId="218" formatCode="#,##0.0"/>
    <numFmt numFmtId="219" formatCode="&quot;$&quot;#,##0.000"/>
  </numFmts>
  <fonts count="345">
    <font>
      <sz val="10"/>
      <name val="Courier"/>
      <family val="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0"/>
      <name val="Courier"/>
      <family val="3"/>
    </font>
    <font>
      <sz val="10"/>
      <name val="Arial"/>
      <family val="2"/>
    </font>
    <font>
      <b/>
      <sz val="10"/>
      <name val="Arial"/>
      <family val="2"/>
    </font>
    <font>
      <sz val="12"/>
      <name val="Times New Roman"/>
      <family val="1"/>
    </font>
    <font>
      <sz val="10"/>
      <color indexed="24"/>
      <name val="Arial"/>
      <family val="2"/>
    </font>
    <font>
      <b/>
      <sz val="1"/>
      <color indexed="16"/>
      <name val="Courier"/>
      <family val="3"/>
    </font>
    <font>
      <sz val="10"/>
      <name val="Courier New"/>
      <family val="3"/>
    </font>
    <font>
      <sz val="10"/>
      <name val="Times New Roman"/>
      <family val="1"/>
    </font>
    <font>
      <b/>
      <sz val="12"/>
      <name val="Arial"/>
      <family val="2"/>
    </font>
    <font>
      <b/>
      <sz val="11"/>
      <name val="Calibri"/>
      <family val="2"/>
      <scheme val="minor"/>
    </font>
    <font>
      <b/>
      <sz val="12"/>
      <name val="Times New Roman"/>
      <family val="1"/>
    </font>
    <font>
      <sz val="11"/>
      <name val="Calibri"/>
      <family val="2"/>
      <scheme val="minor"/>
    </font>
    <font>
      <sz val="8"/>
      <color theme="1"/>
      <name val="Arial"/>
      <family val="2"/>
    </font>
    <font>
      <b/>
      <sz val="14"/>
      <color theme="1"/>
      <name val="Arial"/>
      <family val="2"/>
    </font>
    <font>
      <sz val="10"/>
      <name val="Calibri"/>
      <family val="2"/>
      <scheme val="minor"/>
    </font>
    <font>
      <b/>
      <sz val="9"/>
      <name val="Calibri"/>
      <family val="2"/>
      <scheme val="minor"/>
    </font>
    <font>
      <sz val="9.5"/>
      <name val="Arial"/>
      <family val="2"/>
    </font>
    <font>
      <b/>
      <u/>
      <sz val="16"/>
      <name val="Arial"/>
      <family val="2"/>
    </font>
    <font>
      <b/>
      <sz val="10"/>
      <name val="Calibri"/>
      <family val="2"/>
      <scheme val="minor"/>
    </font>
    <font>
      <b/>
      <sz val="11"/>
      <name val="Courier"/>
      <family val="3"/>
    </font>
    <font>
      <b/>
      <vertAlign val="superscript"/>
      <sz val="11"/>
      <name val="Calibri"/>
      <family val="2"/>
      <scheme val="minor"/>
    </font>
    <font>
      <sz val="9"/>
      <name val="Arial"/>
      <family val="2"/>
    </font>
    <font>
      <b/>
      <sz val="9"/>
      <name val="Arial"/>
      <family val="2"/>
    </font>
    <font>
      <sz val="11"/>
      <name val="Courier"/>
      <family val="3"/>
    </font>
    <font>
      <sz val="11"/>
      <name val="Calibri"/>
      <family val="2"/>
    </font>
    <font>
      <sz val="12"/>
      <name val="Courier"/>
      <family val="3"/>
    </font>
    <font>
      <sz val="12"/>
      <name val="Calibri"/>
      <family val="2"/>
    </font>
    <font>
      <b/>
      <sz val="11"/>
      <color rgb="FFFF0000"/>
      <name val="Arial"/>
      <family val="2"/>
    </font>
    <font>
      <b/>
      <sz val="10"/>
      <color indexed="18"/>
      <name val="Arial"/>
      <family val="2"/>
    </font>
    <font>
      <sz val="10"/>
      <color indexed="18"/>
      <name val="Arial"/>
      <family val="2"/>
    </font>
    <font>
      <sz val="9"/>
      <name val="Times New Roman"/>
      <family val="1"/>
    </font>
    <font>
      <sz val="10"/>
      <name val="Verdana"/>
      <family val="2"/>
    </font>
    <font>
      <sz val="9"/>
      <name val="Calibri"/>
      <family val="2"/>
      <scheme val="minor"/>
    </font>
    <font>
      <b/>
      <sz val="10"/>
      <name val="Courier"/>
      <family val="3"/>
    </font>
    <font>
      <b/>
      <strike/>
      <sz val="10"/>
      <name val="Calibri"/>
      <family val="2"/>
      <scheme val="minor"/>
    </font>
    <font>
      <b/>
      <sz val="10"/>
      <name val="Verdana"/>
      <family val="2"/>
    </font>
    <font>
      <b/>
      <u/>
      <sz val="11"/>
      <name val="Calibri"/>
      <family val="2"/>
      <scheme val="minor"/>
    </font>
    <font>
      <b/>
      <sz val="10"/>
      <color theme="3"/>
      <name val="Arial"/>
      <family val="2"/>
    </font>
    <font>
      <b/>
      <sz val="10"/>
      <color rgb="FF002060"/>
      <name val="Arial"/>
      <family val="2"/>
    </font>
    <font>
      <b/>
      <vertAlign val="superscript"/>
      <sz val="9"/>
      <name val="Arial"/>
      <family val="2"/>
    </font>
    <font>
      <b/>
      <vertAlign val="superscript"/>
      <sz val="10"/>
      <color rgb="FF002060"/>
      <name val="Arial"/>
      <family val="2"/>
    </font>
    <font>
      <b/>
      <sz val="12"/>
      <color rgb="FF002060"/>
      <name val="Arial"/>
      <family val="2"/>
    </font>
    <font>
      <sz val="10"/>
      <color indexed="8"/>
      <name val="Arial"/>
      <family val="2"/>
    </font>
    <font>
      <b/>
      <sz val="12"/>
      <color theme="3"/>
      <name val="Arial"/>
      <family val="2"/>
    </font>
    <font>
      <b/>
      <sz val="10"/>
      <color indexed="8"/>
      <name val="Arial"/>
      <family val="2"/>
    </font>
    <font>
      <sz val="10"/>
      <color indexed="12"/>
      <name val="Arial"/>
      <family val="2"/>
    </font>
    <font>
      <b/>
      <sz val="10"/>
      <color theme="0" tint="-0.499984740745262"/>
      <name val="Arial"/>
      <family val="2"/>
    </font>
    <font>
      <sz val="8"/>
      <color theme="0" tint="-0.34998626667073579"/>
      <name val="Arial"/>
      <family val="2"/>
    </font>
    <font>
      <b/>
      <sz val="8"/>
      <name val="Arial"/>
      <family val="2"/>
    </font>
    <font>
      <b/>
      <vertAlign val="superscript"/>
      <sz val="8"/>
      <name val="Arial"/>
      <family val="2"/>
    </font>
    <font>
      <b/>
      <sz val="10"/>
      <color rgb="FFFF0000"/>
      <name val="Arial"/>
      <family val="2"/>
    </font>
    <font>
      <sz val="10"/>
      <color theme="0"/>
      <name val="Arial"/>
      <family val="2"/>
    </font>
    <font>
      <b/>
      <sz val="12"/>
      <color rgb="FFFF0000"/>
      <name val="Arial"/>
      <family val="2"/>
    </font>
    <font>
      <b/>
      <sz val="10"/>
      <color theme="9" tint="-0.249977111117893"/>
      <name val="Arial"/>
      <family val="2"/>
    </font>
    <font>
      <b/>
      <sz val="12"/>
      <color theme="9" tint="-0.249977111117893"/>
      <name val="Arial"/>
      <family val="2"/>
    </font>
    <font>
      <b/>
      <sz val="14"/>
      <name val="Arial"/>
      <family val="2"/>
    </font>
    <font>
      <b/>
      <sz val="10"/>
      <name val="Times New Roman"/>
      <family val="1"/>
    </font>
    <font>
      <sz val="10"/>
      <color indexed="72"/>
      <name val="Arial"/>
      <family val="2"/>
    </font>
    <font>
      <sz val="8.5"/>
      <name val="Arial"/>
      <family val="2"/>
    </font>
    <font>
      <b/>
      <sz val="15.5"/>
      <color theme="0"/>
      <name val="Arial"/>
      <family val="2"/>
    </font>
    <font>
      <b/>
      <sz val="12"/>
      <color theme="1"/>
      <name val="Calibri"/>
      <family val="2"/>
      <scheme val="minor"/>
    </font>
    <font>
      <b/>
      <sz val="10"/>
      <color theme="1"/>
      <name val="Calibri"/>
      <family val="2"/>
      <scheme val="minor"/>
    </font>
    <font>
      <sz val="10"/>
      <color theme="1"/>
      <name val="Calibri"/>
      <family val="2"/>
      <scheme val="minor"/>
    </font>
    <font>
      <sz val="14"/>
      <color theme="1"/>
      <name val="Calibri"/>
      <family val="2"/>
      <scheme val="minor"/>
    </font>
    <font>
      <sz val="14"/>
      <name val="Calibri"/>
      <family val="2"/>
      <scheme val="minor"/>
    </font>
    <font>
      <b/>
      <sz val="14"/>
      <color theme="1"/>
      <name val="Calibri"/>
      <family val="2"/>
      <scheme val="minor"/>
    </font>
    <font>
      <sz val="11"/>
      <color theme="1"/>
      <name val="Times New Roman"/>
      <family val="1"/>
    </font>
    <font>
      <sz val="9"/>
      <color indexed="18"/>
      <name val="Times New Roman"/>
      <family val="1"/>
    </font>
    <font>
      <b/>
      <sz val="9"/>
      <color indexed="18"/>
      <name val="Times New Roman"/>
      <family val="1"/>
    </font>
    <font>
      <b/>
      <sz val="18"/>
      <color theme="1"/>
      <name val="Calibri"/>
      <family val="2"/>
      <scheme val="minor"/>
    </font>
    <font>
      <b/>
      <sz val="12"/>
      <color theme="1"/>
      <name val="Arial"/>
      <family val="2"/>
    </font>
    <font>
      <b/>
      <u/>
      <sz val="10"/>
      <color theme="1"/>
      <name val="Calibri"/>
      <family val="2"/>
      <scheme val="minor"/>
    </font>
    <font>
      <b/>
      <u/>
      <sz val="11"/>
      <color theme="1"/>
      <name val="Calibri"/>
      <family val="2"/>
      <scheme val="minor"/>
    </font>
    <font>
      <b/>
      <sz val="11"/>
      <name val="Times New Roman"/>
      <family val="1"/>
    </font>
    <font>
      <b/>
      <sz val="9"/>
      <name val="Times New Roman"/>
      <family val="1"/>
    </font>
    <font>
      <b/>
      <sz val="11"/>
      <color rgb="FFFFFF00"/>
      <name val="Times New Roman"/>
      <family val="1"/>
    </font>
    <font>
      <b/>
      <sz val="9"/>
      <color rgb="FFFFFF00"/>
      <name val="Times New Roman"/>
      <family val="1"/>
    </font>
    <font>
      <b/>
      <sz val="10"/>
      <color rgb="FFFFFF00"/>
      <name val="Times New Roman"/>
      <family val="1"/>
    </font>
    <font>
      <b/>
      <sz val="12"/>
      <color theme="0"/>
      <name val="Times New Roman"/>
      <family val="1"/>
    </font>
    <font>
      <b/>
      <sz val="18"/>
      <color rgb="FF002060"/>
      <name val="Verdana"/>
      <family val="2"/>
    </font>
    <font>
      <sz val="10"/>
      <color rgb="FF002060"/>
      <name val="Arial"/>
      <family val="2"/>
    </font>
    <font>
      <sz val="9"/>
      <color theme="1"/>
      <name val="Arial"/>
      <family val="2"/>
    </font>
    <font>
      <b/>
      <sz val="9"/>
      <color theme="1"/>
      <name val="Arial"/>
      <family val="2"/>
    </font>
    <font>
      <b/>
      <sz val="8"/>
      <color theme="1"/>
      <name val="Arial"/>
      <family val="2"/>
    </font>
    <font>
      <vertAlign val="superscript"/>
      <sz val="11"/>
      <color theme="1"/>
      <name val="Calibri"/>
      <family val="2"/>
      <scheme val="minor"/>
    </font>
    <font>
      <sz val="11"/>
      <color theme="1"/>
      <name val="Calibri"/>
      <family val="2"/>
    </font>
    <font>
      <b/>
      <sz val="10"/>
      <color theme="1"/>
      <name val="Arial"/>
      <family val="2"/>
    </font>
    <font>
      <b/>
      <vertAlign val="superscript"/>
      <sz val="10"/>
      <name val="Arial"/>
      <family val="2"/>
    </font>
    <font>
      <sz val="14"/>
      <name val="Arial"/>
      <family val="2"/>
    </font>
    <font>
      <u/>
      <sz val="10"/>
      <color indexed="12"/>
      <name val="Arial"/>
      <family val="2"/>
    </font>
    <font>
      <b/>
      <sz val="10"/>
      <color theme="0"/>
      <name val="Calibri"/>
      <family val="2"/>
      <scheme val="minor"/>
    </font>
    <font>
      <sz val="10"/>
      <color theme="1"/>
      <name val="Arial"/>
      <family val="2"/>
    </font>
    <font>
      <b/>
      <sz val="10"/>
      <color theme="1"/>
      <name val="Calibri"/>
      <family val="2"/>
      <charset val="161"/>
      <scheme val="minor"/>
    </font>
    <font>
      <sz val="11"/>
      <name val="Arial"/>
      <family val="2"/>
    </font>
    <font>
      <b/>
      <sz val="12"/>
      <color theme="0"/>
      <name val="Arial"/>
      <family val="2"/>
    </font>
    <font>
      <i/>
      <sz val="9"/>
      <name val="Arial"/>
      <family val="2"/>
    </font>
    <font>
      <u/>
      <sz val="10"/>
      <color theme="10"/>
      <name val="Courier"/>
      <family val="3"/>
    </font>
    <font>
      <sz val="8"/>
      <color theme="1"/>
      <name val="Calibri"/>
      <family val="2"/>
      <scheme val="minor"/>
    </font>
    <font>
      <b/>
      <u/>
      <sz val="11"/>
      <color rgb="FFFF0000"/>
      <name val="Calibri"/>
      <family val="2"/>
      <scheme val="minor"/>
    </font>
    <font>
      <sz val="9.5"/>
      <name val="Calibri"/>
      <family val="2"/>
      <scheme val="minor"/>
    </font>
    <font>
      <b/>
      <u/>
      <sz val="16"/>
      <color theme="1"/>
      <name val="Calibri"/>
      <family val="2"/>
      <scheme val="minor"/>
    </font>
    <font>
      <b/>
      <u/>
      <sz val="14"/>
      <color theme="1"/>
      <name val="Calibri"/>
      <family val="2"/>
      <scheme val="minor"/>
    </font>
    <font>
      <sz val="8"/>
      <name val="Calibri"/>
      <family val="2"/>
      <scheme val="minor"/>
    </font>
    <font>
      <b/>
      <u/>
      <sz val="8"/>
      <color theme="1"/>
      <name val="Calibri"/>
      <family val="2"/>
      <scheme val="minor"/>
    </font>
    <font>
      <b/>
      <sz val="8"/>
      <color theme="1"/>
      <name val="Calibri"/>
      <family val="2"/>
      <scheme val="minor"/>
    </font>
    <font>
      <sz val="13"/>
      <color theme="1"/>
      <name val="Calibri"/>
      <family val="2"/>
      <scheme val="minor"/>
    </font>
    <font>
      <u/>
      <sz val="10"/>
      <color theme="10"/>
      <name val="Calibri"/>
      <family val="2"/>
      <scheme val="minor"/>
    </font>
    <font>
      <sz val="8"/>
      <name val="Courier"/>
      <family val="3"/>
    </font>
    <font>
      <sz val="8"/>
      <name val="Arial"/>
      <family val="2"/>
    </font>
    <font>
      <sz val="8"/>
      <name val="Verdana"/>
      <family val="2"/>
    </font>
    <font>
      <b/>
      <sz val="10"/>
      <name val="Calibri"/>
      <family val="2"/>
      <charset val="161"/>
      <scheme val="minor"/>
    </font>
    <font>
      <b/>
      <sz val="8"/>
      <name val="Calibri"/>
      <family val="2"/>
      <scheme val="minor"/>
    </font>
    <font>
      <sz val="8"/>
      <name val="Calibri"/>
      <family val="2"/>
    </font>
    <font>
      <sz val="9"/>
      <name val="Verdana"/>
      <family val="2"/>
    </font>
    <font>
      <u/>
      <sz val="10"/>
      <color theme="10"/>
      <name val="Arial"/>
      <family val="2"/>
    </font>
    <font>
      <sz val="2"/>
      <color theme="1"/>
      <name val="Calibri"/>
      <family val="2"/>
      <scheme val="minor"/>
    </font>
    <font>
      <b/>
      <sz val="2"/>
      <color theme="1"/>
      <name val="Calibri"/>
      <family val="2"/>
      <scheme val="minor"/>
    </font>
    <font>
      <sz val="18"/>
      <name val="Calibri"/>
      <family val="2"/>
      <scheme val="minor"/>
    </font>
    <font>
      <sz val="8"/>
      <name val="Times New Roman"/>
      <family val="1"/>
    </font>
    <font>
      <b/>
      <sz val="12"/>
      <color theme="0"/>
      <name val="Arial"/>
      <family val="2"/>
      <charset val="161"/>
    </font>
    <font>
      <b/>
      <i/>
      <sz val="10"/>
      <color theme="0"/>
      <name val="Arial"/>
      <family val="2"/>
      <charset val="161"/>
    </font>
    <font>
      <b/>
      <sz val="8"/>
      <color theme="0" tint="-0.14999847407452621"/>
      <name val="Arial"/>
      <family val="2"/>
    </font>
    <font>
      <u/>
      <sz val="10"/>
      <color theme="10"/>
      <name val="ArRIAL"/>
    </font>
    <font>
      <sz val="12"/>
      <color theme="1"/>
      <name val="Calibri"/>
      <family val="2"/>
      <scheme val="minor"/>
    </font>
    <font>
      <sz val="2"/>
      <name val="Calibri"/>
      <family val="2"/>
      <scheme val="minor"/>
    </font>
    <font>
      <sz val="2"/>
      <color indexed="8"/>
      <name val="Arial"/>
      <family val="2"/>
    </font>
    <font>
      <b/>
      <sz val="14"/>
      <color theme="0"/>
      <name val="Arial"/>
      <family val="2"/>
      <charset val="161"/>
    </font>
    <font>
      <sz val="6"/>
      <color theme="0" tint="-0.34998626667073579"/>
      <name val="Calibri"/>
      <family val="2"/>
      <scheme val="minor"/>
    </font>
    <font>
      <sz val="11"/>
      <color theme="1"/>
      <name val="Arial"/>
      <family val="2"/>
    </font>
    <font>
      <sz val="2"/>
      <name val="Arial"/>
      <family val="2"/>
    </font>
    <font>
      <sz val="1"/>
      <color theme="1"/>
      <name val="Calibri"/>
      <family val="2"/>
      <scheme val="minor"/>
    </font>
    <font>
      <sz val="1"/>
      <name val="Arial"/>
      <family val="2"/>
    </font>
    <font>
      <sz val="12"/>
      <name val="Arial"/>
      <family val="2"/>
    </font>
    <font>
      <b/>
      <sz val="2"/>
      <name val="Arial"/>
      <family val="2"/>
    </font>
    <font>
      <b/>
      <sz val="15.5"/>
      <color rgb="FFFFFFFF"/>
      <name val="Arial"/>
      <family val="2"/>
    </font>
    <font>
      <sz val="10"/>
      <color rgb="FFFF0000"/>
      <name val="Arial"/>
      <family val="2"/>
    </font>
    <font>
      <vertAlign val="superscript"/>
      <sz val="10"/>
      <name val="Arial"/>
      <family val="2"/>
    </font>
    <font>
      <sz val="5"/>
      <name val="Arial"/>
      <family val="2"/>
    </font>
    <font>
      <sz val="10"/>
      <name val="Arial"/>
      <family val="2"/>
      <charset val="161"/>
    </font>
    <font>
      <sz val="8"/>
      <name val="Arial"/>
      <family val="2"/>
      <charset val="161"/>
    </font>
    <font>
      <b/>
      <sz val="8"/>
      <name val="Arial"/>
      <family val="2"/>
      <charset val="161"/>
    </font>
    <font>
      <b/>
      <sz val="9"/>
      <color rgb="FF002060"/>
      <name val="Arial"/>
      <family val="2"/>
    </font>
    <font>
      <sz val="10"/>
      <color indexed="8"/>
      <name val="Times New Roman"/>
      <family val="1"/>
    </font>
    <font>
      <sz val="8"/>
      <color indexed="8"/>
      <name val="Times New Roman"/>
      <family val="1"/>
    </font>
    <font>
      <sz val="6"/>
      <name val="Times New Roman"/>
      <family val="1"/>
    </font>
    <font>
      <sz val="5"/>
      <name val="Times New Roman"/>
      <family val="1"/>
    </font>
    <font>
      <sz val="10"/>
      <name val="Wingdings"/>
      <charset val="2"/>
    </font>
    <font>
      <sz val="4"/>
      <name val="Times New Roman"/>
      <family val="1"/>
    </font>
    <font>
      <sz val="1"/>
      <name val="Times New Roman"/>
      <family val="1"/>
    </font>
    <font>
      <b/>
      <sz val="1"/>
      <name val="Times New Roman"/>
      <family val="1"/>
    </font>
    <font>
      <sz val="1"/>
      <color theme="1"/>
      <name val="Arial"/>
      <family val="2"/>
    </font>
    <font>
      <sz val="1"/>
      <color rgb="FFFF0000"/>
      <name val="Times New Roman"/>
      <family val="1"/>
    </font>
    <font>
      <sz val="24"/>
      <name val="Arial"/>
      <family val="2"/>
    </font>
    <font>
      <sz val="10"/>
      <color theme="4" tint="-0.249977111117893"/>
      <name val="Calibri"/>
      <family val="2"/>
      <scheme val="minor"/>
    </font>
    <font>
      <b/>
      <i/>
      <sz val="2"/>
      <name val="Arial"/>
      <family val="2"/>
    </font>
    <font>
      <sz val="9"/>
      <color theme="1"/>
      <name val="Calibri"/>
      <family val="2"/>
      <scheme val="minor"/>
    </font>
    <font>
      <u/>
      <sz val="11"/>
      <color theme="1"/>
      <name val="Calibri"/>
      <family val="2"/>
      <scheme val="minor"/>
    </font>
    <font>
      <u/>
      <sz val="10"/>
      <color rgb="FF002060"/>
      <name val="Arial"/>
      <family val="2"/>
    </font>
    <font>
      <b/>
      <u/>
      <sz val="12"/>
      <color rgb="FF002060"/>
      <name val="Arial"/>
      <family val="2"/>
    </font>
    <font>
      <sz val="11"/>
      <color theme="3"/>
      <name val="Calibri"/>
      <family val="2"/>
      <scheme val="minor"/>
    </font>
    <font>
      <b/>
      <sz val="11"/>
      <color theme="0"/>
      <name val="Arial"/>
      <family val="2"/>
    </font>
    <font>
      <b/>
      <sz val="8"/>
      <color rgb="FF002060"/>
      <name val="Arial"/>
      <family val="2"/>
    </font>
    <font>
      <b/>
      <sz val="11"/>
      <color theme="0"/>
      <name val="Calibri"/>
      <family val="2"/>
      <scheme val="minor"/>
    </font>
    <font>
      <b/>
      <sz val="8"/>
      <color rgb="FFFF0000"/>
      <name val="Arial"/>
      <family val="2"/>
    </font>
    <font>
      <b/>
      <i/>
      <sz val="8"/>
      <color theme="0"/>
      <name val="Arial"/>
      <family val="2"/>
      <charset val="161"/>
    </font>
    <font>
      <sz val="8"/>
      <color theme="1"/>
      <name val="Arial"/>
      <family val="2"/>
      <charset val="161"/>
    </font>
    <font>
      <b/>
      <i/>
      <sz val="8"/>
      <color theme="0"/>
      <name val="Calibri"/>
      <family val="2"/>
      <scheme val="minor"/>
    </font>
    <font>
      <b/>
      <sz val="11"/>
      <color theme="0" tint="-0.499984740745262"/>
      <name val="Calibri"/>
      <family val="2"/>
      <scheme val="minor"/>
    </font>
    <font>
      <i/>
      <sz val="11"/>
      <name val="Calibri"/>
      <family val="2"/>
      <scheme val="minor"/>
    </font>
    <font>
      <b/>
      <sz val="14"/>
      <name val="Calibri"/>
      <family val="2"/>
      <scheme val="minor"/>
    </font>
    <font>
      <sz val="8"/>
      <color theme="0"/>
      <name val="Calibri"/>
      <family val="2"/>
      <scheme val="minor"/>
    </font>
    <font>
      <sz val="7"/>
      <name val="Times New Roman"/>
      <family val="1"/>
    </font>
    <font>
      <b/>
      <sz val="8"/>
      <color theme="0"/>
      <name val="Calibri"/>
      <family val="2"/>
      <scheme val="minor"/>
    </font>
    <font>
      <sz val="10"/>
      <color rgb="FFFF0000"/>
      <name val="Calibri"/>
      <family val="2"/>
      <scheme val="minor"/>
    </font>
    <font>
      <sz val="16"/>
      <color rgb="FFFF0000"/>
      <name val="Calibri"/>
      <family val="2"/>
      <scheme val="minor"/>
    </font>
    <font>
      <sz val="11"/>
      <color rgb="FFFF0000"/>
      <name val="Calibri"/>
      <family val="2"/>
      <scheme val="minor"/>
    </font>
    <font>
      <sz val="11"/>
      <color rgb="FF0000FF"/>
      <name val="Calibri"/>
      <family val="2"/>
      <scheme val="minor"/>
    </font>
    <font>
      <sz val="6"/>
      <color theme="1"/>
      <name val="Calibri"/>
      <family val="2"/>
      <scheme val="minor"/>
    </font>
    <font>
      <b/>
      <sz val="6"/>
      <color theme="1"/>
      <name val="Calibri"/>
      <family val="2"/>
      <scheme val="minor"/>
    </font>
    <font>
      <sz val="6"/>
      <color theme="0" tint="-0.34998626667073579"/>
      <name val="Arial"/>
      <family val="2"/>
    </font>
    <font>
      <sz val="7"/>
      <color theme="1"/>
      <name val="Calibri"/>
      <family val="2"/>
      <scheme val="minor"/>
    </font>
    <font>
      <b/>
      <sz val="10"/>
      <name val="Arial"/>
      <family val="2"/>
      <charset val="161"/>
    </font>
    <font>
      <b/>
      <sz val="8.5"/>
      <name val="Calibri"/>
      <family val="2"/>
      <scheme val="minor"/>
    </font>
    <font>
      <b/>
      <sz val="9"/>
      <color theme="1"/>
      <name val="Calibri"/>
      <family val="2"/>
      <scheme val="minor"/>
    </font>
    <font>
      <sz val="10"/>
      <name val="Calibri"/>
      <family val="2"/>
      <charset val="161"/>
      <scheme val="minor"/>
    </font>
    <font>
      <sz val="14"/>
      <name val="Calibri"/>
      <family val="2"/>
      <charset val="161"/>
      <scheme val="minor"/>
    </font>
    <font>
      <b/>
      <sz val="16"/>
      <name val="Calibri"/>
      <family val="2"/>
      <charset val="161"/>
      <scheme val="minor"/>
    </font>
    <font>
      <b/>
      <u/>
      <sz val="10"/>
      <color theme="10"/>
      <name val="Calibri"/>
      <family val="2"/>
      <charset val="161"/>
      <scheme val="minor"/>
    </font>
    <font>
      <sz val="11"/>
      <name val="Calibri"/>
      <family val="2"/>
      <charset val="161"/>
      <scheme val="minor"/>
    </font>
    <font>
      <b/>
      <sz val="11"/>
      <name val="Calibri"/>
      <family val="2"/>
      <charset val="161"/>
      <scheme val="minor"/>
    </font>
    <font>
      <sz val="11"/>
      <color rgb="FF002060"/>
      <name val="Calibri"/>
      <family val="2"/>
      <charset val="161"/>
      <scheme val="minor"/>
    </font>
    <font>
      <b/>
      <u/>
      <sz val="15"/>
      <name val="Calibri"/>
      <family val="2"/>
      <charset val="161"/>
      <scheme val="minor"/>
    </font>
    <font>
      <i/>
      <sz val="10"/>
      <color rgb="FF002060"/>
      <name val="Calibri"/>
      <family val="2"/>
      <charset val="161"/>
      <scheme val="minor"/>
    </font>
    <font>
      <sz val="2"/>
      <name val="Calibri"/>
      <family val="2"/>
      <charset val="161"/>
      <scheme val="minor"/>
    </font>
    <font>
      <i/>
      <u/>
      <sz val="11"/>
      <color rgb="FF002060"/>
      <name val="Calibri"/>
      <family val="2"/>
      <charset val="161"/>
      <scheme val="minor"/>
    </font>
    <font>
      <sz val="2"/>
      <color rgb="FF002060"/>
      <name val="Calibri"/>
      <family val="2"/>
      <charset val="161"/>
      <scheme val="minor"/>
    </font>
    <font>
      <sz val="10"/>
      <color rgb="FF002060"/>
      <name val="Calibri"/>
      <family val="2"/>
      <charset val="161"/>
      <scheme val="minor"/>
    </font>
    <font>
      <i/>
      <sz val="8"/>
      <color theme="1" tint="0.249977111117893"/>
      <name val="Arial"/>
      <family val="2"/>
    </font>
    <font>
      <sz val="10"/>
      <color theme="1" tint="0.249977111117893"/>
      <name val="Arial"/>
      <family val="2"/>
    </font>
    <font>
      <b/>
      <sz val="11"/>
      <color theme="3"/>
      <name val="Calibri"/>
      <family val="2"/>
      <scheme val="minor"/>
    </font>
    <font>
      <b/>
      <sz val="1"/>
      <name val="Arial"/>
      <family val="2"/>
    </font>
    <font>
      <sz val="4"/>
      <name val="Arial"/>
      <family val="2"/>
    </font>
    <font>
      <b/>
      <sz val="1"/>
      <name val="Calibri"/>
      <family val="2"/>
      <scheme val="minor"/>
    </font>
    <font>
      <sz val="10"/>
      <color indexed="8"/>
      <name val="Calibri"/>
      <family val="2"/>
      <scheme val="minor"/>
    </font>
    <font>
      <sz val="8"/>
      <color indexed="8"/>
      <name val="Calibri"/>
      <family val="2"/>
      <scheme val="minor"/>
    </font>
    <font>
      <sz val="4"/>
      <name val="Calibri"/>
      <family val="2"/>
      <scheme val="minor"/>
    </font>
    <font>
      <i/>
      <sz val="10"/>
      <name val="Calibri"/>
      <family val="2"/>
      <scheme val="minor"/>
    </font>
    <font>
      <i/>
      <sz val="4"/>
      <name val="Calibri"/>
      <family val="2"/>
      <scheme val="minor"/>
    </font>
    <font>
      <i/>
      <sz val="9"/>
      <name val="Calibri"/>
      <family val="2"/>
      <scheme val="minor"/>
    </font>
    <font>
      <sz val="6"/>
      <name val="Calibri"/>
      <family val="2"/>
      <scheme val="minor"/>
    </font>
    <font>
      <b/>
      <sz val="18"/>
      <name val="Calibri"/>
      <family val="2"/>
      <scheme val="minor"/>
    </font>
    <font>
      <sz val="1"/>
      <name val="Calibri"/>
      <family val="2"/>
      <scheme val="minor"/>
    </font>
    <font>
      <sz val="8"/>
      <color rgb="FFFF0000"/>
      <name val="Calibri"/>
      <family val="2"/>
      <scheme val="minor"/>
    </font>
    <font>
      <i/>
      <sz val="8"/>
      <name val="Calibri"/>
      <family val="2"/>
      <scheme val="minor"/>
    </font>
    <font>
      <i/>
      <sz val="1"/>
      <name val="Calibri"/>
      <family val="2"/>
      <scheme val="minor"/>
    </font>
    <font>
      <b/>
      <i/>
      <sz val="2"/>
      <name val="Calibri"/>
      <family val="2"/>
      <scheme val="minor"/>
    </font>
    <font>
      <b/>
      <sz val="12"/>
      <name val="Calibri"/>
      <family val="2"/>
      <scheme val="minor"/>
    </font>
    <font>
      <b/>
      <sz val="2"/>
      <name val="Calibri"/>
      <family val="2"/>
      <scheme val="minor"/>
    </font>
    <font>
      <i/>
      <sz val="2"/>
      <name val="Calibri"/>
      <family val="2"/>
      <scheme val="minor"/>
    </font>
    <font>
      <sz val="5"/>
      <name val="Calibri"/>
      <family val="2"/>
      <scheme val="minor"/>
    </font>
    <font>
      <b/>
      <sz val="16"/>
      <name val="Calibri"/>
      <family val="2"/>
      <scheme val="minor"/>
    </font>
    <font>
      <b/>
      <u/>
      <sz val="10"/>
      <name val="Calibri"/>
      <family val="2"/>
      <scheme val="minor"/>
    </font>
    <font>
      <sz val="7"/>
      <name val="Calibri"/>
      <family val="2"/>
      <scheme val="minor"/>
    </font>
    <font>
      <b/>
      <u/>
      <sz val="12"/>
      <name val="Arial"/>
      <family val="2"/>
    </font>
    <font>
      <b/>
      <sz val="8"/>
      <color theme="0"/>
      <name val="Arial"/>
      <family val="2"/>
    </font>
    <font>
      <sz val="8"/>
      <color theme="0"/>
      <name val="Arial"/>
      <family val="2"/>
    </font>
    <font>
      <sz val="11"/>
      <name val="Times New Roman"/>
      <family val="1"/>
    </font>
    <font>
      <b/>
      <sz val="7"/>
      <name val="Calibri"/>
      <family val="2"/>
      <scheme val="minor"/>
    </font>
    <font>
      <b/>
      <u/>
      <sz val="12"/>
      <name val="Calibri"/>
      <family val="2"/>
      <scheme val="minor"/>
    </font>
    <font>
      <sz val="22"/>
      <name val="Calibri"/>
      <family val="2"/>
      <scheme val="minor"/>
    </font>
    <font>
      <sz val="22"/>
      <color rgb="FFFF0000"/>
      <name val="Calibri"/>
      <family val="2"/>
      <scheme val="minor"/>
    </font>
    <font>
      <sz val="7"/>
      <color rgb="FFFF0000"/>
      <name val="Calibri"/>
      <family val="2"/>
      <scheme val="minor"/>
    </font>
    <font>
      <sz val="4"/>
      <color theme="1"/>
      <name val="Calibri"/>
      <family val="2"/>
      <scheme val="minor"/>
    </font>
    <font>
      <b/>
      <sz val="6"/>
      <name val="Calibri"/>
      <family val="2"/>
      <scheme val="minor"/>
    </font>
    <font>
      <sz val="6"/>
      <color rgb="FFFF0000"/>
      <name val="Calibri"/>
      <family val="2"/>
      <scheme val="minor"/>
    </font>
    <font>
      <b/>
      <u/>
      <sz val="11"/>
      <color rgb="FF002060"/>
      <name val="Calibri"/>
      <family val="2"/>
      <scheme val="minor"/>
    </font>
    <font>
      <sz val="8"/>
      <color rgb="FF002060"/>
      <name val="Calibri"/>
      <family val="2"/>
      <scheme val="minor"/>
    </font>
    <font>
      <b/>
      <u/>
      <sz val="6"/>
      <name val="Calibri"/>
      <family val="2"/>
      <scheme val="minor"/>
    </font>
    <font>
      <sz val="3"/>
      <name val="Calibri"/>
      <family val="2"/>
      <scheme val="minor"/>
    </font>
    <font>
      <sz val="36"/>
      <name val="Times New Roman"/>
      <family val="1"/>
    </font>
    <font>
      <sz val="48"/>
      <name val="Times New Roman"/>
      <family val="1"/>
    </font>
    <font>
      <sz val="10"/>
      <color indexed="17"/>
      <name val="Arial"/>
      <family val="2"/>
    </font>
    <font>
      <sz val="10"/>
      <color indexed="11"/>
      <name val="Arial"/>
      <family val="2"/>
    </font>
    <font>
      <sz val="10"/>
      <color indexed="9"/>
      <name val="Arial"/>
      <family val="2"/>
    </font>
    <font>
      <sz val="8"/>
      <color indexed="11"/>
      <name val="Arial"/>
      <family val="2"/>
    </font>
    <font>
      <b/>
      <sz val="10"/>
      <color indexed="9"/>
      <name val="Arial"/>
      <family val="2"/>
    </font>
    <font>
      <b/>
      <sz val="10"/>
      <color indexed="11"/>
      <name val="Arial"/>
      <family val="2"/>
    </font>
    <font>
      <sz val="6"/>
      <color indexed="9"/>
      <name val="Arial"/>
      <family val="2"/>
    </font>
    <font>
      <b/>
      <sz val="7"/>
      <color indexed="9"/>
      <name val="Arial"/>
      <family val="2"/>
      <charset val="161"/>
    </font>
    <font>
      <sz val="8"/>
      <color indexed="9"/>
      <name val="Arial"/>
      <family val="2"/>
    </font>
    <font>
      <b/>
      <sz val="10"/>
      <color indexed="9"/>
      <name val="Arial"/>
      <family val="2"/>
      <charset val="161"/>
    </font>
    <font>
      <b/>
      <sz val="8"/>
      <color indexed="57"/>
      <name val="Arial"/>
      <family val="2"/>
    </font>
    <font>
      <b/>
      <sz val="11"/>
      <color indexed="8"/>
      <name val="Arial"/>
      <family val="2"/>
    </font>
    <font>
      <sz val="11"/>
      <color indexed="9"/>
      <name val="Arial"/>
      <family val="2"/>
    </font>
    <font>
      <b/>
      <sz val="11"/>
      <color indexed="9"/>
      <name val="Arial"/>
      <family val="2"/>
    </font>
    <font>
      <sz val="11"/>
      <color indexed="37"/>
      <name val="Arial"/>
      <family val="2"/>
    </font>
    <font>
      <b/>
      <sz val="11"/>
      <color indexed="37"/>
      <name val="Arial"/>
      <family val="2"/>
    </font>
    <font>
      <b/>
      <sz val="11"/>
      <color indexed="9"/>
      <name val="Arial"/>
      <family val="2"/>
      <charset val="161"/>
    </font>
    <font>
      <b/>
      <sz val="11"/>
      <color indexed="57"/>
      <name val="Arial"/>
      <family val="2"/>
    </font>
    <font>
      <sz val="11"/>
      <color indexed="9"/>
      <name val="Arial"/>
      <family val="2"/>
      <charset val="161"/>
    </font>
    <font>
      <sz val="11"/>
      <color indexed="8"/>
      <name val="Arial"/>
      <family val="2"/>
      <charset val="161"/>
    </font>
    <font>
      <b/>
      <sz val="11"/>
      <color theme="5" tint="-0.499984740745262"/>
      <name val="Arial"/>
      <family val="2"/>
    </font>
    <font>
      <b/>
      <sz val="11"/>
      <name val="Arial"/>
      <family val="2"/>
    </font>
    <font>
      <b/>
      <sz val="8"/>
      <color indexed="22"/>
      <name val="Arial"/>
      <family val="2"/>
    </font>
    <font>
      <sz val="1"/>
      <color indexed="9"/>
      <name val="Arial"/>
      <family val="2"/>
    </font>
    <font>
      <sz val="16"/>
      <color indexed="8"/>
      <name val="Arial"/>
      <family val="2"/>
    </font>
    <font>
      <sz val="16"/>
      <color indexed="17"/>
      <name val="Arial"/>
      <family val="2"/>
    </font>
    <font>
      <b/>
      <i/>
      <sz val="16"/>
      <color indexed="9"/>
      <name val="Monotype Corsiva"/>
      <family val="4"/>
    </font>
    <font>
      <b/>
      <i/>
      <sz val="18"/>
      <color indexed="9"/>
      <name val="Monotype Corsiva"/>
      <family val="4"/>
    </font>
    <font>
      <b/>
      <sz val="16"/>
      <name val="Arial"/>
      <family val="2"/>
    </font>
    <font>
      <sz val="16"/>
      <name val="Arial"/>
      <family val="2"/>
    </font>
    <font>
      <b/>
      <i/>
      <sz val="16"/>
      <color theme="0"/>
      <name val="Monotype Corsiva"/>
      <family val="4"/>
    </font>
    <font>
      <b/>
      <i/>
      <sz val="18"/>
      <color theme="0"/>
      <name val="Monotype Corsiva"/>
      <family val="4"/>
    </font>
    <font>
      <sz val="8"/>
      <color indexed="81"/>
      <name val="Tahoma"/>
      <family val="2"/>
      <charset val="161"/>
    </font>
    <font>
      <b/>
      <sz val="8"/>
      <color indexed="81"/>
      <name val="Tahoma"/>
      <family val="2"/>
      <charset val="161"/>
    </font>
    <font>
      <sz val="11"/>
      <color rgb="FFFFFF00"/>
      <name val="Calibri"/>
      <family val="2"/>
      <charset val="161"/>
      <scheme val="minor"/>
    </font>
    <font>
      <sz val="10"/>
      <name val="Courier"/>
    </font>
    <font>
      <sz val="8"/>
      <color rgb="FF000000"/>
      <name val="Segoe UI"/>
      <family val="2"/>
    </font>
    <font>
      <sz val="8"/>
      <color rgb="FF000000"/>
      <name val="Tahoma"/>
      <family val="2"/>
    </font>
    <font>
      <sz val="8"/>
      <name val="Tahoma"/>
      <family val="2"/>
    </font>
  </fonts>
  <fills count="69">
    <fill>
      <patternFill patternType="none"/>
    </fill>
    <fill>
      <patternFill patternType="gray125"/>
    </fill>
    <fill>
      <patternFill patternType="solid">
        <fgColor theme="5" tint="-0.249977111117893"/>
        <bgColor indexed="64"/>
      </patternFill>
    </fill>
    <fill>
      <patternFill patternType="solid">
        <fgColor theme="0"/>
        <bgColor indexed="64"/>
      </patternFill>
    </fill>
    <fill>
      <patternFill patternType="solid">
        <fgColor theme="3" tint="0.79998168889431442"/>
        <bgColor indexed="64"/>
      </patternFill>
    </fill>
    <fill>
      <gradientFill degree="90">
        <stop position="0">
          <color theme="0" tint="-5.0965910824915313E-2"/>
        </stop>
        <stop position="1">
          <color theme="0" tint="-0.1490218817712943"/>
        </stop>
      </gradientFill>
    </fill>
    <fill>
      <patternFill patternType="solid">
        <fgColor theme="0"/>
        <bgColor auto="1"/>
      </patternFill>
    </fill>
    <fill>
      <gradientFill degree="90">
        <stop position="0">
          <color rgb="FFFFC000"/>
        </stop>
        <stop position="1">
          <color rgb="FFFFFF99"/>
        </stop>
      </gradientFill>
    </fill>
    <fill>
      <patternFill patternType="solid">
        <fgColor rgb="FFFFCCFF"/>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FF0000"/>
        <bgColor indexed="64"/>
      </patternFill>
    </fill>
    <fill>
      <patternFill patternType="solid">
        <fgColor rgb="FF00B050"/>
        <bgColor indexed="64"/>
      </patternFill>
    </fill>
    <fill>
      <gradientFill degree="90">
        <stop position="0">
          <color rgb="FFFFC000"/>
        </stop>
        <stop position="1">
          <color rgb="FFFFFFCC"/>
        </stop>
      </gradientFill>
    </fill>
    <fill>
      <patternFill patternType="solid">
        <fgColor theme="0" tint="-4.9989318521683403E-2"/>
        <bgColor indexed="64"/>
      </patternFill>
    </fill>
    <fill>
      <patternFill patternType="solid">
        <fgColor rgb="FFCCFFCC"/>
        <bgColor indexed="64"/>
      </patternFill>
    </fill>
    <fill>
      <patternFill patternType="solid">
        <fgColor theme="0" tint="-0.14999847407452621"/>
        <bgColor indexed="64"/>
      </patternFill>
    </fill>
    <fill>
      <patternFill patternType="solid">
        <fgColor indexed="9"/>
        <bgColor indexed="64"/>
      </patternFill>
    </fill>
    <fill>
      <patternFill patternType="solid">
        <fgColor theme="6" tint="0.39997558519241921"/>
        <bgColor indexed="64"/>
      </patternFill>
    </fill>
    <fill>
      <patternFill patternType="solid">
        <fgColor rgb="FF002060"/>
        <bgColor indexed="64"/>
      </patternFill>
    </fill>
    <fill>
      <patternFill patternType="solid">
        <fgColor rgb="FF35EB35"/>
        <bgColor indexed="64"/>
      </patternFill>
    </fill>
    <fill>
      <patternFill patternType="solid">
        <fgColor theme="4"/>
        <bgColor theme="4"/>
      </patternFill>
    </fill>
    <fill>
      <patternFill patternType="solid">
        <fgColor theme="0" tint="-0.14999847407452621"/>
        <bgColor auto="1"/>
      </patternFill>
    </fill>
    <fill>
      <patternFill patternType="solid">
        <fgColor theme="3" tint="0.79998168889431442"/>
        <bgColor theme="4" tint="0.79998168889431442"/>
      </patternFill>
    </fill>
    <fill>
      <patternFill patternType="solid">
        <fgColor rgb="FFFFCCFF"/>
        <bgColor auto="1"/>
      </patternFill>
    </fill>
    <fill>
      <patternFill patternType="solid">
        <fgColor theme="3"/>
        <bgColor indexed="64"/>
      </patternFill>
    </fill>
    <fill>
      <gradientFill degree="90">
        <stop position="0">
          <color rgb="FFFFCC00"/>
        </stop>
        <stop position="1">
          <color rgb="FFFFFFCC"/>
        </stop>
      </gradientFill>
    </fill>
    <fill>
      <patternFill patternType="solid">
        <fgColor rgb="FFFFFF00"/>
        <bgColor indexed="64"/>
      </patternFill>
    </fill>
    <fill>
      <patternFill patternType="solid">
        <fgColor rgb="FFFF0000"/>
        <bgColor auto="1"/>
      </patternFill>
    </fill>
    <fill>
      <patternFill patternType="solid">
        <fgColor them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4.9989318521683403E-2"/>
        <bgColor auto="1"/>
      </patternFill>
    </fill>
    <fill>
      <patternFill patternType="solid">
        <fgColor rgb="FFFFFF99"/>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indexed="8"/>
      </patternFill>
    </fill>
    <fill>
      <patternFill patternType="solid">
        <fgColor indexed="12"/>
      </patternFill>
    </fill>
    <fill>
      <patternFill patternType="solid">
        <fgColor indexed="13"/>
      </patternFill>
    </fill>
    <fill>
      <patternFill patternType="solid">
        <fgColor indexed="43"/>
      </patternFill>
    </fill>
    <fill>
      <patternFill patternType="solid">
        <fgColor indexed="22"/>
      </patternFill>
    </fill>
    <fill>
      <patternFill patternType="solid">
        <fgColor theme="0" tint="-0.249977111117893"/>
        <bgColor indexed="65"/>
      </patternFill>
    </fill>
    <fill>
      <patternFill patternType="solid">
        <fgColor theme="0" tint="-0.14999847407452621"/>
        <bgColor indexed="24"/>
      </patternFill>
    </fill>
    <fill>
      <patternFill patternType="solid">
        <fgColor indexed="22"/>
        <bgColor indexed="64"/>
      </patternFill>
    </fill>
    <fill>
      <patternFill patternType="solid">
        <fgColor indexed="55"/>
        <bgColor indexed="64"/>
      </patternFill>
    </fill>
    <fill>
      <patternFill patternType="solid">
        <fgColor indexed="55"/>
        <bgColor indexed="24"/>
      </patternFill>
    </fill>
    <fill>
      <patternFill patternType="solid">
        <fgColor theme="0" tint="-0.249977111117893"/>
        <bgColor indexed="24"/>
      </patternFill>
    </fill>
    <fill>
      <patternFill patternType="solid">
        <fgColor theme="2" tint="-0.249977111117893"/>
        <bgColor indexed="24"/>
      </patternFill>
    </fill>
    <fill>
      <patternFill patternType="solid">
        <fgColor theme="2" tint="-9.9978637043366805E-2"/>
        <bgColor indexed="24"/>
      </patternFill>
    </fill>
    <fill>
      <patternFill patternType="solid">
        <fgColor indexed="10"/>
      </patternFill>
    </fill>
    <fill>
      <patternFill patternType="solid">
        <fgColor indexed="9"/>
      </patternFill>
    </fill>
    <fill>
      <patternFill patternType="solid">
        <fgColor rgb="FFC00000"/>
        <bgColor indexed="64"/>
      </patternFill>
    </fill>
    <fill>
      <patternFill patternType="solid">
        <fgColor theme="3" tint="0.39997558519241921"/>
        <bgColor indexed="64"/>
      </patternFill>
    </fill>
    <fill>
      <patternFill patternType="solid">
        <fgColor rgb="FF66FF33"/>
        <bgColor indexed="64"/>
      </patternFill>
    </fill>
    <fill>
      <patternFill patternType="solid">
        <fgColor rgb="FF00B0F0"/>
        <bgColor indexed="64"/>
      </patternFill>
    </fill>
    <fill>
      <patternFill patternType="solid">
        <fgColor theme="9"/>
        <bgColor indexed="64"/>
      </patternFill>
    </fill>
  </fills>
  <borders count="2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double">
        <color indexed="64"/>
      </right>
      <top/>
      <bottom/>
      <diagonal/>
    </border>
    <border>
      <left/>
      <right style="double">
        <color indexed="64"/>
      </right>
      <top/>
      <bottom style="double">
        <color indexed="64"/>
      </bottom>
      <diagonal/>
    </border>
    <border>
      <left/>
      <right/>
      <top style="medium">
        <color indexed="64"/>
      </top>
      <bottom/>
      <diagonal/>
    </border>
    <border>
      <left/>
      <right/>
      <top/>
      <bottom style="medium">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style="thick">
        <color theme="2" tint="-0.249977111117893"/>
      </right>
      <top/>
      <bottom style="thick">
        <color theme="2" tint="-0.249977111117893"/>
      </bottom>
      <diagonal/>
    </border>
    <border>
      <left/>
      <right/>
      <top/>
      <bottom style="thick">
        <color theme="2" tint="-0.249977111117893"/>
      </bottom>
      <diagonal/>
    </border>
    <border>
      <left style="thin">
        <color indexed="64"/>
      </left>
      <right style="thin">
        <color indexed="64"/>
      </right>
      <top style="thin">
        <color indexed="64"/>
      </top>
      <bottom style="thick">
        <color theme="2" tint="-0.249977111117893"/>
      </bottom>
      <diagonal/>
    </border>
    <border>
      <left style="thin">
        <color indexed="64"/>
      </left>
      <right style="thin">
        <color indexed="64"/>
      </right>
      <top/>
      <bottom style="thick">
        <color theme="2" tint="-0.249977111117893"/>
      </bottom>
      <diagonal/>
    </border>
    <border>
      <left/>
      <right style="thick">
        <color theme="2" tint="-0.249977111117893"/>
      </right>
      <top/>
      <bottom/>
      <diagonal/>
    </border>
    <border>
      <left/>
      <right style="thick">
        <color theme="2" tint="-0.249977111117893"/>
      </right>
      <top style="thick">
        <color theme="2" tint="-0.249977111117893"/>
      </top>
      <bottom/>
      <diagonal/>
    </border>
    <border>
      <left/>
      <right/>
      <top style="thick">
        <color theme="2" tint="-0.249977111117893"/>
      </top>
      <bottom style="thick">
        <color theme="2" tint="-0.249977111117893"/>
      </bottom>
      <diagonal/>
    </border>
    <border>
      <left/>
      <right style="thick">
        <color theme="2" tint="-0.249977111117893"/>
      </right>
      <top style="thin">
        <color indexed="64"/>
      </top>
      <bottom style="thick">
        <color theme="2" tint="-0.249977111117893"/>
      </bottom>
      <diagonal/>
    </border>
    <border>
      <left/>
      <right/>
      <top style="thin">
        <color indexed="64"/>
      </top>
      <bottom style="thick">
        <color theme="2" tint="-0.249977111117893"/>
      </bottom>
      <diagonal/>
    </border>
    <border>
      <left style="thin">
        <color indexed="64"/>
      </left>
      <right/>
      <top style="thin">
        <color indexed="64"/>
      </top>
      <bottom style="thick">
        <color theme="2" tint="-0.249977111117893"/>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right style="hair">
        <color indexed="64"/>
      </right>
      <top/>
      <bottom style="hair">
        <color indexed="64"/>
      </bottom>
      <diagonal/>
    </border>
    <border>
      <left/>
      <right style="hair">
        <color indexed="64"/>
      </right>
      <top style="thin">
        <color indexed="64"/>
      </top>
      <bottom style="hair">
        <color indexed="64"/>
      </bottom>
      <diagonal/>
    </border>
    <border>
      <left style="hair">
        <color auto="1"/>
      </left>
      <right/>
      <top/>
      <bottom style="hair">
        <color auto="1"/>
      </bottom>
      <diagonal/>
    </border>
    <border>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hair">
        <color indexed="64"/>
      </right>
      <top style="thin">
        <color indexed="64"/>
      </top>
      <bottom style="hair">
        <color indexed="64"/>
      </bottom>
      <diagonal/>
    </border>
    <border>
      <left style="hair">
        <color indexed="64"/>
      </left>
      <right style="double">
        <color indexed="64"/>
      </right>
      <top style="thin">
        <color indexed="64"/>
      </top>
      <bottom style="hair">
        <color indexed="64"/>
      </bottom>
      <diagonal/>
    </border>
    <border>
      <left style="double">
        <color indexed="64"/>
      </left>
      <right/>
      <top style="hair">
        <color indexed="64"/>
      </top>
      <bottom/>
      <diagonal/>
    </border>
    <border>
      <left style="hair">
        <color indexed="64"/>
      </left>
      <right style="double">
        <color indexed="64"/>
      </right>
      <top style="hair">
        <color indexed="64"/>
      </top>
      <bottom/>
      <diagonal/>
    </border>
    <border>
      <left style="thin">
        <color indexed="64"/>
      </left>
      <right style="thin">
        <color indexed="64"/>
      </right>
      <top style="hair">
        <color indexed="64"/>
      </top>
      <bottom/>
      <diagonal/>
    </border>
    <border>
      <left style="hair">
        <color indexed="64"/>
      </left>
      <right/>
      <top/>
      <bottom style="thin">
        <color indexed="64"/>
      </bottom>
      <diagonal/>
    </border>
    <border>
      <left style="thin">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hair">
        <color indexed="64"/>
      </right>
      <top/>
      <bottom style="thin">
        <color indexed="64"/>
      </bottom>
      <diagonal/>
    </border>
    <border>
      <left style="double">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double">
        <color indexed="64"/>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ck">
        <color theme="2" tint="-0.249977111117893"/>
      </bottom>
      <diagonal/>
    </border>
    <border>
      <left style="hair">
        <color indexed="64"/>
      </left>
      <right style="thin">
        <color indexed="64"/>
      </right>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double">
        <color rgb="FF000000"/>
      </left>
      <right/>
      <top style="thin">
        <color rgb="FF000000"/>
      </top>
      <bottom/>
      <diagonal/>
    </border>
    <border>
      <left style="double">
        <color rgb="FF000000"/>
      </left>
      <right/>
      <top style="hair">
        <color indexed="64"/>
      </top>
      <bottom style="double">
        <color rgb="FF000000"/>
      </bottom>
      <diagonal/>
    </border>
    <border>
      <left style="hair">
        <color indexed="64"/>
      </left>
      <right/>
      <top style="hair">
        <color indexed="64"/>
      </top>
      <bottom style="double">
        <color rgb="FF000000"/>
      </bottom>
      <diagonal/>
    </border>
    <border>
      <left style="double">
        <color indexed="64"/>
      </left>
      <right/>
      <top style="hair">
        <color indexed="64"/>
      </top>
      <bottom style="double">
        <color rgb="FF000000"/>
      </bottom>
      <diagonal/>
    </border>
    <border>
      <left style="hair">
        <color indexed="64"/>
      </left>
      <right/>
      <top style="thin">
        <color rgb="FF000000"/>
      </top>
      <bottom/>
      <diagonal/>
    </border>
    <border>
      <left style="double">
        <color indexed="64"/>
      </left>
      <right/>
      <top style="thin">
        <color rgb="FF000000"/>
      </top>
      <bottom/>
      <diagonal/>
    </border>
    <border>
      <left style="thin">
        <color indexed="64"/>
      </left>
      <right/>
      <top style="thin">
        <color rgb="FF000000"/>
      </top>
      <bottom/>
      <diagonal/>
    </border>
    <border>
      <left style="thin">
        <color indexed="64"/>
      </left>
      <right style="double">
        <color rgb="FF000000"/>
      </right>
      <top style="thin">
        <color rgb="FF000000"/>
      </top>
      <bottom/>
      <diagonal/>
    </border>
    <border>
      <left style="double">
        <color rgb="FF000000"/>
      </left>
      <right/>
      <top style="hair">
        <color indexed="64"/>
      </top>
      <bottom/>
      <diagonal/>
    </border>
    <border>
      <left style="thin">
        <color indexed="64"/>
      </left>
      <right style="double">
        <color rgb="FF000000"/>
      </right>
      <top style="hair">
        <color indexed="64"/>
      </top>
      <bottom/>
      <diagonal/>
    </border>
    <border>
      <left style="thin">
        <color indexed="64"/>
      </left>
      <right/>
      <top style="hair">
        <color indexed="64"/>
      </top>
      <bottom style="double">
        <color rgb="FF000000"/>
      </bottom>
      <diagonal/>
    </border>
    <border>
      <left style="thin">
        <color indexed="64"/>
      </left>
      <right style="double">
        <color rgb="FF000000"/>
      </right>
      <top style="hair">
        <color indexed="64"/>
      </top>
      <bottom style="double">
        <color rgb="FF000000"/>
      </bottom>
      <diagonal/>
    </border>
    <border>
      <left/>
      <right style="double">
        <color indexed="64"/>
      </right>
      <top style="thin">
        <color indexed="64"/>
      </top>
      <bottom style="hair">
        <color indexed="64"/>
      </bottom>
      <diagonal/>
    </border>
    <border>
      <left style="hair">
        <color indexed="64"/>
      </left>
      <right/>
      <top style="thin">
        <color indexed="64"/>
      </top>
      <bottom style="thin">
        <color indexed="64"/>
      </bottom>
      <diagonal/>
    </border>
    <border>
      <left style="double">
        <color indexed="64"/>
      </left>
      <right/>
      <top style="thin">
        <color indexed="64"/>
      </top>
      <bottom/>
      <diagonal/>
    </border>
    <border>
      <left style="hair">
        <color indexed="64"/>
      </left>
      <right/>
      <top style="thin">
        <color indexed="64"/>
      </top>
      <bottom/>
      <diagonal/>
    </border>
    <border>
      <left style="hair">
        <color indexed="64"/>
      </left>
      <right style="double">
        <color indexed="64"/>
      </right>
      <top style="thin">
        <color indexed="64"/>
      </top>
      <bottom/>
      <diagonal/>
    </border>
    <border>
      <left style="double">
        <color indexed="64"/>
      </left>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hair">
        <color indexed="64"/>
      </left>
      <right style="double">
        <color rgb="FF000000"/>
      </right>
      <top style="thin">
        <color rgb="FF000000"/>
      </top>
      <bottom/>
      <diagonal/>
    </border>
    <border>
      <left/>
      <right/>
      <top/>
      <bottom style="double">
        <color indexed="64"/>
      </bottom>
      <diagonal/>
    </border>
    <border>
      <left/>
      <right style="thin">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right/>
      <top/>
      <bottom style="thin">
        <color indexed="8"/>
      </bottom>
      <diagonal/>
    </border>
    <border>
      <left style="thin">
        <color indexed="8"/>
      </left>
      <right style="thin">
        <color indexed="8"/>
      </right>
      <top style="hair">
        <color indexed="8"/>
      </top>
      <bottom style="hair">
        <color indexed="8"/>
      </bottom>
      <diagonal/>
    </border>
    <border>
      <left style="thin">
        <color indexed="8"/>
      </left>
      <right/>
      <top style="hair">
        <color indexed="8"/>
      </top>
      <bottom style="hair">
        <color indexed="8"/>
      </bottom>
      <diagonal/>
    </border>
    <border>
      <left style="thin">
        <color indexed="8"/>
      </left>
      <right style="thin">
        <color indexed="9"/>
      </right>
      <top style="hair">
        <color indexed="8"/>
      </top>
      <bottom style="hair">
        <color indexed="8"/>
      </bottom>
      <diagonal/>
    </border>
    <border>
      <left style="thin">
        <color indexed="9"/>
      </left>
      <right style="thin">
        <color indexed="9"/>
      </right>
      <top style="hair">
        <color indexed="8"/>
      </top>
      <bottom style="hair">
        <color indexed="8"/>
      </bottom>
      <diagonal/>
    </border>
    <border>
      <left style="thin">
        <color indexed="9"/>
      </left>
      <right style="thin">
        <color indexed="8"/>
      </right>
      <top style="hair">
        <color indexed="8"/>
      </top>
      <bottom style="hair">
        <color indexed="8"/>
      </bottom>
      <diagonal/>
    </border>
    <border>
      <left style="thin">
        <color indexed="8"/>
      </left>
      <right style="thin">
        <color indexed="8"/>
      </right>
      <top style="thin">
        <color indexed="8"/>
      </top>
      <bottom style="thin">
        <color indexed="64"/>
      </bottom>
      <diagonal/>
    </border>
    <border>
      <left style="thin">
        <color indexed="8"/>
      </left>
      <right style="thin">
        <color indexed="8"/>
      </right>
      <top/>
      <bottom style="hair">
        <color indexed="8"/>
      </bottom>
      <diagonal/>
    </border>
    <border>
      <left style="thin">
        <color indexed="8"/>
      </left>
      <right/>
      <top/>
      <bottom style="hair">
        <color indexed="8"/>
      </bottom>
      <diagonal/>
    </border>
    <border>
      <left/>
      <right/>
      <top/>
      <bottom style="hair">
        <color indexed="8"/>
      </bottom>
      <diagonal/>
    </border>
    <border>
      <left style="thin">
        <color indexed="64"/>
      </left>
      <right style="thin">
        <color indexed="8"/>
      </right>
      <top/>
      <bottom style="hair">
        <color indexed="8"/>
      </bottom>
      <diagonal/>
    </border>
    <border>
      <left style="thin">
        <color indexed="8"/>
      </left>
      <right style="thin">
        <color indexed="9"/>
      </right>
      <top/>
      <bottom style="hair">
        <color indexed="8"/>
      </bottom>
      <diagonal/>
    </border>
    <border>
      <left style="thin">
        <color indexed="9"/>
      </left>
      <right style="thin">
        <color indexed="9"/>
      </right>
      <top/>
      <bottom style="hair">
        <color indexed="8"/>
      </bottom>
      <diagonal/>
    </border>
    <border>
      <left style="thin">
        <color indexed="9"/>
      </left>
      <right style="thin">
        <color indexed="8"/>
      </right>
      <top/>
      <bottom style="hair">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8"/>
      </left>
      <right style="thin">
        <color indexed="9"/>
      </right>
      <top style="thin">
        <color indexed="8"/>
      </top>
      <bottom style="thin">
        <color indexed="64"/>
      </bottom>
      <diagonal/>
    </border>
    <border>
      <left style="thin">
        <color indexed="9"/>
      </left>
      <right style="thin">
        <color indexed="9"/>
      </right>
      <top style="thin">
        <color indexed="8"/>
      </top>
      <bottom style="thin">
        <color indexed="64"/>
      </bottom>
      <diagonal/>
    </border>
    <border>
      <left style="thin">
        <color indexed="9"/>
      </left>
      <right style="thin">
        <color indexed="8"/>
      </right>
      <top style="thin">
        <color indexed="8"/>
      </top>
      <bottom style="thin">
        <color indexed="64"/>
      </bottom>
      <diagonal/>
    </border>
    <border>
      <left style="thin">
        <color indexed="8"/>
      </left>
      <right style="thin">
        <color indexed="8"/>
      </right>
      <top style="hair">
        <color indexed="8"/>
      </top>
      <bottom/>
      <diagonal/>
    </border>
    <border>
      <left/>
      <right/>
      <top style="thin">
        <color auto="1"/>
      </top>
      <bottom style="thin">
        <color auto="1"/>
      </bottom>
      <diagonal/>
    </border>
    <border>
      <left style="thin">
        <color indexed="8"/>
      </left>
      <right style="thin">
        <color indexed="9"/>
      </right>
      <top style="hair">
        <color indexed="8"/>
      </top>
      <bottom/>
      <diagonal/>
    </border>
    <border>
      <left style="thin">
        <color indexed="9"/>
      </left>
      <right style="thin">
        <color indexed="9"/>
      </right>
      <top style="hair">
        <color indexed="8"/>
      </top>
      <bottom/>
      <diagonal/>
    </border>
    <border>
      <left style="thin">
        <color indexed="9"/>
      </left>
      <right style="thin">
        <color indexed="8"/>
      </right>
      <top style="hair">
        <color indexed="8"/>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style="thin">
        <color indexed="8"/>
      </right>
      <top style="hair">
        <color indexed="8"/>
      </top>
      <bottom style="hair">
        <color indexed="8"/>
      </bottom>
      <diagonal/>
    </border>
    <border>
      <left style="thin">
        <color indexed="8"/>
      </left>
      <right/>
      <top style="hair">
        <color indexed="8"/>
      </top>
      <bottom style="thin">
        <color auto="1"/>
      </bottom>
      <diagonal/>
    </border>
    <border>
      <left/>
      <right style="thin">
        <color indexed="8"/>
      </right>
      <top style="thin">
        <color indexed="8"/>
      </top>
      <bottom style="thin">
        <color indexed="64"/>
      </bottom>
      <diagonal/>
    </border>
    <border>
      <left style="thin">
        <color indexed="8"/>
      </left>
      <right/>
      <top style="thin">
        <color indexed="64"/>
      </top>
      <bottom style="hair">
        <color indexed="8"/>
      </bottom>
      <diagonal/>
    </border>
    <border>
      <left/>
      <right style="thin">
        <color indexed="8"/>
      </right>
      <top style="thin">
        <color indexed="64"/>
      </top>
      <bottom style="hair">
        <color indexed="8"/>
      </bottom>
      <diagonal/>
    </border>
    <border>
      <left/>
      <right style="thin">
        <color indexed="8"/>
      </right>
      <top style="hair">
        <color indexed="8"/>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hair">
        <color indexed="64"/>
      </right>
      <top/>
      <bottom/>
      <diagonal/>
    </border>
    <border>
      <left/>
      <right/>
      <top style="thin">
        <color indexed="64"/>
      </top>
      <bottom/>
      <diagonal/>
    </border>
    <border>
      <left style="thin">
        <color indexed="64"/>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diagonal/>
    </border>
    <border>
      <left/>
      <right/>
      <top style="thin">
        <color auto="1"/>
      </top>
      <bottom/>
      <diagonal/>
    </border>
    <border>
      <left style="thin">
        <color indexed="64"/>
      </left>
      <right/>
      <top style="thin">
        <color auto="1"/>
      </top>
      <bottom style="thin">
        <color theme="0"/>
      </bottom>
      <diagonal/>
    </border>
    <border>
      <left/>
      <right/>
      <top style="thin">
        <color auto="1"/>
      </top>
      <bottom style="thin">
        <color theme="0"/>
      </bottom>
      <diagonal/>
    </border>
    <border>
      <left/>
      <right style="thin">
        <color theme="0"/>
      </right>
      <top style="thin">
        <color auto="1"/>
      </top>
      <bottom style="thin">
        <color theme="0"/>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hair">
        <color indexed="64"/>
      </right>
      <top style="thin">
        <color indexed="64"/>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auto="1"/>
      </top>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hair">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hair">
        <color indexed="64"/>
      </bottom>
      <diagonal/>
    </border>
    <border>
      <left style="medium">
        <color indexed="64"/>
      </left>
      <right/>
      <top style="hair">
        <color indexed="64"/>
      </top>
      <bottom style="medium">
        <color indexed="64"/>
      </bottom>
      <diagonal/>
    </border>
    <border>
      <left style="thin">
        <color indexed="64"/>
      </left>
      <right/>
      <top style="hair">
        <color indexed="64"/>
      </top>
      <bottom style="medium">
        <color indexed="64"/>
      </bottom>
      <diagonal/>
    </border>
    <border>
      <left style="hair">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medium">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diagonal/>
    </border>
    <border>
      <left style="hair">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auto="1"/>
      </top>
      <bottom/>
      <diagonal/>
    </border>
    <border>
      <left/>
      <right style="thin">
        <color indexed="64"/>
      </right>
      <top style="thin">
        <color auto="1"/>
      </top>
      <bottom/>
      <diagonal/>
    </border>
    <border>
      <left style="thin">
        <color indexed="64"/>
      </left>
      <right style="thin">
        <color indexed="64"/>
      </right>
      <top style="thin">
        <color indexed="64"/>
      </top>
      <bottom/>
      <diagonal/>
    </border>
    <border>
      <left/>
      <right/>
      <top/>
      <bottom style="thin">
        <color auto="1"/>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right style="thin">
        <color rgb="FF000000"/>
      </right>
      <top style="thin">
        <color rgb="FF000000"/>
      </top>
      <bottom style="hair">
        <color indexed="64"/>
      </bottom>
      <diagonal/>
    </border>
    <border>
      <left/>
      <right/>
      <top style="thin">
        <color rgb="FF000000"/>
      </top>
      <bottom style="hair">
        <color indexed="64"/>
      </bottom>
      <diagonal/>
    </border>
    <border>
      <left/>
      <right/>
      <top style="hair">
        <color indexed="64"/>
      </top>
      <bottom style="thin">
        <color rgb="FF000000"/>
      </bottom>
      <diagonal/>
    </border>
    <border>
      <left/>
      <right style="thin">
        <color rgb="FF000000"/>
      </right>
      <top style="hair">
        <color indexed="64"/>
      </top>
      <bottom style="thin">
        <color rgb="FF000000"/>
      </bottom>
      <diagonal/>
    </border>
    <border>
      <left style="thin">
        <color indexed="64"/>
      </left>
      <right/>
      <top style="thin">
        <color rgb="FF000000"/>
      </top>
      <bottom style="hair">
        <color indexed="64"/>
      </bottom>
      <diagonal/>
    </border>
    <border>
      <left/>
      <right style="thin">
        <color indexed="64"/>
      </right>
      <top style="thin">
        <color rgb="FF000000"/>
      </top>
      <bottom style="hair">
        <color indexed="64"/>
      </bottom>
      <diagonal/>
    </border>
    <border>
      <left style="thin">
        <color indexed="64"/>
      </left>
      <right/>
      <top style="hair">
        <color indexed="64"/>
      </top>
      <bottom style="thin">
        <color rgb="FF000000"/>
      </bottom>
      <diagonal/>
    </border>
    <border>
      <left style="thin">
        <color rgb="FF000000"/>
      </left>
      <right/>
      <top style="thin">
        <color rgb="FF000000"/>
      </top>
      <bottom style="hair">
        <color rgb="FF000000"/>
      </bottom>
      <diagonal/>
    </border>
    <border>
      <left style="thin">
        <color indexed="64"/>
      </left>
      <right/>
      <top style="thin">
        <color indexed="64"/>
      </top>
      <bottom style="hair">
        <color rgb="FF000000"/>
      </bottom>
      <diagonal/>
    </border>
    <border>
      <left/>
      <right/>
      <top style="thin">
        <color auto="1"/>
      </top>
      <bottom style="hair">
        <color rgb="FF000000"/>
      </bottom>
      <diagonal/>
    </border>
    <border>
      <left/>
      <right style="thin">
        <color indexed="64"/>
      </right>
      <top style="thin">
        <color indexed="64"/>
      </top>
      <bottom style="hair">
        <color rgb="FF000000"/>
      </bottom>
      <diagonal/>
    </border>
    <border>
      <left style="thin">
        <color indexed="64"/>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top style="hair">
        <color rgb="FF000000"/>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right style="thin">
        <color rgb="FF000000"/>
      </right>
      <top style="hair">
        <color rgb="FF000000"/>
      </top>
      <bottom style="hair">
        <color rgb="FF000000"/>
      </bottom>
      <diagonal/>
    </border>
    <border>
      <left style="thin">
        <color rgb="FF000000"/>
      </left>
      <right/>
      <top style="hair">
        <color rgb="FF000000"/>
      </top>
      <bottom style="thin">
        <color rgb="FF000000"/>
      </bottom>
      <diagonal/>
    </border>
    <border>
      <left style="thin">
        <color indexed="64"/>
      </left>
      <right/>
      <top style="hair">
        <color rgb="FF000000"/>
      </top>
      <bottom style="thin">
        <color indexed="64"/>
      </bottom>
      <diagonal/>
    </border>
    <border>
      <left/>
      <right/>
      <top style="hair">
        <color rgb="FF000000"/>
      </top>
      <bottom style="thin">
        <color auto="1"/>
      </bottom>
      <diagonal/>
    </border>
    <border>
      <left/>
      <right style="thin">
        <color indexed="64"/>
      </right>
      <top style="hair">
        <color rgb="FF000000"/>
      </top>
      <bottom style="thin">
        <color indexed="64"/>
      </bottom>
      <diagonal/>
    </border>
    <border>
      <left style="thin">
        <color indexed="64"/>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indexed="64"/>
      </left>
      <right style="thin">
        <color indexed="64"/>
      </right>
      <top style="thin">
        <color indexed="64"/>
      </top>
      <bottom style="hair">
        <color rgb="FF000000"/>
      </bottom>
      <diagonal/>
    </border>
    <border>
      <left/>
      <right/>
      <top style="thin">
        <color rgb="FF000000"/>
      </top>
      <bottom style="hair">
        <color rgb="FF000000"/>
      </bottom>
      <diagonal/>
    </border>
    <border>
      <left style="thin">
        <color indexed="64"/>
      </left>
      <right style="thin">
        <color indexed="64"/>
      </right>
      <top style="hair">
        <color rgb="FF000000"/>
      </top>
      <bottom style="hair">
        <color rgb="FF000000"/>
      </bottom>
      <diagonal/>
    </border>
    <border>
      <left style="thin">
        <color indexed="64"/>
      </left>
      <right style="thin">
        <color indexed="64"/>
      </right>
      <top style="hair">
        <color rgb="FF000000"/>
      </top>
      <bottom style="thin">
        <color indexed="64"/>
      </bottom>
      <diagonal/>
    </border>
    <border>
      <left/>
      <right/>
      <top style="hair">
        <color rgb="FF000000"/>
      </top>
      <bottom style="thin">
        <color rgb="FF000000"/>
      </bottom>
      <diagonal/>
    </border>
    <border>
      <left style="thin">
        <color rgb="FF000000"/>
      </left>
      <right/>
      <top style="hair">
        <color rgb="FF000000"/>
      </top>
      <bottom/>
      <diagonal/>
    </border>
    <border>
      <left style="thin">
        <color indexed="64"/>
      </left>
      <right style="thin">
        <color indexed="9"/>
      </right>
      <top/>
      <bottom style="thin">
        <color indexed="9"/>
      </bottom>
      <diagonal/>
    </border>
    <border>
      <left style="thin">
        <color indexed="9"/>
      </left>
      <right/>
      <top/>
      <bottom style="thin">
        <color indexed="64"/>
      </bottom>
      <diagonal/>
    </border>
    <border>
      <left style="thin">
        <color indexed="64"/>
      </left>
      <right style="thin">
        <color indexed="9"/>
      </right>
      <top style="thin">
        <color indexed="64"/>
      </top>
      <bottom/>
      <diagonal/>
    </border>
    <border>
      <left/>
      <right style="thin">
        <color indexed="64"/>
      </right>
      <top style="thin">
        <color indexed="9"/>
      </top>
      <bottom/>
      <diagonal/>
    </border>
    <border>
      <left style="thin">
        <color indexed="9"/>
      </left>
      <right/>
      <top style="thin">
        <color indexed="9"/>
      </top>
      <bottom/>
      <diagonal/>
    </border>
    <border>
      <left style="thin">
        <color indexed="64"/>
      </left>
      <right style="thin">
        <color indexed="9"/>
      </right>
      <top style="thin">
        <color indexed="64"/>
      </top>
      <bottom style="thin">
        <color indexed="9"/>
      </bottom>
      <diagonal/>
    </border>
    <border>
      <left/>
      <right style="thin">
        <color indexed="64"/>
      </right>
      <top style="thin">
        <color indexed="9"/>
      </top>
      <bottom style="thin">
        <color indexed="64"/>
      </bottom>
      <diagonal/>
    </border>
    <border>
      <left style="thin">
        <color indexed="9"/>
      </left>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theme="0"/>
      </right>
      <top style="thin">
        <color indexed="64"/>
      </top>
      <bottom style="thin">
        <color theme="0"/>
      </bottom>
      <diagonal/>
    </border>
    <border>
      <left style="thin">
        <color indexed="9"/>
      </left>
      <right style="thin">
        <color indexed="63"/>
      </right>
      <top style="thin">
        <color indexed="9"/>
      </top>
      <bottom style="thin">
        <color indexed="63"/>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auto="1"/>
      </top>
      <bottom/>
      <diagonal/>
    </border>
    <border>
      <left style="hair">
        <color indexed="64"/>
      </left>
      <right style="double">
        <color indexed="64"/>
      </right>
      <top style="hair">
        <color indexed="64"/>
      </top>
      <bottom style="medium">
        <color indexed="64"/>
      </bottom>
      <diagonal/>
    </border>
    <border>
      <left style="hair">
        <color indexed="64"/>
      </left>
      <right style="double">
        <color indexed="64"/>
      </right>
      <top style="hair">
        <color indexed="64"/>
      </top>
      <bottom style="double">
        <color rgb="FF000000"/>
      </bottom>
      <diagonal/>
    </border>
  </borders>
  <cellStyleXfs count="71">
    <xf numFmtId="166" fontId="0" fillId="0" borderId="0"/>
    <xf numFmtId="0" fontId="66" fillId="0" borderId="0" applyBorder="0">
      <alignment horizontal="center"/>
    </xf>
    <xf numFmtId="167" fontId="66" fillId="0" borderId="0" applyFill="0" applyBorder="0" applyAlignment="0" applyProtection="0"/>
    <xf numFmtId="43" fontId="68" fillId="0" borderId="0" applyFont="0" applyFill="0" applyBorder="0" applyAlignment="0" applyProtection="0"/>
    <xf numFmtId="3" fontId="69" fillId="0" borderId="0" applyFont="0" applyFill="0" applyBorder="0" applyAlignment="0" applyProtection="0"/>
    <xf numFmtId="168" fontId="69" fillId="0" borderId="0" applyFont="0" applyFill="0" applyBorder="0" applyAlignment="0" applyProtection="0"/>
    <xf numFmtId="0" fontId="69" fillId="0" borderId="0" applyFont="0" applyFill="0" applyBorder="0" applyAlignment="0" applyProtection="0"/>
    <xf numFmtId="169" fontId="66" fillId="0" borderId="3" applyFill="0" applyBorder="0">
      <alignment horizontal="right"/>
    </xf>
    <xf numFmtId="2" fontId="69" fillId="0" borderId="0" applyFont="0" applyFill="0" applyBorder="0" applyAlignment="0" applyProtection="0"/>
    <xf numFmtId="170" fontId="70" fillId="0" borderId="0">
      <protection locked="0"/>
    </xf>
    <xf numFmtId="170" fontId="70" fillId="0" borderId="0">
      <protection locked="0"/>
    </xf>
    <xf numFmtId="41" fontId="66" fillId="0" borderId="0" applyFont="0" applyFill="0" applyBorder="0" applyAlignment="0" applyProtection="0"/>
    <xf numFmtId="43" fontId="66" fillId="0" borderId="0" applyFont="0" applyFill="0" applyBorder="0" applyAlignment="0" applyProtection="0"/>
    <xf numFmtId="171" fontId="66" fillId="0" borderId="0">
      <alignment horizontal="right"/>
    </xf>
    <xf numFmtId="0" fontId="65" fillId="0" borderId="0"/>
    <xf numFmtId="166" fontId="65" fillId="0" borderId="0"/>
    <xf numFmtId="0" fontId="63" fillId="0" borderId="0"/>
    <xf numFmtId="0" fontId="63" fillId="0" borderId="0"/>
    <xf numFmtId="0" fontId="63" fillId="0" borderId="0"/>
    <xf numFmtId="0" fontId="63" fillId="0" borderId="0"/>
    <xf numFmtId="0" fontId="63" fillId="0" borderId="0"/>
    <xf numFmtId="0" fontId="66" fillId="0" borderId="0"/>
    <xf numFmtId="0" fontId="66" fillId="0" borderId="0"/>
    <xf numFmtId="0" fontId="63" fillId="0" borderId="0"/>
    <xf numFmtId="172" fontId="71" fillId="0" borderId="0"/>
    <xf numFmtId="172" fontId="71" fillId="0" borderId="0"/>
    <xf numFmtId="173" fontId="71" fillId="0" borderId="0"/>
    <xf numFmtId="173" fontId="71" fillId="0" borderId="0"/>
    <xf numFmtId="173" fontId="71" fillId="0" borderId="0"/>
    <xf numFmtId="172" fontId="65" fillId="0" borderId="0"/>
    <xf numFmtId="0" fontId="65" fillId="0" borderId="0"/>
    <xf numFmtId="0" fontId="68" fillId="0" borderId="0"/>
    <xf numFmtId="0" fontId="66" fillId="0" borderId="0"/>
    <xf numFmtId="0" fontId="72" fillId="0" borderId="0"/>
    <xf numFmtId="0" fontId="69" fillId="0" borderId="0"/>
    <xf numFmtId="174" fontId="66" fillId="0" borderId="4" applyFill="0" applyBorder="0" applyAlignment="0">
      <alignment horizontal="right"/>
    </xf>
    <xf numFmtId="0" fontId="66" fillId="0" borderId="0"/>
    <xf numFmtId="175" fontId="73" fillId="0" borderId="0">
      <alignment horizontal="right"/>
    </xf>
    <xf numFmtId="164" fontId="66" fillId="0" borderId="0" applyFont="0" applyFill="0" applyBorder="0" applyAlignment="0" applyProtection="0"/>
    <xf numFmtId="165" fontId="66" fillId="0" borderId="0" applyFont="0" applyFill="0" applyBorder="0" applyAlignment="0" applyProtection="0"/>
    <xf numFmtId="0" fontId="62" fillId="0" borderId="0"/>
    <xf numFmtId="166" fontId="65" fillId="0" borderId="0"/>
    <xf numFmtId="166" fontId="65" fillId="0" borderId="0"/>
    <xf numFmtId="166" fontId="65" fillId="0" borderId="0"/>
    <xf numFmtId="0" fontId="122" fillId="0" borderId="0"/>
    <xf numFmtId="178" fontId="65" fillId="0" borderId="0"/>
    <xf numFmtId="0" fontId="61" fillId="0" borderId="0"/>
    <xf numFmtId="0" fontId="60" fillId="0" borderId="0"/>
    <xf numFmtId="0" fontId="56" fillId="0" borderId="0"/>
    <xf numFmtId="0" fontId="69" fillId="0" borderId="0"/>
    <xf numFmtId="190" fontId="66" fillId="0" borderId="0" applyFont="0" applyFill="0" applyBorder="0" applyAlignment="0" applyProtection="0"/>
    <xf numFmtId="191" fontId="66" fillId="0" borderId="0" applyFont="0" applyFill="0" applyBorder="0" applyAlignment="0" applyProtection="0"/>
    <xf numFmtId="9" fontId="66" fillId="0" borderId="0" applyFont="0" applyFill="0" applyBorder="0" applyAlignment="0" applyProtection="0"/>
    <xf numFmtId="9" fontId="66" fillId="0" borderId="0" applyFont="0" applyFill="0" applyBorder="0" applyAlignment="0" applyProtection="0"/>
    <xf numFmtId="0" fontId="66" fillId="0" borderId="0"/>
    <xf numFmtId="191" fontId="66" fillId="0" borderId="0" applyFont="0" applyFill="0" applyBorder="0" applyAlignment="0" applyProtection="0"/>
    <xf numFmtId="0" fontId="66" fillId="0" borderId="0"/>
    <xf numFmtId="0" fontId="154" fillId="0" borderId="0" applyNumberFormat="0" applyFill="0" applyBorder="0" applyAlignment="0" applyProtection="0">
      <alignment vertical="top"/>
      <protection locked="0"/>
    </xf>
    <xf numFmtId="43" fontId="66" fillId="0" borderId="0" applyFont="0" applyFill="0" applyBorder="0" applyAlignment="0" applyProtection="0"/>
    <xf numFmtId="166" fontId="161" fillId="0" borderId="0" applyNumberFormat="0" applyFill="0" applyBorder="0" applyAlignment="0" applyProtection="0"/>
    <xf numFmtId="0" fontId="40" fillId="0" borderId="0"/>
    <xf numFmtId="0" fontId="40" fillId="0" borderId="0"/>
    <xf numFmtId="0" fontId="40" fillId="0" borderId="0"/>
    <xf numFmtId="0" fontId="40" fillId="0" borderId="0"/>
    <xf numFmtId="0" fontId="37" fillId="0" borderId="0"/>
    <xf numFmtId="0" fontId="32" fillId="0" borderId="0"/>
    <xf numFmtId="9" fontId="65" fillId="0" borderId="0" applyFont="0" applyFill="0" applyBorder="0" applyAlignment="0" applyProtection="0"/>
    <xf numFmtId="0" fontId="203" fillId="0" borderId="0"/>
    <xf numFmtId="212" fontId="203" fillId="0" borderId="0" applyFont="0" applyFill="0" applyBorder="0" applyAlignment="0" applyProtection="0"/>
    <xf numFmtId="0" fontId="203" fillId="0" borderId="0"/>
    <xf numFmtId="0" fontId="183" fillId="0" borderId="0"/>
  </cellStyleXfs>
  <cellXfs count="3771">
    <xf numFmtId="166" fontId="0" fillId="0" borderId="0" xfId="0"/>
    <xf numFmtId="166" fontId="0" fillId="0" borderId="0" xfId="0" applyAlignment="1" applyProtection="1">
      <protection hidden="1"/>
    </xf>
    <xf numFmtId="166" fontId="0" fillId="3" borderId="0" xfId="0" applyFill="1" applyBorder="1" applyAlignment="1" applyProtection="1">
      <alignment horizontal="right"/>
      <protection hidden="1"/>
    </xf>
    <xf numFmtId="166" fontId="77" fillId="3" borderId="0" xfId="0" applyFont="1" applyFill="1" applyBorder="1" applyAlignment="1" applyProtection="1">
      <alignment horizontal="right"/>
      <protection hidden="1"/>
    </xf>
    <xf numFmtId="166" fontId="0" fillId="3" borderId="0" xfId="0" applyFill="1" applyBorder="1" applyAlignment="1" applyProtection="1">
      <protection hidden="1"/>
    </xf>
    <xf numFmtId="166" fontId="78" fillId="3" borderId="0" xfId="0" applyFont="1" applyFill="1" applyBorder="1" applyAlignment="1" applyProtection="1">
      <alignment horizontal="right"/>
      <protection hidden="1"/>
    </xf>
    <xf numFmtId="166" fontId="0" fillId="6" borderId="0" xfId="0" applyFill="1" applyBorder="1" applyAlignment="1" applyProtection="1">
      <alignment horizontal="center" vertical="center"/>
      <protection hidden="1"/>
    </xf>
    <xf numFmtId="166" fontId="0" fillId="3" borderId="0" xfId="0" applyFill="1" applyBorder="1" applyAlignment="1" applyProtection="1">
      <alignment horizontal="center" vertical="center"/>
      <protection hidden="1"/>
    </xf>
    <xf numFmtId="0" fontId="74" fillId="5" borderId="0" xfId="21" applyFont="1" applyFill="1" applyBorder="1" applyAlignment="1" applyProtection="1">
      <alignment horizontal="left" vertical="center"/>
      <protection hidden="1"/>
    </xf>
    <xf numFmtId="0" fontId="68" fillId="3" borderId="6" xfId="33" applyFont="1" applyFill="1" applyBorder="1" applyAlignment="1" applyProtection="1">
      <alignment vertical="center"/>
      <protection hidden="1"/>
    </xf>
    <xf numFmtId="40" fontId="68" fillId="3" borderId="6" xfId="33" applyNumberFormat="1" applyFont="1" applyFill="1" applyBorder="1" applyAlignment="1" applyProtection="1">
      <alignment vertical="center"/>
      <protection hidden="1"/>
    </xf>
    <xf numFmtId="166" fontId="0" fillId="0" borderId="0" xfId="0" applyProtection="1">
      <protection hidden="1"/>
    </xf>
    <xf numFmtId="166" fontId="76" fillId="0" borderId="0" xfId="0" applyFont="1" applyProtection="1">
      <protection hidden="1"/>
    </xf>
    <xf numFmtId="166" fontId="79" fillId="0" borderId="0" xfId="0" applyFont="1" applyProtection="1">
      <protection hidden="1"/>
    </xf>
    <xf numFmtId="166" fontId="0" fillId="3" borderId="0" xfId="0" applyFill="1" applyProtection="1">
      <protection hidden="1"/>
    </xf>
    <xf numFmtId="166" fontId="76" fillId="3" borderId="0" xfId="0" applyFont="1" applyFill="1" applyProtection="1">
      <protection hidden="1"/>
    </xf>
    <xf numFmtId="166" fontId="79" fillId="3" borderId="0" xfId="0" applyFont="1" applyFill="1" applyBorder="1" applyAlignment="1" applyProtection="1">
      <protection hidden="1"/>
    </xf>
    <xf numFmtId="166" fontId="0" fillId="3" borderId="0" xfId="0" applyFill="1" applyBorder="1" applyAlignment="1" applyProtection="1">
      <alignment horizontal="center"/>
      <protection hidden="1"/>
    </xf>
    <xf numFmtId="166" fontId="83" fillId="3" borderId="0" xfId="26" applyNumberFormat="1" applyFont="1" applyFill="1" applyBorder="1" applyAlignment="1" applyProtection="1">
      <alignment horizontal="center"/>
      <protection hidden="1"/>
    </xf>
    <xf numFmtId="166" fontId="65" fillId="3" borderId="0" xfId="0" applyFont="1" applyFill="1" applyBorder="1" applyAlignment="1" applyProtection="1">
      <alignment horizontal="center"/>
      <protection hidden="1"/>
    </xf>
    <xf numFmtId="166" fontId="79" fillId="3" borderId="0" xfId="26" applyNumberFormat="1" applyFont="1" applyFill="1" applyBorder="1" applyAlignment="1" applyProtection="1">
      <alignment horizontal="center"/>
      <protection hidden="1"/>
    </xf>
    <xf numFmtId="166" fontId="65" fillId="3" borderId="0" xfId="0" applyFont="1" applyFill="1" applyBorder="1" applyAlignment="1" applyProtection="1">
      <alignment horizontal="left"/>
      <protection hidden="1"/>
    </xf>
    <xf numFmtId="166" fontId="79" fillId="3" borderId="0" xfId="0" applyFont="1" applyFill="1" applyBorder="1" applyAlignment="1" applyProtection="1">
      <alignment horizontal="left"/>
      <protection hidden="1"/>
    </xf>
    <xf numFmtId="166" fontId="84" fillId="5" borderId="17" xfId="0" applyFont="1" applyFill="1" applyBorder="1" applyAlignment="1" applyProtection="1">
      <alignment vertical="center"/>
      <protection hidden="1"/>
    </xf>
    <xf numFmtId="166" fontId="84" fillId="5" borderId="15" xfId="0" applyFont="1" applyFill="1" applyBorder="1" applyAlignment="1" applyProtection="1">
      <alignment vertical="center"/>
      <protection hidden="1"/>
    </xf>
    <xf numFmtId="166" fontId="74" fillId="5" borderId="16" xfId="26" applyNumberFormat="1" applyFont="1" applyFill="1" applyBorder="1" applyAlignment="1" applyProtection="1">
      <alignment horizontal="center" vertical="center"/>
      <protection hidden="1"/>
    </xf>
    <xf numFmtId="166" fontId="74" fillId="5" borderId="15" xfId="26" applyNumberFormat="1" applyFont="1" applyFill="1" applyBorder="1" applyAlignment="1" applyProtection="1">
      <alignment vertical="center"/>
      <protection hidden="1"/>
    </xf>
    <xf numFmtId="166" fontId="74" fillId="5" borderId="16" xfId="26" applyNumberFormat="1" applyFont="1" applyFill="1" applyBorder="1" applyAlignment="1" applyProtection="1">
      <alignment vertical="center"/>
      <protection hidden="1"/>
    </xf>
    <xf numFmtId="166" fontId="89" fillId="0" borderId="0" xfId="0" applyFont="1" applyProtection="1">
      <protection hidden="1"/>
    </xf>
    <xf numFmtId="166" fontId="76" fillId="0" borderId="0" xfId="0" applyFont="1" applyAlignment="1" applyProtection="1">
      <alignment horizontal="left" wrapText="1"/>
      <protection hidden="1"/>
    </xf>
    <xf numFmtId="166" fontId="90" fillId="0" borderId="0" xfId="0" applyFont="1" applyProtection="1">
      <protection hidden="1"/>
    </xf>
    <xf numFmtId="166" fontId="91" fillId="0" borderId="0" xfId="0" applyFont="1" applyProtection="1">
      <protection hidden="1"/>
    </xf>
    <xf numFmtId="178" fontId="67" fillId="0" borderId="10" xfId="0" applyNumberFormat="1" applyFont="1" applyFill="1" applyBorder="1" applyAlignment="1" applyProtection="1">
      <alignment horizontal="center" wrapText="1"/>
      <protection hidden="1"/>
    </xf>
    <xf numFmtId="166" fontId="0" fillId="0" borderId="0" xfId="0" applyFont="1" applyAlignment="1" applyProtection="1">
      <protection hidden="1"/>
    </xf>
    <xf numFmtId="15" fontId="76" fillId="6" borderId="0" xfId="21" applyNumberFormat="1" applyFont="1" applyFill="1" applyBorder="1" applyAlignment="1" applyProtection="1">
      <alignment horizontal="left" vertical="center"/>
      <protection hidden="1"/>
    </xf>
    <xf numFmtId="0" fontId="76" fillId="0" borderId="0" xfId="0" applyNumberFormat="1" applyFont="1" applyFill="1" applyBorder="1" applyAlignment="1" applyProtection="1">
      <protection hidden="1"/>
    </xf>
    <xf numFmtId="0" fontId="76" fillId="6" borderId="0" xfId="21" applyFont="1" applyFill="1" applyBorder="1" applyAlignment="1" applyProtection="1">
      <alignment horizontal="left" vertical="center"/>
      <protection hidden="1"/>
    </xf>
    <xf numFmtId="0" fontId="76" fillId="0" borderId="0" xfId="0" applyNumberFormat="1" applyFont="1" applyAlignment="1" applyProtection="1">
      <alignment horizontal="left" vertical="center"/>
      <protection hidden="1"/>
    </xf>
    <xf numFmtId="0" fontId="74" fillId="0" borderId="0" xfId="0" applyNumberFormat="1" applyFont="1" applyFill="1" applyBorder="1" applyAlignment="1" applyProtection="1">
      <protection hidden="1"/>
    </xf>
    <xf numFmtId="0" fontId="74" fillId="6" borderId="0" xfId="21" applyFont="1" applyFill="1" applyBorder="1" applyAlignment="1" applyProtection="1">
      <alignment horizontal="left" vertical="center"/>
      <protection hidden="1"/>
    </xf>
    <xf numFmtId="166" fontId="71" fillId="0" borderId="0" xfId="26" applyNumberFormat="1" applyFill="1" applyBorder="1" applyAlignment="1" applyProtection="1">
      <protection hidden="1"/>
    </xf>
    <xf numFmtId="0" fontId="93" fillId="0" borderId="0" xfId="21" applyFont="1" applyFill="1" applyBorder="1" applyAlignment="1" applyProtection="1">
      <protection hidden="1"/>
    </xf>
    <xf numFmtId="0" fontId="94" fillId="0" borderId="0" xfId="21" applyFont="1" applyFill="1" applyBorder="1" applyAlignment="1" applyProtection="1">
      <alignment vertical="center" wrapText="1"/>
      <protection hidden="1"/>
    </xf>
    <xf numFmtId="0" fontId="82" fillId="0" borderId="0" xfId="33" applyFont="1" applyFill="1" applyBorder="1" applyAlignment="1" applyProtection="1">
      <alignment horizontal="center" vertical="center"/>
      <protection hidden="1"/>
    </xf>
    <xf numFmtId="166" fontId="95" fillId="0" borderId="0" xfId="26" applyNumberFormat="1" applyFont="1" applyAlignment="1" applyProtection="1">
      <alignment horizontal="center" vertical="center"/>
      <protection hidden="1"/>
    </xf>
    <xf numFmtId="166" fontId="96" fillId="0" borderId="0" xfId="27" applyNumberFormat="1" applyFont="1" applyFill="1" applyProtection="1">
      <protection hidden="1"/>
    </xf>
    <xf numFmtId="166" fontId="97" fillId="0" borderId="0" xfId="15" applyFont="1" applyAlignment="1" applyProtection="1">
      <alignment horizontal="center"/>
      <protection hidden="1"/>
    </xf>
    <xf numFmtId="166" fontId="97" fillId="0" borderId="0" xfId="27" applyNumberFormat="1" applyFont="1" applyFill="1" applyBorder="1" applyProtection="1">
      <protection hidden="1"/>
    </xf>
    <xf numFmtId="166" fontId="97" fillId="0" borderId="0" xfId="27" applyNumberFormat="1" applyFont="1" applyFill="1" applyProtection="1">
      <protection hidden="1"/>
    </xf>
    <xf numFmtId="166" fontId="96" fillId="0" borderId="0" xfId="27" applyNumberFormat="1" applyFont="1" applyFill="1" applyBorder="1" applyProtection="1">
      <protection hidden="1"/>
    </xf>
    <xf numFmtId="166" fontId="79" fillId="3" borderId="0" xfId="27" applyNumberFormat="1" applyFont="1" applyFill="1" applyProtection="1">
      <protection hidden="1"/>
    </xf>
    <xf numFmtId="166" fontId="74" fillId="5" borderId="0" xfId="0" applyFont="1" applyFill="1" applyAlignment="1" applyProtection="1">
      <alignment horizontal="center"/>
      <protection hidden="1"/>
    </xf>
    <xf numFmtId="166" fontId="79" fillId="0" borderId="0" xfId="27" applyNumberFormat="1" applyFont="1" applyFill="1" applyProtection="1">
      <protection hidden="1"/>
    </xf>
    <xf numFmtId="166" fontId="0" fillId="0" borderId="0" xfId="0" applyAlignment="1" applyProtection="1">
      <alignment horizontal="center"/>
      <protection hidden="1"/>
    </xf>
    <xf numFmtId="166" fontId="76" fillId="0" borderId="0" xfId="27" applyNumberFormat="1" applyFont="1" applyFill="1" applyBorder="1" applyAlignment="1" applyProtection="1">
      <alignment horizontal="center"/>
      <protection hidden="1"/>
    </xf>
    <xf numFmtId="166" fontId="76" fillId="0" borderId="0" xfId="27" applyNumberFormat="1" applyFont="1" applyFill="1" applyBorder="1" applyProtection="1">
      <protection hidden="1"/>
    </xf>
    <xf numFmtId="166" fontId="76" fillId="0" borderId="0" xfId="27" applyNumberFormat="1" applyFont="1" applyFill="1" applyProtection="1">
      <protection hidden="1"/>
    </xf>
    <xf numFmtId="166" fontId="79" fillId="3" borderId="0" xfId="27" applyNumberFormat="1" applyFont="1" applyFill="1" applyBorder="1" applyProtection="1">
      <protection hidden="1"/>
    </xf>
    <xf numFmtId="166" fontId="99" fillId="3" borderId="0" xfId="15" applyFont="1" applyFill="1" applyBorder="1" applyAlignment="1" applyProtection="1">
      <protection hidden="1"/>
    </xf>
    <xf numFmtId="166" fontId="83" fillId="3" borderId="0" xfId="15" applyFont="1" applyFill="1" applyBorder="1" applyAlignment="1" applyProtection="1">
      <alignment horizontal="center"/>
      <protection hidden="1"/>
    </xf>
    <xf numFmtId="20" fontId="74" fillId="0" borderId="0" xfId="27" applyNumberFormat="1" applyFont="1" applyFill="1" applyAlignment="1" applyProtection="1">
      <alignment horizontal="center" shrinkToFit="1"/>
      <protection hidden="1"/>
    </xf>
    <xf numFmtId="166" fontId="100" fillId="0" borderId="0" xfId="27" applyNumberFormat="1" applyFont="1" applyFill="1" applyAlignment="1" applyProtection="1">
      <alignment horizontal="left"/>
      <protection hidden="1"/>
    </xf>
    <xf numFmtId="166" fontId="100" fillId="0" borderId="0" xfId="27" applyNumberFormat="1" applyFont="1" applyFill="1" applyAlignment="1" applyProtection="1">
      <alignment horizontal="right"/>
      <protection hidden="1"/>
    </xf>
    <xf numFmtId="15" fontId="74" fillId="0" borderId="0" xfId="27" applyNumberFormat="1" applyFont="1" applyFill="1" applyAlignment="1" applyProtection="1">
      <alignment horizontal="center" shrinkToFit="1"/>
      <protection hidden="1"/>
    </xf>
    <xf numFmtId="166" fontId="96" fillId="0" borderId="1" xfId="27" applyNumberFormat="1" applyFont="1" applyFill="1" applyBorder="1" applyProtection="1">
      <protection hidden="1"/>
    </xf>
    <xf numFmtId="166" fontId="76" fillId="0" borderId="0" xfId="27" applyNumberFormat="1" applyFont="1" applyFill="1" applyBorder="1" applyAlignment="1" applyProtection="1">
      <alignment shrinkToFit="1"/>
      <protection hidden="1"/>
    </xf>
    <xf numFmtId="166" fontId="76" fillId="0" borderId="0" xfId="27" applyNumberFormat="1" applyFont="1" applyFill="1" applyBorder="1" applyAlignment="1" applyProtection="1">
      <alignment horizontal="left" shrinkToFit="1"/>
      <protection hidden="1"/>
    </xf>
    <xf numFmtId="166" fontId="76" fillId="0" borderId="0" xfId="27" applyNumberFormat="1" applyFont="1" applyFill="1" applyBorder="1" applyAlignment="1" applyProtection="1">
      <alignment horizontal="left"/>
      <protection hidden="1"/>
    </xf>
    <xf numFmtId="166" fontId="76" fillId="3" borderId="0" xfId="27" applyNumberFormat="1" applyFont="1" applyFill="1" applyAlignment="1" applyProtection="1">
      <alignment horizontal="left" shrinkToFit="1"/>
      <protection hidden="1"/>
    </xf>
    <xf numFmtId="20" fontId="76" fillId="0" borderId="0" xfId="27" applyNumberFormat="1" applyFont="1" applyFill="1" applyAlignment="1" applyProtection="1">
      <alignment horizontal="left" shrinkToFit="1"/>
      <protection hidden="1"/>
    </xf>
    <xf numFmtId="15" fontId="76" fillId="3" borderId="0" xfId="27" applyNumberFormat="1" applyFont="1" applyFill="1" applyAlignment="1" applyProtection="1">
      <alignment horizontal="left" shrinkToFit="1"/>
      <protection hidden="1"/>
    </xf>
    <xf numFmtId="166" fontId="96" fillId="0" borderId="0" xfId="27" applyNumberFormat="1" applyFont="1" applyFill="1" applyBorder="1" applyAlignment="1" applyProtection="1">
      <protection hidden="1"/>
    </xf>
    <xf numFmtId="166" fontId="96" fillId="0" borderId="6" xfId="27" applyNumberFormat="1" applyFont="1" applyFill="1" applyBorder="1" applyAlignment="1" applyProtection="1">
      <protection hidden="1"/>
    </xf>
    <xf numFmtId="166" fontId="96" fillId="0" borderId="0" xfId="27" applyNumberFormat="1" applyFont="1" applyFill="1" applyAlignment="1" applyProtection="1">
      <protection hidden="1"/>
    </xf>
    <xf numFmtId="181" fontId="96" fillId="0" borderId="1" xfId="27" applyNumberFormat="1" applyFont="1" applyFill="1" applyBorder="1" applyProtection="1">
      <protection hidden="1"/>
    </xf>
    <xf numFmtId="166" fontId="96" fillId="0" borderId="0" xfId="27" applyNumberFormat="1" applyFont="1" applyFill="1" applyAlignment="1" applyProtection="1">
      <alignment horizontal="right"/>
      <protection hidden="1"/>
    </xf>
    <xf numFmtId="166" fontId="76" fillId="4" borderId="1" xfId="27" applyNumberFormat="1" applyFont="1" applyFill="1" applyBorder="1" applyAlignment="1" applyProtection="1">
      <alignment horizontal="left" shrinkToFit="1"/>
      <protection locked="0"/>
    </xf>
    <xf numFmtId="0" fontId="66" fillId="0" borderId="0" xfId="32" applyFont="1" applyProtection="1">
      <protection hidden="1"/>
    </xf>
    <xf numFmtId="0" fontId="67" fillId="0" borderId="0" xfId="32" applyFont="1" applyAlignment="1" applyProtection="1">
      <alignment horizontal="center" vertical="center"/>
      <protection hidden="1"/>
    </xf>
    <xf numFmtId="0" fontId="66" fillId="0" borderId="0" xfId="32" applyFont="1" applyFill="1" applyProtection="1">
      <protection hidden="1"/>
    </xf>
    <xf numFmtId="2" fontId="103" fillId="9" borderId="25" xfId="32" applyNumberFormat="1" applyFont="1" applyFill="1" applyBorder="1" applyAlignment="1" applyProtection="1">
      <alignment horizontal="center" vertical="center" shrinkToFit="1"/>
      <protection hidden="1"/>
    </xf>
    <xf numFmtId="0" fontId="67" fillId="9" borderId="25" xfId="32" applyFont="1" applyFill="1" applyBorder="1" applyAlignment="1" applyProtection="1">
      <alignment horizontal="center" vertical="center" shrinkToFit="1"/>
      <protection hidden="1"/>
    </xf>
    <xf numFmtId="0" fontId="66" fillId="10" borderId="9" xfId="32" applyFont="1" applyFill="1" applyBorder="1" applyAlignment="1" applyProtection="1">
      <alignment shrinkToFit="1"/>
      <protection hidden="1"/>
    </xf>
    <xf numFmtId="2" fontId="103" fillId="9" borderId="26" xfId="32" applyNumberFormat="1" applyFont="1" applyFill="1" applyBorder="1" applyAlignment="1" applyProtection="1">
      <alignment horizontal="center" vertical="center" shrinkToFit="1"/>
      <protection hidden="1"/>
    </xf>
    <xf numFmtId="0" fontId="67" fillId="9" borderId="26" xfId="32" applyFont="1" applyFill="1" applyBorder="1" applyAlignment="1" applyProtection="1">
      <alignment horizontal="center" vertical="center" shrinkToFit="1"/>
      <protection hidden="1"/>
    </xf>
    <xf numFmtId="0" fontId="66" fillId="10" borderId="0" xfId="32" applyFont="1" applyFill="1" applyBorder="1" applyAlignment="1" applyProtection="1">
      <alignment shrinkToFit="1"/>
      <protection hidden="1"/>
    </xf>
    <xf numFmtId="2" fontId="103" fillId="9" borderId="27" xfId="32" applyNumberFormat="1" applyFont="1" applyFill="1" applyBorder="1" applyAlignment="1" applyProtection="1">
      <alignment horizontal="center" vertical="center" shrinkToFit="1"/>
      <protection hidden="1"/>
    </xf>
    <xf numFmtId="0" fontId="67" fillId="9" borderId="27" xfId="32" applyFont="1" applyFill="1" applyBorder="1" applyAlignment="1" applyProtection="1">
      <alignment horizontal="center" vertical="center" shrinkToFit="1"/>
      <protection hidden="1"/>
    </xf>
    <xf numFmtId="0" fontId="87" fillId="11" borderId="1" xfId="32" applyFont="1" applyFill="1" applyBorder="1" applyAlignment="1" applyProtection="1">
      <alignment horizontal="center" vertical="center" wrapText="1" shrinkToFit="1"/>
      <protection hidden="1"/>
    </xf>
    <xf numFmtId="0" fontId="87" fillId="11" borderId="1" xfId="32" applyFont="1" applyFill="1" applyBorder="1" applyAlignment="1" applyProtection="1">
      <alignment horizontal="center" vertical="center" shrinkToFit="1"/>
      <protection hidden="1"/>
    </xf>
    <xf numFmtId="0" fontId="67" fillId="10" borderId="31" xfId="32" applyFont="1" applyFill="1" applyBorder="1" applyAlignment="1" applyProtection="1">
      <alignment shrinkToFit="1"/>
      <protection hidden="1"/>
    </xf>
    <xf numFmtId="0" fontId="67" fillId="10" borderId="0" xfId="32" applyFont="1" applyFill="1" applyBorder="1" applyAlignment="1" applyProtection="1">
      <alignment shrinkToFit="1"/>
      <protection hidden="1"/>
    </xf>
    <xf numFmtId="0" fontId="67" fillId="10" borderId="7" xfId="32" applyFont="1" applyFill="1" applyBorder="1" applyAlignment="1" applyProtection="1">
      <alignment shrinkToFit="1"/>
      <protection hidden="1"/>
    </xf>
    <xf numFmtId="0" fontId="66" fillId="9" borderId="28" xfId="32" applyFont="1" applyFill="1" applyBorder="1" applyAlignment="1" applyProtection="1">
      <alignment shrinkToFit="1"/>
      <protection hidden="1"/>
    </xf>
    <xf numFmtId="0" fontId="66" fillId="9" borderId="29" xfId="32" applyFont="1" applyFill="1" applyBorder="1" applyAlignment="1" applyProtection="1">
      <alignment shrinkToFit="1"/>
      <protection hidden="1"/>
    </xf>
    <xf numFmtId="0" fontId="66" fillId="9" borderId="9" xfId="32" applyFont="1" applyFill="1" applyBorder="1" applyAlignment="1" applyProtection="1">
      <alignment shrinkToFit="1"/>
      <protection hidden="1"/>
    </xf>
    <xf numFmtId="0" fontId="66" fillId="9" borderId="32" xfId="32" applyFont="1" applyFill="1" applyBorder="1" applyAlignment="1" applyProtection="1">
      <alignment shrinkToFit="1"/>
      <protection hidden="1"/>
    </xf>
    <xf numFmtId="0" fontId="107" fillId="9" borderId="9" xfId="31" applyFont="1" applyFill="1" applyBorder="1" applyAlignment="1" applyProtection="1">
      <alignment horizontal="left" shrinkToFit="1"/>
      <protection hidden="1"/>
    </xf>
    <xf numFmtId="0" fontId="109" fillId="9" borderId="28" xfId="31" applyFont="1" applyFill="1" applyBorder="1" applyAlignment="1" applyProtection="1">
      <alignment horizontal="center" vertical="center" shrinkToFit="1"/>
      <protection hidden="1"/>
    </xf>
    <xf numFmtId="0" fontId="109" fillId="9" borderId="29" xfId="31" applyFont="1" applyFill="1" applyBorder="1" applyAlignment="1" applyProtection="1">
      <alignment horizontal="center" vertical="center" shrinkToFit="1"/>
      <protection hidden="1"/>
    </xf>
    <xf numFmtId="0" fontId="109" fillId="9" borderId="8" xfId="31" applyFont="1" applyFill="1" applyBorder="1" applyAlignment="1" applyProtection="1">
      <alignment horizontal="center" vertical="center" shrinkToFit="1"/>
      <protection hidden="1"/>
    </xf>
    <xf numFmtId="0" fontId="109" fillId="9" borderId="11" xfId="31" applyFont="1" applyFill="1" applyBorder="1" applyAlignment="1" applyProtection="1">
      <alignment horizontal="center" vertical="center" shrinkToFit="1"/>
      <protection hidden="1"/>
    </xf>
    <xf numFmtId="0" fontId="66" fillId="10" borderId="31" xfId="32" applyFont="1" applyFill="1" applyBorder="1" applyAlignment="1" applyProtection="1">
      <alignment shrinkToFit="1"/>
      <protection hidden="1"/>
    </xf>
    <xf numFmtId="0" fontId="66" fillId="10" borderId="0" xfId="32" applyFont="1" applyFill="1" applyBorder="1" applyAlignment="1" applyProtection="1">
      <alignment horizontal="center" shrinkToFit="1"/>
      <protection hidden="1"/>
    </xf>
    <xf numFmtId="178" fontId="110" fillId="10" borderId="0" xfId="32" applyNumberFormat="1" applyFont="1" applyFill="1" applyBorder="1" applyAlignment="1" applyProtection="1">
      <alignment horizontal="center" shrinkToFit="1"/>
      <protection hidden="1"/>
    </xf>
    <xf numFmtId="178" fontId="66" fillId="10" borderId="0" xfId="32" applyNumberFormat="1" applyFont="1" applyFill="1" applyBorder="1" applyAlignment="1" applyProtection="1">
      <alignment horizontal="center" shrinkToFit="1"/>
      <protection hidden="1"/>
    </xf>
    <xf numFmtId="0" fontId="66" fillId="10" borderId="7" xfId="32" applyFont="1" applyFill="1" applyBorder="1" applyAlignment="1" applyProtection="1">
      <alignment horizontal="right" vertical="center" shrinkToFit="1"/>
      <protection hidden="1"/>
    </xf>
    <xf numFmtId="0" fontId="67" fillId="0" borderId="0" xfId="32" applyFont="1" applyProtection="1">
      <protection hidden="1"/>
    </xf>
    <xf numFmtId="2" fontId="112" fillId="9" borderId="31" xfId="32" applyNumberFormat="1" applyFont="1" applyFill="1" applyBorder="1" applyAlignment="1" applyProtection="1">
      <alignment horizontal="center" shrinkToFit="1"/>
      <protection hidden="1"/>
    </xf>
    <xf numFmtId="0" fontId="67" fillId="9" borderId="0" xfId="32" applyFont="1" applyFill="1" applyBorder="1" applyAlignment="1" applyProtection="1">
      <alignment horizontal="right" vertical="center" shrinkToFit="1"/>
      <protection hidden="1"/>
    </xf>
    <xf numFmtId="0" fontId="112" fillId="9" borderId="31" xfId="32" applyFont="1" applyFill="1" applyBorder="1" applyAlignment="1" applyProtection="1">
      <alignment horizontal="center" shrinkToFit="1"/>
      <protection hidden="1"/>
    </xf>
    <xf numFmtId="0" fontId="113" fillId="9" borderId="0" xfId="32" applyFont="1" applyFill="1" applyBorder="1" applyAlignment="1" applyProtection="1">
      <alignment horizontal="center" shrinkToFit="1"/>
      <protection hidden="1"/>
    </xf>
    <xf numFmtId="0" fontId="66" fillId="9" borderId="0" xfId="32" applyFont="1" applyFill="1" applyBorder="1" applyAlignment="1" applyProtection="1">
      <alignment horizontal="center" shrinkToFit="1"/>
      <protection hidden="1"/>
    </xf>
    <xf numFmtId="0" fontId="66" fillId="10" borderId="7" xfId="32" applyFont="1" applyFill="1" applyBorder="1" applyAlignment="1" applyProtection="1">
      <alignment shrinkToFit="1"/>
      <protection hidden="1"/>
    </xf>
    <xf numFmtId="0" fontId="115" fillId="9" borderId="28" xfId="32" applyFont="1" applyFill="1" applyBorder="1" applyAlignment="1" applyProtection="1">
      <alignment vertical="center" shrinkToFit="1"/>
      <protection hidden="1"/>
    </xf>
    <xf numFmtId="0" fontId="115" fillId="9" borderId="9" xfId="32" applyFont="1" applyFill="1" applyBorder="1" applyAlignment="1" applyProtection="1">
      <alignment vertical="center" shrinkToFit="1"/>
      <protection hidden="1"/>
    </xf>
    <xf numFmtId="0" fontId="115" fillId="9" borderId="29" xfId="32" applyFont="1" applyFill="1" applyBorder="1" applyAlignment="1" applyProtection="1">
      <alignment vertical="center" shrinkToFit="1"/>
      <protection hidden="1"/>
    </xf>
    <xf numFmtId="0" fontId="115" fillId="9" borderId="32" xfId="32" applyFont="1" applyFill="1" applyBorder="1" applyAlignment="1" applyProtection="1">
      <alignment vertical="center" shrinkToFit="1"/>
      <protection hidden="1"/>
    </xf>
    <xf numFmtId="178" fontId="67" fillId="4" borderId="1" xfId="32" applyNumberFormat="1" applyFont="1" applyFill="1" applyBorder="1" applyAlignment="1" applyProtection="1">
      <alignment horizontal="center" vertical="center" shrinkToFit="1"/>
      <protection locked="0"/>
    </xf>
    <xf numFmtId="0" fontId="66" fillId="9" borderId="31" xfId="32" applyFont="1" applyFill="1" applyBorder="1" applyAlignment="1" applyProtection="1">
      <alignment shrinkToFit="1"/>
      <protection hidden="1"/>
    </xf>
    <xf numFmtId="178" fontId="116" fillId="14" borderId="1" xfId="32" applyNumberFormat="1" applyFont="1" applyFill="1" applyBorder="1" applyAlignment="1" applyProtection="1">
      <alignment horizontal="center" vertical="center" shrinkToFit="1"/>
      <protection hidden="1"/>
    </xf>
    <xf numFmtId="0" fontId="115" fillId="9" borderId="33" xfId="32" applyFont="1" applyFill="1" applyBorder="1" applyAlignment="1" applyProtection="1">
      <alignment vertical="center" shrinkToFit="1"/>
      <protection hidden="1"/>
    </xf>
    <xf numFmtId="0" fontId="115" fillId="9" borderId="0" xfId="32" applyFont="1" applyFill="1" applyBorder="1" applyAlignment="1" applyProtection="1">
      <alignment vertical="center" shrinkToFit="1"/>
      <protection hidden="1"/>
    </xf>
    <xf numFmtId="0" fontId="115" fillId="9" borderId="7" xfId="32" applyFont="1" applyFill="1" applyBorder="1" applyAlignment="1" applyProtection="1">
      <alignment vertical="center" shrinkToFit="1"/>
      <protection hidden="1"/>
    </xf>
    <xf numFmtId="0" fontId="66" fillId="9" borderId="33" xfId="32" applyFont="1" applyFill="1" applyBorder="1" applyAlignment="1" applyProtection="1">
      <alignment shrinkToFit="1"/>
      <protection hidden="1"/>
    </xf>
    <xf numFmtId="0" fontId="66" fillId="9" borderId="0" xfId="32" applyFont="1" applyFill="1" applyBorder="1" applyAlignment="1" applyProtection="1">
      <alignment shrinkToFit="1"/>
      <protection hidden="1"/>
    </xf>
    <xf numFmtId="0" fontId="66" fillId="9" borderId="7" xfId="32" applyFont="1" applyFill="1" applyBorder="1" applyAlignment="1" applyProtection="1">
      <alignment shrinkToFit="1"/>
      <protection hidden="1"/>
    </xf>
    <xf numFmtId="0" fontId="115" fillId="9" borderId="31" xfId="32" applyFont="1" applyFill="1" applyBorder="1" applyAlignment="1" applyProtection="1">
      <alignment vertical="center" shrinkToFit="1"/>
      <protection hidden="1"/>
    </xf>
    <xf numFmtId="2" fontId="67" fillId="4" borderId="1" xfId="32" applyNumberFormat="1" applyFont="1" applyFill="1" applyBorder="1" applyAlignment="1" applyProtection="1">
      <alignment horizontal="center" vertical="center" shrinkToFit="1"/>
      <protection locked="0"/>
    </xf>
    <xf numFmtId="0" fontId="115" fillId="9" borderId="34" xfId="32" applyFont="1" applyFill="1" applyBorder="1" applyAlignment="1" applyProtection="1">
      <alignment vertical="center" shrinkToFit="1"/>
      <protection hidden="1"/>
    </xf>
    <xf numFmtId="0" fontId="115" fillId="9" borderId="8" xfId="32" applyFont="1" applyFill="1" applyBorder="1" applyAlignment="1" applyProtection="1">
      <alignment vertical="center" shrinkToFit="1"/>
      <protection hidden="1"/>
    </xf>
    <xf numFmtId="0" fontId="115" fillId="9" borderId="11" xfId="32" applyFont="1" applyFill="1" applyBorder="1" applyAlignment="1" applyProtection="1">
      <alignment vertical="center" shrinkToFit="1"/>
      <protection hidden="1"/>
    </xf>
    <xf numFmtId="0" fontId="67" fillId="9" borderId="28" xfId="32" applyFont="1" applyFill="1" applyBorder="1" applyAlignment="1" applyProtection="1">
      <alignment horizontal="center" vertical="center" shrinkToFit="1"/>
      <protection hidden="1"/>
    </xf>
    <xf numFmtId="0" fontId="67" fillId="9" borderId="29" xfId="32" applyFont="1" applyFill="1" applyBorder="1" applyAlignment="1" applyProtection="1">
      <alignment horizontal="center" vertical="center" shrinkToFit="1"/>
      <protection hidden="1"/>
    </xf>
    <xf numFmtId="0" fontId="118" fillId="15" borderId="8" xfId="32" applyFont="1" applyFill="1" applyBorder="1" applyAlignment="1" applyProtection="1">
      <alignment horizontal="center" vertical="center" shrinkToFit="1"/>
      <protection hidden="1"/>
    </xf>
    <xf numFmtId="166" fontId="0" fillId="0" borderId="0" xfId="0" applyProtection="1">
      <protection locked="0"/>
    </xf>
    <xf numFmtId="0" fontId="86" fillId="10" borderId="0" xfId="21" applyFont="1" applyFill="1" applyBorder="1" applyAlignment="1" applyProtection="1">
      <alignment horizontal="right" vertical="center"/>
      <protection hidden="1"/>
    </xf>
    <xf numFmtId="0" fontId="138" fillId="23" borderId="49" xfId="21" applyFont="1" applyFill="1" applyBorder="1" applyAlignment="1" applyProtection="1">
      <alignment horizontal="center" vertical="center"/>
      <protection hidden="1"/>
    </xf>
    <xf numFmtId="0" fontId="72" fillId="11" borderId="1" xfId="21" applyFont="1" applyFill="1" applyBorder="1" applyAlignment="1" applyProtection="1">
      <alignment horizontal="center" vertical="center"/>
      <protection hidden="1"/>
    </xf>
    <xf numFmtId="0" fontId="95" fillId="11" borderId="23" xfId="44" applyFont="1" applyFill="1" applyBorder="1" applyAlignment="1" applyProtection="1">
      <alignment horizontal="right" vertical="center"/>
      <protection hidden="1"/>
    </xf>
    <xf numFmtId="2" fontId="140" fillId="24" borderId="7" xfId="29" applyNumberFormat="1" applyFont="1" applyFill="1" applyBorder="1" applyAlignment="1" applyProtection="1">
      <alignment horizontal="center" vertical="center"/>
      <protection locked="0"/>
    </xf>
    <xf numFmtId="0" fontId="121" fillId="11" borderId="23" xfId="21" applyFont="1" applyFill="1" applyBorder="1" applyAlignment="1" applyProtection="1">
      <alignment horizontal="center" vertical="center"/>
      <protection hidden="1"/>
    </xf>
    <xf numFmtId="2" fontId="95" fillId="11" borderId="28" xfId="44" applyNumberFormat="1" applyFont="1" applyFill="1" applyBorder="1" applyAlignment="1" applyProtection="1">
      <alignment horizontal="right" vertical="center"/>
      <protection hidden="1"/>
    </xf>
    <xf numFmtId="0" fontId="72" fillId="11" borderId="33" xfId="21" applyFont="1" applyFill="1" applyBorder="1" applyAlignment="1" applyProtection="1">
      <alignment horizontal="right" vertical="center"/>
      <protection hidden="1"/>
    </xf>
    <xf numFmtId="178" fontId="95" fillId="11" borderId="23" xfId="44" applyNumberFormat="1" applyFont="1" applyFill="1" applyBorder="1" applyAlignment="1" applyProtection="1">
      <alignment horizontal="center" vertical="center"/>
      <protection hidden="1"/>
    </xf>
    <xf numFmtId="2" fontId="141" fillId="24" borderId="28" xfId="44" applyNumberFormat="1" applyFont="1" applyFill="1" applyBorder="1" applyAlignment="1" applyProtection="1">
      <alignment horizontal="right" vertical="center"/>
      <protection locked="0"/>
    </xf>
    <xf numFmtId="178" fontId="95" fillId="11" borderId="31" xfId="44" applyNumberFormat="1" applyFont="1" applyFill="1" applyBorder="1" applyAlignment="1" applyProtection="1">
      <alignment horizontal="right" vertical="center"/>
      <protection hidden="1"/>
    </xf>
    <xf numFmtId="178" fontId="141" fillId="24" borderId="28" xfId="44" applyNumberFormat="1" applyFont="1" applyFill="1" applyBorder="1" applyAlignment="1" applyProtection="1">
      <alignment horizontal="right" vertical="center"/>
      <protection locked="0"/>
    </xf>
    <xf numFmtId="0" fontId="142" fillId="24" borderId="28" xfId="21" applyFont="1" applyFill="1" applyBorder="1" applyAlignment="1" applyProtection="1">
      <alignment horizontal="right" vertical="center"/>
      <protection locked="0"/>
    </xf>
    <xf numFmtId="0" fontId="72" fillId="11" borderId="34" xfId="21" applyFont="1" applyFill="1" applyBorder="1" applyAlignment="1" applyProtection="1">
      <alignment horizontal="right" vertical="center"/>
      <protection hidden="1"/>
    </xf>
    <xf numFmtId="0" fontId="95" fillId="22" borderId="0" xfId="44" applyFont="1" applyFill="1" applyBorder="1" applyAlignment="1" applyProtection="1">
      <alignment horizontal="left" vertical="center" wrapText="1"/>
      <protection hidden="1"/>
    </xf>
    <xf numFmtId="182" fontId="75" fillId="25" borderId="23" xfId="29" applyNumberFormat="1" applyFont="1" applyFill="1" applyBorder="1" applyAlignment="1" applyProtection="1">
      <alignment horizontal="center" vertical="center"/>
      <protection hidden="1"/>
    </xf>
    <xf numFmtId="182" fontId="143" fillId="16" borderId="23" xfId="21" applyNumberFormat="1" applyFont="1" applyFill="1" applyBorder="1" applyAlignment="1" applyProtection="1">
      <alignment horizontal="center" vertical="center"/>
      <protection hidden="1"/>
    </xf>
    <xf numFmtId="0" fontId="60" fillId="4" borderId="1" xfId="47" applyNumberFormat="1" applyFill="1" applyBorder="1" applyProtection="1">
      <protection locked="0"/>
    </xf>
    <xf numFmtId="0" fontId="60" fillId="0" borderId="0" xfId="47" applyNumberFormat="1" applyProtection="1">
      <protection hidden="1"/>
    </xf>
    <xf numFmtId="0" fontId="59" fillId="0" borderId="1" xfId="47" applyNumberFormat="1" applyFont="1" applyBorder="1" applyAlignment="1" applyProtection="1">
      <alignment horizontal="center"/>
      <protection hidden="1"/>
    </xf>
    <xf numFmtId="0" fontId="59" fillId="0" borderId="0" xfId="47" applyNumberFormat="1" applyFont="1" applyProtection="1">
      <protection hidden="1"/>
    </xf>
    <xf numFmtId="0" fontId="128" fillId="0" borderId="0" xfId="47" applyNumberFormat="1" applyFont="1" applyProtection="1">
      <protection hidden="1"/>
    </xf>
    <xf numFmtId="0" fontId="62" fillId="4" borderId="1" xfId="40" applyNumberFormat="1" applyFill="1" applyBorder="1" applyProtection="1">
      <protection locked="0" hidden="1"/>
    </xf>
    <xf numFmtId="166" fontId="74" fillId="3" borderId="15" xfId="26" applyNumberFormat="1" applyFont="1" applyFill="1" applyBorder="1" applyAlignment="1" applyProtection="1">
      <alignment horizontal="right"/>
      <protection hidden="1"/>
    </xf>
    <xf numFmtId="0" fontId="66" fillId="0" borderId="0" xfId="21" applyFont="1" applyProtection="1">
      <protection hidden="1"/>
    </xf>
    <xf numFmtId="0" fontId="78" fillId="3" borderId="0" xfId="21" applyFont="1" applyFill="1" applyBorder="1" applyAlignment="1" applyProtection="1">
      <alignment horizontal="right"/>
      <protection hidden="1"/>
    </xf>
    <xf numFmtId="0" fontId="77" fillId="3" borderId="0" xfId="21" applyFont="1" applyFill="1" applyBorder="1" applyAlignment="1" applyProtection="1">
      <alignment horizontal="right"/>
      <protection hidden="1"/>
    </xf>
    <xf numFmtId="0" fontId="66" fillId="3" borderId="6" xfId="21" applyFont="1" applyFill="1" applyBorder="1" applyProtection="1">
      <protection hidden="1"/>
    </xf>
    <xf numFmtId="0" fontId="77" fillId="3" borderId="6" xfId="21" applyFont="1" applyFill="1" applyBorder="1" applyAlignment="1" applyProtection="1">
      <alignment horizontal="right"/>
      <protection hidden="1"/>
    </xf>
    <xf numFmtId="0" fontId="66" fillId="3" borderId="6" xfId="21" applyFont="1" applyFill="1" applyBorder="1" applyAlignment="1" applyProtection="1">
      <alignment horizontal="right"/>
      <protection hidden="1"/>
    </xf>
    <xf numFmtId="0" fontId="66" fillId="3" borderId="0" xfId="21" applyFont="1" applyFill="1" applyBorder="1" applyProtection="1">
      <protection hidden="1"/>
    </xf>
    <xf numFmtId="0" fontId="66" fillId="3" borderId="0" xfId="21" applyFont="1" applyFill="1" applyBorder="1" applyAlignment="1" applyProtection="1">
      <alignment horizontal="right"/>
      <protection hidden="1"/>
    </xf>
    <xf numFmtId="0" fontId="67" fillId="21" borderId="63" xfId="21" applyFont="1" applyFill="1" applyBorder="1" applyAlignment="1" applyProtection="1">
      <alignment horizontal="center"/>
      <protection hidden="1"/>
    </xf>
    <xf numFmtId="0" fontId="67" fillId="21" borderId="45" xfId="21" applyFont="1" applyFill="1" applyBorder="1" applyAlignment="1" applyProtection="1">
      <alignment horizontal="center"/>
      <protection hidden="1"/>
    </xf>
    <xf numFmtId="2" fontId="67" fillId="21" borderId="74" xfId="21" applyNumberFormat="1" applyFont="1" applyFill="1" applyBorder="1" applyAlignment="1" applyProtection="1">
      <alignment horizontal="center"/>
      <protection hidden="1"/>
    </xf>
    <xf numFmtId="178" fontId="66" fillId="0" borderId="72" xfId="21" applyNumberFormat="1" applyFont="1" applyBorder="1" applyAlignment="1" applyProtection="1">
      <alignment horizontal="center"/>
      <protection hidden="1"/>
    </xf>
    <xf numFmtId="178" fontId="66" fillId="0" borderId="12" xfId="21" applyNumberFormat="1" applyFont="1" applyBorder="1" applyAlignment="1" applyProtection="1">
      <alignment horizontal="center"/>
      <protection hidden="1"/>
    </xf>
    <xf numFmtId="178" fontId="66" fillId="0" borderId="61" xfId="21" applyNumberFormat="1" applyFont="1" applyBorder="1" applyAlignment="1" applyProtection="1">
      <alignment horizontal="center"/>
      <protection hidden="1"/>
    </xf>
    <xf numFmtId="178" fontId="66" fillId="0" borderId="73" xfId="21" applyNumberFormat="1" applyFont="1" applyBorder="1" applyAlignment="1" applyProtection="1">
      <alignment horizontal="center"/>
      <protection hidden="1"/>
    </xf>
    <xf numFmtId="0" fontId="78" fillId="18" borderId="22" xfId="45" applyNumberFormat="1" applyFont="1" applyFill="1" applyBorder="1" applyAlignment="1" applyProtection="1">
      <alignment horizontal="center" vertical="center"/>
      <protection hidden="1"/>
    </xf>
    <xf numFmtId="0" fontId="78" fillId="18" borderId="21" xfId="45" applyNumberFormat="1" applyFont="1" applyFill="1" applyBorder="1" applyAlignment="1" applyProtection="1">
      <alignment horizontal="center" vertical="center"/>
      <protection hidden="1"/>
    </xf>
    <xf numFmtId="0" fontId="78" fillId="18" borderId="20" xfId="45" applyNumberFormat="1" applyFont="1" applyFill="1" applyBorder="1" applyAlignment="1" applyProtection="1">
      <alignment horizontal="center" vertical="center"/>
      <protection hidden="1"/>
    </xf>
    <xf numFmtId="0" fontId="78" fillId="3" borderId="0" xfId="0" applyNumberFormat="1" applyFont="1" applyFill="1" applyBorder="1" applyAlignment="1" applyProtection="1">
      <alignment horizontal="right"/>
      <protection hidden="1"/>
    </xf>
    <xf numFmtId="0" fontId="77" fillId="3" borderId="0" xfId="0" applyNumberFormat="1" applyFont="1" applyFill="1" applyBorder="1" applyAlignment="1" applyProtection="1">
      <alignment horizontal="right"/>
      <protection hidden="1"/>
    </xf>
    <xf numFmtId="0" fontId="66" fillId="0" borderId="0" xfId="0" applyNumberFormat="1" applyFont="1" applyProtection="1">
      <protection hidden="1"/>
    </xf>
    <xf numFmtId="0" fontId="66" fillId="0" borderId="0" xfId="26" applyNumberFormat="1" applyFont="1" applyAlignment="1" applyProtection="1">
      <alignment horizontal="center" vertical="center"/>
      <protection hidden="1"/>
    </xf>
    <xf numFmtId="0" fontId="67" fillId="0" borderId="0" xfId="33" applyNumberFormat="1" applyFont="1" applyFill="1" applyBorder="1" applyAlignment="1" applyProtection="1">
      <alignment horizontal="center" vertical="center"/>
      <protection hidden="1"/>
    </xf>
    <xf numFmtId="0" fontId="67" fillId="0" borderId="0" xfId="0" applyNumberFormat="1" applyFont="1" applyFill="1" applyBorder="1" applyAlignment="1" applyProtection="1">
      <protection hidden="1"/>
    </xf>
    <xf numFmtId="0" fontId="66" fillId="0" borderId="0" xfId="0" applyNumberFormat="1" applyFont="1" applyAlignment="1" applyProtection="1">
      <protection hidden="1"/>
    </xf>
    <xf numFmtId="0" fontId="66" fillId="0" borderId="0" xfId="0" applyNumberFormat="1" applyFont="1" applyAlignment="1" applyProtection="1">
      <alignment horizontal="left" vertical="center"/>
      <protection hidden="1"/>
    </xf>
    <xf numFmtId="0" fontId="66" fillId="0" borderId="0" xfId="0" applyNumberFormat="1" applyFont="1" applyFill="1" applyBorder="1" applyAlignment="1" applyProtection="1">
      <protection hidden="1"/>
    </xf>
    <xf numFmtId="0" fontId="66" fillId="0" borderId="0" xfId="0" applyNumberFormat="1" applyFont="1" applyFill="1" applyBorder="1" applyAlignment="1" applyProtection="1">
      <alignment horizontal="left"/>
      <protection hidden="1"/>
    </xf>
    <xf numFmtId="0" fontId="67" fillId="0" borderId="0" xfId="0" applyNumberFormat="1" applyFont="1" applyAlignment="1" applyProtection="1">
      <alignment horizontal="right"/>
      <protection hidden="1"/>
    </xf>
    <xf numFmtId="166" fontId="84" fillId="0" borderId="15" xfId="0" applyFont="1" applyBorder="1" applyAlignment="1" applyProtection="1">
      <protection hidden="1"/>
    </xf>
    <xf numFmtId="166" fontId="0" fillId="0" borderId="15" xfId="0" applyBorder="1" applyAlignment="1" applyProtection="1">
      <protection hidden="1"/>
    </xf>
    <xf numFmtId="166" fontId="74" fillId="3" borderId="15" xfId="26" applyNumberFormat="1" applyFont="1" applyFill="1" applyBorder="1" applyAlignment="1" applyProtection="1">
      <alignment horizontal="left"/>
      <protection hidden="1"/>
    </xf>
    <xf numFmtId="0" fontId="60" fillId="0" borderId="1" xfId="47" applyNumberFormat="1" applyBorder="1" applyProtection="1">
      <protection hidden="1"/>
    </xf>
    <xf numFmtId="0" fontId="80" fillId="5" borderId="75" xfId="21" applyNumberFormat="1" applyFont="1" applyFill="1" applyBorder="1" applyAlignment="1" applyProtection="1">
      <alignment horizontal="center" vertical="center" wrapText="1"/>
      <protection hidden="1"/>
    </xf>
    <xf numFmtId="0" fontId="80" fillId="5" borderId="60" xfId="21" applyNumberFormat="1" applyFont="1" applyFill="1" applyBorder="1" applyAlignment="1" applyProtection="1">
      <alignment horizontal="center" vertical="center" wrapText="1"/>
      <protection hidden="1"/>
    </xf>
    <xf numFmtId="0" fontId="126" fillId="5" borderId="37" xfId="45" applyNumberFormat="1" applyFont="1" applyFill="1" applyBorder="1" applyAlignment="1" applyProtection="1">
      <alignment horizontal="center" vertical="center"/>
      <protection hidden="1"/>
    </xf>
    <xf numFmtId="2" fontId="60" fillId="0" borderId="1" xfId="47" applyNumberFormat="1" applyBorder="1" applyProtection="1">
      <protection hidden="1"/>
    </xf>
    <xf numFmtId="0" fontId="126" fillId="5" borderId="66" xfId="45" applyNumberFormat="1" applyFont="1" applyFill="1" applyBorder="1" applyAlignment="1" applyProtection="1">
      <alignment horizontal="center" vertical="center"/>
      <protection hidden="1"/>
    </xf>
    <xf numFmtId="0" fontId="80" fillId="5" borderId="81" xfId="21" applyNumberFormat="1" applyFont="1" applyFill="1" applyBorder="1" applyAlignment="1" applyProtection="1">
      <alignment horizontal="center" vertical="center" wrapText="1"/>
      <protection hidden="1"/>
    </xf>
    <xf numFmtId="0" fontId="80" fillId="5" borderId="67" xfId="21" applyNumberFormat="1" applyFont="1" applyFill="1" applyBorder="1" applyAlignment="1" applyProtection="1">
      <alignment horizontal="center" vertical="center"/>
      <protection hidden="1"/>
    </xf>
    <xf numFmtId="0" fontId="80" fillId="5" borderId="27" xfId="21" applyNumberFormat="1" applyFont="1" applyFill="1" applyBorder="1" applyAlignment="1" applyProtection="1">
      <alignment horizontal="center" vertical="center" wrapText="1"/>
      <protection hidden="1"/>
    </xf>
    <xf numFmtId="0" fontId="80" fillId="5" borderId="82" xfId="21" applyNumberFormat="1" applyFont="1" applyFill="1" applyBorder="1" applyAlignment="1" applyProtection="1">
      <alignment horizontal="center" vertical="center" wrapText="1"/>
      <protection hidden="1"/>
    </xf>
    <xf numFmtId="0" fontId="130" fillId="18" borderId="0" xfId="47" applyNumberFormat="1" applyFont="1" applyFill="1" applyAlignment="1" applyProtection="1">
      <alignment vertical="center"/>
      <protection hidden="1"/>
    </xf>
    <xf numFmtId="0" fontId="130" fillId="18" borderId="0" xfId="47" applyNumberFormat="1" applyFont="1" applyFill="1" applyAlignment="1" applyProtection="1">
      <alignment horizontal="center" vertical="center"/>
      <protection hidden="1"/>
    </xf>
    <xf numFmtId="176" fontId="60" fillId="0" borderId="1" xfId="47" applyNumberFormat="1" applyBorder="1" applyProtection="1">
      <protection hidden="1"/>
    </xf>
    <xf numFmtId="0" fontId="55" fillId="0" borderId="0" xfId="47" applyNumberFormat="1" applyFont="1" applyProtection="1">
      <protection hidden="1"/>
    </xf>
    <xf numFmtId="0" fontId="156" fillId="3" borderId="0" xfId="20" applyFont="1" applyFill="1" applyProtection="1">
      <protection hidden="1"/>
    </xf>
    <xf numFmtId="0" fontId="156" fillId="3" borderId="1" xfId="20" applyFont="1" applyFill="1" applyBorder="1" applyProtection="1">
      <protection hidden="1"/>
    </xf>
    <xf numFmtId="166" fontId="66" fillId="0" borderId="0" xfId="0" applyFont="1" applyProtection="1">
      <protection hidden="1"/>
    </xf>
    <xf numFmtId="166" fontId="66" fillId="0" borderId="1" xfId="0" applyFont="1" applyBorder="1" applyProtection="1">
      <protection hidden="1"/>
    </xf>
    <xf numFmtId="0" fontId="156" fillId="4" borderId="1" xfId="20" applyFont="1" applyFill="1" applyBorder="1" applyProtection="1">
      <protection locked="0"/>
    </xf>
    <xf numFmtId="0" fontId="127" fillId="0" borderId="10" xfId="40" applyNumberFormat="1" applyFont="1" applyFill="1" applyBorder="1" applyAlignment="1" applyProtection="1">
      <alignment horizontal="center" vertical="center" shrinkToFit="1"/>
      <protection hidden="1"/>
    </xf>
    <xf numFmtId="2" fontId="127" fillId="0" borderId="10" xfId="40" applyNumberFormat="1" applyFont="1" applyFill="1" applyBorder="1" applyAlignment="1" applyProtection="1">
      <alignment horizontal="center" vertical="center" shrinkToFit="1"/>
      <protection hidden="1"/>
    </xf>
    <xf numFmtId="179" fontId="127" fillId="0" borderId="10" xfId="40" applyNumberFormat="1" applyFont="1" applyFill="1" applyBorder="1" applyAlignment="1" applyProtection="1">
      <alignment horizontal="center" vertical="center" shrinkToFit="1"/>
      <protection hidden="1"/>
    </xf>
    <xf numFmtId="178" fontId="127" fillId="0" borderId="10" xfId="40" applyNumberFormat="1" applyFont="1" applyFill="1" applyBorder="1" applyAlignment="1" applyProtection="1">
      <alignment horizontal="right" vertical="center" shrinkToFit="1"/>
      <protection hidden="1"/>
    </xf>
    <xf numFmtId="0" fontId="127" fillId="4" borderId="16" xfId="47" applyNumberFormat="1" applyFont="1" applyFill="1" applyBorder="1" applyAlignment="1" applyProtection="1">
      <alignment horizontal="center" vertical="center" shrinkToFit="1"/>
      <protection locked="0"/>
    </xf>
    <xf numFmtId="0" fontId="126" fillId="4" borderId="16" xfId="47" applyNumberFormat="1" applyFont="1" applyFill="1" applyBorder="1" applyAlignment="1" applyProtection="1">
      <alignment horizontal="center" vertical="center" shrinkToFit="1"/>
      <protection locked="0"/>
    </xf>
    <xf numFmtId="2" fontId="127" fillId="4" borderId="16" xfId="47" applyNumberFormat="1" applyFont="1" applyFill="1" applyBorder="1" applyAlignment="1" applyProtection="1">
      <alignment horizontal="center" vertical="center" shrinkToFit="1"/>
      <protection locked="0"/>
    </xf>
    <xf numFmtId="0" fontId="127" fillId="4" borderId="83" xfId="47" applyNumberFormat="1" applyFont="1" applyFill="1" applyBorder="1" applyAlignment="1" applyProtection="1">
      <alignment horizontal="center" vertical="center" shrinkToFit="1"/>
      <protection locked="0"/>
    </xf>
    <xf numFmtId="2" fontId="127" fillId="4" borderId="84" xfId="47" applyNumberFormat="1" applyFont="1" applyFill="1" applyBorder="1" applyAlignment="1" applyProtection="1">
      <alignment horizontal="center" vertical="center" shrinkToFit="1"/>
      <protection locked="0"/>
    </xf>
    <xf numFmtId="0" fontId="127" fillId="28" borderId="16" xfId="47" applyNumberFormat="1" applyFont="1" applyFill="1" applyBorder="1" applyAlignment="1" applyProtection="1">
      <alignment horizontal="center" vertical="center" shrinkToFit="1"/>
      <protection locked="0"/>
    </xf>
    <xf numFmtId="0" fontId="126" fillId="28" borderId="16" xfId="47" applyNumberFormat="1" applyFont="1" applyFill="1" applyBorder="1" applyAlignment="1" applyProtection="1">
      <alignment horizontal="center" vertical="center" shrinkToFit="1"/>
      <protection locked="0"/>
    </xf>
    <xf numFmtId="2" fontId="127" fillId="28" borderId="16" xfId="47" applyNumberFormat="1" applyFont="1" applyFill="1" applyBorder="1" applyAlignment="1" applyProtection="1">
      <alignment horizontal="center" vertical="center" shrinkToFit="1"/>
      <protection locked="0"/>
    </xf>
    <xf numFmtId="0" fontId="127" fillId="28" borderId="83" xfId="47" applyNumberFormat="1" applyFont="1" applyFill="1" applyBorder="1" applyAlignment="1" applyProtection="1">
      <alignment horizontal="center" vertical="center" shrinkToFit="1"/>
      <protection locked="0"/>
    </xf>
    <xf numFmtId="2" fontId="127" fillId="28" borderId="84" xfId="47" applyNumberFormat="1" applyFont="1" applyFill="1" applyBorder="1" applyAlignment="1" applyProtection="1">
      <alignment horizontal="center" vertical="center" shrinkToFit="1"/>
      <protection locked="0"/>
    </xf>
    <xf numFmtId="0" fontId="51" fillId="0" borderId="0" xfId="47" applyNumberFormat="1" applyFont="1" applyProtection="1">
      <protection hidden="1"/>
    </xf>
    <xf numFmtId="0" fontId="60" fillId="0" borderId="0" xfId="47" applyNumberFormat="1" applyBorder="1" applyProtection="1">
      <protection hidden="1"/>
    </xf>
    <xf numFmtId="2" fontId="127" fillId="4" borderId="87" xfId="47" applyNumberFormat="1" applyFont="1" applyFill="1" applyBorder="1" applyAlignment="1" applyProtection="1">
      <alignment horizontal="center"/>
      <protection locked="0"/>
    </xf>
    <xf numFmtId="2" fontId="127" fillId="4" borderId="71" xfId="47" applyNumberFormat="1" applyFont="1" applyFill="1" applyBorder="1" applyAlignment="1" applyProtection="1">
      <alignment horizontal="center"/>
      <protection locked="0"/>
    </xf>
    <xf numFmtId="0" fontId="126" fillId="5" borderId="1" xfId="47" applyNumberFormat="1" applyFont="1" applyFill="1" applyBorder="1" applyAlignment="1" applyProtection="1">
      <alignment horizontal="center"/>
      <protection hidden="1"/>
    </xf>
    <xf numFmtId="0" fontId="126" fillId="5" borderId="28" xfId="47" applyNumberFormat="1" applyFont="1" applyFill="1" applyBorder="1" applyAlignment="1" applyProtection="1">
      <alignment horizontal="center"/>
      <protection hidden="1"/>
    </xf>
    <xf numFmtId="2" fontId="127" fillId="4" borderId="25" xfId="47" applyNumberFormat="1" applyFont="1" applyFill="1" applyBorder="1" applyAlignment="1" applyProtection="1">
      <alignment horizontal="center"/>
      <protection locked="0"/>
    </xf>
    <xf numFmtId="2" fontId="127" fillId="4" borderId="62" xfId="47" applyNumberFormat="1" applyFont="1" applyFill="1" applyBorder="1" applyAlignment="1" applyProtection="1">
      <alignment horizontal="center"/>
      <protection locked="0"/>
    </xf>
    <xf numFmtId="192" fontId="127" fillId="4" borderId="2" xfId="47" applyNumberFormat="1" applyFont="1" applyFill="1" applyBorder="1" applyAlignment="1" applyProtection="1">
      <alignment horizontal="center"/>
      <protection locked="0"/>
    </xf>
    <xf numFmtId="192" fontId="127" fillId="4" borderId="33" xfId="47" applyNumberFormat="1" applyFont="1" applyFill="1" applyBorder="1" applyAlignment="1" applyProtection="1">
      <alignment horizontal="center"/>
      <protection locked="0"/>
    </xf>
    <xf numFmtId="0" fontId="127" fillId="0" borderId="88" xfId="40" applyNumberFormat="1" applyFont="1" applyFill="1" applyBorder="1" applyAlignment="1" applyProtection="1">
      <alignment horizontal="center" vertical="center" shrinkToFit="1"/>
      <protection hidden="1"/>
    </xf>
    <xf numFmtId="178" fontId="127" fillId="0" borderId="42" xfId="40" applyNumberFormat="1" applyFont="1" applyFill="1" applyBorder="1" applyAlignment="1" applyProtection="1">
      <alignment horizontal="right" vertical="center" shrinkToFit="1"/>
      <protection hidden="1"/>
    </xf>
    <xf numFmtId="0" fontId="127" fillId="0" borderId="41" xfId="40" applyNumberFormat="1" applyFont="1" applyFill="1" applyBorder="1" applyAlignment="1" applyProtection="1">
      <alignment horizontal="center" vertical="center" shrinkToFit="1"/>
      <protection hidden="1"/>
    </xf>
    <xf numFmtId="0" fontId="127" fillId="0" borderId="36" xfId="40" applyNumberFormat="1" applyFont="1" applyFill="1" applyBorder="1" applyAlignment="1" applyProtection="1">
      <alignment horizontal="center" vertical="center" shrinkToFit="1"/>
      <protection hidden="1"/>
    </xf>
    <xf numFmtId="2" fontId="127" fillId="0" borderId="36" xfId="40" applyNumberFormat="1" applyFont="1" applyFill="1" applyBorder="1" applyAlignment="1" applyProtection="1">
      <alignment horizontal="center" vertical="center" shrinkToFit="1"/>
      <protection hidden="1"/>
    </xf>
    <xf numFmtId="179" fontId="127" fillId="0" borderId="36" xfId="40" applyNumberFormat="1" applyFont="1" applyFill="1" applyBorder="1" applyAlignment="1" applyProtection="1">
      <alignment horizontal="center" vertical="center" shrinkToFit="1"/>
      <protection hidden="1"/>
    </xf>
    <xf numFmtId="178" fontId="127" fillId="0" borderId="36" xfId="40" applyNumberFormat="1" applyFont="1" applyFill="1" applyBorder="1" applyAlignment="1" applyProtection="1">
      <alignment horizontal="right" vertical="center" shrinkToFit="1"/>
      <protection hidden="1"/>
    </xf>
    <xf numFmtId="178" fontId="127" fillId="0" borderId="35" xfId="40" applyNumberFormat="1" applyFont="1" applyFill="1" applyBorder="1" applyAlignment="1" applyProtection="1">
      <alignment horizontal="right" vertical="center" shrinkToFit="1"/>
      <protection hidden="1"/>
    </xf>
    <xf numFmtId="166" fontId="0" fillId="0" borderId="6" xfId="0" applyBorder="1"/>
    <xf numFmtId="0" fontId="73" fillId="5" borderId="22" xfId="26" applyNumberFormat="1" applyFont="1" applyFill="1" applyBorder="1" applyAlignment="1" applyProtection="1">
      <alignment vertical="center"/>
      <protection hidden="1"/>
    </xf>
    <xf numFmtId="0" fontId="73" fillId="5" borderId="21" xfId="26" applyNumberFormat="1" applyFont="1" applyFill="1" applyBorder="1" applyAlignment="1" applyProtection="1">
      <alignment vertical="center"/>
      <protection hidden="1"/>
    </xf>
    <xf numFmtId="0" fontId="73" fillId="5" borderId="21" xfId="0" applyNumberFormat="1" applyFont="1" applyFill="1" applyBorder="1" applyAlignment="1" applyProtection="1">
      <alignment vertical="center"/>
      <protection hidden="1"/>
    </xf>
    <xf numFmtId="0" fontId="73" fillId="5" borderId="21" xfId="0" applyNumberFormat="1" applyFont="1" applyFill="1" applyBorder="1" applyAlignment="1" applyProtection="1">
      <alignment horizontal="center" vertical="center"/>
      <protection hidden="1"/>
    </xf>
    <xf numFmtId="0" fontId="73" fillId="5" borderId="20" xfId="0" applyNumberFormat="1" applyFont="1" applyFill="1" applyBorder="1" applyAlignment="1" applyProtection="1">
      <alignment vertical="center"/>
      <protection hidden="1"/>
    </xf>
    <xf numFmtId="0" fontId="151" fillId="18" borderId="21" xfId="45" applyNumberFormat="1" applyFont="1" applyFill="1" applyBorder="1" applyAlignment="1" applyProtection="1">
      <alignment vertical="center"/>
      <protection hidden="1"/>
    </xf>
    <xf numFmtId="0" fontId="151" fillId="18" borderId="65" xfId="45" applyNumberFormat="1" applyFont="1" applyFill="1" applyBorder="1" applyAlignment="1" applyProtection="1">
      <alignment vertical="center"/>
      <protection hidden="1"/>
    </xf>
    <xf numFmtId="0" fontId="151" fillId="18" borderId="44" xfId="45" applyNumberFormat="1" applyFont="1" applyFill="1" applyBorder="1" applyAlignment="1" applyProtection="1">
      <alignment vertical="center"/>
      <protection hidden="1"/>
    </xf>
    <xf numFmtId="0" fontId="151" fillId="18" borderId="43" xfId="45" applyNumberFormat="1" applyFont="1" applyFill="1" applyBorder="1" applyAlignment="1" applyProtection="1">
      <alignment horizontal="right" vertical="center"/>
      <protection hidden="1"/>
    </xf>
    <xf numFmtId="0" fontId="151" fillId="18" borderId="68" xfId="45" applyNumberFormat="1" applyFont="1" applyFill="1" applyBorder="1" applyAlignment="1" applyProtection="1">
      <alignment vertical="center"/>
      <protection hidden="1"/>
    </xf>
    <xf numFmtId="0" fontId="151" fillId="18" borderId="69" xfId="45" applyNumberFormat="1" applyFont="1" applyFill="1" applyBorder="1" applyAlignment="1" applyProtection="1">
      <alignment horizontal="right" vertical="center"/>
      <protection hidden="1"/>
    </xf>
    <xf numFmtId="0" fontId="151" fillId="18" borderId="89" xfId="45" applyNumberFormat="1" applyFont="1" applyFill="1" applyBorder="1" applyAlignment="1" applyProtection="1">
      <alignment vertical="center"/>
      <protection hidden="1"/>
    </xf>
    <xf numFmtId="0" fontId="151" fillId="18" borderId="15" xfId="45" applyNumberFormat="1" applyFont="1" applyFill="1" applyBorder="1" applyAlignment="1" applyProtection="1">
      <alignment vertical="center"/>
      <protection hidden="1"/>
    </xf>
    <xf numFmtId="0" fontId="151" fillId="18" borderId="90" xfId="45" applyNumberFormat="1" applyFont="1" applyFill="1" applyBorder="1" applyAlignment="1" applyProtection="1">
      <alignment horizontal="right" vertical="center"/>
      <protection hidden="1"/>
    </xf>
    <xf numFmtId="0" fontId="151" fillId="18" borderId="30" xfId="45" applyNumberFormat="1" applyFont="1" applyFill="1" applyBorder="1" applyAlignment="1" applyProtection="1">
      <alignment vertical="center"/>
      <protection hidden="1"/>
    </xf>
    <xf numFmtId="0" fontId="151" fillId="18" borderId="29" xfId="45" applyNumberFormat="1" applyFont="1" applyFill="1" applyBorder="1" applyAlignment="1" applyProtection="1">
      <alignment vertical="center"/>
      <protection hidden="1"/>
    </xf>
    <xf numFmtId="0" fontId="151" fillId="18" borderId="28" xfId="45" applyNumberFormat="1" applyFont="1" applyFill="1" applyBorder="1" applyAlignment="1" applyProtection="1">
      <alignment horizontal="right" vertical="center"/>
      <protection hidden="1"/>
    </xf>
    <xf numFmtId="0" fontId="66" fillId="0" borderId="0" xfId="0" applyNumberFormat="1" applyFont="1" applyAlignment="1" applyProtection="1">
      <alignment vertical="center"/>
      <protection hidden="1"/>
    </xf>
    <xf numFmtId="166" fontId="66" fillId="0" borderId="0" xfId="0" applyFont="1" applyAlignment="1" applyProtection="1">
      <alignment vertical="center"/>
      <protection hidden="1"/>
    </xf>
    <xf numFmtId="0" fontId="78" fillId="3" borderId="0" xfId="0" applyNumberFormat="1" applyFont="1" applyFill="1" applyBorder="1" applyAlignment="1" applyProtection="1">
      <alignment horizontal="right" vertical="center"/>
      <protection hidden="1"/>
    </xf>
    <xf numFmtId="0" fontId="77" fillId="3" borderId="0" xfId="0" applyNumberFormat="1" applyFont="1" applyFill="1" applyBorder="1" applyAlignment="1" applyProtection="1">
      <alignment horizontal="right" vertical="center"/>
      <protection hidden="1"/>
    </xf>
    <xf numFmtId="166" fontId="66" fillId="0" borderId="6" xfId="0" applyFont="1" applyBorder="1" applyAlignment="1" applyProtection="1">
      <alignment vertical="center"/>
      <protection hidden="1"/>
    </xf>
    <xf numFmtId="15" fontId="147" fillId="4" borderId="87" xfId="46" applyNumberFormat="1" applyFont="1" applyFill="1" applyBorder="1" applyAlignment="1" applyProtection="1">
      <alignment horizontal="center" vertical="center"/>
      <protection locked="0"/>
    </xf>
    <xf numFmtId="183" fontId="147" fillId="4" borderId="88" xfId="46" applyNumberFormat="1" applyFont="1" applyFill="1" applyBorder="1" applyAlignment="1" applyProtection="1">
      <alignment vertical="center"/>
      <protection locked="0"/>
    </xf>
    <xf numFmtId="183" fontId="147" fillId="4" borderId="12" xfId="46" applyNumberFormat="1" applyFont="1" applyFill="1" applyBorder="1" applyAlignment="1" applyProtection="1">
      <alignment horizontal="center" vertical="center"/>
      <protection locked="0"/>
    </xf>
    <xf numFmtId="15" fontId="147" fillId="4" borderId="40" xfId="46" applyNumberFormat="1" applyFont="1" applyFill="1" applyBorder="1" applyAlignment="1" applyProtection="1">
      <alignment horizontal="center" vertical="center"/>
      <protection locked="0"/>
    </xf>
    <xf numFmtId="193" fontId="147" fillId="4" borderId="88" xfId="46" applyNumberFormat="1" applyFont="1" applyFill="1" applyBorder="1" applyAlignment="1" applyProtection="1">
      <alignment vertical="center"/>
      <protection locked="0"/>
    </xf>
    <xf numFmtId="15" fontId="147" fillId="4" borderId="73" xfId="46" applyNumberFormat="1" applyFont="1" applyFill="1" applyBorder="1" applyAlignment="1" applyProtection="1">
      <alignment horizontal="center" vertical="center"/>
      <protection locked="0"/>
    </xf>
    <xf numFmtId="184" fontId="147" fillId="4" borderId="87" xfId="46" applyNumberFormat="1" applyFont="1" applyFill="1" applyBorder="1" applyAlignment="1" applyProtection="1">
      <alignment horizontal="center" vertical="center"/>
      <protection locked="0"/>
    </xf>
    <xf numFmtId="15" fontId="147" fillId="4" borderId="26" xfId="46" applyNumberFormat="1" applyFont="1" applyFill="1" applyBorder="1" applyAlignment="1" applyProtection="1">
      <alignment horizontal="center" vertical="center"/>
      <protection locked="0"/>
    </xf>
    <xf numFmtId="183" fontId="147" fillId="4" borderId="10" xfId="46" applyNumberFormat="1" applyFont="1" applyFill="1" applyBorder="1" applyAlignment="1" applyProtection="1">
      <alignment horizontal="center" vertical="center"/>
      <protection locked="0"/>
    </xf>
    <xf numFmtId="0" fontId="147" fillId="4" borderId="42" xfId="46" applyNumberFormat="1" applyFont="1" applyFill="1" applyBorder="1" applyAlignment="1" applyProtection="1">
      <alignment horizontal="center" vertical="center"/>
      <protection locked="0"/>
    </xf>
    <xf numFmtId="184" fontId="147" fillId="4" borderId="26" xfId="46" applyNumberFormat="1" applyFont="1" applyFill="1" applyBorder="1" applyAlignment="1" applyProtection="1">
      <alignment horizontal="center" vertical="center"/>
      <protection locked="0"/>
    </xf>
    <xf numFmtId="183" fontId="147" fillId="4" borderId="10" xfId="46" quotePrefix="1" applyNumberFormat="1" applyFont="1" applyFill="1" applyBorder="1" applyAlignment="1" applyProtection="1">
      <alignment horizontal="center" vertical="center"/>
      <protection locked="0"/>
    </xf>
    <xf numFmtId="0" fontId="147" fillId="4" borderId="42" xfId="46" applyNumberFormat="1" applyFont="1" applyFill="1" applyBorder="1" applyAlignment="1" applyProtection="1">
      <alignment vertical="center"/>
      <protection locked="0"/>
    </xf>
    <xf numFmtId="15" fontId="147" fillId="4" borderId="25" xfId="46" applyNumberFormat="1" applyFont="1" applyFill="1" applyBorder="1" applyAlignment="1" applyProtection="1">
      <alignment horizontal="center" vertical="center"/>
      <protection locked="0"/>
    </xf>
    <xf numFmtId="183" fontId="147" fillId="4" borderId="41" xfId="46" applyNumberFormat="1" applyFont="1" applyFill="1" applyBorder="1" applyAlignment="1" applyProtection="1">
      <alignment vertical="center"/>
      <protection locked="0"/>
    </xf>
    <xf numFmtId="183" fontId="147" fillId="4" borderId="36" xfId="46" applyNumberFormat="1" applyFont="1" applyFill="1" applyBorder="1" applyAlignment="1" applyProtection="1">
      <alignment horizontal="center" vertical="center"/>
      <protection locked="0"/>
    </xf>
    <xf numFmtId="0" fontId="147" fillId="4" borderId="35" xfId="46" applyNumberFormat="1" applyFont="1" applyFill="1" applyBorder="1" applyAlignment="1" applyProtection="1">
      <alignment horizontal="center" vertical="center"/>
      <protection locked="0"/>
    </xf>
    <xf numFmtId="193" fontId="147" fillId="4" borderId="41" xfId="46" applyNumberFormat="1" applyFont="1" applyFill="1" applyBorder="1" applyAlignment="1" applyProtection="1">
      <alignment vertical="center"/>
      <protection locked="0"/>
    </xf>
    <xf numFmtId="184" fontId="147" fillId="4" borderId="25" xfId="46" applyNumberFormat="1" applyFont="1" applyFill="1" applyBorder="1" applyAlignment="1" applyProtection="1">
      <alignment horizontal="center" vertical="center"/>
      <protection locked="0"/>
    </xf>
    <xf numFmtId="166" fontId="86" fillId="0" borderId="0" xfId="0" applyFont="1" applyAlignment="1" applyProtection="1">
      <alignment vertical="center"/>
      <protection hidden="1"/>
    </xf>
    <xf numFmtId="166" fontId="160" fillId="0" borderId="0" xfId="0" applyFont="1" applyAlignment="1" applyProtection="1">
      <alignment horizontal="right" vertical="center"/>
      <protection hidden="1"/>
    </xf>
    <xf numFmtId="15" fontId="151" fillId="3" borderId="0" xfId="46" applyNumberFormat="1" applyFont="1" applyFill="1" applyAlignment="1" applyProtection="1">
      <alignment horizontal="center" vertical="center"/>
      <protection hidden="1"/>
    </xf>
    <xf numFmtId="0" fontId="67" fillId="9" borderId="11" xfId="32" applyFont="1" applyFill="1" applyBorder="1" applyAlignment="1" applyProtection="1">
      <alignment horizontal="center" vertical="center" shrinkToFit="1"/>
      <protection hidden="1"/>
    </xf>
    <xf numFmtId="0" fontId="47" fillId="0" borderId="0" xfId="47" applyNumberFormat="1" applyFont="1" applyProtection="1">
      <protection hidden="1"/>
    </xf>
    <xf numFmtId="0" fontId="48" fillId="0" borderId="1" xfId="47" applyNumberFormat="1" applyFont="1" applyBorder="1" applyProtection="1">
      <protection hidden="1"/>
    </xf>
    <xf numFmtId="0" fontId="46" fillId="0" borderId="0" xfId="47" applyNumberFormat="1" applyFont="1" applyProtection="1">
      <protection hidden="1"/>
    </xf>
    <xf numFmtId="0" fontId="45" fillId="0" borderId="0" xfId="47" applyNumberFormat="1" applyFont="1" applyProtection="1">
      <protection hidden="1"/>
    </xf>
    <xf numFmtId="0" fontId="44" fillId="0" borderId="0" xfId="47" applyNumberFormat="1" applyFont="1" applyProtection="1">
      <protection hidden="1"/>
    </xf>
    <xf numFmtId="0" fontId="67" fillId="9" borderId="1" xfId="32" applyFont="1" applyFill="1" applyBorder="1" applyAlignment="1" applyProtection="1">
      <alignment horizontal="center" vertical="center" shrinkToFit="1"/>
      <protection hidden="1"/>
    </xf>
    <xf numFmtId="2" fontId="117" fillId="0" borderId="1" xfId="32" applyNumberFormat="1" applyFont="1" applyFill="1" applyBorder="1" applyAlignment="1" applyProtection="1">
      <alignment horizontal="center" vertical="center" shrinkToFit="1"/>
      <protection hidden="1"/>
    </xf>
    <xf numFmtId="0" fontId="67" fillId="9" borderId="1" xfId="32" applyFont="1" applyFill="1" applyBorder="1" applyAlignment="1" applyProtection="1">
      <alignment horizontal="right" vertical="center" shrinkToFit="1"/>
      <protection hidden="1"/>
    </xf>
    <xf numFmtId="178" fontId="60" fillId="0" borderId="1" xfId="47" applyNumberFormat="1" applyBorder="1" applyProtection="1">
      <protection hidden="1"/>
    </xf>
    <xf numFmtId="0" fontId="46" fillId="0" borderId="1" xfId="47" applyNumberFormat="1" applyFont="1" applyBorder="1" applyProtection="1">
      <protection hidden="1"/>
    </xf>
    <xf numFmtId="178" fontId="117" fillId="0" borderId="1" xfId="32" applyNumberFormat="1" applyFont="1" applyFill="1" applyBorder="1" applyAlignment="1" applyProtection="1">
      <alignment horizontal="center" vertical="center" shrinkToFit="1"/>
      <protection hidden="1"/>
    </xf>
    <xf numFmtId="178" fontId="66" fillId="0" borderId="1" xfId="32" applyNumberFormat="1" applyFont="1" applyFill="1" applyBorder="1" applyAlignment="1" applyProtection="1">
      <alignment horizontal="center" vertical="center" shrinkToFit="1"/>
      <protection hidden="1"/>
    </xf>
    <xf numFmtId="167" fontId="73" fillId="0" borderId="1" xfId="32" applyNumberFormat="1" applyFont="1" applyFill="1" applyBorder="1" applyAlignment="1" applyProtection="1">
      <alignment horizontal="center" vertical="center" shrinkToFit="1"/>
      <protection hidden="1"/>
    </xf>
    <xf numFmtId="0" fontId="60" fillId="0" borderId="6" xfId="47" applyNumberFormat="1" applyBorder="1" applyProtection="1">
      <protection hidden="1"/>
    </xf>
    <xf numFmtId="0" fontId="60" fillId="0" borderId="0" xfId="47" applyNumberFormat="1" applyAlignment="1" applyProtection="1">
      <protection hidden="1"/>
    </xf>
    <xf numFmtId="0" fontId="60" fillId="0" borderId="1" xfId="47" applyNumberFormat="1" applyBorder="1" applyAlignment="1" applyProtection="1">
      <protection hidden="1"/>
    </xf>
    <xf numFmtId="0" fontId="60" fillId="4" borderId="1" xfId="47" applyNumberFormat="1" applyFill="1" applyBorder="1" applyAlignment="1" applyProtection="1">
      <protection locked="0"/>
    </xf>
    <xf numFmtId="0" fontId="60" fillId="0" borderId="1" xfId="47" applyNumberFormat="1" applyFill="1" applyBorder="1" applyAlignment="1" applyProtection="1">
      <protection hidden="1"/>
    </xf>
    <xf numFmtId="0" fontId="59" fillId="0" borderId="1" xfId="47" applyNumberFormat="1" applyFont="1" applyBorder="1" applyAlignment="1" applyProtection="1">
      <protection hidden="1"/>
    </xf>
    <xf numFmtId="0" fontId="57" fillId="0" borderId="1" xfId="47" applyNumberFormat="1" applyFont="1" applyBorder="1" applyAlignment="1" applyProtection="1">
      <protection hidden="1"/>
    </xf>
    <xf numFmtId="0" fontId="51" fillId="0" borderId="0" xfId="47" applyNumberFormat="1" applyFont="1" applyAlignment="1" applyProtection="1">
      <protection hidden="1"/>
    </xf>
    <xf numFmtId="0" fontId="150" fillId="0" borderId="1" xfId="47" applyNumberFormat="1" applyFont="1" applyBorder="1" applyAlignment="1" applyProtection="1">
      <protection hidden="1"/>
    </xf>
    <xf numFmtId="0" fontId="43" fillId="0" borderId="0" xfId="47" applyNumberFormat="1" applyFont="1" applyAlignment="1" applyProtection="1">
      <protection hidden="1"/>
    </xf>
    <xf numFmtId="0" fontId="60" fillId="0" borderId="30" xfId="47" applyNumberFormat="1" applyBorder="1" applyAlignment="1" applyProtection="1">
      <protection hidden="1"/>
    </xf>
    <xf numFmtId="0" fontId="80" fillId="5" borderId="60" xfId="21" applyNumberFormat="1" applyFont="1" applyFill="1" applyBorder="1" applyAlignment="1" applyProtection="1">
      <alignment horizontal="center" vertical="center"/>
      <protection hidden="1"/>
    </xf>
    <xf numFmtId="0" fontId="80" fillId="5" borderId="75" xfId="21" applyNumberFormat="1" applyFont="1" applyFill="1" applyBorder="1" applyAlignment="1" applyProtection="1">
      <alignment horizontal="center" vertical="center"/>
      <protection hidden="1"/>
    </xf>
    <xf numFmtId="0" fontId="80" fillId="5" borderId="60" xfId="21" applyNumberFormat="1" applyFont="1" applyFill="1" applyBorder="1" applyAlignment="1" applyProtection="1">
      <alignment horizontal="center"/>
      <protection hidden="1"/>
    </xf>
    <xf numFmtId="0" fontId="128" fillId="0" borderId="0" xfId="47" applyNumberFormat="1" applyFont="1" applyAlignment="1" applyProtection="1">
      <protection hidden="1"/>
    </xf>
    <xf numFmtId="0" fontId="128" fillId="0" borderId="0" xfId="47" applyNumberFormat="1" applyFont="1" applyBorder="1" applyProtection="1">
      <protection hidden="1"/>
    </xf>
    <xf numFmtId="0" fontId="126" fillId="5" borderId="92" xfId="45" applyNumberFormat="1" applyFont="1" applyFill="1" applyBorder="1" applyAlignment="1" applyProtection="1">
      <alignment horizontal="center" shrinkToFit="1"/>
      <protection hidden="1"/>
    </xf>
    <xf numFmtId="0" fontId="126" fillId="5" borderId="93" xfId="45" applyNumberFormat="1" applyFont="1" applyFill="1" applyBorder="1" applyAlignment="1" applyProtection="1">
      <alignment horizontal="center" vertical="center" shrinkToFit="1"/>
      <protection hidden="1"/>
    </xf>
    <xf numFmtId="0" fontId="126" fillId="5" borderId="94" xfId="45" applyNumberFormat="1" applyFont="1" applyFill="1" applyBorder="1" applyAlignment="1" applyProtection="1">
      <alignment horizontal="center" vertical="center" shrinkToFit="1"/>
      <protection hidden="1"/>
    </xf>
    <xf numFmtId="0" fontId="126" fillId="5" borderId="95" xfId="45" applyNumberFormat="1" applyFont="1" applyFill="1" applyBorder="1" applyAlignment="1" applyProtection="1">
      <alignment horizontal="center" vertical="center" shrinkToFit="1"/>
      <protection hidden="1"/>
    </xf>
    <xf numFmtId="0" fontId="126" fillId="5" borderId="92" xfId="45" applyNumberFormat="1" applyFont="1" applyFill="1" applyBorder="1" applyAlignment="1" applyProtection="1">
      <alignment horizontal="center" vertical="center" shrinkToFit="1"/>
      <protection hidden="1"/>
    </xf>
    <xf numFmtId="0" fontId="126" fillId="5" borderId="97" xfId="45" applyNumberFormat="1" applyFont="1" applyFill="1" applyBorder="1" applyAlignment="1" applyProtection="1">
      <alignment horizontal="center" vertical="center" shrinkToFit="1"/>
      <protection hidden="1"/>
    </xf>
    <xf numFmtId="0" fontId="43" fillId="0" borderId="1" xfId="47" applyNumberFormat="1" applyFont="1" applyBorder="1" applyProtection="1">
      <protection hidden="1"/>
    </xf>
    <xf numFmtId="0" fontId="62" fillId="0" borderId="0" xfId="40" applyProtection="1">
      <protection hidden="1"/>
    </xf>
    <xf numFmtId="166" fontId="78" fillId="3" borderId="0" xfId="43" applyFont="1" applyFill="1" applyBorder="1" applyAlignment="1" applyProtection="1">
      <alignment horizontal="right"/>
      <protection hidden="1"/>
    </xf>
    <xf numFmtId="166" fontId="77" fillId="3" borderId="0" xfId="43" applyFont="1" applyFill="1" applyBorder="1" applyAlignment="1" applyProtection="1">
      <alignment horizontal="right"/>
      <protection hidden="1"/>
    </xf>
    <xf numFmtId="0" fontId="62" fillId="3" borderId="6" xfId="40" applyFill="1" applyBorder="1" applyProtection="1">
      <protection hidden="1"/>
    </xf>
    <xf numFmtId="166" fontId="77" fillId="3" borderId="6" xfId="42" applyFont="1" applyFill="1" applyBorder="1" applyAlignment="1" applyProtection="1">
      <alignment horizontal="right"/>
      <protection hidden="1"/>
    </xf>
    <xf numFmtId="166" fontId="65" fillId="3" borderId="6" xfId="42" applyFill="1" applyBorder="1" applyAlignment="1" applyProtection="1">
      <alignment horizontal="right"/>
      <protection hidden="1"/>
    </xf>
    <xf numFmtId="0" fontId="64" fillId="5" borderId="0" xfId="40" applyFont="1" applyFill="1" applyProtection="1">
      <protection hidden="1"/>
    </xf>
    <xf numFmtId="0" fontId="64" fillId="3" borderId="0" xfId="40" applyFont="1" applyFill="1" applyAlignment="1" applyProtection="1">
      <alignment horizontal="left"/>
      <protection hidden="1"/>
    </xf>
    <xf numFmtId="0" fontId="62" fillId="0" borderId="8" xfId="40" applyBorder="1" applyProtection="1">
      <protection hidden="1"/>
    </xf>
    <xf numFmtId="166" fontId="130" fillId="3" borderId="0" xfId="43" applyFont="1" applyFill="1" applyBorder="1" applyAlignment="1" applyProtection="1">
      <alignment horizontal="right"/>
      <protection hidden="1"/>
    </xf>
    <xf numFmtId="166" fontId="162" fillId="3" borderId="0" xfId="43" applyFont="1" applyFill="1" applyBorder="1" applyAlignment="1" applyProtection="1">
      <alignment horizontal="right"/>
      <protection hidden="1"/>
    </xf>
    <xf numFmtId="0" fontId="144" fillId="21" borderId="55" xfId="21" applyFont="1" applyFill="1" applyBorder="1" applyAlignment="1" applyProtection="1">
      <alignment horizontal="center" vertical="center"/>
      <protection hidden="1"/>
    </xf>
    <xf numFmtId="0" fontId="144" fillId="21" borderId="54" xfId="21" applyFont="1" applyFill="1" applyBorder="1" applyAlignment="1" applyProtection="1">
      <alignment horizontal="center" vertical="center"/>
      <protection hidden="1"/>
    </xf>
    <xf numFmtId="0" fontId="43" fillId="3" borderId="6" xfId="40" applyFont="1" applyFill="1" applyBorder="1" applyProtection="1">
      <protection hidden="1"/>
    </xf>
    <xf numFmtId="166" fontId="79" fillId="3" borderId="6" xfId="41" applyFont="1" applyFill="1" applyBorder="1" applyProtection="1">
      <protection hidden="1"/>
    </xf>
    <xf numFmtId="166" fontId="162" fillId="3" borderId="6" xfId="41" applyFont="1" applyFill="1" applyBorder="1" applyAlignment="1" applyProtection="1">
      <alignment horizontal="right"/>
      <protection hidden="1"/>
    </xf>
    <xf numFmtId="166" fontId="79" fillId="3" borderId="6" xfId="41" applyFont="1" applyFill="1" applyBorder="1" applyAlignment="1" applyProtection="1">
      <alignment horizontal="right"/>
      <protection hidden="1"/>
    </xf>
    <xf numFmtId="0" fontId="64" fillId="4" borderId="0" xfId="40" applyFont="1" applyFill="1" applyAlignment="1" applyProtection="1">
      <alignment horizontal="center"/>
      <protection locked="0"/>
    </xf>
    <xf numFmtId="0" fontId="62" fillId="0" borderId="0" xfId="40" applyBorder="1" applyProtection="1">
      <protection hidden="1"/>
    </xf>
    <xf numFmtId="0" fontId="137" fillId="5" borderId="0" xfId="40" applyFont="1" applyFill="1" applyAlignment="1" applyProtection="1">
      <alignment horizontal="center"/>
      <protection hidden="1"/>
    </xf>
    <xf numFmtId="0" fontId="163" fillId="5" borderId="0" xfId="40" applyFont="1" applyFill="1" applyAlignment="1" applyProtection="1">
      <alignment horizontal="center"/>
      <protection hidden="1"/>
    </xf>
    <xf numFmtId="15" fontId="42" fillId="3" borderId="0" xfId="40" applyNumberFormat="1" applyFont="1" applyFill="1" applyAlignment="1" applyProtection="1">
      <alignment horizontal="left"/>
      <protection hidden="1"/>
    </xf>
    <xf numFmtId="1" fontId="76" fillId="3" borderId="0" xfId="40" applyNumberFormat="1" applyFont="1" applyFill="1" applyAlignment="1" applyProtection="1">
      <alignment horizontal="left"/>
      <protection hidden="1"/>
    </xf>
    <xf numFmtId="0" fontId="67" fillId="6" borderId="0" xfId="21" applyNumberFormat="1" applyFont="1" applyFill="1" applyBorder="1" applyAlignment="1" applyProtection="1">
      <alignment horizontal="left" vertical="center"/>
      <protection hidden="1"/>
    </xf>
    <xf numFmtId="0" fontId="66" fillId="6" borderId="0" xfId="21" applyNumberFormat="1" applyFont="1" applyFill="1" applyBorder="1" applyAlignment="1" applyProtection="1">
      <alignment horizontal="left" vertical="center"/>
      <protection hidden="1"/>
    </xf>
    <xf numFmtId="15" fontId="66" fillId="6" borderId="0" xfId="21" applyNumberFormat="1" applyFont="1" applyFill="1" applyBorder="1" applyAlignment="1" applyProtection="1">
      <alignment horizontal="left" vertical="center"/>
      <protection hidden="1"/>
    </xf>
    <xf numFmtId="2" fontId="140" fillId="24" borderId="1" xfId="29" applyNumberFormat="1" applyFont="1" applyFill="1" applyBorder="1" applyAlignment="1" applyProtection="1">
      <alignment horizontal="center" vertical="center"/>
      <protection locked="0"/>
    </xf>
    <xf numFmtId="166" fontId="74" fillId="7" borderId="14" xfId="0" applyFont="1" applyFill="1" applyBorder="1" applyAlignment="1" applyProtection="1">
      <alignment horizontal="center" vertical="top" wrapText="1"/>
      <protection hidden="1"/>
    </xf>
    <xf numFmtId="178" fontId="138" fillId="17" borderId="49" xfId="21" applyNumberFormat="1" applyFont="1" applyFill="1" applyBorder="1" applyAlignment="1" applyProtection="1">
      <alignment horizontal="center" vertical="center"/>
      <protection hidden="1"/>
    </xf>
    <xf numFmtId="0" fontId="41" fillId="3" borderId="0" xfId="40" applyFont="1" applyFill="1" applyProtection="1">
      <protection hidden="1"/>
    </xf>
    <xf numFmtId="0" fontId="41" fillId="3" borderId="0" xfId="40" applyFont="1" applyFill="1" applyBorder="1" applyProtection="1">
      <protection hidden="1"/>
    </xf>
    <xf numFmtId="166" fontId="79" fillId="3" borderId="0" xfId="41" applyFont="1" applyFill="1" applyBorder="1" applyProtection="1">
      <protection hidden="1"/>
    </xf>
    <xf numFmtId="0" fontId="128" fillId="3" borderId="0" xfId="40" applyFont="1" applyFill="1" applyProtection="1">
      <protection hidden="1"/>
    </xf>
    <xf numFmtId="0" fontId="128" fillId="3" borderId="0" xfId="40" applyFont="1" applyFill="1" applyBorder="1" applyProtection="1">
      <protection hidden="1"/>
    </xf>
    <xf numFmtId="166" fontId="129" fillId="3" borderId="0" xfId="41" applyFont="1" applyFill="1" applyBorder="1" applyProtection="1">
      <protection hidden="1"/>
    </xf>
    <xf numFmtId="166" fontId="130" fillId="3" borderId="0" xfId="41" applyFont="1" applyFill="1" applyBorder="1" applyAlignment="1" applyProtection="1">
      <alignment horizontal="right" wrapText="1"/>
      <protection hidden="1"/>
    </xf>
    <xf numFmtId="166" fontId="129" fillId="3" borderId="0" xfId="41" applyFont="1" applyFill="1" applyBorder="1" applyAlignment="1" applyProtection="1">
      <alignment horizontal="right" wrapText="1"/>
      <protection hidden="1"/>
    </xf>
    <xf numFmtId="0" fontId="162" fillId="3" borderId="0" xfId="40" applyFont="1" applyFill="1" applyProtection="1">
      <protection hidden="1"/>
    </xf>
    <xf numFmtId="0" fontId="162" fillId="3" borderId="0" xfId="40" applyFont="1" applyFill="1" applyBorder="1" applyProtection="1">
      <protection hidden="1"/>
    </xf>
    <xf numFmtId="166" fontId="167" fillId="3" borderId="0" xfId="41" applyFont="1" applyFill="1" applyBorder="1" applyProtection="1">
      <protection hidden="1"/>
    </xf>
    <xf numFmtId="166" fontId="162" fillId="3" borderId="0" xfId="41" applyFont="1" applyFill="1" applyBorder="1" applyAlignment="1" applyProtection="1">
      <alignment horizontal="right" wrapText="1"/>
      <protection hidden="1"/>
    </xf>
    <xf numFmtId="166" fontId="167" fillId="3" borderId="0" xfId="41" applyFont="1" applyFill="1" applyBorder="1" applyAlignment="1" applyProtection="1">
      <alignment horizontal="right" wrapText="1"/>
      <protection hidden="1"/>
    </xf>
    <xf numFmtId="0" fontId="162" fillId="0" borderId="0" xfId="40" applyFont="1" applyAlignment="1" applyProtection="1">
      <protection hidden="1"/>
    </xf>
    <xf numFmtId="0" fontId="41" fillId="3" borderId="6" xfId="40" applyFont="1" applyFill="1" applyBorder="1" applyProtection="1">
      <protection hidden="1"/>
    </xf>
    <xf numFmtId="166" fontId="162" fillId="3" borderId="0" xfId="41" applyFont="1" applyFill="1" applyBorder="1" applyAlignment="1" applyProtection="1">
      <alignment horizontal="right"/>
      <protection hidden="1"/>
    </xf>
    <xf numFmtId="166" fontId="79" fillId="3" borderId="0" xfId="41" applyFont="1" applyFill="1" applyBorder="1" applyAlignment="1" applyProtection="1">
      <alignment horizontal="right"/>
      <protection hidden="1"/>
    </xf>
    <xf numFmtId="0" fontId="165" fillId="3" borderId="0" xfId="40" applyFont="1" applyFill="1" applyAlignment="1" applyProtection="1">
      <alignment horizontal="center"/>
      <protection hidden="1"/>
    </xf>
    <xf numFmtId="0" fontId="165" fillId="5" borderId="0" xfId="40" applyFont="1" applyFill="1" applyAlignment="1" applyProtection="1">
      <alignment horizontal="center"/>
      <protection hidden="1"/>
    </xf>
    <xf numFmtId="0" fontId="64" fillId="3" borderId="0" xfId="40" applyFont="1" applyFill="1" applyAlignment="1" applyProtection="1">
      <alignment horizontal="center"/>
      <protection hidden="1"/>
    </xf>
    <xf numFmtId="0" fontId="41" fillId="3" borderId="0" xfId="40" applyFont="1" applyFill="1" applyAlignment="1" applyProtection="1">
      <alignment horizontal="left"/>
      <protection hidden="1"/>
    </xf>
    <xf numFmtId="15" fontId="41" fillId="3" borderId="0" xfId="40" applyNumberFormat="1" applyFont="1" applyFill="1" applyAlignment="1" applyProtection="1">
      <alignment horizontal="left"/>
      <protection hidden="1"/>
    </xf>
    <xf numFmtId="1" fontId="79" fillId="3" borderId="0" xfId="40" applyNumberFormat="1" applyFont="1" applyFill="1" applyAlignment="1" applyProtection="1">
      <alignment horizontal="left"/>
      <protection hidden="1"/>
    </xf>
    <xf numFmtId="0" fontId="41" fillId="3" borderId="0" xfId="40" applyFont="1" applyFill="1" applyBorder="1" applyAlignment="1" applyProtection="1">
      <alignment horizontal="center"/>
      <protection hidden="1"/>
    </xf>
    <xf numFmtId="0" fontId="64" fillId="3" borderId="0" xfId="40" applyFont="1" applyFill="1" applyBorder="1" applyAlignment="1" applyProtection="1">
      <alignment horizontal="center" vertical="justify"/>
      <protection hidden="1"/>
    </xf>
    <xf numFmtId="0" fontId="136" fillId="3" borderId="0" xfId="40" applyFont="1" applyFill="1" applyAlignment="1" applyProtection="1">
      <alignment horizontal="center"/>
      <protection hidden="1"/>
    </xf>
    <xf numFmtId="0" fontId="127" fillId="3" borderId="0" xfId="40" applyFont="1" applyFill="1" applyProtection="1">
      <protection hidden="1"/>
    </xf>
    <xf numFmtId="0" fontId="126" fillId="6" borderId="0" xfId="40" applyFont="1" applyFill="1" applyProtection="1">
      <protection hidden="1"/>
    </xf>
    <xf numFmtId="0" fontId="136" fillId="6" borderId="0" xfId="40" applyFont="1" applyFill="1" applyAlignment="1" applyProtection="1">
      <alignment horizontal="center"/>
      <protection hidden="1"/>
    </xf>
    <xf numFmtId="166" fontId="167" fillId="3" borderId="0" xfId="41" applyFont="1" applyFill="1" applyBorder="1" applyAlignment="1" applyProtection="1">
      <alignment horizontal="right"/>
      <protection hidden="1"/>
    </xf>
    <xf numFmtId="0" fontId="166" fillId="3" borderId="0" xfId="40" applyFont="1" applyFill="1" applyAlignment="1" applyProtection="1">
      <alignment horizontal="center"/>
      <protection hidden="1"/>
    </xf>
    <xf numFmtId="0" fontId="168" fillId="3" borderId="0" xfId="40" applyFont="1" applyFill="1" applyAlignment="1" applyProtection="1">
      <alignment horizontal="center"/>
      <protection hidden="1"/>
    </xf>
    <xf numFmtId="0" fontId="169" fillId="6" borderId="0" xfId="40" applyFont="1" applyFill="1" applyProtection="1">
      <protection hidden="1"/>
    </xf>
    <xf numFmtId="0" fontId="168" fillId="6" borderId="0" xfId="40" applyFont="1" applyFill="1" applyAlignment="1" applyProtection="1">
      <alignment horizontal="center"/>
      <protection hidden="1"/>
    </xf>
    <xf numFmtId="0" fontId="41" fillId="3" borderId="0" xfId="40" applyFont="1" applyFill="1" applyAlignment="1" applyProtection="1">
      <alignment horizontal="justify" vertical="justify"/>
      <protection hidden="1"/>
    </xf>
    <xf numFmtId="0" fontId="127" fillId="3" borderId="0" xfId="40" applyFont="1" applyFill="1" applyAlignment="1" applyProtection="1">
      <alignment horizontal="left" vertical="justify"/>
      <protection hidden="1"/>
    </xf>
    <xf numFmtId="0" fontId="41" fillId="3" borderId="0" xfId="40" applyFont="1" applyFill="1" applyAlignment="1" applyProtection="1">
      <alignment horizontal="left" vertical="justify"/>
      <protection hidden="1"/>
    </xf>
    <xf numFmtId="166" fontId="79" fillId="3" borderId="0" xfId="43" applyFont="1" applyFill="1" applyBorder="1" applyProtection="1">
      <protection hidden="1"/>
    </xf>
    <xf numFmtId="166" fontId="79" fillId="3" borderId="0" xfId="43" applyFont="1" applyFill="1" applyBorder="1" applyAlignment="1" applyProtection="1">
      <alignment horizontal="right" wrapText="1"/>
      <protection hidden="1"/>
    </xf>
    <xf numFmtId="166" fontId="167" fillId="3" borderId="0" xfId="43" applyFont="1" applyFill="1" applyBorder="1" applyProtection="1">
      <protection hidden="1"/>
    </xf>
    <xf numFmtId="166" fontId="167" fillId="3" borderId="0" xfId="43" applyFont="1" applyFill="1" applyBorder="1" applyAlignment="1" applyProtection="1">
      <alignment horizontal="right" wrapText="1"/>
      <protection hidden="1"/>
    </xf>
    <xf numFmtId="166" fontId="79" fillId="3" borderId="6" xfId="43" applyFont="1" applyFill="1" applyBorder="1" applyProtection="1">
      <protection hidden="1"/>
    </xf>
    <xf numFmtId="166" fontId="162" fillId="3" borderId="6" xfId="43" applyFont="1" applyFill="1" applyBorder="1" applyAlignment="1" applyProtection="1">
      <alignment horizontal="right"/>
      <protection hidden="1"/>
    </xf>
    <xf numFmtId="166" fontId="79" fillId="3" borderId="6" xfId="43" applyFont="1" applyFill="1" applyBorder="1" applyAlignment="1" applyProtection="1">
      <alignment horizontal="right"/>
      <protection hidden="1"/>
    </xf>
    <xf numFmtId="166" fontId="167" fillId="3" borderId="0" xfId="43" applyFont="1" applyFill="1" applyBorder="1" applyAlignment="1" applyProtection="1">
      <alignment horizontal="right"/>
      <protection hidden="1"/>
    </xf>
    <xf numFmtId="0" fontId="170" fillId="3" borderId="0" xfId="40" applyFont="1" applyFill="1" applyProtection="1">
      <protection hidden="1"/>
    </xf>
    <xf numFmtId="0" fontId="64" fillId="18" borderId="30" xfId="40" applyFont="1" applyFill="1" applyBorder="1" applyAlignment="1" applyProtection="1">
      <alignment vertical="center"/>
      <protection hidden="1"/>
    </xf>
    <xf numFmtId="0" fontId="64" fillId="18" borderId="29" xfId="40" applyFont="1" applyFill="1" applyBorder="1" applyAlignment="1" applyProtection="1">
      <alignment vertical="center"/>
      <protection hidden="1"/>
    </xf>
    <xf numFmtId="0" fontId="64" fillId="18" borderId="29" xfId="40" applyFont="1" applyFill="1" applyBorder="1" applyAlignment="1" applyProtection="1">
      <alignment horizontal="center" vertical="center"/>
      <protection hidden="1"/>
    </xf>
    <xf numFmtId="0" fontId="64" fillId="18" borderId="28" xfId="40" applyFont="1" applyFill="1" applyBorder="1" applyAlignment="1" applyProtection="1">
      <alignment vertical="center"/>
      <protection hidden="1"/>
    </xf>
    <xf numFmtId="0" fontId="170" fillId="3" borderId="31" xfId="40" applyFont="1" applyFill="1" applyBorder="1" applyProtection="1">
      <protection hidden="1"/>
    </xf>
    <xf numFmtId="0" fontId="170" fillId="3" borderId="0" xfId="40" applyFont="1" applyFill="1" applyBorder="1" applyProtection="1">
      <protection hidden="1"/>
    </xf>
    <xf numFmtId="0" fontId="162" fillId="0" borderId="0" xfId="40" applyFont="1" applyProtection="1">
      <protection hidden="1"/>
    </xf>
    <xf numFmtId="166" fontId="172" fillId="0" borderId="0" xfId="0" applyFont="1" applyProtection="1">
      <protection hidden="1"/>
    </xf>
    <xf numFmtId="166" fontId="113" fillId="0" borderId="0" xfId="27" applyNumberFormat="1" applyFont="1" applyFill="1" applyBorder="1" applyAlignment="1" applyProtection="1">
      <alignment horizontal="center" wrapText="1"/>
      <protection hidden="1"/>
    </xf>
    <xf numFmtId="166" fontId="173" fillId="0" borderId="0" xfId="0" applyFont="1" applyAlignment="1" applyProtection="1">
      <alignment horizontal="center" wrapText="1"/>
      <protection hidden="1"/>
    </xf>
    <xf numFmtId="166" fontId="172" fillId="0" borderId="0" xfId="0" applyFont="1" applyAlignment="1" applyProtection="1">
      <alignment wrapText="1"/>
      <protection hidden="1"/>
    </xf>
    <xf numFmtId="166" fontId="174" fillId="0" borderId="0" xfId="27" applyNumberFormat="1" applyFont="1" applyFill="1" applyProtection="1">
      <protection hidden="1"/>
    </xf>
    <xf numFmtId="166" fontId="174" fillId="0" borderId="1" xfId="27" applyNumberFormat="1" applyFont="1" applyFill="1" applyBorder="1" applyProtection="1">
      <protection hidden="1"/>
    </xf>
    <xf numFmtId="166" fontId="113" fillId="0" borderId="0" xfId="27" applyNumberFormat="1" applyFont="1" applyFill="1" applyBorder="1" applyAlignment="1" applyProtection="1">
      <alignment horizontal="center"/>
      <protection hidden="1"/>
    </xf>
    <xf numFmtId="166" fontId="173" fillId="0" borderId="0" xfId="0" applyFont="1" applyAlignment="1" applyProtection="1">
      <alignment horizontal="center"/>
      <protection hidden="1"/>
    </xf>
    <xf numFmtId="166" fontId="171" fillId="0" borderId="0" xfId="59" applyFont="1" applyProtection="1">
      <protection hidden="1"/>
    </xf>
    <xf numFmtId="0" fontId="41" fillId="3" borderId="0" xfId="40" applyFont="1" applyFill="1" applyBorder="1" applyAlignment="1" applyProtection="1">
      <alignment horizontal="center" vertical="justify"/>
      <protection hidden="1"/>
    </xf>
    <xf numFmtId="166" fontId="79" fillId="0" borderId="0" xfId="0" applyFont="1" applyAlignment="1">
      <alignment vertical="center"/>
    </xf>
    <xf numFmtId="15" fontId="83" fillId="4" borderId="98" xfId="0" applyNumberFormat="1" applyFont="1" applyFill="1" applyBorder="1" applyAlignment="1" applyProtection="1">
      <alignment horizontal="right" vertical="center"/>
      <protection locked="0"/>
    </xf>
    <xf numFmtId="178" fontId="164" fillId="4" borderId="98" xfId="0" applyNumberFormat="1" applyFont="1" applyFill="1" applyBorder="1" applyAlignment="1" applyProtection="1">
      <alignment horizontal="center" vertical="center" wrapText="1"/>
      <protection locked="0"/>
    </xf>
    <xf numFmtId="178" fontId="164" fillId="4" borderId="75" xfId="0" applyNumberFormat="1" applyFont="1" applyFill="1" applyBorder="1" applyAlignment="1" applyProtection="1">
      <alignment horizontal="center" vertical="center" wrapText="1"/>
      <protection locked="0"/>
    </xf>
    <xf numFmtId="178" fontId="164" fillId="4" borderId="40" xfId="0" applyNumberFormat="1" applyFont="1" applyFill="1" applyBorder="1" applyAlignment="1" applyProtection="1">
      <alignment horizontal="center" vertical="center" wrapText="1"/>
      <protection locked="0"/>
    </xf>
    <xf numFmtId="178" fontId="164" fillId="4" borderId="88" xfId="0" applyNumberFormat="1" applyFont="1" applyFill="1" applyBorder="1" applyAlignment="1" applyProtection="1">
      <alignment horizontal="center" vertical="center" wrapText="1"/>
      <protection locked="0"/>
    </xf>
    <xf numFmtId="178" fontId="164" fillId="4" borderId="10" xfId="0" applyNumberFormat="1" applyFont="1" applyFill="1" applyBorder="1" applyAlignment="1" applyProtection="1">
      <alignment horizontal="center" vertical="center" wrapText="1"/>
      <protection locked="0"/>
    </xf>
    <xf numFmtId="178" fontId="164" fillId="4" borderId="36" xfId="0" applyNumberFormat="1" applyFont="1" applyFill="1" applyBorder="1" applyAlignment="1" applyProtection="1">
      <alignment horizontal="center" vertical="center" wrapText="1"/>
      <protection locked="0"/>
    </xf>
    <xf numFmtId="166" fontId="167" fillId="0" borderId="0" xfId="0" applyFont="1" applyAlignment="1" applyProtection="1">
      <alignment horizontal="left" wrapText="1"/>
      <protection hidden="1"/>
    </xf>
    <xf numFmtId="166" fontId="177" fillId="0" borderId="0" xfId="0" applyFont="1" applyProtection="1">
      <protection hidden="1"/>
    </xf>
    <xf numFmtId="166" fontId="74" fillId="7" borderId="64" xfId="0" applyFont="1" applyFill="1" applyBorder="1" applyAlignment="1" applyProtection="1">
      <alignment horizontal="center" vertical="top" shrinkToFit="1"/>
      <protection hidden="1"/>
    </xf>
    <xf numFmtId="166" fontId="74" fillId="7" borderId="101" xfId="0" applyFont="1" applyFill="1" applyBorder="1" applyAlignment="1" applyProtection="1">
      <alignment horizontal="center" vertical="top" shrinkToFit="1"/>
      <protection hidden="1"/>
    </xf>
    <xf numFmtId="166" fontId="74" fillId="7" borderId="102" xfId="0" applyFont="1" applyFill="1" applyBorder="1" applyAlignment="1" applyProtection="1">
      <alignment horizontal="center" vertical="top" shrinkToFit="1"/>
      <protection hidden="1"/>
    </xf>
    <xf numFmtId="166" fontId="176" fillId="7" borderId="91" xfId="0" applyFont="1" applyFill="1" applyBorder="1" applyAlignment="1" applyProtection="1">
      <alignment horizontal="center" vertical="top" shrinkToFit="1"/>
      <protection hidden="1"/>
    </xf>
    <xf numFmtId="166" fontId="176" fillId="7" borderId="76" xfId="0" applyFont="1" applyFill="1" applyBorder="1" applyAlignment="1" applyProtection="1">
      <alignment horizontal="center" vertical="top" shrinkToFit="1"/>
      <protection hidden="1"/>
    </xf>
    <xf numFmtId="166" fontId="176" fillId="7" borderId="100" xfId="0" applyFont="1" applyFill="1" applyBorder="1" applyAlignment="1" applyProtection="1">
      <alignment horizontal="center" vertical="top" shrinkToFit="1"/>
      <protection hidden="1"/>
    </xf>
    <xf numFmtId="166" fontId="74" fillId="0" borderId="30" xfId="0" applyFont="1" applyBorder="1" applyAlignment="1" applyProtection="1">
      <alignment horizontal="left" vertical="center"/>
      <protection hidden="1"/>
    </xf>
    <xf numFmtId="166" fontId="74" fillId="0" borderId="29" xfId="0" applyFont="1" applyBorder="1" applyAlignment="1" applyProtection="1">
      <alignment horizontal="left" vertical="center"/>
      <protection hidden="1"/>
    </xf>
    <xf numFmtId="166" fontId="74" fillId="0" borderId="29" xfId="0" applyFont="1" applyBorder="1" applyAlignment="1" applyProtection="1">
      <alignment horizontal="right" vertical="center" wrapText="1"/>
      <protection hidden="1"/>
    </xf>
    <xf numFmtId="178" fontId="81" fillId="0" borderId="98" xfId="0" applyNumberFormat="1" applyFont="1" applyFill="1" applyBorder="1" applyAlignment="1" applyProtection="1">
      <alignment horizontal="center" vertical="center" shrinkToFit="1"/>
      <protection hidden="1"/>
    </xf>
    <xf numFmtId="178" fontId="81" fillId="0" borderId="75" xfId="0" applyNumberFormat="1" applyFont="1" applyFill="1" applyBorder="1" applyAlignment="1" applyProtection="1">
      <alignment horizontal="center" vertical="center" shrinkToFit="1"/>
      <protection hidden="1"/>
    </xf>
    <xf numFmtId="178" fontId="81" fillId="0" borderId="40" xfId="0" applyNumberFormat="1" applyFont="1" applyFill="1" applyBorder="1" applyAlignment="1" applyProtection="1">
      <alignment horizontal="center" vertical="center" shrinkToFit="1"/>
      <protection hidden="1"/>
    </xf>
    <xf numFmtId="178" fontId="81" fillId="0" borderId="88" xfId="0" applyNumberFormat="1" applyFont="1" applyFill="1" applyBorder="1" applyAlignment="1" applyProtection="1">
      <alignment horizontal="center" vertical="center" shrinkToFit="1"/>
      <protection hidden="1"/>
    </xf>
    <xf numFmtId="178" fontId="81" fillId="0" borderId="10" xfId="0" applyNumberFormat="1" applyFont="1" applyFill="1" applyBorder="1" applyAlignment="1" applyProtection="1">
      <alignment horizontal="center" vertical="center" shrinkToFit="1"/>
      <protection hidden="1"/>
    </xf>
    <xf numFmtId="178" fontId="81" fillId="0" borderId="42" xfId="0" applyNumberFormat="1" applyFont="1" applyFill="1" applyBorder="1" applyAlignment="1" applyProtection="1">
      <alignment horizontal="center" vertical="center" shrinkToFit="1"/>
      <protection hidden="1"/>
    </xf>
    <xf numFmtId="178" fontId="67" fillId="0" borderId="41" xfId="0" applyNumberFormat="1" applyFont="1" applyFill="1" applyBorder="1" applyAlignment="1" applyProtection="1">
      <alignment horizontal="center" vertical="center" shrinkToFit="1"/>
      <protection hidden="1"/>
    </xf>
    <xf numFmtId="178" fontId="67" fillId="0" borderId="36" xfId="0" applyNumberFormat="1" applyFont="1" applyFill="1" applyBorder="1" applyAlignment="1" applyProtection="1">
      <alignment horizontal="center" vertical="center" shrinkToFit="1"/>
      <protection hidden="1"/>
    </xf>
    <xf numFmtId="178" fontId="67" fillId="0" borderId="35" xfId="0" applyNumberFormat="1" applyFont="1" applyFill="1" applyBorder="1" applyAlignment="1" applyProtection="1">
      <alignment horizontal="center" vertical="center" shrinkToFit="1"/>
      <protection hidden="1"/>
    </xf>
    <xf numFmtId="178" fontId="92" fillId="0" borderId="63" xfId="0" applyNumberFormat="1" applyFont="1" applyFill="1" applyBorder="1" applyAlignment="1" applyProtection="1">
      <alignment horizontal="center" vertical="center" shrinkToFit="1"/>
      <protection hidden="1"/>
    </xf>
    <xf numFmtId="178" fontId="92" fillId="0" borderId="45" xfId="0" applyNumberFormat="1" applyFont="1" applyFill="1" applyBorder="1" applyAlignment="1" applyProtection="1">
      <alignment horizontal="center" vertical="center" shrinkToFit="1"/>
      <protection hidden="1"/>
    </xf>
    <xf numFmtId="178" fontId="92" fillId="0" borderId="74" xfId="0" applyNumberFormat="1" applyFont="1" applyFill="1" applyBorder="1" applyAlignment="1" applyProtection="1">
      <alignment horizontal="center" vertical="center" shrinkToFit="1"/>
      <protection hidden="1"/>
    </xf>
    <xf numFmtId="0" fontId="80" fillId="5" borderId="98" xfId="21" applyNumberFormat="1" applyFont="1" applyFill="1" applyBorder="1" applyAlignment="1" applyProtection="1">
      <alignment horizontal="center" vertical="center" wrapText="1"/>
      <protection hidden="1"/>
    </xf>
    <xf numFmtId="0" fontId="80" fillId="5" borderId="75" xfId="21" applyNumberFormat="1" applyFont="1" applyFill="1" applyBorder="1" applyAlignment="1" applyProtection="1">
      <alignment horizontal="center" vertical="center" textRotation="45" wrapText="1"/>
      <protection hidden="1"/>
    </xf>
    <xf numFmtId="0" fontId="80" fillId="5" borderId="75" xfId="21" applyNumberFormat="1" applyFont="1" applyFill="1" applyBorder="1" applyAlignment="1" applyProtection="1">
      <alignment horizontal="center" wrapText="1"/>
      <protection hidden="1"/>
    </xf>
    <xf numFmtId="0" fontId="80" fillId="5" borderId="40" xfId="21" applyNumberFormat="1" applyFont="1" applyFill="1" applyBorder="1" applyAlignment="1" applyProtection="1">
      <alignment horizontal="center" vertical="center" wrapText="1"/>
      <protection hidden="1"/>
    </xf>
    <xf numFmtId="2" fontId="127" fillId="0" borderId="42" xfId="40" applyNumberFormat="1" applyFont="1" applyFill="1" applyBorder="1" applyAlignment="1" applyProtection="1">
      <alignment horizontal="center"/>
      <protection hidden="1"/>
    </xf>
    <xf numFmtId="192" fontId="127" fillId="0" borderId="35" xfId="40" applyNumberFormat="1" applyFont="1" applyFill="1" applyBorder="1" applyAlignment="1" applyProtection="1">
      <alignment horizontal="center"/>
      <protection hidden="1"/>
    </xf>
    <xf numFmtId="2" fontId="127" fillId="0" borderId="73" xfId="40" applyNumberFormat="1" applyFont="1" applyFill="1" applyBorder="1" applyAlignment="1" applyProtection="1">
      <alignment horizontal="center"/>
      <protection hidden="1"/>
    </xf>
    <xf numFmtId="2" fontId="127" fillId="0" borderId="20" xfId="40" applyNumberFormat="1" applyFont="1" applyFill="1" applyBorder="1" applyAlignment="1" applyProtection="1">
      <alignment horizontal="center"/>
      <protection hidden="1"/>
    </xf>
    <xf numFmtId="192" fontId="127" fillId="0" borderId="37" xfId="40" applyNumberFormat="1" applyFont="1" applyFill="1" applyBorder="1" applyAlignment="1" applyProtection="1">
      <alignment horizontal="center"/>
      <protection hidden="1"/>
    </xf>
    <xf numFmtId="2" fontId="127" fillId="0" borderId="59" xfId="40" applyNumberFormat="1" applyFont="1" applyFill="1" applyBorder="1" applyAlignment="1" applyProtection="1">
      <alignment horizontal="center"/>
      <protection hidden="1"/>
    </xf>
    <xf numFmtId="0" fontId="126" fillId="5" borderId="1" xfId="40" applyNumberFormat="1" applyFont="1" applyFill="1" applyBorder="1" applyAlignment="1" applyProtection="1">
      <alignment horizontal="center"/>
      <protection hidden="1"/>
    </xf>
    <xf numFmtId="0" fontId="126" fillId="5" borderId="46" xfId="40" applyNumberFormat="1" applyFont="1" applyFill="1" applyBorder="1" applyAlignment="1" applyProtection="1">
      <alignment horizontal="center"/>
      <protection hidden="1"/>
    </xf>
    <xf numFmtId="0" fontId="126" fillId="5" borderId="74" xfId="40" applyNumberFormat="1" applyFont="1" applyFill="1" applyBorder="1" applyAlignment="1" applyProtection="1">
      <alignment horizontal="center"/>
      <protection hidden="1"/>
    </xf>
    <xf numFmtId="166" fontId="80" fillId="7" borderId="12" xfId="0" applyFont="1" applyFill="1" applyBorder="1" applyAlignment="1" applyProtection="1">
      <alignment horizontal="center" vertical="top" wrapText="1"/>
      <protection hidden="1"/>
    </xf>
    <xf numFmtId="166" fontId="178" fillId="0" borderId="0" xfId="27" applyNumberFormat="1" applyFont="1" applyFill="1" applyProtection="1">
      <protection hidden="1"/>
    </xf>
    <xf numFmtId="166" fontId="178" fillId="0" borderId="1" xfId="27" applyNumberFormat="1" applyFont="1" applyFill="1" applyBorder="1" applyProtection="1">
      <protection hidden="1"/>
    </xf>
    <xf numFmtId="178" fontId="67" fillId="0" borderId="10" xfId="0" applyNumberFormat="1" applyFont="1" applyFill="1" applyBorder="1" applyAlignment="1" applyProtection="1">
      <alignment horizontal="center" shrinkToFit="1"/>
      <protection hidden="1"/>
    </xf>
    <xf numFmtId="0" fontId="76" fillId="0" borderId="1" xfId="27" applyNumberFormat="1" applyFont="1" applyFill="1" applyBorder="1" applyAlignment="1" applyProtection="1">
      <alignment horizontal="left" shrinkToFit="1"/>
      <protection hidden="1"/>
    </xf>
    <xf numFmtId="178" fontId="66" fillId="0" borderId="41" xfId="21" applyNumberFormat="1" applyFont="1" applyBorder="1" applyAlignment="1" applyProtection="1">
      <alignment horizontal="center"/>
      <protection hidden="1"/>
    </xf>
    <xf numFmtId="178" fontId="66" fillId="0" borderId="36" xfId="21" applyNumberFormat="1" applyFont="1" applyBorder="1" applyAlignment="1" applyProtection="1">
      <alignment horizontal="center"/>
      <protection hidden="1"/>
    </xf>
    <xf numFmtId="178" fontId="66" fillId="0" borderId="38" xfId="21" applyNumberFormat="1" applyFont="1" applyBorder="1" applyAlignment="1" applyProtection="1">
      <alignment horizontal="center"/>
      <protection hidden="1"/>
    </xf>
    <xf numFmtId="178" fontId="66" fillId="0" borderId="35" xfId="21" applyNumberFormat="1" applyFont="1" applyBorder="1" applyAlignment="1" applyProtection="1">
      <alignment horizontal="center"/>
      <protection hidden="1"/>
    </xf>
    <xf numFmtId="0" fontId="78" fillId="18" borderId="30" xfId="45" applyNumberFormat="1" applyFont="1" applyFill="1" applyBorder="1" applyAlignment="1" applyProtection="1">
      <alignment horizontal="center" vertical="center"/>
      <protection hidden="1"/>
    </xf>
    <xf numFmtId="0" fontId="78" fillId="18" borderId="29" xfId="45" applyNumberFormat="1" applyFont="1" applyFill="1" applyBorder="1" applyAlignment="1" applyProtection="1">
      <alignment horizontal="center" vertical="center"/>
      <protection hidden="1"/>
    </xf>
    <xf numFmtId="0" fontId="78" fillId="18" borderId="29" xfId="45" applyNumberFormat="1" applyFont="1" applyFill="1" applyBorder="1" applyAlignment="1" applyProtection="1">
      <alignment vertical="center"/>
      <protection hidden="1"/>
    </xf>
    <xf numFmtId="0" fontId="78" fillId="18" borderId="28" xfId="45" applyNumberFormat="1" applyFont="1" applyFill="1" applyBorder="1" applyAlignment="1" applyProtection="1">
      <alignment horizontal="center" vertical="center"/>
      <protection hidden="1"/>
    </xf>
    <xf numFmtId="2" fontId="67" fillId="0" borderId="1" xfId="32" applyNumberFormat="1" applyFont="1" applyFill="1" applyBorder="1" applyAlignment="1" applyProtection="1">
      <alignment horizontal="center" vertical="center" shrinkToFit="1"/>
      <protection hidden="1"/>
    </xf>
    <xf numFmtId="0" fontId="126" fillId="5" borderId="41" xfId="45" applyNumberFormat="1" applyFont="1" applyFill="1" applyBorder="1" applyAlignment="1" applyProtection="1">
      <alignment horizontal="center" shrinkToFit="1"/>
      <protection hidden="1"/>
    </xf>
    <xf numFmtId="0" fontId="126" fillId="5" borderId="36" xfId="45" applyNumberFormat="1" applyFont="1" applyFill="1" applyBorder="1" applyAlignment="1" applyProtection="1">
      <alignment horizontal="left" vertical="center" shrinkToFit="1"/>
      <protection hidden="1"/>
    </xf>
    <xf numFmtId="0" fontId="126" fillId="5" borderId="37" xfId="45" applyNumberFormat="1" applyFont="1" applyFill="1" applyBorder="1" applyAlignment="1" applyProtection="1">
      <alignment horizontal="center" vertical="center" shrinkToFit="1"/>
      <protection hidden="1"/>
    </xf>
    <xf numFmtId="0" fontId="126" fillId="5" borderId="36" xfId="45" applyNumberFormat="1" applyFont="1" applyFill="1" applyBorder="1" applyAlignment="1" applyProtection="1">
      <alignment horizontal="center" vertical="center" shrinkToFit="1"/>
      <protection hidden="1"/>
    </xf>
    <xf numFmtId="0" fontId="126" fillId="5" borderId="35" xfId="45" applyNumberFormat="1" applyFont="1" applyFill="1" applyBorder="1" applyAlignment="1" applyProtection="1">
      <alignment horizontal="center" vertical="center" shrinkToFit="1"/>
      <protection hidden="1"/>
    </xf>
    <xf numFmtId="0" fontId="63" fillId="3" borderId="0" xfId="20" applyFill="1" applyAlignment="1" applyProtection="1">
      <alignment vertical="center"/>
      <protection hidden="1"/>
    </xf>
    <xf numFmtId="0" fontId="63" fillId="3" borderId="0" xfId="20" applyFill="1" applyBorder="1" applyAlignment="1" applyProtection="1">
      <alignment vertical="center"/>
      <protection hidden="1"/>
    </xf>
    <xf numFmtId="166" fontId="0" fillId="3" borderId="0" xfId="0" applyFill="1" applyBorder="1" applyAlignment="1" applyProtection="1">
      <alignment vertical="center"/>
      <protection hidden="1"/>
    </xf>
    <xf numFmtId="166" fontId="78" fillId="3" borderId="0" xfId="0" applyFont="1" applyFill="1" applyBorder="1" applyAlignment="1" applyProtection="1">
      <alignment horizontal="right" vertical="center"/>
      <protection hidden="1"/>
    </xf>
    <xf numFmtId="166" fontId="77" fillId="3" borderId="0" xfId="0" applyFont="1" applyFill="1" applyBorder="1" applyAlignment="1" applyProtection="1">
      <alignment horizontal="right" vertical="center"/>
      <protection hidden="1"/>
    </xf>
    <xf numFmtId="0" fontId="74" fillId="5" borderId="0" xfId="21" applyFont="1" applyFill="1" applyBorder="1" applyAlignment="1" applyProtection="1">
      <alignment horizontal="left" vertical="center" shrinkToFit="1"/>
      <protection hidden="1"/>
    </xf>
    <xf numFmtId="166" fontId="79" fillId="0" borderId="1" xfId="0" applyFont="1" applyBorder="1" applyAlignment="1">
      <alignment vertical="center"/>
    </xf>
    <xf numFmtId="166" fontId="79" fillId="21" borderId="1" xfId="0" applyFont="1" applyFill="1" applyBorder="1" applyAlignment="1">
      <alignment horizontal="center" vertical="center"/>
    </xf>
    <xf numFmtId="179" fontId="79" fillId="0" borderId="1" xfId="0" applyNumberFormat="1" applyFont="1" applyBorder="1" applyAlignment="1">
      <alignment vertical="center"/>
    </xf>
    <xf numFmtId="166" fontId="79" fillId="0" borderId="103" xfId="0" applyFont="1" applyBorder="1" applyAlignment="1">
      <alignment vertical="center"/>
    </xf>
    <xf numFmtId="166" fontId="79" fillId="0" borderId="104" xfId="0" applyFont="1" applyBorder="1" applyAlignment="1">
      <alignment vertical="center"/>
    </xf>
    <xf numFmtId="179" fontId="79" fillId="0" borderId="104" xfId="0" applyNumberFormat="1" applyFont="1" applyBorder="1" applyAlignment="1">
      <alignment vertical="center"/>
    </xf>
    <xf numFmtId="179" fontId="79" fillId="0" borderId="105" xfId="0" applyNumberFormat="1" applyFont="1" applyBorder="1" applyAlignment="1">
      <alignment vertical="center"/>
    </xf>
    <xf numFmtId="166" fontId="79" fillId="0" borderId="106" xfId="0" applyFont="1" applyBorder="1" applyAlignment="1">
      <alignment vertical="center"/>
    </xf>
    <xf numFmtId="179" fontId="79" fillId="0" borderId="107" xfId="0" applyNumberFormat="1" applyFont="1" applyBorder="1" applyAlignment="1">
      <alignment vertical="center"/>
    </xf>
    <xf numFmtId="166" fontId="79" fillId="0" borderId="108" xfId="0" applyFont="1" applyBorder="1" applyAlignment="1">
      <alignment vertical="center"/>
    </xf>
    <xf numFmtId="166" fontId="79" fillId="0" borderId="109" xfId="0" applyFont="1" applyBorder="1" applyAlignment="1">
      <alignment vertical="center"/>
    </xf>
    <xf numFmtId="179" fontId="79" fillId="0" borderId="109" xfId="0" applyNumberFormat="1" applyFont="1" applyBorder="1" applyAlignment="1">
      <alignment vertical="center"/>
    </xf>
    <xf numFmtId="179" fontId="79" fillId="0" borderId="110" xfId="0" applyNumberFormat="1" applyFont="1" applyBorder="1" applyAlignment="1">
      <alignment vertical="center"/>
    </xf>
    <xf numFmtId="166" fontId="79" fillId="21" borderId="24" xfId="0" applyFont="1" applyFill="1" applyBorder="1" applyAlignment="1">
      <alignment horizontal="center" vertical="center"/>
    </xf>
    <xf numFmtId="166" fontId="173" fillId="0" borderId="0" xfId="0" applyFont="1" applyAlignment="1" applyProtection="1">
      <alignment vertical="center"/>
      <protection hidden="1"/>
    </xf>
    <xf numFmtId="2" fontId="146" fillId="0" borderId="87" xfId="46" applyNumberFormat="1" applyFont="1" applyFill="1" applyBorder="1" applyAlignment="1" applyProtection="1">
      <alignment horizontal="center" vertical="center" shrinkToFit="1"/>
      <protection hidden="1"/>
    </xf>
    <xf numFmtId="2" fontId="146" fillId="0" borderId="26" xfId="46" applyNumberFormat="1" applyFont="1" applyFill="1" applyBorder="1" applyAlignment="1" applyProtection="1">
      <alignment horizontal="center" vertical="center" shrinkToFit="1"/>
      <protection hidden="1"/>
    </xf>
    <xf numFmtId="2" fontId="146" fillId="0" borderId="25" xfId="46" applyNumberFormat="1" applyFont="1" applyFill="1" applyBorder="1" applyAlignment="1" applyProtection="1">
      <alignment horizontal="center" vertical="center" shrinkToFit="1"/>
      <protection hidden="1"/>
    </xf>
    <xf numFmtId="166" fontId="158" fillId="0" borderId="0" xfId="0" applyFont="1" applyAlignment="1" applyProtection="1">
      <alignment vertical="center"/>
      <protection hidden="1"/>
    </xf>
    <xf numFmtId="0" fontId="74" fillId="5" borderId="0" xfId="40" applyFont="1" applyFill="1" applyProtection="1">
      <protection hidden="1"/>
    </xf>
    <xf numFmtId="0" fontId="126" fillId="19" borderId="87" xfId="47" applyNumberFormat="1" applyFont="1" applyFill="1" applyBorder="1" applyAlignment="1" applyProtection="1">
      <alignment horizontal="right"/>
      <protection hidden="1"/>
    </xf>
    <xf numFmtId="0" fontId="126" fillId="19" borderId="25" xfId="47" applyNumberFormat="1" applyFont="1" applyFill="1" applyBorder="1" applyAlignment="1" applyProtection="1">
      <alignment horizontal="right"/>
      <protection hidden="1"/>
    </xf>
    <xf numFmtId="0" fontId="126" fillId="19" borderId="2" xfId="47" applyNumberFormat="1" applyFont="1" applyFill="1" applyBorder="1" applyAlignment="1" applyProtection="1">
      <alignment horizontal="right"/>
      <protection hidden="1"/>
    </xf>
    <xf numFmtId="2" fontId="127" fillId="19" borderId="2" xfId="47" applyNumberFormat="1" applyFont="1" applyFill="1" applyBorder="1" applyAlignment="1" applyProtection="1">
      <alignment horizontal="center"/>
      <protection hidden="1"/>
    </xf>
    <xf numFmtId="0" fontId="118" fillId="15" borderId="0" xfId="32" applyFont="1" applyFill="1" applyBorder="1" applyAlignment="1" applyProtection="1">
      <alignment horizontal="center" vertical="center" shrinkToFit="1"/>
      <protection hidden="1"/>
    </xf>
    <xf numFmtId="0" fontId="66" fillId="10" borderId="24" xfId="32" applyFont="1" applyFill="1" applyBorder="1" applyAlignment="1" applyProtection="1">
      <alignment shrinkToFit="1"/>
      <protection hidden="1"/>
    </xf>
    <xf numFmtId="0" fontId="66" fillId="4" borderId="1" xfId="0" applyNumberFormat="1" applyFont="1" applyFill="1" applyBorder="1" applyProtection="1">
      <protection locked="0"/>
    </xf>
    <xf numFmtId="0" fontId="66" fillId="4" borderId="103" xfId="0" applyNumberFormat="1" applyFont="1" applyFill="1" applyBorder="1" applyProtection="1">
      <protection locked="0"/>
    </xf>
    <xf numFmtId="0" fontId="66" fillId="4" borderId="104" xfId="0" applyNumberFormat="1" applyFont="1" applyFill="1" applyBorder="1" applyProtection="1">
      <protection locked="0"/>
    </xf>
    <xf numFmtId="166" fontId="66" fillId="0" borderId="104" xfId="0" applyFont="1" applyBorder="1" applyProtection="1">
      <protection hidden="1"/>
    </xf>
    <xf numFmtId="166" fontId="66" fillId="0" borderId="111" xfId="0" applyFont="1" applyBorder="1" applyProtection="1">
      <protection hidden="1"/>
    </xf>
    <xf numFmtId="0" fontId="66" fillId="4" borderId="106" xfId="0" applyNumberFormat="1" applyFont="1" applyFill="1" applyBorder="1" applyProtection="1">
      <protection locked="0"/>
    </xf>
    <xf numFmtId="166" fontId="66" fillId="0" borderId="112" xfId="0" applyFont="1" applyBorder="1" applyProtection="1">
      <protection hidden="1"/>
    </xf>
    <xf numFmtId="0" fontId="66" fillId="4" borderId="108" xfId="0" applyNumberFormat="1" applyFont="1" applyFill="1" applyBorder="1" applyProtection="1">
      <protection locked="0"/>
    </xf>
    <xf numFmtId="0" fontId="66" fillId="4" borderId="109" xfId="0" applyNumberFormat="1" applyFont="1" applyFill="1" applyBorder="1" applyProtection="1">
      <protection locked="0"/>
    </xf>
    <xf numFmtId="166" fontId="66" fillId="0" borderId="109" xfId="0" applyFont="1" applyBorder="1" applyProtection="1">
      <protection hidden="1"/>
    </xf>
    <xf numFmtId="166" fontId="66" fillId="0" borderId="113" xfId="0" applyFont="1" applyBorder="1" applyProtection="1">
      <protection hidden="1"/>
    </xf>
    <xf numFmtId="166" fontId="79" fillId="0" borderId="0" xfId="0" applyFont="1" applyAlignment="1" applyProtection="1">
      <alignment vertical="center"/>
      <protection hidden="1"/>
    </xf>
    <xf numFmtId="179" fontId="79" fillId="4" borderId="27" xfId="0" applyNumberFormat="1" applyFont="1" applyFill="1" applyBorder="1" applyAlignment="1" applyProtection="1">
      <alignment horizontal="center" vertical="center"/>
      <protection locked="0"/>
    </xf>
    <xf numFmtId="179" fontId="79" fillId="4" borderId="98" xfId="0" applyNumberFormat="1" applyFont="1" applyFill="1" applyBorder="1" applyAlignment="1" applyProtection="1">
      <alignment horizontal="center" vertical="center"/>
      <protection locked="0"/>
    </xf>
    <xf numFmtId="179" fontId="79" fillId="4" borderId="75" xfId="0" applyNumberFormat="1" applyFont="1" applyFill="1" applyBorder="1" applyAlignment="1" applyProtection="1">
      <alignment horizontal="center" vertical="center"/>
      <protection locked="0"/>
    </xf>
    <xf numFmtId="179" fontId="79" fillId="4" borderId="40" xfId="0" applyNumberFormat="1" applyFont="1" applyFill="1" applyBorder="1" applyAlignment="1" applyProtection="1">
      <alignment horizontal="center" vertical="center"/>
      <protection locked="0"/>
    </xf>
    <xf numFmtId="179" fontId="79" fillId="4" borderId="26" xfId="0" applyNumberFormat="1" applyFont="1" applyFill="1" applyBorder="1" applyAlignment="1" applyProtection="1">
      <alignment horizontal="center" vertical="center"/>
      <protection locked="0"/>
    </xf>
    <xf numFmtId="179" fontId="79" fillId="4" borderId="88" xfId="0" applyNumberFormat="1" applyFont="1" applyFill="1" applyBorder="1" applyAlignment="1" applyProtection="1">
      <alignment horizontal="center" vertical="center"/>
      <protection locked="0"/>
    </xf>
    <xf numFmtId="179" fontId="79" fillId="4" borderId="10" xfId="0" applyNumberFormat="1" applyFont="1" applyFill="1" applyBorder="1" applyAlignment="1" applyProtection="1">
      <alignment horizontal="center" vertical="center"/>
      <protection locked="0"/>
    </xf>
    <xf numFmtId="179" fontId="79" fillId="4" borderId="42" xfId="0" applyNumberFormat="1" applyFont="1" applyFill="1" applyBorder="1" applyAlignment="1" applyProtection="1">
      <alignment horizontal="center" vertical="center"/>
      <protection locked="0"/>
    </xf>
    <xf numFmtId="179" fontId="79" fillId="4" borderId="25" xfId="0" applyNumberFormat="1" applyFont="1" applyFill="1" applyBorder="1" applyAlignment="1" applyProtection="1">
      <alignment horizontal="center" vertical="center"/>
      <protection locked="0"/>
    </xf>
    <xf numFmtId="179" fontId="79" fillId="4" borderId="41" xfId="0" applyNumberFormat="1" applyFont="1" applyFill="1" applyBorder="1" applyAlignment="1" applyProtection="1">
      <alignment horizontal="center" vertical="center"/>
      <protection locked="0"/>
    </xf>
    <xf numFmtId="179" fontId="79" fillId="4" borderId="36" xfId="0" applyNumberFormat="1" applyFont="1" applyFill="1" applyBorder="1" applyAlignment="1" applyProtection="1">
      <alignment horizontal="center" vertical="center"/>
      <protection locked="0"/>
    </xf>
    <xf numFmtId="179" fontId="79" fillId="4" borderId="35" xfId="0" applyNumberFormat="1" applyFont="1" applyFill="1" applyBorder="1" applyAlignment="1" applyProtection="1">
      <alignment horizontal="center" vertical="center"/>
      <protection locked="0"/>
    </xf>
    <xf numFmtId="0" fontId="41" fillId="4" borderId="38" xfId="40" applyFont="1" applyFill="1" applyBorder="1" applyAlignment="1" applyProtection="1">
      <alignment horizontal="left" vertical="center"/>
      <protection locked="0"/>
    </xf>
    <xf numFmtId="0" fontId="41" fillId="4" borderId="66" xfId="40" applyFont="1" applyFill="1" applyBorder="1" applyAlignment="1" applyProtection="1">
      <alignment horizontal="left" vertical="center"/>
      <protection locked="0"/>
    </xf>
    <xf numFmtId="0" fontId="41" fillId="4" borderId="62" xfId="40" applyFont="1" applyFill="1" applyBorder="1" applyAlignment="1" applyProtection="1">
      <alignment horizontal="left" vertical="center"/>
      <protection locked="0"/>
    </xf>
    <xf numFmtId="0" fontId="139" fillId="22" borderId="0" xfId="44" applyFont="1" applyFill="1" applyBorder="1" applyAlignment="1" applyProtection="1">
      <alignment horizontal="center" vertical="center" textRotation="255"/>
      <protection hidden="1"/>
    </xf>
    <xf numFmtId="166" fontId="182" fillId="0" borderId="0" xfId="0" applyFont="1" applyAlignment="1" applyProtection="1">
      <alignment vertical="center"/>
      <protection hidden="1"/>
    </xf>
    <xf numFmtId="0" fontId="124" fillId="16" borderId="30" xfId="21" applyFont="1" applyFill="1" applyBorder="1" applyAlignment="1" applyProtection="1">
      <alignment vertical="center"/>
      <protection hidden="1"/>
    </xf>
    <xf numFmtId="0" fontId="124" fillId="16" borderId="29" xfId="21" applyFont="1" applyFill="1" applyBorder="1" applyAlignment="1" applyProtection="1">
      <alignment vertical="center"/>
      <protection hidden="1"/>
    </xf>
    <xf numFmtId="0" fontId="124" fillId="16" borderId="29" xfId="21" applyFont="1" applyFill="1" applyBorder="1" applyAlignment="1" applyProtection="1">
      <alignment horizontal="center" vertical="center"/>
      <protection hidden="1"/>
    </xf>
    <xf numFmtId="0" fontId="124" fillId="16" borderId="28" xfId="21" applyFont="1" applyFill="1" applyBorder="1" applyAlignment="1" applyProtection="1">
      <alignment vertical="center"/>
      <protection hidden="1"/>
    </xf>
    <xf numFmtId="0" fontId="183" fillId="11" borderId="24" xfId="44" applyFont="1" applyFill="1" applyBorder="1" applyAlignment="1" applyProtection="1">
      <alignment horizontal="right" vertical="center" shrinkToFit="1"/>
      <protection hidden="1"/>
    </xf>
    <xf numFmtId="0" fontId="183" fillId="11" borderId="31" xfId="44" applyFont="1" applyFill="1" applyBorder="1" applyAlignment="1" applyProtection="1">
      <alignment horizontal="right" vertical="center" shrinkToFit="1"/>
      <protection hidden="1"/>
    </xf>
    <xf numFmtId="0" fontId="183" fillId="11" borderId="33" xfId="44" applyFont="1" applyFill="1" applyBorder="1" applyAlignment="1" applyProtection="1">
      <alignment horizontal="right" vertical="center" shrinkToFit="1"/>
      <protection hidden="1"/>
    </xf>
    <xf numFmtId="0" fontId="183" fillId="11" borderId="34" xfId="44" applyFont="1" applyFill="1" applyBorder="1" applyAlignment="1" applyProtection="1">
      <alignment horizontal="right" vertical="center" shrinkToFit="1"/>
      <protection hidden="1"/>
    </xf>
    <xf numFmtId="0" fontId="183" fillId="11" borderId="23" xfId="44" applyFont="1" applyFill="1" applyBorder="1" applyAlignment="1" applyProtection="1">
      <alignment horizontal="right" vertical="center" shrinkToFit="1"/>
      <protection hidden="1"/>
    </xf>
    <xf numFmtId="0" fontId="145" fillId="21" borderId="56" xfId="21" applyFont="1" applyFill="1" applyBorder="1" applyAlignment="1" applyProtection="1">
      <alignment vertical="center"/>
      <protection hidden="1"/>
    </xf>
    <xf numFmtId="0" fontId="66" fillId="10" borderId="0" xfId="21" applyFill="1" applyAlignment="1" applyProtection="1">
      <alignment vertical="center"/>
      <protection hidden="1"/>
    </xf>
    <xf numFmtId="0" fontId="66" fillId="22" borderId="0" xfId="21" applyFill="1" applyAlignment="1" applyProtection="1">
      <alignment vertical="center"/>
      <protection hidden="1"/>
    </xf>
    <xf numFmtId="0" fontId="66" fillId="10" borderId="53" xfId="21" applyFill="1" applyBorder="1" applyAlignment="1" applyProtection="1">
      <alignment vertical="center"/>
      <protection hidden="1"/>
    </xf>
    <xf numFmtId="0" fontId="66" fillId="10" borderId="53" xfId="21" applyFont="1" applyFill="1" applyBorder="1" applyAlignment="1" applyProtection="1">
      <alignment vertical="center"/>
      <protection hidden="1"/>
    </xf>
    <xf numFmtId="0" fontId="72" fillId="11" borderId="2" xfId="21" applyFont="1" applyFill="1" applyBorder="1" applyAlignment="1" applyProtection="1">
      <alignment vertical="center"/>
      <protection hidden="1"/>
    </xf>
    <xf numFmtId="0" fontId="72" fillId="11" borderId="2" xfId="21" applyFont="1" applyFill="1" applyBorder="1" applyAlignment="1" applyProtection="1">
      <alignment horizontal="center" vertical="center"/>
      <protection hidden="1"/>
    </xf>
    <xf numFmtId="0" fontId="66" fillId="22" borderId="52" xfId="21" applyFill="1" applyBorder="1" applyAlignment="1" applyProtection="1">
      <alignment vertical="center"/>
      <protection hidden="1"/>
    </xf>
    <xf numFmtId="0" fontId="72" fillId="11" borderId="24" xfId="21" applyFont="1" applyFill="1" applyBorder="1" applyAlignment="1" applyProtection="1">
      <alignment vertical="center"/>
      <protection hidden="1"/>
    </xf>
    <xf numFmtId="178" fontId="139" fillId="11" borderId="24" xfId="44" applyNumberFormat="1" applyFont="1" applyFill="1" applyBorder="1" applyAlignment="1" applyProtection="1">
      <alignment horizontal="center" vertical="center"/>
      <protection hidden="1"/>
    </xf>
    <xf numFmtId="0" fontId="95" fillId="22" borderId="0" xfId="21" applyFont="1" applyFill="1" applyBorder="1" applyAlignment="1" applyProtection="1">
      <alignment vertical="center"/>
      <protection hidden="1"/>
    </xf>
    <xf numFmtId="0" fontId="66" fillId="22" borderId="51" xfId="21" applyFill="1" applyBorder="1" applyAlignment="1" applyProtection="1">
      <alignment vertical="center"/>
      <protection hidden="1"/>
    </xf>
    <xf numFmtId="0" fontId="72" fillId="11" borderId="23" xfId="21" applyFont="1" applyFill="1" applyBorder="1" applyAlignment="1" applyProtection="1">
      <alignment vertical="center"/>
      <protection hidden="1"/>
    </xf>
    <xf numFmtId="178" fontId="95" fillId="11" borderId="2" xfId="44" applyNumberFormat="1" applyFont="1" applyFill="1" applyBorder="1" applyAlignment="1" applyProtection="1">
      <alignment horizontal="center" vertical="center"/>
      <protection hidden="1"/>
    </xf>
    <xf numFmtId="178" fontId="66" fillId="22" borderId="0" xfId="21" applyNumberFormat="1" applyFill="1" applyAlignment="1" applyProtection="1">
      <alignment vertical="center"/>
      <protection hidden="1"/>
    </xf>
    <xf numFmtId="178" fontId="139" fillId="11" borderId="2" xfId="44" applyNumberFormat="1" applyFont="1" applyFill="1" applyBorder="1" applyAlignment="1" applyProtection="1">
      <alignment horizontal="center" vertical="center"/>
      <protection hidden="1"/>
    </xf>
    <xf numFmtId="178" fontId="95" fillId="11" borderId="28" xfId="21" applyNumberFormat="1" applyFont="1" applyFill="1" applyBorder="1" applyAlignment="1" applyProtection="1">
      <alignment horizontal="right" vertical="center"/>
      <protection hidden="1"/>
    </xf>
    <xf numFmtId="176" fontId="95" fillId="11" borderId="28" xfId="21" applyNumberFormat="1" applyFont="1" applyFill="1" applyBorder="1" applyAlignment="1" applyProtection="1">
      <alignment horizontal="right" vertical="center"/>
      <protection hidden="1"/>
    </xf>
    <xf numFmtId="178" fontId="139" fillId="11" borderId="23" xfId="44" applyNumberFormat="1" applyFont="1" applyFill="1" applyBorder="1" applyAlignment="1" applyProtection="1">
      <alignment horizontal="center" vertical="center"/>
      <protection hidden="1"/>
    </xf>
    <xf numFmtId="0" fontId="66" fillId="22" borderId="48" xfId="21" applyFill="1" applyBorder="1" applyAlignment="1" applyProtection="1">
      <alignment vertical="center"/>
      <protection hidden="1"/>
    </xf>
    <xf numFmtId="0" fontId="66" fillId="22" borderId="47" xfId="21" applyFill="1" applyBorder="1" applyAlignment="1" applyProtection="1">
      <alignment vertical="center"/>
      <protection hidden="1"/>
    </xf>
    <xf numFmtId="178" fontId="86" fillId="10" borderId="0" xfId="21" applyNumberFormat="1" applyFont="1" applyFill="1" applyBorder="1" applyAlignment="1" applyProtection="1">
      <alignment horizontal="center" vertical="center"/>
      <protection hidden="1"/>
    </xf>
    <xf numFmtId="0" fontId="66" fillId="10" borderId="0" xfId="21" applyFill="1" applyBorder="1" applyAlignment="1" applyProtection="1">
      <alignment vertical="center"/>
      <protection hidden="1"/>
    </xf>
    <xf numFmtId="0" fontId="66" fillId="22" borderId="0" xfId="21" applyFont="1" applyFill="1" applyAlignment="1" applyProtection="1">
      <alignment vertical="center"/>
      <protection hidden="1"/>
    </xf>
    <xf numFmtId="0" fontId="184" fillId="30" borderId="30" xfId="0" applyNumberFormat="1" applyFont="1" applyFill="1" applyBorder="1" applyAlignment="1" applyProtection="1">
      <alignment horizontal="center"/>
      <protection hidden="1"/>
    </xf>
    <xf numFmtId="0" fontId="155" fillId="26" borderId="115" xfId="47" applyNumberFormat="1" applyFont="1" applyFill="1" applyBorder="1" applyAlignment="1">
      <alignment horizontal="center" vertical="center"/>
    </xf>
    <xf numFmtId="0" fontId="155" fillId="26" borderId="119" xfId="47" applyNumberFormat="1" applyFont="1" applyFill="1" applyBorder="1" applyAlignment="1">
      <alignment horizontal="center" vertical="center"/>
    </xf>
    <xf numFmtId="0" fontId="155" fillId="26" borderId="120" xfId="47" applyNumberFormat="1" applyFont="1" applyFill="1" applyBorder="1" applyAlignment="1">
      <alignment horizontal="center" vertical="center"/>
    </xf>
    <xf numFmtId="0" fontId="155" fillId="26" borderId="119" xfId="47" applyNumberFormat="1" applyFont="1" applyFill="1" applyBorder="1" applyAlignment="1">
      <alignment horizontal="center"/>
    </xf>
    <xf numFmtId="0" fontId="155" fillId="26" borderId="121" xfId="47" applyNumberFormat="1" applyFont="1" applyFill="1" applyBorder="1" applyAlignment="1">
      <alignment horizontal="center" vertical="center"/>
    </xf>
    <xf numFmtId="0" fontId="155" fillId="26" borderId="122" xfId="47" applyNumberFormat="1" applyFont="1" applyFill="1" applyBorder="1" applyAlignment="1">
      <alignment horizontal="center" vertical="center"/>
    </xf>
    <xf numFmtId="0" fontId="157" fillId="0" borderId="115" xfId="47" applyNumberFormat="1" applyFont="1" applyFill="1" applyBorder="1" applyAlignment="1" applyProtection="1">
      <alignment horizontal="center" vertical="center" shrinkToFit="1"/>
      <protection hidden="1"/>
    </xf>
    <xf numFmtId="0" fontId="127" fillId="0" borderId="119" xfId="47" applyNumberFormat="1" applyFont="1" applyFill="1" applyBorder="1" applyAlignment="1" applyProtection="1">
      <alignment horizontal="center" vertical="center" shrinkToFit="1"/>
      <protection hidden="1"/>
    </xf>
    <xf numFmtId="0" fontId="126" fillId="0" borderId="119" xfId="47" applyNumberFormat="1" applyFont="1" applyFill="1" applyBorder="1" applyAlignment="1" applyProtection="1">
      <alignment horizontal="center" vertical="center" shrinkToFit="1"/>
      <protection hidden="1"/>
    </xf>
    <xf numFmtId="0" fontId="127" fillId="0" borderId="120" xfId="47" applyNumberFormat="1" applyFont="1" applyFill="1" applyBorder="1" applyAlignment="1" applyProtection="1">
      <alignment horizontal="center" vertical="center" shrinkToFit="1"/>
      <protection hidden="1"/>
    </xf>
    <xf numFmtId="2" fontId="127" fillId="0" borderId="121" xfId="47" applyNumberFormat="1" applyFont="1" applyFill="1" applyBorder="1" applyAlignment="1" applyProtection="1">
      <alignment horizontal="center" vertical="center" shrinkToFit="1"/>
      <protection hidden="1"/>
    </xf>
    <xf numFmtId="179" fontId="127" fillId="0" borderId="122" xfId="47" applyNumberFormat="1" applyFont="1" applyFill="1" applyBorder="1" applyAlignment="1" applyProtection="1">
      <alignment horizontal="center" vertical="center" shrinkToFit="1"/>
      <protection hidden="1"/>
    </xf>
    <xf numFmtId="0" fontId="157" fillId="0" borderId="123" xfId="47" applyNumberFormat="1" applyFont="1" applyFill="1" applyBorder="1" applyAlignment="1" applyProtection="1">
      <alignment horizontal="center" vertical="center" shrinkToFit="1"/>
      <protection hidden="1"/>
    </xf>
    <xf numFmtId="0" fontId="127" fillId="0" borderId="16" xfId="47" applyNumberFormat="1" applyFont="1" applyFill="1" applyBorder="1" applyAlignment="1" applyProtection="1">
      <alignment horizontal="center" vertical="center" shrinkToFit="1"/>
      <protection hidden="1"/>
    </xf>
    <xf numFmtId="0" fontId="126" fillId="0" borderId="16" xfId="47" applyNumberFormat="1" applyFont="1" applyFill="1" applyBorder="1" applyAlignment="1" applyProtection="1">
      <alignment horizontal="center" vertical="center" shrinkToFit="1"/>
      <protection hidden="1"/>
    </xf>
    <xf numFmtId="0" fontId="127" fillId="0" borderId="83" xfId="47" applyNumberFormat="1" applyFont="1" applyFill="1" applyBorder="1" applyAlignment="1" applyProtection="1">
      <alignment horizontal="center" vertical="center" shrinkToFit="1"/>
      <protection hidden="1"/>
    </xf>
    <xf numFmtId="2" fontId="127" fillId="0" borderId="89" xfId="47" applyNumberFormat="1" applyFont="1" applyFill="1" applyBorder="1" applyAlignment="1" applyProtection="1">
      <alignment horizontal="center" vertical="center" shrinkToFit="1"/>
      <protection hidden="1"/>
    </xf>
    <xf numFmtId="179" fontId="127" fillId="0" borderId="124" xfId="47" applyNumberFormat="1" applyFont="1" applyFill="1" applyBorder="1" applyAlignment="1" applyProtection="1">
      <alignment horizontal="center" vertical="center" shrinkToFit="1"/>
      <protection hidden="1"/>
    </xf>
    <xf numFmtId="0" fontId="157" fillId="0" borderId="116" xfId="47" applyNumberFormat="1" applyFont="1" applyFill="1" applyBorder="1" applyAlignment="1" applyProtection="1">
      <alignment horizontal="center" vertical="center" shrinkToFit="1"/>
      <protection hidden="1"/>
    </xf>
    <xf numFmtId="0" fontId="127" fillId="0" borderId="117" xfId="47" applyNumberFormat="1" applyFont="1" applyFill="1" applyBorder="1" applyAlignment="1" applyProtection="1">
      <alignment horizontal="center" vertical="center" shrinkToFit="1"/>
      <protection hidden="1"/>
    </xf>
    <xf numFmtId="0" fontId="126" fillId="0" borderId="117" xfId="47" applyNumberFormat="1" applyFont="1" applyFill="1" applyBorder="1" applyAlignment="1" applyProtection="1">
      <alignment horizontal="center" vertical="center" shrinkToFit="1"/>
      <protection hidden="1"/>
    </xf>
    <xf numFmtId="0" fontId="127" fillId="0" borderId="118" xfId="47" applyNumberFormat="1" applyFont="1" applyFill="1" applyBorder="1" applyAlignment="1" applyProtection="1">
      <alignment horizontal="center" vertical="center" shrinkToFit="1"/>
      <protection hidden="1"/>
    </xf>
    <xf numFmtId="2" fontId="127" fillId="0" borderId="125" xfId="47" applyNumberFormat="1" applyFont="1" applyFill="1" applyBorder="1" applyAlignment="1" applyProtection="1">
      <alignment horizontal="center" vertical="center" shrinkToFit="1"/>
      <protection hidden="1"/>
    </xf>
    <xf numFmtId="179" fontId="127" fillId="0" borderId="126" xfId="47" applyNumberFormat="1" applyFont="1" applyFill="1" applyBorder="1" applyAlignment="1" applyProtection="1">
      <alignment horizontal="center" vertical="center" shrinkToFit="1"/>
      <protection hidden="1"/>
    </xf>
    <xf numFmtId="2" fontId="127" fillId="0" borderId="87" xfId="47" applyNumberFormat="1" applyFont="1" applyFill="1" applyBorder="1" applyAlignment="1" applyProtection="1">
      <alignment horizontal="center"/>
      <protection hidden="1"/>
    </xf>
    <xf numFmtId="2" fontId="127" fillId="0" borderId="25" xfId="47" applyNumberFormat="1" applyFont="1" applyFill="1" applyBorder="1" applyAlignment="1" applyProtection="1">
      <alignment horizontal="center"/>
      <protection hidden="1"/>
    </xf>
    <xf numFmtId="192" fontId="127" fillId="0" borderId="2" xfId="47" applyNumberFormat="1" applyFont="1" applyFill="1" applyBorder="1" applyAlignment="1" applyProtection="1">
      <alignment horizontal="center"/>
      <protection hidden="1"/>
    </xf>
    <xf numFmtId="0" fontId="39" fillId="0" borderId="1" xfId="47" applyNumberFormat="1" applyFont="1" applyBorder="1" applyProtection="1">
      <protection hidden="1"/>
    </xf>
    <xf numFmtId="0" fontId="125" fillId="18" borderId="0" xfId="47" applyNumberFormat="1" applyFont="1" applyFill="1" applyAlignment="1" applyProtection="1">
      <alignment vertical="center"/>
      <protection hidden="1"/>
    </xf>
    <xf numFmtId="0" fontId="125" fillId="18" borderId="0" xfId="47" applyNumberFormat="1" applyFont="1" applyFill="1" applyAlignment="1" applyProtection="1">
      <alignment horizontal="center" vertical="center"/>
      <protection hidden="1"/>
    </xf>
    <xf numFmtId="0" fontId="80" fillId="5" borderId="127" xfId="21" applyNumberFormat="1" applyFont="1" applyFill="1" applyBorder="1" applyAlignment="1" applyProtection="1">
      <alignment horizontal="center" vertical="center" wrapText="1"/>
      <protection hidden="1"/>
    </xf>
    <xf numFmtId="166" fontId="66" fillId="4" borderId="1" xfId="0" applyFont="1" applyFill="1" applyBorder="1" applyProtection="1">
      <protection locked="0"/>
    </xf>
    <xf numFmtId="0" fontId="64" fillId="3" borderId="0" xfId="40" applyFont="1" applyFill="1" applyAlignment="1" applyProtection="1">
      <alignment horizontal="left"/>
      <protection hidden="1"/>
    </xf>
    <xf numFmtId="1" fontId="43" fillId="3" borderId="0" xfId="40" applyNumberFormat="1" applyFont="1" applyFill="1" applyAlignment="1" applyProtection="1">
      <alignment horizontal="left"/>
      <protection hidden="1"/>
    </xf>
    <xf numFmtId="15" fontId="43" fillId="3" borderId="0" xfId="40" applyNumberFormat="1" applyFont="1" applyFill="1" applyAlignment="1" applyProtection="1">
      <alignment horizontal="left"/>
      <protection hidden="1"/>
    </xf>
    <xf numFmtId="1" fontId="76" fillId="4" borderId="0" xfId="40" applyNumberFormat="1" applyFont="1" applyFill="1" applyAlignment="1" applyProtection="1">
      <alignment horizontal="left"/>
      <protection hidden="1"/>
    </xf>
    <xf numFmtId="0" fontId="67" fillId="5" borderId="0" xfId="21" applyNumberFormat="1" applyFont="1" applyFill="1" applyBorder="1" applyAlignment="1" applyProtection="1">
      <alignment horizontal="left" vertical="center"/>
      <protection hidden="1"/>
    </xf>
    <xf numFmtId="166" fontId="179" fillId="0" borderId="0" xfId="59" applyFont="1" applyAlignment="1" applyProtection="1">
      <alignment horizontal="right" vertical="center"/>
      <protection hidden="1"/>
    </xf>
    <xf numFmtId="0" fontId="179" fillId="6" borderId="0" xfId="59" applyNumberFormat="1" applyFont="1" applyFill="1" applyAlignment="1" applyProtection="1">
      <alignment horizontal="center"/>
      <protection hidden="1"/>
    </xf>
    <xf numFmtId="0" fontId="179" fillId="0" borderId="0" xfId="59" applyNumberFormat="1" applyFont="1" applyFill="1" applyProtection="1">
      <protection hidden="1"/>
    </xf>
    <xf numFmtId="166" fontId="174" fillId="0" borderId="0" xfId="27" applyNumberFormat="1" applyFont="1" applyFill="1" applyBorder="1" applyProtection="1">
      <protection hidden="1"/>
    </xf>
    <xf numFmtId="166" fontId="178" fillId="0" borderId="0" xfId="27" applyNumberFormat="1" applyFont="1" applyFill="1" applyBorder="1" applyProtection="1">
      <protection hidden="1"/>
    </xf>
    <xf numFmtId="0" fontId="187" fillId="3" borderId="13" xfId="59" applyNumberFormat="1" applyFont="1" applyFill="1" applyBorder="1" applyProtection="1">
      <protection hidden="1"/>
    </xf>
    <xf numFmtId="0" fontId="179" fillId="3" borderId="18" xfId="59" applyNumberFormat="1" applyFont="1" applyFill="1" applyBorder="1" applyAlignment="1" applyProtection="1">
      <alignment horizontal="right" shrinkToFit="1"/>
      <protection hidden="1"/>
    </xf>
    <xf numFmtId="178" fontId="64" fillId="8" borderId="74" xfId="40" applyNumberFormat="1" applyFont="1" applyFill="1" applyBorder="1" applyAlignment="1" applyProtection="1">
      <alignment horizontal="right" vertical="center" shrinkToFit="1"/>
      <protection hidden="1"/>
    </xf>
    <xf numFmtId="0" fontId="64" fillId="20" borderId="40" xfId="40" applyNumberFormat="1" applyFont="1" applyFill="1" applyBorder="1" applyAlignment="1" applyProtection="1">
      <alignment horizontal="right" vertical="center" shrinkToFit="1"/>
      <protection hidden="1"/>
    </xf>
    <xf numFmtId="178" fontId="64" fillId="8" borderId="40" xfId="40" applyNumberFormat="1" applyFont="1" applyFill="1" applyBorder="1" applyAlignment="1" applyProtection="1">
      <alignment horizontal="right" vertical="center" shrinkToFit="1"/>
      <protection hidden="1"/>
    </xf>
    <xf numFmtId="0" fontId="127" fillId="0" borderId="72" xfId="40" applyNumberFormat="1" applyFont="1" applyFill="1" applyBorder="1" applyAlignment="1" applyProtection="1">
      <alignment horizontal="center" vertical="center" shrinkToFit="1"/>
      <protection hidden="1"/>
    </xf>
    <xf numFmtId="0" fontId="127" fillId="0" borderId="12" xfId="40" applyNumberFormat="1" applyFont="1" applyFill="1" applyBorder="1" applyAlignment="1" applyProtection="1">
      <alignment horizontal="center" vertical="center" shrinkToFit="1"/>
      <protection hidden="1"/>
    </xf>
    <xf numFmtId="2" fontId="127" fillId="0" borderId="12" xfId="40" applyNumberFormat="1" applyFont="1" applyFill="1" applyBorder="1" applyAlignment="1" applyProtection="1">
      <alignment horizontal="center" vertical="center" shrinkToFit="1"/>
      <protection hidden="1"/>
    </xf>
    <xf numFmtId="179" fontId="127" fillId="0" borderId="12" xfId="40" applyNumberFormat="1" applyFont="1" applyFill="1" applyBorder="1" applyAlignment="1" applyProtection="1">
      <alignment horizontal="center" vertical="center" shrinkToFit="1"/>
      <protection hidden="1"/>
    </xf>
    <xf numFmtId="178" fontId="127" fillId="0" borderId="12" xfId="40" applyNumberFormat="1" applyFont="1" applyFill="1" applyBorder="1" applyAlignment="1" applyProtection="1">
      <alignment horizontal="right" vertical="center" shrinkToFit="1"/>
      <protection hidden="1"/>
    </xf>
    <xf numFmtId="178" fontId="127" fillId="0" borderId="73" xfId="40" applyNumberFormat="1" applyFont="1" applyFill="1" applyBorder="1" applyAlignment="1" applyProtection="1">
      <alignment horizontal="right" vertical="center" shrinkToFit="1"/>
      <protection hidden="1"/>
    </xf>
    <xf numFmtId="0" fontId="64" fillId="31" borderId="65" xfId="40" applyNumberFormat="1" applyFont="1" applyFill="1" applyBorder="1" applyAlignment="1" applyProtection="1">
      <alignment horizontal="right" vertical="center"/>
      <protection hidden="1"/>
    </xf>
    <xf numFmtId="0" fontId="64" fillId="31" borderId="44" xfId="40" applyNumberFormat="1" applyFont="1" applyFill="1" applyBorder="1" applyAlignment="1" applyProtection="1">
      <alignment horizontal="right" vertical="center"/>
      <protection hidden="1"/>
    </xf>
    <xf numFmtId="178" fontId="64" fillId="31" borderId="44" xfId="40" applyNumberFormat="1" applyFont="1" applyFill="1" applyBorder="1" applyAlignment="1" applyProtection="1">
      <alignment vertical="center" shrinkToFit="1"/>
      <protection hidden="1"/>
    </xf>
    <xf numFmtId="0" fontId="64" fillId="31" borderId="44" xfId="40" applyNumberFormat="1" applyFont="1" applyFill="1" applyBorder="1" applyAlignment="1" applyProtection="1">
      <alignment vertical="center" shrinkToFit="1"/>
      <protection hidden="1"/>
    </xf>
    <xf numFmtId="178" fontId="64" fillId="31" borderId="101" xfId="40" applyNumberFormat="1" applyFont="1" applyFill="1" applyBorder="1" applyAlignment="1" applyProtection="1">
      <alignment horizontal="center" vertical="center" shrinkToFit="1"/>
      <protection hidden="1"/>
    </xf>
    <xf numFmtId="0" fontId="64" fillId="31" borderId="101" xfId="40" applyNumberFormat="1" applyFont="1" applyFill="1" applyBorder="1" applyAlignment="1" applyProtection="1">
      <alignment horizontal="center" vertical="center" shrinkToFit="1"/>
      <protection hidden="1"/>
    </xf>
    <xf numFmtId="0" fontId="64" fillId="31" borderId="39" xfId="40" applyNumberFormat="1" applyFont="1" applyFill="1" applyBorder="1" applyAlignment="1" applyProtection="1">
      <alignment horizontal="right" vertical="center"/>
      <protection hidden="1"/>
    </xf>
    <xf numFmtId="0" fontId="64" fillId="31" borderId="66" xfId="40" applyNumberFormat="1" applyFont="1" applyFill="1" applyBorder="1" applyAlignment="1" applyProtection="1">
      <alignment horizontal="right" vertical="center"/>
      <protection hidden="1"/>
    </xf>
    <xf numFmtId="178" fontId="64" fillId="31" borderId="66" xfId="40" applyNumberFormat="1" applyFont="1" applyFill="1" applyBorder="1" applyAlignment="1" applyProtection="1">
      <alignment vertical="center" shrinkToFit="1"/>
      <protection hidden="1"/>
    </xf>
    <xf numFmtId="0" fontId="64" fillId="31" borderId="66" xfId="40" applyNumberFormat="1" applyFont="1" applyFill="1" applyBorder="1" applyAlignment="1" applyProtection="1">
      <alignment vertical="center" shrinkToFit="1"/>
      <protection hidden="1"/>
    </xf>
    <xf numFmtId="178" fontId="64" fillId="31" borderId="36" xfId="40" applyNumberFormat="1" applyFont="1" applyFill="1" applyBorder="1" applyAlignment="1" applyProtection="1">
      <alignment horizontal="center" vertical="center" shrinkToFit="1"/>
      <protection hidden="1"/>
    </xf>
    <xf numFmtId="0" fontId="64" fillId="31" borderId="36" xfId="40" applyNumberFormat="1" applyFont="1" applyFill="1" applyBorder="1" applyAlignment="1" applyProtection="1">
      <alignment horizontal="center" vertical="center" shrinkToFit="1"/>
      <protection hidden="1"/>
    </xf>
    <xf numFmtId="0" fontId="179" fillId="0" borderId="0" xfId="59" applyNumberFormat="1" applyFont="1" applyAlignment="1" applyProtection="1">
      <protection hidden="1"/>
    </xf>
    <xf numFmtId="0" fontId="62" fillId="0" borderId="0" xfId="40" applyNumberFormat="1" applyFill="1" applyProtection="1">
      <protection hidden="1"/>
    </xf>
    <xf numFmtId="0" fontId="62" fillId="0" borderId="1" xfId="40" applyNumberFormat="1" applyFill="1" applyBorder="1" applyProtection="1">
      <protection hidden="1"/>
    </xf>
    <xf numFmtId="0" fontId="54" fillId="0" borderId="1" xfId="40" applyNumberFormat="1" applyFont="1" applyFill="1" applyBorder="1" applyProtection="1">
      <protection hidden="1"/>
    </xf>
    <xf numFmtId="0" fontId="78" fillId="0" borderId="0" xfId="40" applyNumberFormat="1" applyFont="1" applyFill="1" applyAlignment="1" applyProtection="1">
      <alignment horizontal="right"/>
      <protection hidden="1"/>
    </xf>
    <xf numFmtId="0" fontId="77" fillId="0" borderId="0" xfId="40" applyNumberFormat="1" applyFont="1" applyFill="1" applyAlignment="1" applyProtection="1">
      <alignment horizontal="right"/>
      <protection hidden="1"/>
    </xf>
    <xf numFmtId="0" fontId="62" fillId="0" borderId="6" xfId="40" applyNumberFormat="1" applyFill="1" applyBorder="1" applyProtection="1">
      <protection hidden="1"/>
    </xf>
    <xf numFmtId="0" fontId="62" fillId="0" borderId="6" xfId="40" applyNumberFormat="1" applyFill="1" applyBorder="1" applyAlignment="1" applyProtection="1">
      <alignment horizontal="right"/>
      <protection hidden="1"/>
    </xf>
    <xf numFmtId="0" fontId="62" fillId="0" borderId="1" xfId="40" applyNumberFormat="1" applyFill="1" applyBorder="1" applyAlignment="1" applyProtection="1">
      <alignment wrapText="1"/>
      <protection hidden="1"/>
    </xf>
    <xf numFmtId="0" fontId="76" fillId="0" borderId="0" xfId="40" applyNumberFormat="1" applyFont="1" applyFill="1" applyBorder="1" applyAlignment="1" applyProtection="1">
      <alignment horizontal="left" vertical="top"/>
      <protection hidden="1"/>
    </xf>
    <xf numFmtId="0" fontId="76" fillId="0" borderId="0" xfId="40" applyNumberFormat="1" applyFont="1" applyFill="1" applyBorder="1" applyAlignment="1" applyProtection="1">
      <alignment vertical="top"/>
      <protection hidden="1"/>
    </xf>
    <xf numFmtId="0" fontId="133" fillId="0" borderId="0" xfId="21" applyNumberFormat="1" applyFont="1" applyFill="1" applyBorder="1" applyAlignment="1" applyProtection="1">
      <alignment horizontal="right" vertical="center"/>
      <protection hidden="1"/>
    </xf>
    <xf numFmtId="0" fontId="132" fillId="0" borderId="0" xfId="21" applyNumberFormat="1" applyFont="1" applyFill="1" applyBorder="1" applyAlignment="1" applyProtection="1">
      <alignment horizontal="center" vertical="center"/>
      <protection hidden="1"/>
    </xf>
    <xf numFmtId="0" fontId="131" fillId="0" borderId="0" xfId="40" applyNumberFormat="1" applyFont="1" applyFill="1" applyProtection="1">
      <protection hidden="1"/>
    </xf>
    <xf numFmtId="0" fontId="58" fillId="0" borderId="0" xfId="40" applyNumberFormat="1" applyFont="1" applyFill="1" applyProtection="1">
      <protection hidden="1"/>
    </xf>
    <xf numFmtId="0" fontId="53" fillId="0" borderId="0" xfId="40" applyNumberFormat="1" applyFont="1" applyFill="1" applyProtection="1">
      <protection hidden="1"/>
    </xf>
    <xf numFmtId="0" fontId="107" fillId="0" borderId="0" xfId="49" applyFont="1" applyFill="1"/>
    <xf numFmtId="0" fontId="107" fillId="0" borderId="0" xfId="49" applyFont="1" applyFill="1" applyAlignment="1">
      <alignment horizontal="center"/>
    </xf>
    <xf numFmtId="0" fontId="128" fillId="0" borderId="0" xfId="40" applyNumberFormat="1" applyFont="1" applyFill="1" applyProtection="1">
      <protection hidden="1"/>
    </xf>
    <xf numFmtId="0" fontId="52" fillId="0" borderId="0" xfId="40" applyNumberFormat="1" applyFont="1" applyFill="1" applyProtection="1">
      <protection hidden="1"/>
    </xf>
    <xf numFmtId="0" fontId="107" fillId="0" borderId="1" xfId="49" applyFont="1" applyFill="1" applyBorder="1" applyAlignment="1">
      <alignment horizontal="center"/>
    </xf>
    <xf numFmtId="0" fontId="79" fillId="0" borderId="1" xfId="40" applyNumberFormat="1" applyFont="1" applyFill="1" applyBorder="1" applyProtection="1">
      <protection hidden="1"/>
    </xf>
    <xf numFmtId="179" fontId="107" fillId="0" borderId="1" xfId="49" applyNumberFormat="1" applyFont="1" applyFill="1" applyBorder="1" applyAlignment="1">
      <alignment horizontal="center"/>
    </xf>
    <xf numFmtId="186" fontId="107" fillId="0" borderId="1" xfId="49" applyNumberFormat="1" applyFont="1" applyFill="1" applyBorder="1" applyAlignment="1">
      <alignment horizontal="center"/>
    </xf>
    <xf numFmtId="0" fontId="107" fillId="0" borderId="1" xfId="49" applyFont="1" applyFill="1" applyBorder="1"/>
    <xf numFmtId="189" fontId="107" fillId="0" borderId="1" xfId="49" applyNumberFormat="1" applyFont="1" applyFill="1" applyBorder="1"/>
    <xf numFmtId="188" fontId="107" fillId="0" borderId="1" xfId="49" applyNumberFormat="1" applyFont="1" applyFill="1" applyBorder="1"/>
    <xf numFmtId="177" fontId="107" fillId="0" borderId="1" xfId="49" applyNumberFormat="1" applyFont="1" applyFill="1" applyBorder="1"/>
    <xf numFmtId="187" fontId="107" fillId="0" borderId="1" xfId="49" applyNumberFormat="1" applyFont="1" applyFill="1" applyBorder="1"/>
    <xf numFmtId="185" fontId="107" fillId="0" borderId="1" xfId="49" applyNumberFormat="1" applyFont="1" applyFill="1" applyBorder="1" applyAlignment="1">
      <alignment horizontal="center"/>
    </xf>
    <xf numFmtId="172" fontId="107" fillId="0" borderId="1" xfId="49" applyNumberFormat="1" applyFont="1" applyFill="1" applyBorder="1"/>
    <xf numFmtId="0" fontId="127" fillId="0" borderId="8" xfId="40" applyNumberFormat="1" applyFont="1" applyFill="1" applyBorder="1" applyAlignment="1" applyProtection="1">
      <alignment horizontal="center" vertical="center" shrinkToFit="1"/>
      <protection hidden="1"/>
    </xf>
    <xf numFmtId="2" fontId="127" fillId="0" borderId="8" xfId="40" applyNumberFormat="1" applyFont="1" applyFill="1" applyBorder="1" applyAlignment="1" applyProtection="1">
      <alignment horizontal="center" vertical="center" shrinkToFit="1"/>
      <protection hidden="1"/>
    </xf>
    <xf numFmtId="179" fontId="127" fillId="0" borderId="8" xfId="40" applyNumberFormat="1" applyFont="1" applyFill="1" applyBorder="1" applyAlignment="1" applyProtection="1">
      <alignment horizontal="center" vertical="center" shrinkToFit="1"/>
      <protection hidden="1"/>
    </xf>
    <xf numFmtId="176" fontId="127" fillId="0" borderId="8" xfId="40" applyNumberFormat="1" applyFont="1" applyFill="1" applyBorder="1" applyAlignment="1" applyProtection="1">
      <alignment horizontal="center" vertical="center" shrinkToFit="1"/>
      <protection hidden="1"/>
    </xf>
    <xf numFmtId="178" fontId="127" fillId="0" borderId="34" xfId="40" applyNumberFormat="1" applyFont="1" applyFill="1" applyBorder="1" applyAlignment="1" applyProtection="1">
      <alignment horizontal="right" vertical="center" shrinkToFit="1"/>
      <protection hidden="1"/>
    </xf>
    <xf numFmtId="0" fontId="62" fillId="0" borderId="0" xfId="40" applyNumberFormat="1" applyFill="1" applyBorder="1" applyProtection="1">
      <protection hidden="1"/>
    </xf>
    <xf numFmtId="0" fontId="79" fillId="0" borderId="0" xfId="40" applyNumberFormat="1" applyFont="1" applyFill="1" applyBorder="1" applyProtection="1">
      <protection hidden="1"/>
    </xf>
    <xf numFmtId="179" fontId="107" fillId="0" borderId="0" xfId="49" applyNumberFormat="1" applyFont="1" applyFill="1" applyBorder="1" applyAlignment="1">
      <alignment horizontal="center"/>
    </xf>
    <xf numFmtId="186" fontId="107" fillId="0" borderId="0" xfId="49" applyNumberFormat="1" applyFont="1" applyFill="1" applyBorder="1" applyAlignment="1">
      <alignment horizontal="center"/>
    </xf>
    <xf numFmtId="0" fontId="107" fillId="0" borderId="0" xfId="49" applyFont="1" applyFill="1" applyBorder="1" applyAlignment="1">
      <alignment horizontal="center"/>
    </xf>
    <xf numFmtId="0" fontId="107" fillId="0" borderId="0" xfId="49" applyFont="1" applyFill="1" applyBorder="1"/>
    <xf numFmtId="189" fontId="107" fillId="0" borderId="0" xfId="49" applyNumberFormat="1" applyFont="1" applyFill="1" applyBorder="1"/>
    <xf numFmtId="188" fontId="107" fillId="0" borderId="0" xfId="49" applyNumberFormat="1" applyFont="1" applyFill="1" applyBorder="1"/>
    <xf numFmtId="177" fontId="107" fillId="0" borderId="0" xfId="49" applyNumberFormat="1" applyFont="1" applyFill="1" applyBorder="1"/>
    <xf numFmtId="187" fontId="107" fillId="0" borderId="0" xfId="49" applyNumberFormat="1" applyFont="1" applyFill="1" applyBorder="1"/>
    <xf numFmtId="185" fontId="107" fillId="0" borderId="0" xfId="49" applyNumberFormat="1" applyFont="1" applyFill="1" applyBorder="1" applyAlignment="1">
      <alignment horizontal="center"/>
    </xf>
    <xf numFmtId="172" fontId="107" fillId="0" borderId="0" xfId="49" applyNumberFormat="1" applyFont="1" applyFill="1" applyBorder="1"/>
    <xf numFmtId="0" fontId="49" fillId="0" borderId="0" xfId="40" applyNumberFormat="1" applyFont="1" applyFill="1" applyProtection="1">
      <protection hidden="1"/>
    </xf>
    <xf numFmtId="0" fontId="76" fillId="0" borderId="0" xfId="40" applyNumberFormat="1" applyFont="1" applyFill="1" applyBorder="1" applyProtection="1">
      <protection hidden="1"/>
    </xf>
    <xf numFmtId="0" fontId="188" fillId="0" borderId="0" xfId="40" applyNumberFormat="1" applyFont="1" applyFill="1" applyProtection="1">
      <protection hidden="1"/>
    </xf>
    <xf numFmtId="0" fontId="179" fillId="0" borderId="0" xfId="59" applyNumberFormat="1" applyFont="1" applyFill="1" applyAlignment="1" applyProtection="1">
      <alignment horizontal="right"/>
      <protection hidden="1"/>
    </xf>
    <xf numFmtId="0" fontId="130" fillId="31" borderId="32" xfId="45" applyNumberFormat="1" applyFont="1" applyFill="1" applyBorder="1" applyAlignment="1" applyProtection="1">
      <alignment vertical="center"/>
      <protection hidden="1"/>
    </xf>
    <xf numFmtId="0" fontId="130" fillId="31" borderId="9" xfId="45" applyNumberFormat="1" applyFont="1" applyFill="1" applyBorder="1" applyAlignment="1" applyProtection="1">
      <alignment vertical="center"/>
      <protection hidden="1"/>
    </xf>
    <xf numFmtId="0" fontId="130" fillId="31" borderId="33" xfId="45" applyNumberFormat="1" applyFont="1" applyFill="1" applyBorder="1" applyAlignment="1" applyProtection="1">
      <alignment vertical="center"/>
      <protection hidden="1"/>
    </xf>
    <xf numFmtId="0" fontId="130" fillId="31" borderId="30" xfId="45" applyNumberFormat="1" applyFont="1" applyFill="1" applyBorder="1" applyAlignment="1" applyProtection="1">
      <alignment vertical="center"/>
      <protection hidden="1"/>
    </xf>
    <xf numFmtId="0" fontId="130" fillId="31" borderId="29" xfId="45" applyNumberFormat="1" applyFont="1" applyFill="1" applyBorder="1" applyAlignment="1" applyProtection="1">
      <alignment vertical="center"/>
      <protection hidden="1"/>
    </xf>
    <xf numFmtId="0" fontId="130" fillId="31" borderId="28" xfId="45" applyNumberFormat="1" applyFont="1" applyFill="1" applyBorder="1" applyAlignment="1" applyProtection="1">
      <alignment vertical="center"/>
      <protection hidden="1"/>
    </xf>
    <xf numFmtId="2" fontId="126" fillId="0" borderId="32" xfId="40" applyNumberFormat="1" applyFont="1" applyFill="1" applyBorder="1" applyAlignment="1" applyProtection="1">
      <alignment horizontal="center" vertical="center" shrinkToFit="1"/>
      <protection hidden="1"/>
    </xf>
    <xf numFmtId="0" fontId="126" fillId="0" borderId="9" xfId="40" applyNumberFormat="1" applyFont="1" applyFill="1" applyBorder="1" applyAlignment="1" applyProtection="1">
      <alignment horizontal="center" vertical="center" shrinkToFit="1"/>
      <protection hidden="1"/>
    </xf>
    <xf numFmtId="2" fontId="126" fillId="0" borderId="9" xfId="40" applyNumberFormat="1" applyFont="1" applyFill="1" applyBorder="1" applyAlignment="1" applyProtection="1">
      <alignment horizontal="center" vertical="center" shrinkToFit="1"/>
      <protection hidden="1"/>
    </xf>
    <xf numFmtId="178" fontId="126" fillId="0" borderId="9" xfId="40" applyNumberFormat="1" applyFont="1" applyFill="1" applyBorder="1" applyAlignment="1" applyProtection="1">
      <alignment horizontal="right" vertical="center" shrinkToFit="1"/>
      <protection hidden="1"/>
    </xf>
    <xf numFmtId="0" fontId="180" fillId="0" borderId="0" xfId="40" applyNumberFormat="1" applyFont="1" applyFill="1" applyProtection="1">
      <protection hidden="1"/>
    </xf>
    <xf numFmtId="0" fontId="126" fillId="0" borderId="9" xfId="40" applyNumberFormat="1" applyFont="1" applyFill="1" applyBorder="1" applyAlignment="1" applyProtection="1">
      <alignment horizontal="right" vertical="center" shrinkToFit="1"/>
      <protection hidden="1"/>
    </xf>
    <xf numFmtId="0" fontId="181" fillId="0" borderId="9" xfId="45" applyNumberFormat="1" applyFont="1" applyFill="1" applyBorder="1" applyAlignment="1" applyProtection="1">
      <alignment horizontal="center" shrinkToFit="1"/>
      <protection hidden="1"/>
    </xf>
    <xf numFmtId="0" fontId="181" fillId="0" borderId="0" xfId="45" applyNumberFormat="1" applyFont="1" applyFill="1" applyBorder="1" applyAlignment="1" applyProtection="1">
      <alignment horizontal="center" shrinkToFit="1"/>
      <protection hidden="1"/>
    </xf>
    <xf numFmtId="0" fontId="181" fillId="0" borderId="8" xfId="45" applyNumberFormat="1" applyFont="1" applyFill="1" applyBorder="1" applyAlignment="1" applyProtection="1">
      <alignment horizontal="center" shrinkToFit="1"/>
      <protection hidden="1"/>
    </xf>
    <xf numFmtId="0" fontId="180" fillId="0" borderId="0" xfId="40" applyNumberFormat="1" applyFont="1" applyFill="1" applyBorder="1" applyProtection="1">
      <protection hidden="1"/>
    </xf>
    <xf numFmtId="0" fontId="189" fillId="0" borderId="0" xfId="40" applyNumberFormat="1" applyFont="1" applyFill="1" applyBorder="1" applyProtection="1">
      <protection hidden="1"/>
    </xf>
    <xf numFmtId="179" fontId="190" fillId="0" borderId="0" xfId="49" applyNumberFormat="1" applyFont="1" applyFill="1" applyBorder="1" applyAlignment="1">
      <alignment horizontal="center"/>
    </xf>
    <xf numFmtId="186" fontId="190" fillId="0" borderId="0" xfId="49" applyNumberFormat="1" applyFont="1" applyFill="1" applyBorder="1" applyAlignment="1">
      <alignment horizontal="center"/>
    </xf>
    <xf numFmtId="0" fontId="190" fillId="0" borderId="0" xfId="49" applyFont="1" applyFill="1" applyBorder="1" applyAlignment="1">
      <alignment horizontal="center"/>
    </xf>
    <xf numFmtId="0" fontId="190" fillId="0" borderId="0" xfId="49" applyFont="1" applyFill="1" applyBorder="1"/>
    <xf numFmtId="189" fontId="190" fillId="0" borderId="0" xfId="49" applyNumberFormat="1" applyFont="1" applyFill="1" applyBorder="1"/>
    <xf numFmtId="188" fontId="190" fillId="0" borderId="0" xfId="49" applyNumberFormat="1" applyFont="1" applyFill="1" applyBorder="1"/>
    <xf numFmtId="177" fontId="190" fillId="0" borderId="0" xfId="49" applyNumberFormat="1" applyFont="1" applyFill="1" applyBorder="1"/>
    <xf numFmtId="187" fontId="190" fillId="0" borderId="0" xfId="49" applyNumberFormat="1" applyFont="1" applyFill="1" applyBorder="1"/>
    <xf numFmtId="185" fontId="190" fillId="0" borderId="0" xfId="49" applyNumberFormat="1" applyFont="1" applyFill="1" applyBorder="1" applyAlignment="1">
      <alignment horizontal="center"/>
    </xf>
    <xf numFmtId="172" fontId="190" fillId="0" borderId="0" xfId="49" applyNumberFormat="1" applyFont="1" applyFill="1" applyBorder="1"/>
    <xf numFmtId="0" fontId="62" fillId="0" borderId="8" xfId="40" applyNumberFormat="1" applyFill="1" applyBorder="1" applyProtection="1">
      <protection hidden="1"/>
    </xf>
    <xf numFmtId="0" fontId="79" fillId="0" borderId="8" xfId="40" applyNumberFormat="1" applyFont="1" applyFill="1" applyBorder="1" applyProtection="1">
      <protection hidden="1"/>
    </xf>
    <xf numFmtId="179" fontId="107" fillId="0" borderId="8" xfId="49" applyNumberFormat="1" applyFont="1" applyFill="1" applyBorder="1" applyAlignment="1">
      <alignment horizontal="center"/>
    </xf>
    <xf numFmtId="186" fontId="107" fillId="0" borderId="8" xfId="49" applyNumberFormat="1" applyFont="1" applyFill="1" applyBorder="1" applyAlignment="1">
      <alignment horizontal="center"/>
    </xf>
    <xf numFmtId="0" fontId="107" fillId="0" borderId="8" xfId="49" applyFont="1" applyFill="1" applyBorder="1" applyAlignment="1">
      <alignment horizontal="center"/>
    </xf>
    <xf numFmtId="0" fontId="107" fillId="0" borderId="8" xfId="49" applyFont="1" applyFill="1" applyBorder="1"/>
    <xf numFmtId="189" fontId="107" fillId="0" borderId="8" xfId="49" applyNumberFormat="1" applyFont="1" applyFill="1" applyBorder="1"/>
    <xf numFmtId="188" fontId="107" fillId="0" borderId="8" xfId="49" applyNumberFormat="1" applyFont="1" applyFill="1" applyBorder="1"/>
    <xf numFmtId="177" fontId="107" fillId="0" borderId="8" xfId="49" applyNumberFormat="1" applyFont="1" applyFill="1" applyBorder="1"/>
    <xf numFmtId="187" fontId="107" fillId="0" borderId="8" xfId="49" applyNumberFormat="1" applyFont="1" applyFill="1" applyBorder="1"/>
    <xf numFmtId="185" fontId="107" fillId="0" borderId="8" xfId="49" applyNumberFormat="1" applyFont="1" applyFill="1" applyBorder="1" applyAlignment="1">
      <alignment horizontal="center"/>
    </xf>
    <xf numFmtId="172" fontId="107" fillId="0" borderId="8" xfId="49" applyNumberFormat="1" applyFont="1" applyFill="1" applyBorder="1"/>
    <xf numFmtId="0" fontId="62" fillId="0" borderId="9" xfId="40" applyNumberFormat="1" applyFill="1" applyBorder="1" applyProtection="1">
      <protection hidden="1"/>
    </xf>
    <xf numFmtId="0" fontId="79" fillId="0" borderId="9" xfId="40" applyNumberFormat="1" applyFont="1" applyFill="1" applyBorder="1" applyProtection="1">
      <protection hidden="1"/>
    </xf>
    <xf numFmtId="179" fontId="107" fillId="0" borderId="9" xfId="49" applyNumberFormat="1" applyFont="1" applyFill="1" applyBorder="1" applyAlignment="1">
      <alignment horizontal="center"/>
    </xf>
    <xf numFmtId="186" fontId="107" fillId="0" borderId="9" xfId="49" applyNumberFormat="1" applyFont="1" applyFill="1" applyBorder="1" applyAlignment="1">
      <alignment horizontal="center"/>
    </xf>
    <xf numFmtId="0" fontId="107" fillId="0" borderId="9" xfId="49" applyFont="1" applyFill="1" applyBorder="1" applyAlignment="1">
      <alignment horizontal="center"/>
    </xf>
    <xf numFmtId="0" fontId="107" fillId="0" borderId="9" xfId="49" applyFont="1" applyFill="1" applyBorder="1"/>
    <xf numFmtId="189" fontId="107" fillId="0" borderId="9" xfId="49" applyNumberFormat="1" applyFont="1" applyFill="1" applyBorder="1"/>
    <xf numFmtId="188" fontId="107" fillId="0" borderId="9" xfId="49" applyNumberFormat="1" applyFont="1" applyFill="1" applyBorder="1"/>
    <xf numFmtId="177" fontId="107" fillId="0" borderId="9" xfId="49" applyNumberFormat="1" applyFont="1" applyFill="1" applyBorder="1"/>
    <xf numFmtId="187" fontId="107" fillId="0" borderId="9" xfId="49" applyNumberFormat="1" applyFont="1" applyFill="1" applyBorder="1"/>
    <xf numFmtId="185" fontId="107" fillId="0" borderId="9" xfId="49" applyNumberFormat="1" applyFont="1" applyFill="1" applyBorder="1" applyAlignment="1">
      <alignment horizontal="center"/>
    </xf>
    <xf numFmtId="172" fontId="107" fillId="0" borderId="9" xfId="49" applyNumberFormat="1" applyFont="1" applyFill="1" applyBorder="1"/>
    <xf numFmtId="0" fontId="64" fillId="31" borderId="75" xfId="40" applyNumberFormat="1" applyFont="1" applyFill="1" applyBorder="1" applyAlignment="1" applyProtection="1">
      <alignment horizontal="center" vertical="center" shrinkToFit="1"/>
      <protection hidden="1"/>
    </xf>
    <xf numFmtId="178" fontId="64" fillId="31" borderId="75" xfId="40" applyNumberFormat="1" applyFont="1" applyFill="1" applyBorder="1" applyAlignment="1" applyProtection="1">
      <alignment horizontal="center" vertical="center" shrinkToFit="1"/>
      <protection hidden="1"/>
    </xf>
    <xf numFmtId="178" fontId="64" fillId="31" borderId="40" xfId="40" applyNumberFormat="1" applyFont="1" applyFill="1" applyBorder="1" applyAlignment="1" applyProtection="1">
      <alignment horizontal="center" vertical="center" shrinkToFit="1"/>
      <protection hidden="1"/>
    </xf>
    <xf numFmtId="178" fontId="64" fillId="31" borderId="35" xfId="40" applyNumberFormat="1" applyFont="1" applyFill="1" applyBorder="1" applyAlignment="1" applyProtection="1">
      <alignment horizontal="center" vertical="center" shrinkToFit="1"/>
      <protection hidden="1"/>
    </xf>
    <xf numFmtId="0" fontId="180" fillId="0" borderId="8" xfId="40" applyNumberFormat="1" applyFont="1" applyFill="1" applyBorder="1" applyProtection="1">
      <protection hidden="1"/>
    </xf>
    <xf numFmtId="0" fontId="181" fillId="0" borderId="29" xfId="45" applyNumberFormat="1" applyFont="1" applyFill="1" applyBorder="1" applyAlignment="1" applyProtection="1">
      <alignment horizontal="center" shrinkToFit="1"/>
      <protection hidden="1"/>
    </xf>
    <xf numFmtId="166" fontId="159" fillId="30" borderId="11" xfId="0" applyFont="1" applyFill="1" applyBorder="1" applyAlignment="1" applyProtection="1">
      <alignment horizontal="center"/>
      <protection hidden="1"/>
    </xf>
    <xf numFmtId="166" fontId="185" fillId="30" borderId="32" xfId="0" applyFont="1" applyFill="1" applyBorder="1" applyAlignment="1" applyProtection="1">
      <alignment horizontal="center"/>
      <protection hidden="1"/>
    </xf>
    <xf numFmtId="0" fontId="191" fillId="30" borderId="28" xfId="0" applyNumberFormat="1" applyFont="1" applyFill="1" applyBorder="1" applyAlignment="1" applyProtection="1">
      <alignment horizontal="center" vertical="center"/>
      <protection hidden="1"/>
    </xf>
    <xf numFmtId="0" fontId="179" fillId="0" borderId="0" xfId="59" applyNumberFormat="1" applyFont="1" applyAlignment="1" applyProtection="1">
      <alignment horizontal="center"/>
      <protection hidden="1"/>
    </xf>
    <xf numFmtId="15" fontId="83" fillId="0" borderId="60" xfId="0" applyNumberFormat="1" applyFont="1" applyFill="1" applyBorder="1" applyAlignment="1" applyProtection="1">
      <alignment horizontal="center" vertical="center" shrinkToFit="1"/>
      <protection hidden="1"/>
    </xf>
    <xf numFmtId="15" fontId="83" fillId="0" borderId="20" xfId="0" applyNumberFormat="1" applyFont="1" applyFill="1" applyBorder="1" applyAlignment="1" applyProtection="1">
      <alignment horizontal="center" vertical="center" shrinkToFit="1"/>
      <protection hidden="1"/>
    </xf>
    <xf numFmtId="15" fontId="83" fillId="0" borderId="37" xfId="0" applyNumberFormat="1" applyFont="1" applyFill="1" applyBorder="1" applyAlignment="1" applyProtection="1">
      <alignment horizontal="center" vertical="center" shrinkToFit="1"/>
      <protection hidden="1"/>
    </xf>
    <xf numFmtId="166" fontId="175" fillId="5" borderId="98" xfId="0" applyFont="1" applyFill="1" applyBorder="1" applyAlignment="1" applyProtection="1">
      <alignment horizontal="center" vertical="center"/>
      <protection hidden="1"/>
    </xf>
    <xf numFmtId="166" fontId="175" fillId="5" borderId="75" xfId="0" applyFont="1" applyFill="1" applyBorder="1" applyAlignment="1" applyProtection="1">
      <alignment horizontal="center" vertical="center"/>
      <protection hidden="1"/>
    </xf>
    <xf numFmtId="166" fontId="175" fillId="5" borderId="40" xfId="0" applyFont="1" applyFill="1" applyBorder="1" applyAlignment="1" applyProtection="1">
      <alignment horizontal="center" vertical="center"/>
      <protection hidden="1"/>
    </xf>
    <xf numFmtId="166" fontId="176" fillId="5" borderId="41" xfId="0" applyFont="1" applyFill="1" applyBorder="1" applyAlignment="1" applyProtection="1">
      <alignment horizontal="center" vertical="center"/>
      <protection hidden="1"/>
    </xf>
    <xf numFmtId="166" fontId="176" fillId="5" borderId="36" xfId="0" applyFont="1" applyFill="1" applyBorder="1" applyAlignment="1" applyProtection="1">
      <alignment horizontal="center" vertical="center"/>
      <protection hidden="1"/>
    </xf>
    <xf numFmtId="166" fontId="176" fillId="5" borderId="35" xfId="0" applyFont="1" applyFill="1" applyBorder="1" applyAlignment="1" applyProtection="1">
      <alignment horizontal="center" vertical="center"/>
      <protection hidden="1"/>
    </xf>
    <xf numFmtId="15" fontId="83" fillId="5" borderId="27" xfId="0" applyNumberFormat="1" applyFont="1" applyFill="1" applyBorder="1" applyAlignment="1" applyProtection="1">
      <alignment horizontal="right" vertical="center" wrapText="1"/>
      <protection hidden="1"/>
    </xf>
    <xf numFmtId="166" fontId="83" fillId="5" borderId="26" xfId="0" applyFont="1" applyFill="1" applyBorder="1" applyAlignment="1" applyProtection="1">
      <alignment horizontal="right" vertical="center" wrapText="1"/>
      <protection hidden="1"/>
    </xf>
    <xf numFmtId="166" fontId="83" fillId="5" borderId="25" xfId="0" applyFont="1" applyFill="1" applyBorder="1" applyAlignment="1" applyProtection="1">
      <alignment horizontal="right" vertical="center" wrapText="1"/>
      <protection hidden="1"/>
    </xf>
    <xf numFmtId="166" fontId="83" fillId="5" borderId="98" xfId="0" applyFont="1" applyFill="1" applyBorder="1" applyAlignment="1" applyProtection="1">
      <alignment horizontal="center" vertical="center"/>
      <protection hidden="1"/>
    </xf>
    <xf numFmtId="166" fontId="83" fillId="5" borderId="75" xfId="0" applyFont="1" applyFill="1" applyBorder="1" applyAlignment="1" applyProtection="1">
      <alignment horizontal="center" vertical="center"/>
      <protection hidden="1"/>
    </xf>
    <xf numFmtId="166" fontId="83" fillId="5" borderId="40" xfId="0" applyFont="1" applyFill="1" applyBorder="1" applyAlignment="1" applyProtection="1">
      <alignment horizontal="center" vertical="center"/>
      <protection hidden="1"/>
    </xf>
    <xf numFmtId="166" fontId="176" fillId="5" borderId="23" xfId="0" applyFont="1" applyFill="1" applyBorder="1" applyAlignment="1" applyProtection="1">
      <alignment horizontal="center" vertical="center"/>
      <protection hidden="1"/>
    </xf>
    <xf numFmtId="166" fontId="176" fillId="5" borderId="91" xfId="0" applyFont="1" applyFill="1" applyBorder="1" applyAlignment="1" applyProtection="1">
      <alignment horizontal="center" vertical="center"/>
      <protection hidden="1"/>
    </xf>
    <xf numFmtId="166" fontId="176" fillId="5" borderId="76" xfId="0" applyFont="1" applyFill="1" applyBorder="1" applyAlignment="1" applyProtection="1">
      <alignment horizontal="center" vertical="center"/>
      <protection hidden="1"/>
    </xf>
    <xf numFmtId="166" fontId="176" fillId="5" borderId="100" xfId="0" applyFont="1" applyFill="1" applyBorder="1" applyAlignment="1" applyProtection="1">
      <alignment horizontal="center" vertical="center"/>
      <protection hidden="1"/>
    </xf>
    <xf numFmtId="0" fontId="74" fillId="5" borderId="27" xfId="40" applyNumberFormat="1" applyFont="1" applyFill="1" applyBorder="1" applyAlignment="1" applyProtection="1">
      <alignment horizontal="right" shrinkToFit="1"/>
      <protection hidden="1"/>
    </xf>
    <xf numFmtId="0" fontId="74" fillId="5" borderId="26" xfId="40" applyNumberFormat="1" applyFont="1" applyFill="1" applyBorder="1" applyAlignment="1" applyProtection="1">
      <alignment horizontal="right" shrinkToFit="1"/>
      <protection hidden="1"/>
    </xf>
    <xf numFmtId="0" fontId="126" fillId="5" borderId="87" xfId="40" applyNumberFormat="1" applyFont="1" applyFill="1" applyBorder="1" applyAlignment="1" applyProtection="1">
      <alignment horizontal="right"/>
      <protection hidden="1"/>
    </xf>
    <xf numFmtId="0" fontId="126" fillId="5" borderId="26" xfId="40" applyNumberFormat="1" applyFont="1" applyFill="1" applyBorder="1" applyAlignment="1" applyProtection="1">
      <alignment horizontal="right"/>
      <protection hidden="1"/>
    </xf>
    <xf numFmtId="0" fontId="126" fillId="5" borderId="25" xfId="40" applyNumberFormat="1" applyFont="1" applyFill="1" applyBorder="1" applyAlignment="1" applyProtection="1">
      <alignment horizontal="right"/>
      <protection hidden="1"/>
    </xf>
    <xf numFmtId="178" fontId="64" fillId="5" borderId="30" xfId="40" applyNumberFormat="1" applyFont="1" applyFill="1" applyBorder="1" applyAlignment="1" applyProtection="1">
      <alignment vertical="center"/>
      <protection hidden="1"/>
    </xf>
    <xf numFmtId="178" fontId="64" fillId="5" borderId="29" xfId="40" applyNumberFormat="1" applyFont="1" applyFill="1" applyBorder="1" applyAlignment="1" applyProtection="1">
      <alignment horizontal="right" vertical="center"/>
      <protection hidden="1"/>
    </xf>
    <xf numFmtId="178" fontId="64" fillId="5" borderId="46" xfId="40" applyNumberFormat="1" applyFont="1" applyFill="1" applyBorder="1" applyAlignment="1" applyProtection="1">
      <alignment horizontal="right" vertical="center"/>
      <protection hidden="1"/>
    </xf>
    <xf numFmtId="178" fontId="64" fillId="5" borderId="45" xfId="40" applyNumberFormat="1" applyFont="1" applyFill="1" applyBorder="1" applyAlignment="1" applyProtection="1">
      <alignment horizontal="right" vertical="center" shrinkToFit="1"/>
      <protection hidden="1"/>
    </xf>
    <xf numFmtId="178" fontId="64" fillId="5" borderId="74" xfId="40" applyNumberFormat="1" applyFont="1" applyFill="1" applyBorder="1" applyAlignment="1" applyProtection="1">
      <alignment horizontal="right" vertical="center" shrinkToFit="1"/>
      <protection hidden="1"/>
    </xf>
    <xf numFmtId="178" fontId="49" fillId="5" borderId="65" xfId="40" applyNumberFormat="1" applyFont="1" applyFill="1" applyBorder="1" applyAlignment="1" applyProtection="1">
      <alignment horizontal="right" vertical="center"/>
      <protection hidden="1"/>
    </xf>
    <xf numFmtId="178" fontId="49" fillId="5" borderId="44" xfId="40" applyNumberFormat="1" applyFont="1" applyFill="1" applyBorder="1" applyAlignment="1" applyProtection="1">
      <alignment horizontal="right" vertical="center"/>
      <protection hidden="1"/>
    </xf>
    <xf numFmtId="178" fontId="49" fillId="5" borderId="60" xfId="40" applyNumberFormat="1" applyFont="1" applyFill="1" applyBorder="1" applyAlignment="1" applyProtection="1">
      <alignment horizontal="right" vertical="center"/>
      <protection hidden="1"/>
    </xf>
    <xf numFmtId="178" fontId="49" fillId="5" borderId="75" xfId="40" applyNumberFormat="1" applyFont="1" applyFill="1" applyBorder="1" applyAlignment="1" applyProtection="1">
      <alignment horizontal="right" vertical="center" shrinkToFit="1"/>
      <protection hidden="1"/>
    </xf>
    <xf numFmtId="178" fontId="49" fillId="5" borderId="40" xfId="40" applyNumberFormat="1" applyFont="1" applyFill="1" applyBorder="1" applyAlignment="1" applyProtection="1">
      <alignment horizontal="right" vertical="center" shrinkToFit="1"/>
      <protection hidden="1"/>
    </xf>
    <xf numFmtId="178" fontId="49" fillId="5" borderId="32" xfId="40" applyNumberFormat="1" applyFont="1" applyFill="1" applyBorder="1" applyAlignment="1" applyProtection="1">
      <alignment horizontal="right" vertical="center"/>
      <protection hidden="1"/>
    </xf>
    <xf numFmtId="178" fontId="49" fillId="5" borderId="9" xfId="40" applyNumberFormat="1" applyFont="1" applyFill="1" applyBorder="1" applyAlignment="1" applyProtection="1">
      <alignment horizontal="right" vertical="center"/>
      <protection hidden="1"/>
    </xf>
    <xf numFmtId="178" fontId="49" fillId="5" borderId="77" xfId="40" applyNumberFormat="1" applyFont="1" applyFill="1" applyBorder="1" applyAlignment="1" applyProtection="1">
      <alignment horizontal="right" vertical="center"/>
      <protection hidden="1"/>
    </xf>
    <xf numFmtId="178" fontId="49" fillId="5" borderId="76" xfId="40" applyNumberFormat="1" applyFont="1" applyFill="1" applyBorder="1" applyAlignment="1" applyProtection="1">
      <alignment horizontal="right" vertical="center" shrinkToFit="1"/>
      <protection hidden="1"/>
    </xf>
    <xf numFmtId="178" fontId="49" fillId="5" borderId="100" xfId="40" applyNumberFormat="1" applyFont="1" applyFill="1" applyBorder="1" applyAlignment="1" applyProtection="1">
      <alignment horizontal="right" vertical="center" shrinkToFit="1"/>
      <protection hidden="1"/>
    </xf>
    <xf numFmtId="166" fontId="179" fillId="0" borderId="0" xfId="59" applyNumberFormat="1" applyFont="1" applyFill="1" applyProtection="1">
      <protection hidden="1"/>
    </xf>
    <xf numFmtId="166" fontId="159" fillId="30" borderId="11" xfId="0" applyFont="1" applyFill="1" applyBorder="1" applyAlignment="1" applyProtection="1">
      <protection hidden="1"/>
    </xf>
    <xf numFmtId="166" fontId="159" fillId="30" borderId="8" xfId="0" applyFont="1" applyFill="1" applyBorder="1" applyAlignment="1" applyProtection="1">
      <protection hidden="1"/>
    </xf>
    <xf numFmtId="166" fontId="159" fillId="30" borderId="34" xfId="0" applyFont="1" applyFill="1" applyBorder="1" applyAlignment="1" applyProtection="1">
      <protection hidden="1"/>
    </xf>
    <xf numFmtId="166" fontId="185" fillId="30" borderId="32" xfId="0" applyFont="1" applyFill="1" applyBorder="1" applyAlignment="1" applyProtection="1">
      <protection hidden="1"/>
    </xf>
    <xf numFmtId="166" fontId="185" fillId="30" borderId="9" xfId="0" applyFont="1" applyFill="1" applyBorder="1" applyAlignment="1" applyProtection="1">
      <protection hidden="1"/>
    </xf>
    <xf numFmtId="166" fontId="185" fillId="30" borderId="33" xfId="0" applyFont="1" applyFill="1" applyBorder="1" applyAlignment="1" applyProtection="1">
      <protection hidden="1"/>
    </xf>
    <xf numFmtId="0" fontId="180" fillId="0" borderId="9" xfId="45" applyNumberFormat="1" applyFont="1" applyFill="1" applyBorder="1" applyAlignment="1" applyProtection="1">
      <alignment shrinkToFit="1"/>
      <protection hidden="1"/>
    </xf>
    <xf numFmtId="0" fontId="180" fillId="0" borderId="0" xfId="45" applyNumberFormat="1" applyFont="1" applyFill="1" applyBorder="1" applyAlignment="1" applyProtection="1">
      <alignment shrinkToFit="1"/>
      <protection hidden="1"/>
    </xf>
    <xf numFmtId="0" fontId="180" fillId="0" borderId="8" xfId="45" applyNumberFormat="1" applyFont="1" applyFill="1" applyBorder="1" applyAlignment="1" applyProtection="1">
      <alignment shrinkToFit="1"/>
      <protection hidden="1"/>
    </xf>
    <xf numFmtId="0" fontId="180" fillId="0" borderId="8" xfId="40" applyNumberFormat="1" applyFont="1" applyFill="1" applyBorder="1" applyAlignment="1" applyProtection="1">
      <protection hidden="1"/>
    </xf>
    <xf numFmtId="0" fontId="180" fillId="0" borderId="0" xfId="40" applyNumberFormat="1" applyFont="1" applyFill="1" applyBorder="1" applyAlignment="1" applyProtection="1">
      <protection hidden="1"/>
    </xf>
    <xf numFmtId="0" fontId="189" fillId="0" borderId="0" xfId="40" applyNumberFormat="1" applyFont="1" applyFill="1" applyBorder="1" applyAlignment="1" applyProtection="1">
      <protection hidden="1"/>
    </xf>
    <xf numFmtId="179" fontId="190" fillId="0" borderId="0" xfId="49" applyNumberFormat="1" applyFont="1" applyFill="1" applyBorder="1" applyAlignment="1"/>
    <xf numFmtId="186" fontId="190" fillId="0" borderId="0" xfId="49" applyNumberFormat="1" applyFont="1" applyFill="1" applyBorder="1" applyAlignment="1"/>
    <xf numFmtId="0" fontId="190" fillId="0" borderId="0" xfId="49" applyFont="1" applyFill="1" applyBorder="1" applyAlignment="1"/>
    <xf numFmtId="189" fontId="190" fillId="0" borderId="0" xfId="49" applyNumberFormat="1" applyFont="1" applyFill="1" applyBorder="1" applyAlignment="1"/>
    <xf numFmtId="188" fontId="190" fillId="0" borderId="0" xfId="49" applyNumberFormat="1" applyFont="1" applyFill="1" applyBorder="1" applyAlignment="1"/>
    <xf numFmtId="177" fontId="190" fillId="0" borderId="0" xfId="49" applyNumberFormat="1" applyFont="1" applyFill="1" applyBorder="1" applyAlignment="1"/>
    <xf numFmtId="187" fontId="190" fillId="0" borderId="0" xfId="49" applyNumberFormat="1" applyFont="1" applyFill="1" applyBorder="1" applyAlignment="1"/>
    <xf numFmtId="185" fontId="190" fillId="0" borderId="0" xfId="49" applyNumberFormat="1" applyFont="1" applyFill="1" applyBorder="1" applyAlignment="1"/>
    <xf numFmtId="172" fontId="190" fillId="0" borderId="0" xfId="49" applyNumberFormat="1" applyFont="1" applyFill="1" applyBorder="1" applyAlignment="1"/>
    <xf numFmtId="0" fontId="62" fillId="0" borderId="0" xfId="40" applyNumberFormat="1" applyFill="1" applyAlignment="1" applyProtection="1">
      <alignment vertical="top" wrapText="1"/>
      <protection hidden="1"/>
    </xf>
    <xf numFmtId="0" fontId="74" fillId="5" borderId="25" xfId="40" applyNumberFormat="1" applyFont="1" applyFill="1" applyBorder="1" applyAlignment="1" applyProtection="1">
      <alignment horizontal="right" shrinkToFit="1"/>
      <protection hidden="1"/>
    </xf>
    <xf numFmtId="178" fontId="64" fillId="31" borderId="30" xfId="40" applyNumberFormat="1" applyFont="1" applyFill="1" applyBorder="1" applyAlignment="1" applyProtection="1">
      <alignment horizontal="right" vertical="center"/>
      <protection hidden="1"/>
    </xf>
    <xf numFmtId="178" fontId="64" fillId="31" borderId="29" xfId="40" applyNumberFormat="1" applyFont="1" applyFill="1" applyBorder="1" applyAlignment="1" applyProtection="1">
      <alignment horizontal="right" vertical="center"/>
      <protection hidden="1"/>
    </xf>
    <xf numFmtId="178" fontId="64" fillId="31" borderId="46" xfId="40" applyNumberFormat="1" applyFont="1" applyFill="1" applyBorder="1" applyAlignment="1" applyProtection="1">
      <alignment horizontal="right" vertical="center"/>
      <protection hidden="1"/>
    </xf>
    <xf numFmtId="178" fontId="64" fillId="31" borderId="45" xfId="40" applyNumberFormat="1" applyFont="1" applyFill="1" applyBorder="1" applyAlignment="1" applyProtection="1">
      <alignment horizontal="right" vertical="center" shrinkToFit="1"/>
      <protection hidden="1"/>
    </xf>
    <xf numFmtId="0" fontId="159" fillId="2" borderId="11" xfId="0" applyNumberFormat="1" applyFont="1" applyFill="1" applyBorder="1" applyAlignment="1">
      <alignment vertical="center"/>
    </xf>
    <xf numFmtId="0" fontId="159" fillId="2" borderId="24" xfId="0" applyNumberFormat="1" applyFont="1" applyFill="1" applyBorder="1" applyAlignment="1">
      <alignment horizontal="center" vertical="center"/>
    </xf>
    <xf numFmtId="0" fontId="156" fillId="0" borderId="11" xfId="0" applyNumberFormat="1" applyFont="1" applyFill="1" applyBorder="1" applyAlignment="1">
      <alignment horizontal="left" vertical="center" shrinkToFit="1"/>
    </xf>
    <xf numFmtId="0" fontId="193" fillId="0" borderId="24" xfId="0" applyNumberFormat="1" applyFont="1" applyFill="1" applyBorder="1" applyAlignment="1">
      <alignment horizontal="left" vertical="center" wrapText="1"/>
    </xf>
    <xf numFmtId="0" fontId="179" fillId="0" borderId="0" xfId="59" applyNumberFormat="1" applyFont="1" applyFill="1" applyBorder="1" applyAlignment="1" applyProtection="1">
      <alignment horizontal="left" vertical="top"/>
      <protection hidden="1"/>
    </xf>
    <xf numFmtId="0" fontId="180" fillId="32" borderId="9" xfId="45" applyNumberFormat="1" applyFont="1" applyFill="1" applyBorder="1" applyAlignment="1" applyProtection="1">
      <alignment shrinkToFit="1"/>
      <protection hidden="1"/>
    </xf>
    <xf numFmtId="0" fontId="180" fillId="32" borderId="0" xfId="45" applyNumberFormat="1" applyFont="1" applyFill="1" applyBorder="1" applyAlignment="1" applyProtection="1">
      <alignment shrinkToFit="1"/>
      <protection hidden="1"/>
    </xf>
    <xf numFmtId="0" fontId="180" fillId="32" borderId="8" xfId="45" applyNumberFormat="1" applyFont="1" applyFill="1" applyBorder="1" applyAlignment="1" applyProtection="1">
      <alignment shrinkToFit="1"/>
      <protection hidden="1"/>
    </xf>
    <xf numFmtId="0" fontId="180" fillId="32" borderId="8" xfId="40" applyNumberFormat="1" applyFont="1" applyFill="1" applyBorder="1" applyAlignment="1" applyProtection="1">
      <protection hidden="1"/>
    </xf>
    <xf numFmtId="0" fontId="155" fillId="26" borderId="129" xfId="47" applyNumberFormat="1" applyFont="1" applyFill="1" applyBorder="1" applyAlignment="1">
      <alignment horizontal="center" vertical="center"/>
    </xf>
    <xf numFmtId="0" fontId="155" fillId="26" borderId="130" xfId="47" applyNumberFormat="1" applyFont="1" applyFill="1" applyBorder="1" applyAlignment="1">
      <alignment horizontal="center" vertical="center"/>
    </xf>
    <xf numFmtId="0" fontId="155" fillId="26" borderId="130" xfId="47" applyNumberFormat="1" applyFont="1" applyFill="1" applyBorder="1" applyAlignment="1">
      <alignment horizontal="center"/>
    </xf>
    <xf numFmtId="0" fontId="155" fillId="26" borderId="11" xfId="47" applyNumberFormat="1" applyFont="1" applyFill="1" applyBorder="1" applyAlignment="1">
      <alignment horizontal="center" vertical="center"/>
    </xf>
    <xf numFmtId="0" fontId="155" fillId="26" borderId="131" xfId="47" applyNumberFormat="1" applyFont="1" applyFill="1" applyBorder="1" applyAlignment="1">
      <alignment horizontal="center" vertical="center"/>
    </xf>
    <xf numFmtId="0" fontId="127" fillId="28" borderId="130" xfId="47" applyNumberFormat="1" applyFont="1" applyFill="1" applyBorder="1" applyAlignment="1" applyProtection="1">
      <alignment horizontal="center" vertical="center" shrinkToFit="1"/>
      <protection locked="0"/>
    </xf>
    <xf numFmtId="0" fontId="126" fillId="28" borderId="130" xfId="47" applyNumberFormat="1" applyFont="1" applyFill="1" applyBorder="1" applyAlignment="1" applyProtection="1">
      <alignment horizontal="center" vertical="center" shrinkToFit="1"/>
      <protection locked="0"/>
    </xf>
    <xf numFmtId="0" fontId="127" fillId="28" borderId="129" xfId="47" applyNumberFormat="1" applyFont="1" applyFill="1" applyBorder="1" applyAlignment="1" applyProtection="1">
      <alignment horizontal="center" vertical="center" shrinkToFit="1"/>
      <protection locked="0"/>
    </xf>
    <xf numFmtId="2" fontId="127" fillId="28" borderId="11" xfId="47" applyNumberFormat="1" applyFont="1" applyFill="1" applyBorder="1" applyAlignment="1" applyProtection="1">
      <alignment horizontal="center" vertical="center" shrinkToFit="1"/>
      <protection locked="0"/>
    </xf>
    <xf numFmtId="179" fontId="127" fillId="28" borderId="11" xfId="47" applyNumberFormat="1" applyFont="1" applyFill="1" applyBorder="1" applyAlignment="1" applyProtection="1">
      <alignment horizontal="center" vertical="center" shrinkToFit="1"/>
      <protection locked="0"/>
    </xf>
    <xf numFmtId="2" fontId="127" fillId="28" borderId="131" xfId="47" applyNumberFormat="1" applyFont="1" applyFill="1" applyBorder="1" applyAlignment="1" applyProtection="1">
      <alignment horizontal="center" vertical="center" shrinkToFit="1"/>
      <protection locked="0"/>
    </xf>
    <xf numFmtId="0" fontId="157" fillId="4" borderId="83" xfId="47" applyNumberFormat="1" applyFont="1" applyFill="1" applyBorder="1" applyAlignment="1" applyProtection="1">
      <alignment horizontal="center" vertical="center" shrinkToFit="1"/>
      <protection locked="0"/>
    </xf>
    <xf numFmtId="2" fontId="127" fillId="4" borderId="89" xfId="47" applyNumberFormat="1" applyFont="1" applyFill="1" applyBorder="1" applyAlignment="1" applyProtection="1">
      <alignment horizontal="center" vertical="center" shrinkToFit="1"/>
      <protection locked="0"/>
    </xf>
    <xf numFmtId="179" fontId="127" fillId="4" borderId="89" xfId="47" applyNumberFormat="1" applyFont="1" applyFill="1" applyBorder="1" applyAlignment="1" applyProtection="1">
      <alignment horizontal="center" vertical="center" shrinkToFit="1"/>
      <protection locked="0"/>
    </xf>
    <xf numFmtId="0" fontId="157" fillId="28" borderId="83" xfId="47" applyNumberFormat="1" applyFont="1" applyFill="1" applyBorder="1" applyAlignment="1" applyProtection="1">
      <alignment horizontal="center" vertical="center" shrinkToFit="1"/>
      <protection locked="0"/>
    </xf>
    <xf numFmtId="2" fontId="127" fillId="28" borderId="89" xfId="47" applyNumberFormat="1" applyFont="1" applyFill="1" applyBorder="1" applyAlignment="1" applyProtection="1">
      <alignment horizontal="center" vertical="center" shrinkToFit="1"/>
      <protection locked="0"/>
    </xf>
    <xf numFmtId="179" fontId="127" fillId="28" borderId="89" xfId="47" applyNumberFormat="1" applyFont="1" applyFill="1" applyBorder="1" applyAlignment="1" applyProtection="1">
      <alignment horizontal="center" vertical="center" shrinkToFit="1"/>
      <protection locked="0"/>
    </xf>
    <xf numFmtId="0" fontId="157" fillId="4" borderId="132" xfId="47" applyNumberFormat="1" applyFont="1" applyFill="1" applyBorder="1" applyAlignment="1" applyProtection="1">
      <alignment horizontal="center" vertical="center" shrinkToFit="1"/>
      <protection locked="0"/>
    </xf>
    <xf numFmtId="0" fontId="127" fillId="4" borderId="133" xfId="47" applyNumberFormat="1" applyFont="1" applyFill="1" applyBorder="1" applyAlignment="1" applyProtection="1">
      <alignment horizontal="center" vertical="center" shrinkToFit="1"/>
      <protection locked="0"/>
    </xf>
    <xf numFmtId="0" fontId="126" fillId="4" borderId="133" xfId="47" applyNumberFormat="1" applyFont="1" applyFill="1" applyBorder="1" applyAlignment="1" applyProtection="1">
      <alignment horizontal="center" vertical="center" shrinkToFit="1"/>
      <protection locked="0"/>
    </xf>
    <xf numFmtId="0" fontId="127" fillId="4" borderId="132" xfId="47" applyNumberFormat="1" applyFont="1" applyFill="1" applyBorder="1" applyAlignment="1" applyProtection="1">
      <alignment horizontal="center" vertical="center" shrinkToFit="1"/>
      <protection locked="0"/>
    </xf>
    <xf numFmtId="2" fontId="127" fillId="4" borderId="134" xfId="47" applyNumberFormat="1" applyFont="1" applyFill="1" applyBorder="1" applyAlignment="1" applyProtection="1">
      <alignment horizontal="center" vertical="center" shrinkToFit="1"/>
      <protection locked="0"/>
    </xf>
    <xf numFmtId="179" fontId="127" fillId="4" borderId="134" xfId="47" applyNumberFormat="1" applyFont="1" applyFill="1" applyBorder="1" applyAlignment="1" applyProtection="1">
      <alignment horizontal="center" vertical="center" shrinkToFit="1"/>
      <protection locked="0"/>
    </xf>
    <xf numFmtId="2" fontId="127" fillId="4" borderId="135" xfId="47" applyNumberFormat="1" applyFont="1" applyFill="1" applyBorder="1" applyAlignment="1" applyProtection="1">
      <alignment horizontal="center" vertical="center" shrinkToFit="1"/>
      <protection locked="0"/>
    </xf>
    <xf numFmtId="166" fontId="66" fillId="0" borderId="0" xfId="0" applyFont="1"/>
    <xf numFmtId="0" fontId="62" fillId="0" borderId="1" xfId="40" applyNumberFormat="1" applyFill="1" applyBorder="1" applyAlignment="1" applyProtection="1">
      <protection hidden="1"/>
    </xf>
    <xf numFmtId="166" fontId="194" fillId="0" borderId="0" xfId="0" applyFont="1"/>
    <xf numFmtId="0" fontId="195" fillId="0" borderId="0" xfId="40" applyNumberFormat="1" applyFont="1" applyFill="1" applyProtection="1">
      <protection hidden="1"/>
    </xf>
    <xf numFmtId="0" fontId="195" fillId="0" borderId="6" xfId="40" applyNumberFormat="1" applyFont="1" applyFill="1" applyBorder="1" applyProtection="1">
      <protection hidden="1"/>
    </xf>
    <xf numFmtId="0" fontId="195" fillId="0" borderId="6" xfId="40" applyNumberFormat="1" applyFont="1" applyFill="1" applyBorder="1" applyAlignment="1" applyProtection="1">
      <alignment horizontal="right"/>
      <protection hidden="1"/>
    </xf>
    <xf numFmtId="166" fontId="196" fillId="0" borderId="0" xfId="0" applyFont="1"/>
    <xf numFmtId="0" fontId="155" fillId="26" borderId="136" xfId="47" applyNumberFormat="1" applyFont="1" applyFill="1" applyBorder="1" applyAlignment="1">
      <alignment horizontal="center" vertical="center"/>
    </xf>
    <xf numFmtId="0" fontId="127" fillId="28" borderId="119" xfId="47" applyNumberFormat="1" applyFont="1" applyFill="1" applyBorder="1" applyAlignment="1" applyProtection="1">
      <alignment horizontal="center" vertical="center" shrinkToFit="1"/>
      <protection locked="0"/>
    </xf>
    <xf numFmtId="0" fontId="126" fillId="28" borderId="119" xfId="47" applyNumberFormat="1" applyFont="1" applyFill="1" applyBorder="1" applyAlignment="1" applyProtection="1">
      <alignment horizontal="center" vertical="center" shrinkToFit="1"/>
      <protection locked="0"/>
    </xf>
    <xf numFmtId="2" fontId="127" fillId="28" borderId="119" xfId="47" applyNumberFormat="1" applyFont="1" applyFill="1" applyBorder="1" applyAlignment="1" applyProtection="1">
      <alignment horizontal="center" vertical="center" shrinkToFit="1"/>
      <protection locked="0"/>
    </xf>
    <xf numFmtId="0" fontId="127" fillId="28" borderId="120" xfId="47" applyNumberFormat="1" applyFont="1" applyFill="1" applyBorder="1" applyAlignment="1" applyProtection="1">
      <alignment horizontal="center" vertical="center" shrinkToFit="1"/>
      <protection locked="0"/>
    </xf>
    <xf numFmtId="2" fontId="127" fillId="28" borderId="121" xfId="47" applyNumberFormat="1" applyFont="1" applyFill="1" applyBorder="1" applyAlignment="1" applyProtection="1">
      <alignment horizontal="center" vertical="center" shrinkToFit="1"/>
      <protection locked="0"/>
    </xf>
    <xf numFmtId="179" fontId="127" fillId="28" borderId="121" xfId="47" applyNumberFormat="1" applyFont="1" applyFill="1" applyBorder="1" applyAlignment="1" applyProtection="1">
      <alignment horizontal="center" vertical="center" shrinkToFit="1"/>
      <protection locked="0"/>
    </xf>
    <xf numFmtId="0" fontId="157" fillId="4" borderId="123" xfId="47" applyNumberFormat="1" applyFont="1" applyFill="1" applyBorder="1" applyAlignment="1" applyProtection="1">
      <alignment horizontal="center" vertical="center" shrinkToFit="1"/>
      <protection locked="0"/>
    </xf>
    <xf numFmtId="0" fontId="157" fillId="28" borderId="123" xfId="47" applyNumberFormat="1" applyFont="1" applyFill="1" applyBorder="1" applyAlignment="1" applyProtection="1">
      <alignment horizontal="center" vertical="center" shrinkToFit="1"/>
      <protection locked="0"/>
    </xf>
    <xf numFmtId="0" fontId="157" fillId="4" borderId="116" xfId="47" applyNumberFormat="1" applyFont="1" applyFill="1" applyBorder="1" applyAlignment="1" applyProtection="1">
      <alignment horizontal="center" vertical="center" shrinkToFit="1"/>
      <protection locked="0"/>
    </xf>
    <xf numFmtId="0" fontId="127" fillId="4" borderId="117" xfId="47" applyNumberFormat="1" applyFont="1" applyFill="1" applyBorder="1" applyAlignment="1" applyProtection="1">
      <alignment horizontal="center" vertical="center" shrinkToFit="1"/>
      <protection locked="0"/>
    </xf>
    <xf numFmtId="0" fontId="126" fillId="4" borderId="117" xfId="47" applyNumberFormat="1" applyFont="1" applyFill="1" applyBorder="1" applyAlignment="1" applyProtection="1">
      <alignment horizontal="center" vertical="center" shrinkToFit="1"/>
      <protection locked="0"/>
    </xf>
    <xf numFmtId="2" fontId="127" fillId="4" borderId="117" xfId="47" applyNumberFormat="1" applyFont="1" applyFill="1" applyBorder="1" applyAlignment="1" applyProtection="1">
      <alignment horizontal="center" vertical="center" shrinkToFit="1"/>
      <protection locked="0"/>
    </xf>
    <xf numFmtId="0" fontId="127" fillId="4" borderId="118" xfId="47" applyNumberFormat="1" applyFont="1" applyFill="1" applyBorder="1" applyAlignment="1" applyProtection="1">
      <alignment horizontal="center" vertical="center" shrinkToFit="1"/>
      <protection locked="0"/>
    </xf>
    <xf numFmtId="2" fontId="127" fillId="4" borderId="125" xfId="47" applyNumberFormat="1" applyFont="1" applyFill="1" applyBorder="1" applyAlignment="1" applyProtection="1">
      <alignment horizontal="center" vertical="center" shrinkToFit="1"/>
      <protection locked="0"/>
    </xf>
    <xf numFmtId="179" fontId="127" fillId="4" borderId="125" xfId="47" applyNumberFormat="1" applyFont="1" applyFill="1" applyBorder="1" applyAlignment="1" applyProtection="1">
      <alignment horizontal="center" vertical="center" shrinkToFit="1"/>
      <protection locked="0"/>
    </xf>
    <xf numFmtId="190" fontId="86" fillId="0" borderId="0" xfId="50" applyFont="1" applyFill="1" applyBorder="1" applyAlignment="1" applyProtection="1">
      <alignment vertical="center"/>
      <protection hidden="1"/>
    </xf>
    <xf numFmtId="190" fontId="86" fillId="0" borderId="0" xfId="50" applyFont="1" applyFill="1" applyBorder="1" applyProtection="1">
      <protection hidden="1"/>
    </xf>
    <xf numFmtId="190" fontId="87" fillId="0" borderId="0" xfId="50" applyFont="1" applyFill="1" applyBorder="1" applyAlignment="1" applyProtection="1">
      <alignment vertical="center"/>
      <protection hidden="1"/>
    </xf>
    <xf numFmtId="190" fontId="86" fillId="0" borderId="0" xfId="50" applyFont="1" applyFill="1" applyBorder="1" applyAlignment="1" applyProtection="1">
      <alignment horizontal="left" vertical="center"/>
      <protection hidden="1"/>
    </xf>
    <xf numFmtId="0" fontId="66" fillId="3" borderId="0" xfId="21" applyFill="1" applyBorder="1" applyProtection="1">
      <protection hidden="1"/>
    </xf>
    <xf numFmtId="0" fontId="66" fillId="0" borderId="0" xfId="21" applyProtection="1">
      <protection hidden="1"/>
    </xf>
    <xf numFmtId="0" fontId="78" fillId="3" borderId="0" xfId="21" applyFont="1" applyFill="1" applyBorder="1" applyAlignment="1" applyProtection="1">
      <alignment wrapText="1"/>
      <protection hidden="1"/>
    </xf>
    <xf numFmtId="0" fontId="66" fillId="3" borderId="0" xfId="21" applyFill="1" applyBorder="1" applyAlignment="1" applyProtection="1">
      <protection hidden="1"/>
    </xf>
    <xf numFmtId="0" fontId="77" fillId="3" borderId="0" xfId="21" applyFont="1" applyFill="1" applyBorder="1" applyAlignment="1" applyProtection="1">
      <alignment wrapText="1"/>
      <protection hidden="1"/>
    </xf>
    <xf numFmtId="0" fontId="66" fillId="3" borderId="6" xfId="21" applyFill="1" applyBorder="1" applyProtection="1">
      <protection hidden="1"/>
    </xf>
    <xf numFmtId="0" fontId="66" fillId="3" borderId="6" xfId="21" applyFill="1" applyBorder="1" applyAlignment="1" applyProtection="1">
      <alignment horizontal="right"/>
      <protection hidden="1"/>
    </xf>
    <xf numFmtId="0" fontId="66" fillId="3" borderId="0" xfId="21" applyFill="1" applyBorder="1" applyAlignment="1" applyProtection="1">
      <alignment horizontal="right"/>
      <protection hidden="1"/>
    </xf>
    <xf numFmtId="0" fontId="66" fillId="0" borderId="0" xfId="21" applyFill="1" applyProtection="1">
      <protection hidden="1"/>
    </xf>
    <xf numFmtId="179" fontId="87" fillId="4" borderId="21" xfId="50" applyNumberFormat="1" applyFont="1" applyFill="1" applyBorder="1" applyAlignment="1" applyProtection="1">
      <alignment horizontal="center" vertical="center"/>
      <protection locked="0"/>
    </xf>
    <xf numFmtId="0" fontId="67" fillId="0" borderId="0" xfId="21" applyFont="1" applyProtection="1">
      <protection hidden="1"/>
    </xf>
    <xf numFmtId="179" fontId="73" fillId="3" borderId="137" xfId="50" applyNumberFormat="1" applyFont="1" applyFill="1" applyBorder="1" applyAlignment="1" applyProtection="1">
      <alignment horizontal="center" vertical="center"/>
      <protection hidden="1"/>
    </xf>
    <xf numFmtId="0" fontId="173" fillId="0" borderId="0" xfId="21" applyFont="1" applyProtection="1">
      <protection hidden="1"/>
    </xf>
    <xf numFmtId="0" fontId="67" fillId="0" borderId="0" xfId="21" applyFont="1" applyFill="1" applyBorder="1" applyAlignment="1" applyProtection="1">
      <alignment vertical="center"/>
      <protection hidden="1"/>
    </xf>
    <xf numFmtId="0" fontId="66" fillId="0" borderId="0" xfId="21" applyFill="1" applyBorder="1" applyProtection="1">
      <protection hidden="1"/>
    </xf>
    <xf numFmtId="190" fontId="87" fillId="3" borderId="21" xfId="50" quotePrefix="1" applyFont="1" applyFill="1" applyBorder="1" applyAlignment="1" applyProtection="1">
      <alignment horizontal="left" vertical="center"/>
      <protection hidden="1"/>
    </xf>
    <xf numFmtId="0" fontId="66" fillId="0" borderId="21" xfId="21" applyBorder="1" applyProtection="1">
      <protection hidden="1"/>
    </xf>
    <xf numFmtId="190" fontId="87" fillId="3" borderId="21" xfId="50" applyFont="1" applyFill="1" applyBorder="1" applyAlignment="1" applyProtection="1">
      <alignment horizontal="left" vertical="center"/>
      <protection hidden="1"/>
    </xf>
    <xf numFmtId="190" fontId="87" fillId="3" borderId="0" xfId="50" applyFont="1" applyFill="1" applyBorder="1" applyAlignment="1" applyProtection="1">
      <alignment horizontal="right" vertical="center"/>
      <protection hidden="1"/>
    </xf>
    <xf numFmtId="0" fontId="113" fillId="0" borderId="0" xfId="21" applyFont="1" applyProtection="1">
      <protection hidden="1"/>
    </xf>
    <xf numFmtId="0" fontId="156" fillId="0" borderId="11" xfId="0" applyNumberFormat="1" applyFont="1" applyFill="1" applyBorder="1" applyAlignment="1" applyProtection="1">
      <alignment horizontal="left" vertical="center" shrinkToFit="1"/>
      <protection locked="0"/>
    </xf>
    <xf numFmtId="0" fontId="193" fillId="0" borderId="24" xfId="0" applyNumberFormat="1" applyFont="1" applyFill="1" applyBorder="1" applyAlignment="1" applyProtection="1">
      <alignment horizontal="left" vertical="center" wrapText="1"/>
      <protection locked="0"/>
    </xf>
    <xf numFmtId="0" fontId="156" fillId="0" borderId="89" xfId="0" applyNumberFormat="1" applyFont="1" applyFill="1" applyBorder="1" applyAlignment="1" applyProtection="1">
      <alignment horizontal="left" vertical="center" shrinkToFit="1"/>
      <protection locked="0"/>
    </xf>
    <xf numFmtId="0" fontId="193" fillId="0" borderId="85" xfId="0" applyNumberFormat="1" applyFont="1" applyFill="1" applyBorder="1" applyAlignment="1" applyProtection="1">
      <alignment horizontal="left" vertical="center" wrapText="1"/>
      <protection locked="0"/>
    </xf>
    <xf numFmtId="0" fontId="156" fillId="0" borderId="39" xfId="0" applyNumberFormat="1" applyFont="1" applyFill="1" applyBorder="1" applyAlignment="1" applyProtection="1">
      <alignment horizontal="left" vertical="center" shrinkToFit="1"/>
      <protection locked="0"/>
    </xf>
    <xf numFmtId="0" fontId="193" fillId="0" borderId="25" xfId="0" applyNumberFormat="1" applyFont="1" applyFill="1" applyBorder="1" applyAlignment="1" applyProtection="1">
      <alignment horizontal="left" vertical="center" wrapText="1"/>
      <protection locked="0"/>
    </xf>
    <xf numFmtId="0" fontId="64" fillId="31" borderId="63" xfId="40" applyFont="1" applyFill="1" applyBorder="1" applyAlignment="1" applyProtection="1">
      <alignment horizontal="center" vertical="center"/>
      <protection hidden="1"/>
    </xf>
    <xf numFmtId="0" fontId="64" fillId="31" borderId="74" xfId="40" applyFont="1" applyFill="1" applyBorder="1" applyAlignment="1" applyProtection="1">
      <alignment horizontal="center" vertical="center"/>
      <protection hidden="1"/>
    </xf>
    <xf numFmtId="0" fontId="130" fillId="31" borderId="0" xfId="47" applyNumberFormat="1" applyFont="1" applyFill="1" applyAlignment="1" applyProtection="1">
      <alignment horizontal="center" vertical="center"/>
      <protection hidden="1"/>
    </xf>
    <xf numFmtId="0" fontId="62" fillId="0" borderId="29" xfId="40" applyBorder="1" applyProtection="1">
      <protection hidden="1"/>
    </xf>
    <xf numFmtId="0" fontId="64" fillId="31" borderId="91" xfId="40" applyFont="1" applyFill="1" applyBorder="1" applyAlignment="1" applyProtection="1">
      <alignment horizontal="center" vertical="center"/>
      <protection hidden="1"/>
    </xf>
    <xf numFmtId="0" fontId="64" fillId="31" borderId="100" xfId="40" applyFont="1" applyFill="1" applyBorder="1" applyAlignment="1" applyProtection="1">
      <alignment horizontal="center" vertical="center"/>
      <protection hidden="1"/>
    </xf>
    <xf numFmtId="0" fontId="36" fillId="0" borderId="0" xfId="40" applyFont="1" applyProtection="1">
      <protection hidden="1"/>
    </xf>
    <xf numFmtId="0" fontId="64" fillId="0" borderId="0" xfId="40" applyFont="1" applyBorder="1" applyProtection="1">
      <protection hidden="1"/>
    </xf>
    <xf numFmtId="0" fontId="64" fillId="31" borderId="63" xfId="40" applyFont="1" applyFill="1" applyBorder="1" applyAlignment="1" applyProtection="1">
      <alignment horizontal="center"/>
      <protection hidden="1"/>
    </xf>
    <xf numFmtId="0" fontId="64" fillId="31" borderId="28" xfId="40" applyFont="1" applyFill="1" applyBorder="1" applyAlignment="1" applyProtection="1">
      <alignment horizontal="center"/>
      <protection hidden="1"/>
    </xf>
    <xf numFmtId="195" fontId="64" fillId="0" borderId="0" xfId="40" applyNumberFormat="1" applyFont="1" applyBorder="1" applyAlignment="1" applyProtection="1">
      <alignment horizontal="center"/>
      <protection hidden="1"/>
    </xf>
    <xf numFmtId="2" fontId="64" fillId="0" borderId="0" xfId="40" applyNumberFormat="1" applyFont="1" applyBorder="1" applyAlignment="1" applyProtection="1">
      <alignment horizontal="center"/>
      <protection hidden="1"/>
    </xf>
    <xf numFmtId="0" fontId="180" fillId="0" borderId="0" xfId="40" applyFont="1" applyProtection="1">
      <protection hidden="1"/>
    </xf>
    <xf numFmtId="0" fontId="180" fillId="0" borderId="0" xfId="40" applyFont="1" applyBorder="1" applyProtection="1">
      <protection hidden="1"/>
    </xf>
    <xf numFmtId="178" fontId="67" fillId="8" borderId="91" xfId="21" applyNumberFormat="1" applyFont="1" applyFill="1" applyBorder="1" applyAlignment="1" applyProtection="1">
      <alignment horizontal="center"/>
      <protection hidden="1"/>
    </xf>
    <xf numFmtId="178" fontId="67" fillId="8" borderId="76" xfId="21" applyNumberFormat="1" applyFont="1" applyFill="1" applyBorder="1" applyAlignment="1" applyProtection="1">
      <alignment horizontal="center"/>
      <protection hidden="1"/>
    </xf>
    <xf numFmtId="178" fontId="67" fillId="8" borderId="86" xfId="21" applyNumberFormat="1" applyFont="1" applyFill="1" applyBorder="1" applyAlignment="1" applyProtection="1">
      <alignment horizontal="center"/>
      <protection hidden="1"/>
    </xf>
    <xf numFmtId="178" fontId="67" fillId="8" borderId="100" xfId="21" applyNumberFormat="1" applyFont="1" applyFill="1" applyBorder="1" applyAlignment="1" applyProtection="1">
      <alignment horizontal="center"/>
      <protection hidden="1"/>
    </xf>
    <xf numFmtId="2" fontId="62" fillId="0" borderId="43" xfId="40" applyNumberFormat="1" applyBorder="1" applyAlignment="1" applyProtection="1">
      <alignment horizontal="center"/>
      <protection hidden="1"/>
    </xf>
    <xf numFmtId="2" fontId="62" fillId="0" borderId="69" xfId="40" applyNumberFormat="1" applyBorder="1" applyAlignment="1" applyProtection="1">
      <alignment horizontal="center"/>
      <protection hidden="1"/>
    </xf>
    <xf numFmtId="2" fontId="62" fillId="0" borderId="62" xfId="40" applyNumberFormat="1" applyBorder="1" applyAlignment="1" applyProtection="1">
      <alignment horizontal="center"/>
      <protection hidden="1"/>
    </xf>
    <xf numFmtId="195" fontId="64" fillId="8" borderId="98" xfId="40" applyNumberFormat="1" applyFont="1" applyFill="1" applyBorder="1" applyAlignment="1" applyProtection="1">
      <alignment horizontal="center"/>
      <protection hidden="1"/>
    </xf>
    <xf numFmtId="2" fontId="64" fillId="8" borderId="43" xfId="40" applyNumberFormat="1" applyFont="1" applyFill="1" applyBorder="1" applyAlignment="1" applyProtection="1">
      <alignment horizontal="center"/>
      <protection hidden="1"/>
    </xf>
    <xf numFmtId="195" fontId="64" fillId="8" borderId="41" xfId="40" applyNumberFormat="1" applyFont="1" applyFill="1" applyBorder="1" applyAlignment="1" applyProtection="1">
      <alignment horizontal="center"/>
      <protection hidden="1"/>
    </xf>
    <xf numFmtId="2" fontId="64" fillId="8" borderId="62" xfId="40" applyNumberFormat="1" applyFont="1" applyFill="1" applyBorder="1" applyAlignment="1" applyProtection="1">
      <alignment horizontal="center"/>
      <protection hidden="1"/>
    </xf>
    <xf numFmtId="0" fontId="62" fillId="0" borderId="11" xfId="40" applyBorder="1" applyProtection="1">
      <protection hidden="1"/>
    </xf>
    <xf numFmtId="0" fontId="66" fillId="0" borderId="0" xfId="21" applyAlignment="1" applyProtection="1">
      <protection hidden="1"/>
    </xf>
    <xf numFmtId="0" fontId="194" fillId="0" borderId="0" xfId="21" applyFont="1" applyProtection="1">
      <protection hidden="1"/>
    </xf>
    <xf numFmtId="0" fontId="156" fillId="4" borderId="1" xfId="40" applyFont="1" applyFill="1" applyBorder="1" applyAlignment="1" applyProtection="1">
      <alignment vertical="center" shrinkToFit="1"/>
      <protection locked="0"/>
    </xf>
    <xf numFmtId="166" fontId="0" fillId="0" borderId="0" xfId="0" applyProtection="1"/>
    <xf numFmtId="0" fontId="194" fillId="0" borderId="0" xfId="21" applyFont="1" applyFill="1" applyProtection="1">
      <protection hidden="1"/>
    </xf>
    <xf numFmtId="0" fontId="202" fillId="0" borderId="0" xfId="21" applyFont="1" applyProtection="1">
      <protection hidden="1"/>
    </xf>
    <xf numFmtId="0" fontId="200" fillId="0" borderId="0" xfId="21" applyFont="1" applyProtection="1">
      <protection hidden="1"/>
    </xf>
    <xf numFmtId="0" fontId="200" fillId="0" borderId="0" xfId="21" applyFont="1" applyAlignment="1" applyProtection="1">
      <protection hidden="1"/>
    </xf>
    <xf numFmtId="0" fontId="200" fillId="0" borderId="0" xfId="21" applyFont="1" applyFill="1" applyProtection="1">
      <protection hidden="1"/>
    </xf>
    <xf numFmtId="0" fontId="158" fillId="0" borderId="0" xfId="21" applyFont="1" applyProtection="1">
      <protection hidden="1"/>
    </xf>
    <xf numFmtId="0" fontId="62" fillId="0" borderId="34" xfId="40" applyBorder="1" applyProtection="1">
      <protection hidden="1"/>
    </xf>
    <xf numFmtId="166" fontId="66" fillId="2" borderId="0" xfId="0" applyFont="1" applyFill="1" applyProtection="1">
      <protection hidden="1"/>
    </xf>
    <xf numFmtId="166" fontId="66" fillId="34" borderId="0" xfId="0" applyFont="1" applyFill="1" applyProtection="1">
      <protection hidden="1"/>
    </xf>
    <xf numFmtId="166" fontId="173" fillId="34" borderId="0" xfId="0" applyFont="1" applyFill="1" applyProtection="1">
      <protection hidden="1"/>
    </xf>
    <xf numFmtId="0" fontId="197" fillId="0" borderId="0" xfId="21" applyFont="1" applyProtection="1">
      <protection hidden="1"/>
    </xf>
    <xf numFmtId="0" fontId="196" fillId="0" borderId="0" xfId="21" applyFont="1" applyFill="1" applyProtection="1">
      <protection hidden="1"/>
    </xf>
    <xf numFmtId="0" fontId="64" fillId="31" borderId="30" xfId="40" applyFont="1" applyFill="1" applyBorder="1" applyAlignment="1" applyProtection="1">
      <alignment horizontal="center"/>
      <protection hidden="1"/>
    </xf>
    <xf numFmtId="0" fontId="64" fillId="31" borderId="29" xfId="40" applyFont="1" applyFill="1" applyBorder="1" applyAlignment="1" applyProtection="1">
      <alignment horizontal="center"/>
      <protection hidden="1"/>
    </xf>
    <xf numFmtId="0" fontId="64" fillId="31" borderId="28" xfId="40" applyFont="1" applyFill="1" applyBorder="1" applyAlignment="1" applyProtection="1">
      <alignment horizontal="center"/>
      <protection hidden="1"/>
    </xf>
    <xf numFmtId="0" fontId="78" fillId="31" borderId="22" xfId="45" applyNumberFormat="1" applyFont="1" applyFill="1" applyBorder="1" applyAlignment="1" applyProtection="1">
      <alignment horizontal="center" vertical="center"/>
      <protection hidden="1"/>
    </xf>
    <xf numFmtId="0" fontId="78" fillId="31" borderId="21" xfId="45" applyNumberFormat="1" applyFont="1" applyFill="1" applyBorder="1" applyAlignment="1" applyProtection="1">
      <alignment horizontal="center" vertical="center"/>
      <protection hidden="1"/>
    </xf>
    <xf numFmtId="0" fontId="78" fillId="31" borderId="20" xfId="45" applyNumberFormat="1" applyFont="1" applyFill="1" applyBorder="1" applyAlignment="1" applyProtection="1">
      <alignment horizontal="center" vertical="center"/>
      <protection hidden="1"/>
    </xf>
    <xf numFmtId="0" fontId="147" fillId="31" borderId="27" xfId="45" applyNumberFormat="1" applyFont="1" applyFill="1" applyBorder="1" applyAlignment="1" applyProtection="1">
      <alignment horizontal="center" vertical="center" shrinkToFit="1"/>
      <protection hidden="1"/>
    </xf>
    <xf numFmtId="0" fontId="148" fillId="31" borderId="2" xfId="45" applyNumberFormat="1" applyFont="1" applyFill="1" applyBorder="1" applyAlignment="1" applyProtection="1">
      <alignment horizontal="center" vertical="center" shrinkToFit="1"/>
      <protection hidden="1"/>
    </xf>
    <xf numFmtId="0" fontId="148" fillId="31" borderId="32" xfId="45" applyNumberFormat="1" applyFont="1" applyFill="1" applyBorder="1" applyAlignment="1" applyProtection="1">
      <alignment horizontal="center" vertical="center" shrinkToFit="1"/>
      <protection hidden="1"/>
    </xf>
    <xf numFmtId="0" fontId="148" fillId="31" borderId="76" xfId="45" applyNumberFormat="1" applyFont="1" applyFill="1" applyBorder="1" applyAlignment="1" applyProtection="1">
      <alignment horizontal="center" vertical="center" shrinkToFit="1"/>
      <protection hidden="1"/>
    </xf>
    <xf numFmtId="0" fontId="148" fillId="31" borderId="33" xfId="45" applyNumberFormat="1" applyFont="1" applyFill="1" applyBorder="1" applyAlignment="1" applyProtection="1">
      <alignment horizontal="center" vertical="center" shrinkToFit="1"/>
      <protection hidden="1"/>
    </xf>
    <xf numFmtId="0" fontId="147" fillId="31" borderId="91" xfId="45" applyNumberFormat="1" applyFont="1" applyFill="1" applyBorder="1" applyAlignment="1" applyProtection="1">
      <alignment horizontal="center" vertical="center" shrinkToFit="1"/>
      <protection hidden="1"/>
    </xf>
    <xf numFmtId="0" fontId="147" fillId="31" borderId="33" xfId="45" applyNumberFormat="1" applyFont="1" applyFill="1" applyBorder="1" applyAlignment="1" applyProtection="1">
      <alignment horizontal="center" vertical="center" shrinkToFit="1"/>
      <protection hidden="1"/>
    </xf>
    <xf numFmtId="0" fontId="130" fillId="31" borderId="0" xfId="47" applyNumberFormat="1" applyFont="1" applyFill="1" applyAlignment="1" applyProtection="1">
      <alignment vertical="center"/>
      <protection hidden="1"/>
    </xf>
    <xf numFmtId="166" fontId="79" fillId="31" borderId="29" xfId="0" applyFont="1" applyFill="1" applyBorder="1" applyAlignment="1" applyProtection="1">
      <alignment vertical="center"/>
      <protection hidden="1"/>
    </xf>
    <xf numFmtId="166" fontId="79" fillId="31" borderId="28" xfId="0" applyFont="1" applyFill="1" applyBorder="1" applyAlignment="1" applyProtection="1">
      <alignment vertical="center"/>
      <protection hidden="1"/>
    </xf>
    <xf numFmtId="0" fontId="130" fillId="31" borderId="30" xfId="47" applyNumberFormat="1" applyFont="1" applyFill="1" applyBorder="1" applyAlignment="1" applyProtection="1">
      <alignment horizontal="center" vertical="center"/>
      <protection hidden="1"/>
    </xf>
    <xf numFmtId="0" fontId="130" fillId="31" borderId="29" xfId="47" applyNumberFormat="1" applyFont="1" applyFill="1" applyBorder="1" applyAlignment="1" applyProtection="1">
      <alignment horizontal="center" vertical="center"/>
      <protection hidden="1"/>
    </xf>
    <xf numFmtId="0" fontId="130" fillId="31" borderId="28" xfId="47" applyNumberFormat="1" applyFont="1" applyFill="1" applyBorder="1" applyAlignment="1" applyProtection="1">
      <alignment horizontal="center" vertical="center"/>
      <protection hidden="1"/>
    </xf>
    <xf numFmtId="0" fontId="194" fillId="0" borderId="29" xfId="21" applyFont="1" applyBorder="1" applyProtection="1">
      <protection hidden="1"/>
    </xf>
    <xf numFmtId="0" fontId="203" fillId="4" borderId="1" xfId="0" applyNumberFormat="1" applyFont="1" applyFill="1" applyBorder="1" applyAlignment="1" applyProtection="1">
      <alignment horizontal="center"/>
      <protection locked="0"/>
    </xf>
    <xf numFmtId="176" fontId="203" fillId="4" borderId="2" xfId="0" applyNumberFormat="1" applyFont="1" applyFill="1" applyBorder="1" applyAlignment="1" applyProtection="1">
      <alignment shrinkToFit="1"/>
      <protection locked="0"/>
    </xf>
    <xf numFmtId="176" fontId="203" fillId="4" borderId="1" xfId="0" applyNumberFormat="1" applyFont="1" applyFill="1" applyBorder="1" applyAlignment="1" applyProtection="1">
      <alignment shrinkToFit="1"/>
      <protection locked="0"/>
    </xf>
    <xf numFmtId="176" fontId="203" fillId="4" borderId="1" xfId="0" quotePrefix="1" applyNumberFormat="1" applyFont="1" applyFill="1" applyBorder="1" applyAlignment="1" applyProtection="1">
      <alignment shrinkToFit="1"/>
      <protection locked="0"/>
    </xf>
    <xf numFmtId="176" fontId="203" fillId="4" borderId="1" xfId="0" applyNumberFormat="1" applyFont="1" applyFill="1" applyBorder="1" applyAlignment="1" applyProtection="1">
      <alignment horizontal="center"/>
      <protection locked="0"/>
    </xf>
    <xf numFmtId="0" fontId="203" fillId="0" borderId="0" xfId="0" applyNumberFormat="1" applyFont="1" applyProtection="1"/>
    <xf numFmtId="0" fontId="203" fillId="0" borderId="0" xfId="0" applyNumberFormat="1" applyFont="1" applyBorder="1" applyProtection="1"/>
    <xf numFmtId="183" fontId="77" fillId="19" borderId="88" xfId="46" applyNumberFormat="1" applyFont="1" applyFill="1" applyBorder="1" applyAlignment="1" applyProtection="1">
      <alignment vertical="center"/>
      <protection locked="0"/>
    </xf>
    <xf numFmtId="183" fontId="77" fillId="19" borderId="41" xfId="46" applyNumberFormat="1" applyFont="1" applyFill="1" applyBorder="1" applyAlignment="1" applyProtection="1">
      <alignment vertical="center"/>
      <protection locked="0"/>
    </xf>
    <xf numFmtId="0" fontId="64" fillId="0" borderId="0" xfId="47" applyNumberFormat="1" applyFont="1" applyAlignment="1" applyProtection="1">
      <alignment horizontal="left"/>
      <protection hidden="1"/>
    </xf>
    <xf numFmtId="15" fontId="60" fillId="0" borderId="0" xfId="47" applyNumberFormat="1" applyAlignment="1" applyProtection="1">
      <alignment horizontal="left"/>
      <protection hidden="1"/>
    </xf>
    <xf numFmtId="20" fontId="60" fillId="0" borderId="0" xfId="47" applyNumberFormat="1" applyAlignment="1" applyProtection="1">
      <alignment horizontal="left"/>
      <protection hidden="1"/>
    </xf>
    <xf numFmtId="0" fontId="162" fillId="0" borderId="0" xfId="47" applyNumberFormat="1" applyFont="1" applyAlignment="1" applyProtection="1">
      <protection hidden="1"/>
    </xf>
    <xf numFmtId="0" fontId="33" fillId="0" borderId="0" xfId="47" applyNumberFormat="1" applyFont="1" applyAlignment="1" applyProtection="1">
      <protection hidden="1"/>
    </xf>
    <xf numFmtId="167" fontId="108" fillId="8" borderId="1" xfId="32" applyNumberFormat="1" applyFont="1" applyFill="1" applyBorder="1" applyAlignment="1" applyProtection="1">
      <alignment horizontal="center" vertical="center" shrinkToFit="1"/>
      <protection hidden="1"/>
    </xf>
    <xf numFmtId="2" fontId="102" fillId="8" borderId="27" xfId="32" applyNumberFormat="1" applyFont="1" applyFill="1" applyBorder="1" applyAlignment="1" applyProtection="1">
      <alignment horizontal="center" vertical="center" shrinkToFit="1"/>
      <protection hidden="1"/>
    </xf>
    <xf numFmtId="2" fontId="102" fillId="8" borderId="26" xfId="32" applyNumberFormat="1" applyFont="1" applyFill="1" applyBorder="1" applyAlignment="1" applyProtection="1">
      <alignment horizontal="center" vertical="center" shrinkToFit="1"/>
      <protection hidden="1"/>
    </xf>
    <xf numFmtId="2" fontId="102" fillId="8" borderId="25" xfId="32" applyNumberFormat="1" applyFont="1" applyFill="1" applyBorder="1" applyAlignment="1" applyProtection="1">
      <alignment horizontal="center" vertical="center" shrinkToFit="1"/>
      <protection hidden="1"/>
    </xf>
    <xf numFmtId="178" fontId="106" fillId="4" borderId="1" xfId="32" applyNumberFormat="1" applyFont="1" applyFill="1" applyBorder="1" applyAlignment="1" applyProtection="1">
      <alignment horizontal="center" vertical="center" shrinkToFit="1"/>
      <protection locked="0"/>
    </xf>
    <xf numFmtId="0" fontId="106" fillId="4" borderId="1" xfId="32" applyFont="1" applyFill="1" applyBorder="1" applyAlignment="1" applyProtection="1">
      <alignment horizontal="center" vertical="center" shrinkToFit="1"/>
      <protection locked="0"/>
    </xf>
    <xf numFmtId="2" fontId="103" fillId="4" borderId="27" xfId="32" applyNumberFormat="1" applyFont="1" applyFill="1" applyBorder="1" applyAlignment="1" applyProtection="1">
      <alignment horizontal="center" vertical="center" shrinkToFit="1"/>
      <protection locked="0"/>
    </xf>
    <xf numFmtId="2" fontId="103" fillId="4" borderId="26" xfId="32" applyNumberFormat="1" applyFont="1" applyFill="1" applyBorder="1" applyAlignment="1" applyProtection="1">
      <alignment horizontal="center" vertical="center" shrinkToFit="1"/>
      <protection locked="0"/>
    </xf>
    <xf numFmtId="2" fontId="103" fillId="4" borderId="25" xfId="32" applyNumberFormat="1" applyFont="1" applyFill="1" applyBorder="1" applyAlignment="1" applyProtection="1">
      <alignment horizontal="center" vertical="center" shrinkToFit="1"/>
      <protection locked="0"/>
    </xf>
    <xf numFmtId="0" fontId="31" fillId="0" borderId="1" xfId="47" applyNumberFormat="1" applyFont="1" applyBorder="1" applyProtection="1">
      <protection hidden="1"/>
    </xf>
    <xf numFmtId="0" fontId="80" fillId="5" borderId="40" xfId="21" applyNumberFormat="1" applyFont="1" applyFill="1" applyBorder="1" applyAlignment="1" applyProtection="1">
      <alignment horizontal="center" wrapText="1"/>
      <protection hidden="1"/>
    </xf>
    <xf numFmtId="0" fontId="80" fillId="5" borderId="98" xfId="21" applyNumberFormat="1" applyFont="1" applyFill="1" applyBorder="1" applyAlignment="1" applyProtection="1">
      <alignment horizontal="center" wrapText="1"/>
      <protection hidden="1"/>
    </xf>
    <xf numFmtId="0" fontId="80" fillId="5" borderId="81" xfId="21" applyNumberFormat="1" applyFont="1" applyFill="1" applyBorder="1" applyAlignment="1" applyProtection="1">
      <alignment horizontal="center" wrapText="1"/>
      <protection hidden="1"/>
    </xf>
    <xf numFmtId="0" fontId="80" fillId="5" borderId="60" xfId="21" applyNumberFormat="1" applyFont="1" applyFill="1" applyBorder="1" applyAlignment="1" applyProtection="1">
      <alignment horizontal="center" wrapText="1"/>
      <protection hidden="1"/>
    </xf>
    <xf numFmtId="0" fontId="80" fillId="5" borderId="82" xfId="21" applyNumberFormat="1" applyFont="1" applyFill="1" applyBorder="1" applyAlignment="1" applyProtection="1">
      <alignment horizontal="center" wrapText="1"/>
      <protection hidden="1"/>
    </xf>
    <xf numFmtId="0" fontId="80" fillId="5" borderId="43" xfId="21" applyNumberFormat="1" applyFont="1" applyFill="1" applyBorder="1" applyAlignment="1" applyProtection="1">
      <alignment horizontal="center" wrapText="1"/>
      <protection hidden="1"/>
    </xf>
    <xf numFmtId="178" fontId="127" fillId="28" borderId="130" xfId="47" applyNumberFormat="1" applyFont="1" applyFill="1" applyBorder="1" applyAlignment="1" applyProtection="1">
      <alignment horizontal="center" vertical="center" shrinkToFit="1"/>
      <protection locked="0"/>
    </xf>
    <xf numFmtId="178" fontId="127" fillId="4" borderId="16" xfId="47" applyNumberFormat="1" applyFont="1" applyFill="1" applyBorder="1" applyAlignment="1" applyProtection="1">
      <alignment horizontal="center" vertical="center" shrinkToFit="1"/>
      <protection locked="0"/>
    </xf>
    <xf numFmtId="178" fontId="127" fillId="28" borderId="16" xfId="47" applyNumberFormat="1" applyFont="1" applyFill="1" applyBorder="1" applyAlignment="1" applyProtection="1">
      <alignment horizontal="center" vertical="center" shrinkToFit="1"/>
      <protection locked="0"/>
    </xf>
    <xf numFmtId="178" fontId="127" fillId="4" borderId="133" xfId="47" applyNumberFormat="1" applyFont="1" applyFill="1" applyBorder="1" applyAlignment="1" applyProtection="1">
      <alignment horizontal="center" vertical="center" shrinkToFit="1"/>
      <protection locked="0"/>
    </xf>
    <xf numFmtId="178" fontId="127" fillId="28" borderId="130" xfId="47" applyNumberFormat="1" applyFont="1" applyFill="1" applyBorder="1" applyAlignment="1" applyProtection="1">
      <alignment horizontal="center" shrinkToFit="1"/>
      <protection locked="0"/>
    </xf>
    <xf numFmtId="178" fontId="127" fillId="4" borderId="16" xfId="47" applyNumberFormat="1" applyFont="1" applyFill="1" applyBorder="1" applyAlignment="1" applyProtection="1">
      <alignment horizontal="center" shrinkToFit="1"/>
      <protection locked="0"/>
    </xf>
    <xf numFmtId="178" fontId="127" fillId="28" borderId="16" xfId="47" applyNumberFormat="1" applyFont="1" applyFill="1" applyBorder="1" applyAlignment="1" applyProtection="1">
      <alignment horizontal="center" shrinkToFit="1"/>
      <protection locked="0"/>
    </xf>
    <xf numFmtId="178" fontId="127" fillId="4" borderId="133" xfId="47" applyNumberFormat="1" applyFont="1" applyFill="1" applyBorder="1" applyAlignment="1" applyProtection="1">
      <alignment horizontal="center" shrinkToFit="1"/>
      <protection locked="0"/>
    </xf>
    <xf numFmtId="178" fontId="127" fillId="28" borderId="119" xfId="47" applyNumberFormat="1" applyFont="1" applyFill="1" applyBorder="1" applyAlignment="1" applyProtection="1">
      <alignment horizontal="center" vertical="center" shrinkToFit="1"/>
      <protection locked="0"/>
    </xf>
    <xf numFmtId="178" fontId="127" fillId="4" borderId="117" xfId="47" applyNumberFormat="1" applyFont="1" applyFill="1" applyBorder="1" applyAlignment="1" applyProtection="1">
      <alignment horizontal="center" vertical="center" shrinkToFit="1"/>
      <protection locked="0"/>
    </xf>
    <xf numFmtId="178" fontId="127" fillId="28" borderId="119" xfId="47" applyNumberFormat="1" applyFont="1" applyFill="1" applyBorder="1" applyAlignment="1" applyProtection="1">
      <alignment horizontal="center" shrinkToFit="1"/>
      <protection locked="0"/>
    </xf>
    <xf numFmtId="178" fontId="127" fillId="4" borderId="117" xfId="47" applyNumberFormat="1" applyFont="1" applyFill="1" applyBorder="1" applyAlignment="1" applyProtection="1">
      <alignment horizontal="center" shrinkToFit="1"/>
      <protection locked="0"/>
    </xf>
    <xf numFmtId="178" fontId="127" fillId="0" borderId="119" xfId="47" applyNumberFormat="1" applyFont="1" applyFill="1" applyBorder="1" applyAlignment="1" applyProtection="1">
      <alignment horizontal="center" vertical="center" shrinkToFit="1"/>
      <protection hidden="1"/>
    </xf>
    <xf numFmtId="178" fontId="127" fillId="0" borderId="16" xfId="47" applyNumberFormat="1" applyFont="1" applyFill="1" applyBorder="1" applyAlignment="1" applyProtection="1">
      <alignment horizontal="center" vertical="center" shrinkToFit="1"/>
      <protection hidden="1"/>
    </xf>
    <xf numFmtId="178" fontId="127" fillId="0" borderId="117" xfId="47" applyNumberFormat="1" applyFont="1" applyFill="1" applyBorder="1" applyAlignment="1" applyProtection="1">
      <alignment horizontal="center" vertical="center" shrinkToFit="1"/>
      <protection hidden="1"/>
    </xf>
    <xf numFmtId="178" fontId="127" fillId="0" borderId="119" xfId="47" applyNumberFormat="1" applyFont="1" applyFill="1" applyBorder="1" applyAlignment="1" applyProtection="1">
      <alignment horizontal="center" shrinkToFit="1"/>
      <protection hidden="1"/>
    </xf>
    <xf numFmtId="178" fontId="127" fillId="0" borderId="16" xfId="47" applyNumberFormat="1" applyFont="1" applyFill="1" applyBorder="1" applyAlignment="1" applyProtection="1">
      <alignment horizontal="center" shrinkToFit="1"/>
      <protection hidden="1"/>
    </xf>
    <xf numFmtId="178" fontId="127" fillId="0" borderId="117" xfId="47" applyNumberFormat="1" applyFont="1" applyFill="1" applyBorder="1" applyAlignment="1" applyProtection="1">
      <alignment horizontal="center" shrinkToFit="1"/>
      <protection hidden="1"/>
    </xf>
    <xf numFmtId="178" fontId="127" fillId="0" borderId="10" xfId="40" applyNumberFormat="1" applyFont="1" applyFill="1" applyBorder="1" applyAlignment="1" applyProtection="1">
      <alignment horizontal="center" vertical="center" shrinkToFit="1"/>
      <protection hidden="1"/>
    </xf>
    <xf numFmtId="178" fontId="127" fillId="0" borderId="36" xfId="40" applyNumberFormat="1" applyFont="1" applyFill="1" applyBorder="1" applyAlignment="1" applyProtection="1">
      <alignment horizontal="center" vertical="center" shrinkToFit="1"/>
      <protection hidden="1"/>
    </xf>
    <xf numFmtId="178" fontId="127" fillId="0" borderId="12" xfId="40" applyNumberFormat="1" applyFont="1" applyFill="1" applyBorder="1" applyAlignment="1" applyProtection="1">
      <alignment horizontal="center" vertical="center" shrinkToFit="1"/>
      <protection hidden="1"/>
    </xf>
    <xf numFmtId="49" fontId="66" fillId="0" borderId="1" xfId="0" applyNumberFormat="1" applyFont="1" applyBorder="1" applyProtection="1">
      <protection hidden="1"/>
    </xf>
    <xf numFmtId="166" fontId="173" fillId="2" borderId="0" xfId="0" applyFont="1" applyFill="1" applyProtection="1">
      <protection hidden="1"/>
    </xf>
    <xf numFmtId="166" fontId="66" fillId="0" borderId="1" xfId="0" applyFont="1" applyFill="1" applyBorder="1" applyProtection="1">
      <protection hidden="1"/>
    </xf>
    <xf numFmtId="178" fontId="79" fillId="4" borderId="63" xfId="0" applyNumberFormat="1" applyFont="1" applyFill="1" applyBorder="1" applyAlignment="1" applyProtection="1">
      <alignment horizontal="center" vertical="center"/>
      <protection locked="0"/>
    </xf>
    <xf numFmtId="178" fontId="79" fillId="4" borderId="45" xfId="0" applyNumberFormat="1" applyFont="1" applyFill="1" applyBorder="1" applyAlignment="1" applyProtection="1">
      <alignment horizontal="center" vertical="center"/>
      <protection locked="0"/>
    </xf>
    <xf numFmtId="178" fontId="79" fillId="4" borderId="74" xfId="0" applyNumberFormat="1" applyFont="1" applyFill="1" applyBorder="1" applyAlignment="1" applyProtection="1">
      <alignment horizontal="center" vertical="center"/>
      <protection locked="0"/>
    </xf>
    <xf numFmtId="0" fontId="66" fillId="0" borderId="1" xfId="21" applyFont="1" applyBorder="1" applyProtection="1">
      <protection hidden="1"/>
    </xf>
    <xf numFmtId="0" fontId="66" fillId="0" borderId="1" xfId="21" quotePrefix="1" applyFont="1" applyBorder="1" applyProtection="1">
      <protection hidden="1"/>
    </xf>
    <xf numFmtId="178" fontId="66" fillId="0" borderId="1" xfId="21" applyNumberFormat="1" applyFont="1" applyBorder="1" applyProtection="1">
      <protection hidden="1"/>
    </xf>
    <xf numFmtId="0" fontId="66" fillId="4" borderId="30" xfId="21" applyFont="1" applyFill="1" applyBorder="1" applyProtection="1">
      <protection locked="0" hidden="1"/>
    </xf>
    <xf numFmtId="2" fontId="207" fillId="4" borderId="154" xfId="21" applyNumberFormat="1" applyFont="1" applyFill="1" applyBorder="1" applyAlignment="1" applyProtection="1">
      <alignment horizontal="center" vertical="center"/>
      <protection locked="0"/>
    </xf>
    <xf numFmtId="0" fontId="95" fillId="0" borderId="0" xfId="21" applyFont="1" applyAlignment="1" applyProtection="1">
      <alignment horizontal="left"/>
      <protection hidden="1"/>
    </xf>
    <xf numFmtId="0" fontId="195" fillId="3" borderId="6" xfId="20" applyFont="1" applyFill="1" applyBorder="1" applyAlignment="1" applyProtection="1">
      <alignment vertical="center"/>
      <protection hidden="1"/>
    </xf>
    <xf numFmtId="166" fontId="215" fillId="3" borderId="6" xfId="0" applyFont="1" applyFill="1" applyBorder="1" applyAlignment="1" applyProtection="1">
      <alignment horizontal="right" vertical="center"/>
      <protection hidden="1"/>
    </xf>
    <xf numFmtId="0" fontId="195" fillId="3" borderId="5" xfId="20" applyFont="1" applyFill="1" applyBorder="1" applyAlignment="1" applyProtection="1">
      <alignment vertical="center"/>
      <protection hidden="1"/>
    </xf>
    <xf numFmtId="0" fontId="180" fillId="3" borderId="6" xfId="20" applyFont="1" applyFill="1" applyBorder="1" applyAlignment="1" applyProtection="1">
      <alignment vertical="center"/>
    </xf>
    <xf numFmtId="0" fontId="180" fillId="3" borderId="5" xfId="20" applyFont="1" applyFill="1" applyBorder="1" applyAlignment="1" applyProtection="1">
      <alignment vertical="center"/>
    </xf>
    <xf numFmtId="0" fontId="195" fillId="3" borderId="6" xfId="20" applyFont="1" applyFill="1" applyBorder="1" applyAlignment="1" applyProtection="1">
      <alignment vertical="center"/>
    </xf>
    <xf numFmtId="0" fontId="195" fillId="3" borderId="5" xfId="20" applyFont="1" applyFill="1" applyBorder="1" applyAlignment="1" applyProtection="1">
      <alignment vertical="center"/>
    </xf>
    <xf numFmtId="0" fontId="211" fillId="4" borderId="98" xfId="21" applyFont="1" applyFill="1" applyBorder="1" applyAlignment="1" applyProtection="1">
      <alignment horizontal="center" shrinkToFit="1"/>
      <protection locked="0"/>
    </xf>
    <xf numFmtId="0" fontId="211" fillId="4" borderId="43" xfId="21" applyFont="1" applyFill="1" applyBorder="1" applyAlignment="1" applyProtection="1">
      <alignment horizontal="center" shrinkToFit="1"/>
      <protection locked="0"/>
    </xf>
    <xf numFmtId="0" fontId="211" fillId="4" borderId="88" xfId="21" applyFont="1" applyFill="1" applyBorder="1" applyAlignment="1" applyProtection="1">
      <alignment horizontal="center" shrinkToFit="1"/>
      <protection locked="0"/>
    </xf>
    <xf numFmtId="0" fontId="211" fillId="4" borderId="69" xfId="21" applyFont="1" applyFill="1" applyBorder="1" applyAlignment="1" applyProtection="1">
      <alignment horizontal="center" shrinkToFit="1"/>
      <protection locked="0"/>
    </xf>
    <xf numFmtId="0" fontId="211" fillId="4" borderId="41" xfId="21" applyFont="1" applyFill="1" applyBorder="1" applyAlignment="1" applyProtection="1">
      <alignment horizontal="center" shrinkToFit="1"/>
      <protection locked="0"/>
    </xf>
    <xf numFmtId="0" fontId="211" fillId="4" borderId="62" xfId="21" applyFont="1" applyFill="1" applyBorder="1" applyAlignment="1" applyProtection="1">
      <alignment horizontal="center" shrinkToFit="1"/>
      <protection locked="0"/>
    </xf>
    <xf numFmtId="0" fontId="95" fillId="0" borderId="0" xfId="21" applyFont="1" applyProtection="1">
      <protection hidden="1"/>
    </xf>
    <xf numFmtId="0" fontId="213" fillId="0" borderId="0" xfId="21" applyFont="1" applyProtection="1">
      <protection hidden="1"/>
    </xf>
    <xf numFmtId="0" fontId="196" fillId="0" borderId="0" xfId="21" applyFont="1" applyProtection="1">
      <protection hidden="1"/>
    </xf>
    <xf numFmtId="0" fontId="95" fillId="0" borderId="181" xfId="21" applyFont="1" applyBorder="1" applyProtection="1">
      <protection hidden="1"/>
    </xf>
    <xf numFmtId="0" fontId="72" fillId="0" borderId="0" xfId="21" applyFont="1" applyProtection="1">
      <protection hidden="1"/>
    </xf>
    <xf numFmtId="0" fontId="213" fillId="0" borderId="182" xfId="21" applyFont="1" applyFill="1" applyBorder="1" applyAlignment="1" applyProtection="1">
      <alignment horizontal="center" vertical="center" wrapText="1"/>
      <protection hidden="1"/>
    </xf>
    <xf numFmtId="178" fontId="213" fillId="0" borderId="182" xfId="21" applyNumberFormat="1" applyFont="1" applyFill="1" applyBorder="1" applyAlignment="1" applyProtection="1">
      <alignment horizontal="center" vertical="center"/>
      <protection hidden="1"/>
    </xf>
    <xf numFmtId="203" fontId="95" fillId="0" borderId="32" xfId="21" applyNumberFormat="1" applyFont="1" applyBorder="1" applyAlignment="1" applyProtection="1">
      <alignment horizontal="center"/>
      <protection hidden="1"/>
    </xf>
    <xf numFmtId="203" fontId="95" fillId="0" borderId="9" xfId="21" applyNumberFormat="1" applyFont="1" applyBorder="1" applyAlignment="1" applyProtection="1">
      <alignment horizontal="center"/>
      <protection hidden="1"/>
    </xf>
    <xf numFmtId="174" fontId="95" fillId="0" borderId="9" xfId="21" applyNumberFormat="1" applyFont="1" applyBorder="1" applyAlignment="1" applyProtection="1">
      <alignment horizontal="center"/>
      <protection hidden="1"/>
    </xf>
    <xf numFmtId="178" fontId="95" fillId="0" borderId="9" xfId="21" applyNumberFormat="1" applyFont="1" applyBorder="1" applyAlignment="1" applyProtection="1">
      <alignment horizontal="center"/>
      <protection hidden="1"/>
    </xf>
    <xf numFmtId="176" fontId="95" fillId="0" borderId="9" xfId="21" applyNumberFormat="1" applyFont="1" applyBorder="1" applyAlignment="1" applyProtection="1">
      <alignment horizontal="center"/>
      <protection hidden="1"/>
    </xf>
    <xf numFmtId="172" fontId="95" fillId="0" borderId="9" xfId="21" applyNumberFormat="1" applyFont="1" applyBorder="1" applyAlignment="1" applyProtection="1">
      <alignment horizontal="center"/>
      <protection hidden="1"/>
    </xf>
    <xf numFmtId="0" fontId="95" fillId="0" borderId="72" xfId="21" applyNumberFormat="1" applyFont="1" applyBorder="1" applyAlignment="1" applyProtection="1">
      <alignment horizontal="center" shrinkToFit="1"/>
      <protection hidden="1"/>
    </xf>
    <xf numFmtId="0" fontId="95" fillId="0" borderId="71" xfId="21" applyFont="1" applyBorder="1" applyAlignment="1" applyProtection="1">
      <alignment horizontal="center" shrinkToFit="1"/>
      <protection hidden="1"/>
    </xf>
    <xf numFmtId="203" fontId="95" fillId="0" borderId="87" xfId="21" applyNumberFormat="1" applyFont="1" applyBorder="1" applyAlignment="1" applyProtection="1">
      <alignment horizontal="center" shrinkToFit="1"/>
      <protection hidden="1"/>
    </xf>
    <xf numFmtId="174" fontId="95" fillId="0" borderId="72" xfId="21" applyNumberFormat="1" applyFont="1" applyBorder="1" applyAlignment="1" applyProtection="1">
      <alignment horizontal="center" shrinkToFit="1"/>
      <protection hidden="1"/>
    </xf>
    <xf numFmtId="174" fontId="95" fillId="0" borderId="71" xfId="21" applyNumberFormat="1" applyFont="1" applyBorder="1" applyAlignment="1" applyProtection="1">
      <alignment horizontal="center" shrinkToFit="1"/>
      <protection hidden="1"/>
    </xf>
    <xf numFmtId="203" fontId="95" fillId="0" borderId="71" xfId="21" applyNumberFormat="1" applyFont="1" applyBorder="1" applyAlignment="1" applyProtection="1">
      <alignment horizontal="center" shrinkToFit="1"/>
      <protection hidden="1"/>
    </xf>
    <xf numFmtId="174" fontId="95" fillId="0" borderId="87" xfId="21" applyNumberFormat="1" applyFont="1" applyBorder="1" applyAlignment="1" applyProtection="1">
      <alignment horizontal="center" shrinkToFit="1"/>
      <protection hidden="1"/>
    </xf>
    <xf numFmtId="178" fontId="95" fillId="0" borderId="87" xfId="21" applyNumberFormat="1" applyFont="1" applyBorder="1" applyAlignment="1" applyProtection="1">
      <alignment horizontal="center" shrinkToFit="1"/>
      <protection hidden="1"/>
    </xf>
    <xf numFmtId="172" fontId="95" fillId="0" borderId="87" xfId="21" applyNumberFormat="1" applyFont="1" applyBorder="1" applyAlignment="1" applyProtection="1">
      <alignment horizontal="center" shrinkToFit="1"/>
      <protection hidden="1"/>
    </xf>
    <xf numFmtId="0" fontId="95" fillId="0" borderId="183" xfId="21" applyNumberFormat="1" applyFont="1" applyBorder="1" applyAlignment="1" applyProtection="1">
      <alignment horizontal="center" shrinkToFit="1"/>
      <protection hidden="1"/>
    </xf>
    <xf numFmtId="0" fontId="95" fillId="0" borderId="31" xfId="21" applyFont="1" applyBorder="1" applyAlignment="1" applyProtection="1">
      <alignment horizontal="center" shrinkToFit="1"/>
      <protection hidden="1"/>
    </xf>
    <xf numFmtId="203" fontId="95" fillId="0" borderId="23" xfId="21" applyNumberFormat="1" applyFont="1" applyBorder="1" applyAlignment="1" applyProtection="1">
      <alignment horizontal="center" shrinkToFit="1"/>
      <protection hidden="1"/>
    </xf>
    <xf numFmtId="174" fontId="95" fillId="0" borderId="183" xfId="21" applyNumberFormat="1" applyFont="1" applyBorder="1" applyAlignment="1" applyProtection="1">
      <alignment horizontal="center" shrinkToFit="1"/>
      <protection hidden="1"/>
    </xf>
    <xf numFmtId="174" fontId="95" fillId="0" borderId="31" xfId="21" applyNumberFormat="1" applyFont="1" applyBorder="1" applyAlignment="1" applyProtection="1">
      <alignment horizontal="center" shrinkToFit="1"/>
      <protection hidden="1"/>
    </xf>
    <xf numFmtId="203" fontId="95" fillId="0" borderId="31" xfId="21" applyNumberFormat="1" applyFont="1" applyBorder="1" applyAlignment="1" applyProtection="1">
      <alignment horizontal="center" shrinkToFit="1"/>
      <protection hidden="1"/>
    </xf>
    <xf numFmtId="174" fontId="95" fillId="0" borderId="23" xfId="21" applyNumberFormat="1" applyFont="1" applyBorder="1" applyAlignment="1" applyProtection="1">
      <alignment horizontal="center" shrinkToFit="1"/>
      <protection hidden="1"/>
    </xf>
    <xf numFmtId="178" fontId="95" fillId="0" borderId="23" xfId="21" applyNumberFormat="1" applyFont="1" applyBorder="1" applyAlignment="1" applyProtection="1">
      <alignment horizontal="center" shrinkToFit="1"/>
      <protection hidden="1"/>
    </xf>
    <xf numFmtId="172" fontId="95" fillId="0" borderId="23" xfId="21" applyNumberFormat="1" applyFont="1" applyBorder="1" applyAlignment="1" applyProtection="1">
      <alignment horizontal="center" shrinkToFit="1"/>
      <protection hidden="1"/>
    </xf>
    <xf numFmtId="0" fontId="95" fillId="0" borderId="182" xfId="21" applyFont="1" applyBorder="1" applyAlignment="1" applyProtection="1">
      <alignment horizontal="center"/>
      <protection hidden="1"/>
    </xf>
    <xf numFmtId="202" fontId="95" fillId="0" borderId="182" xfId="21" applyNumberFormat="1" applyFont="1" applyBorder="1" applyAlignment="1" applyProtection="1">
      <alignment horizontal="center"/>
      <protection hidden="1"/>
    </xf>
    <xf numFmtId="174" fontId="95" fillId="0" borderId="182" xfId="21" applyNumberFormat="1" applyFont="1" applyBorder="1" applyAlignment="1" applyProtection="1">
      <alignment horizontal="center"/>
      <protection hidden="1"/>
    </xf>
    <xf numFmtId="203" fontId="95" fillId="0" borderId="182" xfId="21" applyNumberFormat="1" applyFont="1" applyBorder="1" applyAlignment="1" applyProtection="1">
      <alignment horizontal="center"/>
      <protection hidden="1"/>
    </xf>
    <xf numFmtId="178" fontId="95" fillId="0" borderId="182" xfId="21" applyNumberFormat="1" applyFont="1" applyBorder="1" applyAlignment="1" applyProtection="1">
      <alignment horizontal="center"/>
      <protection hidden="1"/>
    </xf>
    <xf numFmtId="203" fontId="213" fillId="0" borderId="0" xfId="21" applyNumberFormat="1" applyFont="1" applyBorder="1" applyAlignment="1" applyProtection="1">
      <alignment horizontal="center"/>
      <protection hidden="1"/>
    </xf>
    <xf numFmtId="174" fontId="213" fillId="0" borderId="0" xfId="21" applyNumberFormat="1" applyFont="1" applyBorder="1" applyAlignment="1" applyProtection="1">
      <alignment horizontal="center"/>
      <protection hidden="1"/>
    </xf>
    <xf numFmtId="178" fontId="213" fillId="0" borderId="0" xfId="21" applyNumberFormat="1" applyFont="1" applyBorder="1" applyAlignment="1" applyProtection="1">
      <alignment horizontal="center"/>
      <protection hidden="1"/>
    </xf>
    <xf numFmtId="0" fontId="213" fillId="0" borderId="0" xfId="21" applyNumberFormat="1" applyFont="1" applyBorder="1" applyAlignment="1" applyProtection="1">
      <alignment horizontal="center"/>
      <protection hidden="1"/>
    </xf>
    <xf numFmtId="0" fontId="213" fillId="0" borderId="0" xfId="21" applyFont="1" applyBorder="1" applyAlignment="1" applyProtection="1">
      <alignment horizontal="center"/>
      <protection hidden="1"/>
    </xf>
    <xf numFmtId="202" fontId="213" fillId="0" borderId="0" xfId="21" applyNumberFormat="1" applyFont="1" applyBorder="1" applyAlignment="1" applyProtection="1">
      <alignment horizontal="center"/>
      <protection hidden="1"/>
    </xf>
    <xf numFmtId="49" fontId="214" fillId="0" borderId="182" xfId="21" applyNumberFormat="1" applyFont="1" applyBorder="1" applyAlignment="1" applyProtection="1">
      <alignment horizontal="right"/>
      <protection hidden="1"/>
    </xf>
    <xf numFmtId="178" fontId="214" fillId="0" borderId="182" xfId="21" applyNumberFormat="1" applyFont="1" applyBorder="1" applyAlignment="1" applyProtection="1">
      <alignment horizontal="center"/>
      <protection hidden="1"/>
    </xf>
    <xf numFmtId="176" fontId="139" fillId="0" borderId="0" xfId="21" applyNumberFormat="1" applyFont="1" applyProtection="1">
      <protection hidden="1"/>
    </xf>
    <xf numFmtId="178" fontId="139" fillId="0" borderId="0" xfId="21" applyNumberFormat="1" applyFont="1" applyProtection="1">
      <protection hidden="1"/>
    </xf>
    <xf numFmtId="176" fontId="214" fillId="0" borderId="0" xfId="21" applyNumberFormat="1" applyFont="1" applyProtection="1">
      <protection hidden="1"/>
    </xf>
    <xf numFmtId="178" fontId="214" fillId="0" borderId="0" xfId="21" applyNumberFormat="1" applyFont="1" applyProtection="1">
      <protection hidden="1"/>
    </xf>
    <xf numFmtId="0" fontId="213" fillId="0" borderId="9" xfId="21" applyNumberFormat="1" applyFont="1" applyBorder="1" applyAlignment="1" applyProtection="1">
      <alignment horizontal="center"/>
      <protection hidden="1"/>
    </xf>
    <xf numFmtId="0" fontId="213" fillId="0" borderId="9" xfId="21" applyFont="1" applyBorder="1" applyAlignment="1" applyProtection="1">
      <alignment horizontal="center"/>
      <protection hidden="1"/>
    </xf>
    <xf numFmtId="202" fontId="213" fillId="0" borderId="9" xfId="21" applyNumberFormat="1" applyFont="1" applyBorder="1" applyAlignment="1" applyProtection="1">
      <alignment horizontal="center"/>
      <protection hidden="1"/>
    </xf>
    <xf numFmtId="174" fontId="213" fillId="0" borderId="9" xfId="21" applyNumberFormat="1" applyFont="1" applyBorder="1" applyAlignment="1" applyProtection="1">
      <alignment horizontal="center"/>
      <protection hidden="1"/>
    </xf>
    <xf numFmtId="203" fontId="213" fillId="0" borderId="9" xfId="21" applyNumberFormat="1" applyFont="1" applyBorder="1" applyAlignment="1" applyProtection="1">
      <alignment horizontal="center"/>
      <protection hidden="1"/>
    </xf>
    <xf numFmtId="0" fontId="139" fillId="0" borderId="0" xfId="21" applyFont="1" applyProtection="1">
      <protection hidden="1"/>
    </xf>
    <xf numFmtId="0" fontId="209" fillId="0" borderId="0" xfId="21" applyFont="1" applyBorder="1" applyAlignment="1" applyProtection="1">
      <alignment vertical="top"/>
      <protection hidden="1"/>
    </xf>
    <xf numFmtId="0" fontId="95" fillId="0" borderId="58" xfId="21" applyNumberFormat="1" applyFont="1" applyBorder="1" applyAlignment="1" applyProtection="1">
      <alignment horizontal="center" shrinkToFit="1"/>
      <protection hidden="1"/>
    </xf>
    <xf numFmtId="0" fontId="95" fillId="0" borderId="90" xfId="21" applyFont="1" applyBorder="1" applyAlignment="1" applyProtection="1">
      <alignment horizontal="center" shrinkToFit="1"/>
      <protection hidden="1"/>
    </xf>
    <xf numFmtId="203" fontId="95" fillId="0" borderId="85" xfId="21" applyNumberFormat="1" applyFont="1" applyBorder="1" applyAlignment="1" applyProtection="1">
      <alignment horizontal="center" shrinkToFit="1"/>
      <protection hidden="1"/>
    </xf>
    <xf numFmtId="174" fontId="95" fillId="0" borderId="58" xfId="21" applyNumberFormat="1" applyFont="1" applyBorder="1" applyAlignment="1" applyProtection="1">
      <alignment horizontal="center" shrinkToFit="1"/>
      <protection hidden="1"/>
    </xf>
    <xf numFmtId="174" fontId="95" fillId="0" borderId="90" xfId="21" applyNumberFormat="1" applyFont="1" applyBorder="1" applyAlignment="1" applyProtection="1">
      <alignment horizontal="center" shrinkToFit="1"/>
      <protection hidden="1"/>
    </xf>
    <xf numFmtId="203" fontId="95" fillId="0" borderId="90" xfId="21" applyNumberFormat="1" applyFont="1" applyBorder="1" applyAlignment="1" applyProtection="1">
      <alignment horizontal="center" shrinkToFit="1"/>
      <protection hidden="1"/>
    </xf>
    <xf numFmtId="174" fontId="95" fillId="0" borderId="85" xfId="21" applyNumberFormat="1" applyFont="1" applyBorder="1" applyAlignment="1" applyProtection="1">
      <alignment horizontal="center" shrinkToFit="1"/>
      <protection hidden="1"/>
    </xf>
    <xf numFmtId="178" fontId="95" fillId="0" borderId="85" xfId="21" applyNumberFormat="1" applyFont="1" applyBorder="1" applyAlignment="1" applyProtection="1">
      <alignment horizontal="center" shrinkToFit="1"/>
      <protection hidden="1"/>
    </xf>
    <xf numFmtId="172" fontId="95" fillId="0" borderId="85" xfId="21" applyNumberFormat="1" applyFont="1" applyBorder="1" applyAlignment="1" applyProtection="1">
      <alignment horizontal="center" shrinkToFit="1"/>
      <protection hidden="1"/>
    </xf>
    <xf numFmtId="0" fontId="213" fillId="0" borderId="44" xfId="21" applyNumberFormat="1" applyFont="1" applyBorder="1" applyAlignment="1" applyProtection="1">
      <alignment horizontal="center"/>
      <protection hidden="1"/>
    </xf>
    <xf numFmtId="0" fontId="213" fillId="0" borderId="44" xfId="21" applyFont="1" applyBorder="1" applyAlignment="1" applyProtection="1">
      <alignment horizontal="center"/>
      <protection hidden="1"/>
    </xf>
    <xf numFmtId="202" fontId="213" fillId="0" borderId="44" xfId="21" applyNumberFormat="1" applyFont="1" applyBorder="1" applyAlignment="1" applyProtection="1">
      <alignment horizontal="center"/>
      <protection hidden="1"/>
    </xf>
    <xf numFmtId="174" fontId="213" fillId="0" borderId="44" xfId="21" applyNumberFormat="1" applyFont="1" applyBorder="1" applyAlignment="1" applyProtection="1">
      <alignment horizontal="center"/>
      <protection hidden="1"/>
    </xf>
    <xf numFmtId="203" fontId="213" fillId="0" borderId="44" xfId="21" applyNumberFormat="1" applyFont="1" applyBorder="1" applyAlignment="1" applyProtection="1">
      <alignment horizontal="center"/>
      <protection hidden="1"/>
    </xf>
    <xf numFmtId="203" fontId="213" fillId="0" borderId="182" xfId="21" applyNumberFormat="1" applyFont="1" applyBorder="1" applyAlignment="1" applyProtection="1">
      <alignment horizontal="center"/>
      <protection hidden="1"/>
    </xf>
    <xf numFmtId="174" fontId="213" fillId="0" borderId="182" xfId="21" applyNumberFormat="1" applyFont="1" applyBorder="1" applyAlignment="1" applyProtection="1">
      <alignment horizontal="center"/>
      <protection hidden="1"/>
    </xf>
    <xf numFmtId="178" fontId="213" fillId="0" borderId="182" xfId="21" applyNumberFormat="1" applyFont="1" applyBorder="1" applyAlignment="1" applyProtection="1">
      <alignment horizontal="center"/>
      <protection hidden="1"/>
    </xf>
    <xf numFmtId="176" fontId="213" fillId="0" borderId="182" xfId="21" applyNumberFormat="1" applyFont="1" applyBorder="1" applyAlignment="1" applyProtection="1">
      <alignment horizontal="center"/>
      <protection hidden="1"/>
    </xf>
    <xf numFmtId="172" fontId="213" fillId="0" borderId="182" xfId="21" applyNumberFormat="1" applyFont="1" applyBorder="1" applyAlignment="1" applyProtection="1">
      <alignment horizontal="center"/>
      <protection hidden="1"/>
    </xf>
    <xf numFmtId="0" fontId="95" fillId="0" borderId="178" xfId="21" applyNumberFormat="1" applyFont="1" applyBorder="1" applyAlignment="1" applyProtection="1">
      <alignment horizontal="center"/>
      <protection hidden="1"/>
    </xf>
    <xf numFmtId="0" fontId="86" fillId="0" borderId="0" xfId="21" applyFont="1" applyProtection="1">
      <protection hidden="1"/>
    </xf>
    <xf numFmtId="0" fontId="216" fillId="0" borderId="0" xfId="21" applyFont="1" applyBorder="1" applyAlignment="1" applyProtection="1">
      <protection hidden="1"/>
    </xf>
    <xf numFmtId="174" fontId="213" fillId="0" borderId="0" xfId="21" applyNumberFormat="1" applyFont="1" applyBorder="1" applyAlignment="1" applyProtection="1">
      <protection hidden="1"/>
    </xf>
    <xf numFmtId="49" fontId="214" fillId="0" borderId="0" xfId="21" applyNumberFormat="1" applyFont="1" applyBorder="1" applyAlignment="1" applyProtection="1">
      <alignment horizontal="right"/>
      <protection hidden="1"/>
    </xf>
    <xf numFmtId="178" fontId="214" fillId="0" borderId="0" xfId="21" applyNumberFormat="1" applyFont="1" applyBorder="1" applyAlignment="1" applyProtection="1">
      <alignment horizontal="center"/>
      <protection hidden="1"/>
    </xf>
    <xf numFmtId="172" fontId="127" fillId="0" borderId="12" xfId="40" applyNumberFormat="1" applyFont="1" applyFill="1" applyBorder="1" applyAlignment="1" applyProtection="1">
      <alignment horizontal="center" vertical="center" shrinkToFit="1"/>
      <protection hidden="1"/>
    </xf>
    <xf numFmtId="172" fontId="127" fillId="0" borderId="10" xfId="40" applyNumberFormat="1" applyFont="1" applyFill="1" applyBorder="1" applyAlignment="1" applyProtection="1">
      <alignment horizontal="center" vertical="center" shrinkToFit="1"/>
      <protection hidden="1"/>
    </xf>
    <xf numFmtId="172" fontId="127" fillId="0" borderId="36" xfId="40" applyNumberFormat="1" applyFont="1" applyFill="1" applyBorder="1" applyAlignment="1" applyProtection="1">
      <alignment horizontal="center" vertical="center" shrinkToFit="1"/>
      <protection hidden="1"/>
    </xf>
    <xf numFmtId="172" fontId="127" fillId="0" borderId="8" xfId="40" applyNumberFormat="1" applyFont="1" applyFill="1" applyBorder="1" applyAlignment="1" applyProtection="1">
      <alignment horizontal="center" vertical="center" shrinkToFit="1"/>
      <protection hidden="1"/>
    </xf>
    <xf numFmtId="172" fontId="181" fillId="0" borderId="0" xfId="45" applyNumberFormat="1" applyFont="1" applyFill="1" applyBorder="1" applyAlignment="1" applyProtection="1">
      <alignment horizontal="center" shrinkToFit="1"/>
      <protection hidden="1"/>
    </xf>
    <xf numFmtId="172" fontId="126" fillId="0" borderId="9" xfId="40" applyNumberFormat="1" applyFont="1" applyFill="1" applyBorder="1" applyAlignment="1" applyProtection="1">
      <alignment horizontal="center" vertical="center" shrinkToFit="1"/>
      <protection hidden="1"/>
    </xf>
    <xf numFmtId="172" fontId="181" fillId="0" borderId="9" xfId="45" applyNumberFormat="1" applyFont="1" applyFill="1" applyBorder="1" applyAlignment="1" applyProtection="1">
      <alignment horizontal="center" shrinkToFit="1"/>
      <protection hidden="1"/>
    </xf>
    <xf numFmtId="172" fontId="64" fillId="5" borderId="45" xfId="40" applyNumberFormat="1" applyFont="1" applyFill="1" applyBorder="1" applyAlignment="1" applyProtection="1">
      <alignment horizontal="right" vertical="center" shrinkToFit="1"/>
      <protection hidden="1"/>
    </xf>
    <xf numFmtId="172" fontId="49" fillId="5" borderId="75" xfId="40" applyNumberFormat="1" applyFont="1" applyFill="1" applyBorder="1" applyAlignment="1" applyProtection="1">
      <alignment horizontal="right" vertical="center" shrinkToFit="1"/>
      <protection hidden="1"/>
    </xf>
    <xf numFmtId="172" fontId="49" fillId="5" borderId="76" xfId="40" applyNumberFormat="1" applyFont="1" applyFill="1" applyBorder="1" applyAlignment="1" applyProtection="1">
      <alignment horizontal="right" vertical="center" shrinkToFit="1"/>
      <protection hidden="1"/>
    </xf>
    <xf numFmtId="172" fontId="180" fillId="0" borderId="0" xfId="40" applyNumberFormat="1" applyFont="1" applyFill="1" applyProtection="1">
      <protection hidden="1"/>
    </xf>
    <xf numFmtId="172" fontId="130" fillId="31" borderId="29" xfId="45" applyNumberFormat="1" applyFont="1" applyFill="1" applyBorder="1" applyAlignment="1" applyProtection="1">
      <alignment vertical="center"/>
      <protection hidden="1"/>
    </xf>
    <xf numFmtId="172" fontId="181" fillId="0" borderId="8" xfId="45" applyNumberFormat="1" applyFont="1" applyFill="1" applyBorder="1" applyAlignment="1" applyProtection="1">
      <alignment horizontal="center" shrinkToFit="1"/>
      <protection hidden="1"/>
    </xf>
    <xf numFmtId="172" fontId="64" fillId="8" borderId="30" xfId="40" applyNumberFormat="1" applyFont="1" applyFill="1" applyBorder="1" applyAlignment="1" applyProtection="1">
      <alignment horizontal="center" vertical="center" shrinkToFit="1"/>
      <protection hidden="1"/>
    </xf>
    <xf numFmtId="172" fontId="64" fillId="20" borderId="30" xfId="40" applyNumberFormat="1" applyFont="1" applyFill="1" applyBorder="1" applyAlignment="1" applyProtection="1">
      <alignment horizontal="center" vertical="center" shrinkToFit="1"/>
      <protection hidden="1"/>
    </xf>
    <xf numFmtId="172" fontId="181" fillId="0" borderId="29" xfId="45" applyNumberFormat="1" applyFont="1" applyFill="1" applyBorder="1" applyAlignment="1" applyProtection="1">
      <alignment horizontal="center" shrinkToFit="1"/>
      <protection hidden="1"/>
    </xf>
    <xf numFmtId="172" fontId="180" fillId="0" borderId="8" xfId="40" applyNumberFormat="1" applyFont="1" applyFill="1" applyBorder="1" applyProtection="1">
      <protection hidden="1"/>
    </xf>
    <xf numFmtId="176" fontId="67" fillId="0" borderId="1" xfId="32" applyNumberFormat="1" applyFont="1" applyFill="1" applyBorder="1" applyAlignment="1" applyProtection="1">
      <alignment horizontal="center" vertical="center" shrinkToFit="1"/>
      <protection hidden="1"/>
    </xf>
    <xf numFmtId="0" fontId="29" fillId="0" borderId="1" xfId="47" applyNumberFormat="1" applyFont="1" applyBorder="1" applyAlignment="1" applyProtection="1">
      <protection hidden="1"/>
    </xf>
    <xf numFmtId="0" fontId="214" fillId="0" borderId="0" xfId="21" applyFont="1" applyProtection="1">
      <protection hidden="1"/>
    </xf>
    <xf numFmtId="0" fontId="153" fillId="0" borderId="0" xfId="21" applyFont="1" applyProtection="1">
      <protection hidden="1"/>
    </xf>
    <xf numFmtId="0" fontId="217" fillId="0" borderId="0" xfId="21" applyFont="1" applyProtection="1">
      <protection hidden="1"/>
    </xf>
    <xf numFmtId="176" fontId="106" fillId="4" borderId="1" xfId="32" applyNumberFormat="1" applyFont="1" applyFill="1" applyBorder="1" applyAlignment="1" applyProtection="1">
      <alignment horizontal="center" vertical="center" shrinkToFit="1"/>
      <protection locked="0"/>
    </xf>
    <xf numFmtId="176" fontId="108" fillId="8" borderId="1" xfId="32" applyNumberFormat="1" applyFont="1" applyFill="1" applyBorder="1" applyAlignment="1" applyProtection="1">
      <alignment horizontal="center" vertical="center" shrinkToFit="1"/>
      <protection hidden="1"/>
    </xf>
    <xf numFmtId="0" fontId="28" fillId="0" borderId="0" xfId="47" applyNumberFormat="1" applyFont="1" applyProtection="1">
      <protection hidden="1"/>
    </xf>
    <xf numFmtId="0" fontId="28" fillId="0" borderId="1" xfId="47" applyNumberFormat="1" applyFont="1" applyBorder="1" applyAlignment="1" applyProtection="1">
      <protection hidden="1"/>
    </xf>
    <xf numFmtId="0" fontId="150" fillId="0" borderId="181" xfId="47" applyNumberFormat="1" applyFont="1" applyBorder="1" applyAlignment="1" applyProtection="1">
      <protection hidden="1"/>
    </xf>
    <xf numFmtId="0" fontId="62" fillId="0" borderId="181" xfId="40" applyNumberFormat="1" applyFill="1" applyBorder="1" applyProtection="1">
      <protection hidden="1"/>
    </xf>
    <xf numFmtId="0" fontId="50" fillId="0" borderId="181" xfId="40" applyNumberFormat="1" applyFont="1" applyFill="1" applyBorder="1" applyProtection="1">
      <protection hidden="1"/>
    </xf>
    <xf numFmtId="0" fontId="80" fillId="0" borderId="181" xfId="21" applyNumberFormat="1" applyFont="1" applyFill="1" applyBorder="1" applyAlignment="1" applyProtection="1">
      <alignment horizontal="center" vertical="center" wrapText="1"/>
      <protection hidden="1"/>
    </xf>
    <xf numFmtId="0" fontId="76" fillId="0" borderId="181" xfId="40" applyNumberFormat="1" applyFont="1" applyFill="1" applyBorder="1" applyProtection="1">
      <protection hidden="1"/>
    </xf>
    <xf numFmtId="0" fontId="128" fillId="0" borderId="181" xfId="40" applyNumberFormat="1" applyFont="1" applyFill="1" applyBorder="1" applyProtection="1">
      <protection hidden="1"/>
    </xf>
    <xf numFmtId="0" fontId="180" fillId="0" borderId="181" xfId="40" applyNumberFormat="1" applyFont="1" applyFill="1" applyBorder="1" applyProtection="1">
      <protection hidden="1"/>
    </xf>
    <xf numFmtId="179" fontId="190" fillId="0" borderId="181" xfId="49" applyNumberFormat="1" applyFont="1" applyFill="1" applyBorder="1" applyAlignment="1">
      <alignment horizontal="center"/>
    </xf>
    <xf numFmtId="0" fontId="66" fillId="0" borderId="181" xfId="21" applyBorder="1" applyProtection="1">
      <protection hidden="1"/>
    </xf>
    <xf numFmtId="174" fontId="95" fillId="0" borderId="59" xfId="21" applyNumberFormat="1" applyFont="1" applyBorder="1" applyAlignment="1" applyProtection="1">
      <alignment horizontal="center" shrinkToFit="1"/>
      <protection hidden="1"/>
    </xf>
    <xf numFmtId="174" fontId="95" fillId="0" borderId="17" xfId="21" applyNumberFormat="1" applyFont="1" applyBorder="1" applyAlignment="1" applyProtection="1">
      <alignment horizontal="center" shrinkToFit="1"/>
      <protection hidden="1"/>
    </xf>
    <xf numFmtId="174" fontId="95" fillId="0" borderId="98" xfId="21" applyNumberFormat="1" applyFont="1" applyBorder="1" applyAlignment="1" applyProtection="1">
      <alignment horizontal="center" shrinkToFit="1"/>
      <protection hidden="1"/>
    </xf>
    <xf numFmtId="174" fontId="95" fillId="0" borderId="41" xfId="21" applyNumberFormat="1" applyFont="1" applyBorder="1" applyAlignment="1" applyProtection="1">
      <alignment horizontal="center" shrinkToFit="1"/>
      <protection hidden="1"/>
    </xf>
    <xf numFmtId="178" fontId="64" fillId="20" borderId="74" xfId="40" applyNumberFormat="1" applyFont="1" applyFill="1" applyBorder="1" applyAlignment="1" applyProtection="1">
      <alignment horizontal="right" vertical="center" shrinkToFit="1"/>
      <protection hidden="1"/>
    </xf>
    <xf numFmtId="176" fontId="62" fillId="8" borderId="181" xfId="40" applyNumberFormat="1" applyFill="1" applyBorder="1" applyProtection="1">
      <protection hidden="1"/>
    </xf>
    <xf numFmtId="0" fontId="27" fillId="0" borderId="0" xfId="47" applyNumberFormat="1" applyFont="1" applyProtection="1">
      <protection hidden="1"/>
    </xf>
    <xf numFmtId="172" fontId="62" fillId="8" borderId="181" xfId="40" applyNumberFormat="1" applyFill="1" applyBorder="1" applyAlignment="1" applyProtection="1">
      <alignment horizontal="center"/>
      <protection hidden="1"/>
    </xf>
    <xf numFmtId="178" fontId="127" fillId="0" borderId="8" xfId="40" applyNumberFormat="1" applyFont="1" applyFill="1" applyBorder="1" applyAlignment="1" applyProtection="1">
      <alignment horizontal="center" vertical="center" shrinkToFit="1"/>
      <protection hidden="1"/>
    </xf>
    <xf numFmtId="0" fontId="95" fillId="0" borderId="181" xfId="21" applyFont="1" applyBorder="1" applyAlignment="1" applyProtection="1">
      <alignment horizontal="right"/>
      <protection hidden="1"/>
    </xf>
    <xf numFmtId="0" fontId="66" fillId="0" borderId="181" xfId="21" applyBorder="1" applyAlignment="1" applyProtection="1">
      <alignment horizontal="left"/>
      <protection hidden="1"/>
    </xf>
    <xf numFmtId="176" fontId="67" fillId="4" borderId="1" xfId="32" applyNumberFormat="1" applyFont="1" applyFill="1" applyBorder="1" applyAlignment="1" applyProtection="1">
      <alignment horizontal="center" vertical="center" shrinkToFit="1"/>
      <protection hidden="1"/>
    </xf>
    <xf numFmtId="0" fontId="26" fillId="0" borderId="0" xfId="47" applyNumberFormat="1" applyFont="1" applyProtection="1">
      <protection hidden="1"/>
    </xf>
    <xf numFmtId="0" fontId="41" fillId="3" borderId="181" xfId="40" applyFont="1" applyFill="1" applyBorder="1" applyProtection="1">
      <protection hidden="1"/>
    </xf>
    <xf numFmtId="0" fontId="41" fillId="4" borderId="181" xfId="40" applyFont="1" applyFill="1" applyBorder="1" applyProtection="1">
      <protection locked="0" hidden="1"/>
    </xf>
    <xf numFmtId="0" fontId="67" fillId="4" borderId="181" xfId="0" applyNumberFormat="1" applyFont="1" applyFill="1" applyBorder="1" applyAlignment="1" applyProtection="1">
      <alignment horizontal="center"/>
      <protection locked="0"/>
    </xf>
    <xf numFmtId="0" fontId="194" fillId="3" borderId="0" xfId="21" applyFont="1" applyFill="1" applyBorder="1" applyProtection="1">
      <protection hidden="1"/>
    </xf>
    <xf numFmtId="0" fontId="219" fillId="3" borderId="0" xfId="21" applyFont="1" applyFill="1" applyBorder="1" applyAlignment="1" applyProtection="1">
      <protection hidden="1"/>
    </xf>
    <xf numFmtId="0" fontId="209" fillId="0" borderId="188" xfId="21" applyFont="1" applyBorder="1" applyAlignment="1" applyProtection="1">
      <alignment vertical="top"/>
      <protection hidden="1"/>
    </xf>
    <xf numFmtId="0" fontId="209" fillId="0" borderId="9" xfId="21" applyFont="1" applyBorder="1" applyAlignment="1" applyProtection="1">
      <alignment vertical="top"/>
      <protection hidden="1"/>
    </xf>
    <xf numFmtId="0" fontId="209" fillId="0" borderId="188" xfId="21" applyFont="1" applyBorder="1" applyAlignment="1" applyProtection="1">
      <alignment vertical="top" wrapText="1"/>
      <protection hidden="1"/>
    </xf>
    <xf numFmtId="0" fontId="209" fillId="0" borderId="0" xfId="21" applyFont="1" applyBorder="1" applyAlignment="1" applyProtection="1">
      <alignment vertical="top" wrapText="1"/>
      <protection hidden="1"/>
    </xf>
    <xf numFmtId="0" fontId="209" fillId="0" borderId="9" xfId="21" applyFont="1" applyBorder="1" applyAlignment="1" applyProtection="1">
      <alignment vertical="top" wrapText="1"/>
      <protection hidden="1"/>
    </xf>
    <xf numFmtId="0" fontId="41" fillId="4" borderId="44" xfId="40" applyFont="1" applyFill="1" applyBorder="1" applyAlignment="1" applyProtection="1">
      <alignment horizontal="left" vertical="center"/>
      <protection locked="0"/>
    </xf>
    <xf numFmtId="0" fontId="41" fillId="4" borderId="43" xfId="40" applyFont="1" applyFill="1" applyBorder="1" applyAlignment="1" applyProtection="1">
      <alignment horizontal="left" vertical="center"/>
      <protection locked="0"/>
    </xf>
    <xf numFmtId="0" fontId="41" fillId="4" borderId="22" xfId="40" applyFont="1" applyFill="1" applyBorder="1" applyAlignment="1" applyProtection="1">
      <alignment horizontal="left" vertical="center"/>
      <protection locked="0"/>
    </xf>
    <xf numFmtId="0" fontId="41" fillId="4" borderId="21" xfId="40" applyFont="1" applyFill="1" applyBorder="1" applyAlignment="1" applyProtection="1">
      <alignment horizontal="left" vertical="center"/>
      <protection locked="0"/>
    </xf>
    <xf numFmtId="0" fontId="41" fillId="4" borderId="69" xfId="40" applyFont="1" applyFill="1" applyBorder="1" applyAlignment="1" applyProtection="1">
      <alignment horizontal="left" vertical="center"/>
      <protection locked="0"/>
    </xf>
    <xf numFmtId="0" fontId="24" fillId="4" borderId="22" xfId="40" applyFont="1" applyFill="1" applyBorder="1" applyAlignment="1" applyProtection="1">
      <alignment horizontal="left" vertical="center"/>
      <protection locked="0"/>
    </xf>
    <xf numFmtId="0" fontId="41" fillId="4" borderId="181" xfId="40" applyFont="1" applyFill="1" applyBorder="1" applyProtection="1">
      <protection locked="0"/>
    </xf>
    <xf numFmtId="0" fontId="24" fillId="4" borderId="181" xfId="40" applyFont="1" applyFill="1" applyBorder="1" applyProtection="1">
      <protection locked="0"/>
    </xf>
    <xf numFmtId="0" fontId="41" fillId="3" borderId="188" xfId="40" applyFont="1" applyFill="1" applyBorder="1" applyProtection="1">
      <protection hidden="1"/>
    </xf>
    <xf numFmtId="0" fontId="192" fillId="3" borderId="31" xfId="40" applyFont="1" applyFill="1" applyBorder="1" applyAlignment="1" applyProtection="1">
      <alignment horizontal="center" vertical="center"/>
      <protection hidden="1"/>
    </xf>
    <xf numFmtId="166" fontId="179" fillId="0" borderId="0" xfId="59" applyFont="1"/>
    <xf numFmtId="15" fontId="220" fillId="4" borderId="88" xfId="40" applyNumberFormat="1" applyFont="1" applyFill="1" applyBorder="1" applyAlignment="1" applyProtection="1">
      <alignment horizontal="center" vertical="center" shrinkToFit="1"/>
      <protection locked="0"/>
    </xf>
    <xf numFmtId="15" fontId="220" fillId="4" borderId="58" xfId="40" applyNumberFormat="1" applyFont="1" applyFill="1" applyBorder="1" applyAlignment="1" applyProtection="1">
      <alignment horizontal="center" vertical="center" shrinkToFit="1"/>
      <protection locked="0"/>
    </xf>
    <xf numFmtId="15" fontId="220" fillId="4" borderId="98" xfId="40" applyNumberFormat="1" applyFont="1" applyFill="1" applyBorder="1" applyAlignment="1" applyProtection="1">
      <alignment horizontal="center" vertical="center" shrinkToFit="1"/>
      <protection locked="0"/>
    </xf>
    <xf numFmtId="15" fontId="127" fillId="0" borderId="98" xfId="40" applyNumberFormat="1" applyFont="1" applyBorder="1" applyAlignment="1" applyProtection="1">
      <alignment horizontal="center" shrinkToFit="1"/>
      <protection hidden="1"/>
    </xf>
    <xf numFmtId="15" fontId="127" fillId="0" borderId="88" xfId="40" applyNumberFormat="1" applyFont="1" applyBorder="1" applyAlignment="1" applyProtection="1">
      <alignment horizontal="center" shrinkToFit="1"/>
      <protection hidden="1"/>
    </xf>
    <xf numFmtId="15" fontId="127" fillId="0" borderId="41" xfId="40" applyNumberFormat="1" applyFont="1" applyBorder="1" applyAlignment="1" applyProtection="1">
      <alignment horizontal="center" shrinkToFit="1"/>
      <protection hidden="1"/>
    </xf>
    <xf numFmtId="0" fontId="64" fillId="31" borderId="30" xfId="40" applyFont="1" applyFill="1" applyBorder="1" applyAlignment="1" applyProtection="1">
      <alignment horizontal="center" shrinkToFit="1"/>
      <protection hidden="1"/>
    </xf>
    <xf numFmtId="0" fontId="64" fillId="31" borderId="29" xfId="40" applyFont="1" applyFill="1" applyBorder="1" applyAlignment="1" applyProtection="1">
      <alignment horizontal="center" shrinkToFit="1"/>
      <protection hidden="1"/>
    </xf>
    <xf numFmtId="0" fontId="221" fillId="3" borderId="0" xfId="40" applyFont="1" applyFill="1" applyAlignment="1" applyProtection="1">
      <alignment horizontal="center" vertical="top"/>
      <protection hidden="1"/>
    </xf>
    <xf numFmtId="2" fontId="108" fillId="8" borderId="1" xfId="32" applyNumberFormat="1" applyFont="1" applyFill="1" applyBorder="1" applyAlignment="1" applyProtection="1">
      <alignment horizontal="center" vertical="center" shrinkToFit="1"/>
      <protection hidden="1"/>
    </xf>
    <xf numFmtId="0" fontId="113" fillId="9" borderId="0" xfId="32" applyFont="1" applyFill="1" applyBorder="1" applyAlignment="1" applyProtection="1">
      <alignment horizontal="center" shrinkToFit="1"/>
      <protection hidden="1"/>
    </xf>
    <xf numFmtId="2" fontId="106" fillId="4" borderId="1" xfId="32" applyNumberFormat="1" applyFont="1" applyFill="1" applyBorder="1" applyAlignment="1" applyProtection="1">
      <alignment horizontal="center" vertical="center" shrinkToFit="1"/>
      <protection locked="0"/>
    </xf>
    <xf numFmtId="0" fontId="106" fillId="4" borderId="1" xfId="32" applyFont="1" applyFill="1" applyBorder="1" applyAlignment="1" applyProtection="1">
      <alignment horizontal="center" vertical="center" shrinkToFit="1"/>
      <protection locked="0"/>
    </xf>
    <xf numFmtId="15" fontId="220" fillId="4" borderId="41" xfId="40" applyNumberFormat="1" applyFont="1" applyFill="1" applyBorder="1" applyAlignment="1" applyProtection="1">
      <alignment horizontal="center" vertical="center" shrinkToFit="1"/>
      <protection locked="0"/>
    </xf>
    <xf numFmtId="15" fontId="220" fillId="4" borderId="72" xfId="40" applyNumberFormat="1" applyFont="1" applyFill="1" applyBorder="1" applyAlignment="1" applyProtection="1">
      <alignment horizontal="center" vertical="center" shrinkToFit="1"/>
      <protection locked="0"/>
    </xf>
    <xf numFmtId="0" fontId="66" fillId="4" borderId="1" xfId="0" quotePrefix="1" applyNumberFormat="1" applyFont="1" applyFill="1" applyBorder="1" applyProtection="1">
      <protection locked="0"/>
    </xf>
    <xf numFmtId="0" fontId="156" fillId="4" borderId="24" xfId="20" applyFont="1" applyFill="1" applyBorder="1" applyProtection="1">
      <protection locked="0"/>
    </xf>
    <xf numFmtId="166" fontId="66" fillId="0" borderId="181" xfId="0" applyFont="1" applyBorder="1" applyProtection="1">
      <protection hidden="1"/>
    </xf>
    <xf numFmtId="166" fontId="206" fillId="34" borderId="141" xfId="0" applyFont="1" applyFill="1" applyBorder="1" applyAlignment="1" applyProtection="1">
      <alignment vertical="center"/>
      <protection hidden="1"/>
    </xf>
    <xf numFmtId="166" fontId="206" fillId="34" borderId="143" xfId="0" applyFont="1" applyFill="1" applyBorder="1" applyAlignment="1" applyProtection="1">
      <alignment vertical="center"/>
      <protection hidden="1"/>
    </xf>
    <xf numFmtId="166" fontId="226" fillId="34" borderId="142" xfId="0" applyFont="1" applyFill="1" applyBorder="1" applyAlignment="1" applyProtection="1">
      <alignment vertical="center"/>
      <protection hidden="1"/>
    </xf>
    <xf numFmtId="0" fontId="22" fillId="0" borderId="0" xfId="40" applyFont="1" applyProtection="1">
      <protection hidden="1"/>
    </xf>
    <xf numFmtId="166" fontId="76" fillId="0" borderId="0" xfId="0" applyFont="1"/>
    <xf numFmtId="0" fontId="21" fillId="0" borderId="0" xfId="47" applyNumberFormat="1" applyFont="1" applyProtection="1">
      <protection hidden="1"/>
    </xf>
    <xf numFmtId="0" fontId="20" fillId="0" borderId="0" xfId="47" applyNumberFormat="1" applyFont="1" applyAlignment="1" applyProtection="1">
      <protection hidden="1"/>
    </xf>
    <xf numFmtId="0" fontId="66" fillId="0" borderId="181" xfId="21" applyFont="1" applyBorder="1" applyProtection="1">
      <protection hidden="1"/>
    </xf>
    <xf numFmtId="0" fontId="20" fillId="0" borderId="0" xfId="40" applyFont="1" applyProtection="1">
      <protection hidden="1"/>
    </xf>
    <xf numFmtId="0" fontId="64" fillId="0" borderId="0" xfId="40" applyFont="1" applyAlignment="1" applyProtection="1">
      <alignment horizontal="right"/>
      <protection hidden="1"/>
    </xf>
    <xf numFmtId="166" fontId="86" fillId="34" borderId="0" xfId="0" applyFont="1" applyFill="1" applyProtection="1">
      <protection hidden="1"/>
    </xf>
    <xf numFmtId="166" fontId="66" fillId="34" borderId="0" xfId="0" applyFont="1" applyFill="1" applyAlignment="1" applyProtection="1">
      <alignment horizontal="right"/>
      <protection hidden="1"/>
    </xf>
    <xf numFmtId="166" fontId="66" fillId="34" borderId="0" xfId="0" quotePrefix="1" applyFont="1" applyFill="1" applyProtection="1">
      <protection hidden="1"/>
    </xf>
    <xf numFmtId="166" fontId="229" fillId="30" borderId="32" xfId="0" applyFont="1" applyFill="1" applyBorder="1" applyAlignment="1" applyProtection="1">
      <protection hidden="1"/>
    </xf>
    <xf numFmtId="166" fontId="229" fillId="30" borderId="9" xfId="0" applyFont="1" applyFill="1" applyBorder="1" applyAlignment="1" applyProtection="1">
      <protection hidden="1"/>
    </xf>
    <xf numFmtId="166" fontId="229" fillId="30" borderId="32" xfId="0" applyFont="1" applyFill="1" applyBorder="1" applyAlignment="1" applyProtection="1">
      <alignment horizontal="center"/>
      <protection hidden="1"/>
    </xf>
    <xf numFmtId="166" fontId="204" fillId="0" borderId="0" xfId="0" applyFont="1" applyProtection="1">
      <protection hidden="1"/>
    </xf>
    <xf numFmtId="166" fontId="204" fillId="0" borderId="1" xfId="0" applyFont="1" applyBorder="1" applyProtection="1">
      <protection hidden="1"/>
    </xf>
    <xf numFmtId="0" fontId="230" fillId="4" borderId="1" xfId="20" applyFont="1" applyFill="1" applyBorder="1" applyProtection="1">
      <protection locked="0"/>
    </xf>
    <xf numFmtId="0" fontId="230" fillId="3" borderId="1" xfId="20" applyFont="1" applyFill="1" applyBorder="1" applyProtection="1">
      <protection hidden="1"/>
    </xf>
    <xf numFmtId="166" fontId="204" fillId="0" borderId="181" xfId="0" applyFont="1" applyBorder="1" applyProtection="1">
      <protection hidden="1"/>
    </xf>
    <xf numFmtId="166" fontId="194" fillId="34" borderId="0" xfId="0" applyFont="1" applyFill="1" applyProtection="1">
      <protection hidden="1"/>
    </xf>
    <xf numFmtId="166" fontId="194" fillId="0" borderId="0" xfId="0" applyFont="1" applyProtection="1">
      <protection hidden="1"/>
    </xf>
    <xf numFmtId="0" fontId="194" fillId="4" borderId="1" xfId="0" applyNumberFormat="1" applyFont="1" applyFill="1" applyBorder="1" applyProtection="1">
      <protection locked="0"/>
    </xf>
    <xf numFmtId="166" fontId="194" fillId="0" borderId="1" xfId="0" applyFont="1" applyBorder="1" applyProtection="1">
      <protection hidden="1"/>
    </xf>
    <xf numFmtId="0" fontId="194" fillId="4" borderId="106" xfId="0" applyNumberFormat="1" applyFont="1" applyFill="1" applyBorder="1" applyProtection="1">
      <protection locked="0"/>
    </xf>
    <xf numFmtId="166" fontId="194" fillId="0" borderId="112" xfId="0" applyFont="1" applyBorder="1" applyProtection="1">
      <protection hidden="1"/>
    </xf>
    <xf numFmtId="0" fontId="76" fillId="0" borderId="0" xfId="0" applyNumberFormat="1" applyFont="1" applyProtection="1">
      <protection hidden="1"/>
    </xf>
    <xf numFmtId="0" fontId="76" fillId="0" borderId="181" xfId="0" applyNumberFormat="1" applyFont="1" applyBorder="1" applyAlignment="1" applyProtection="1">
      <alignment horizontal="center"/>
      <protection hidden="1"/>
    </xf>
    <xf numFmtId="0" fontId="233" fillId="0" borderId="0" xfId="0" applyNumberFormat="1" applyFont="1" applyProtection="1">
      <protection hidden="1"/>
    </xf>
    <xf numFmtId="0" fontId="234" fillId="0" borderId="0" xfId="0" applyNumberFormat="1" applyFont="1" applyAlignment="1" applyProtection="1">
      <alignment horizontal="center"/>
      <protection hidden="1"/>
    </xf>
    <xf numFmtId="0" fontId="76" fillId="0" borderId="181" xfId="0" applyNumberFormat="1" applyFont="1" applyBorder="1" applyProtection="1">
      <protection hidden="1"/>
    </xf>
    <xf numFmtId="0" fontId="227" fillId="35" borderId="63" xfId="0" applyNumberFormat="1" applyFont="1" applyFill="1" applyBorder="1" applyAlignment="1" applyProtection="1">
      <alignment horizontal="center" vertical="center" shrinkToFit="1"/>
      <protection hidden="1"/>
    </xf>
    <xf numFmtId="0" fontId="227" fillId="35" borderId="186" xfId="0" applyNumberFormat="1" applyFont="1" applyFill="1" applyBorder="1" applyAlignment="1" applyProtection="1">
      <alignment horizontal="center" vertical="center" shrinkToFit="1"/>
      <protection hidden="1"/>
    </xf>
    <xf numFmtId="0" fontId="227" fillId="35" borderId="33" xfId="0" applyNumberFormat="1" applyFont="1" applyFill="1" applyBorder="1" applyAlignment="1" applyProtection="1">
      <alignment horizontal="center" vertical="center" shrinkToFit="1"/>
      <protection hidden="1"/>
    </xf>
    <xf numFmtId="178" fontId="232" fillId="21" borderId="63" xfId="0" applyNumberFormat="1" applyFont="1" applyFill="1" applyBorder="1" applyAlignment="1" applyProtection="1">
      <alignment horizontal="center" vertical="center" shrinkToFit="1"/>
      <protection hidden="1"/>
    </xf>
    <xf numFmtId="178" fontId="232" fillId="21" borderId="186" xfId="0" applyNumberFormat="1" applyFont="1" applyFill="1" applyBorder="1" applyAlignment="1" applyProtection="1">
      <alignment horizontal="center" vertical="center" shrinkToFit="1"/>
      <protection hidden="1"/>
    </xf>
    <xf numFmtId="178" fontId="74" fillId="4" borderId="63" xfId="0" applyNumberFormat="1" applyFont="1" applyFill="1" applyBorder="1" applyAlignment="1" applyProtection="1">
      <alignment horizontal="center" vertical="center" shrinkToFit="1"/>
      <protection locked="0"/>
    </xf>
    <xf numFmtId="178" fontId="74" fillId="4" borderId="186" xfId="0" applyNumberFormat="1" applyFont="1" applyFill="1" applyBorder="1" applyAlignment="1" applyProtection="1">
      <alignment horizontal="center" vertical="center" shrinkToFit="1"/>
      <protection locked="0"/>
    </xf>
    <xf numFmtId="0" fontId="76" fillId="0" borderId="0" xfId="0" applyNumberFormat="1" applyFont="1" applyAlignment="1" applyProtection="1">
      <alignment horizontal="right"/>
      <protection hidden="1"/>
    </xf>
    <xf numFmtId="0" fontId="227" fillId="35" borderId="194" xfId="0" applyNumberFormat="1" applyFont="1" applyFill="1" applyBorder="1" applyAlignment="1" applyProtection="1">
      <alignment horizontal="center" vertical="center" shrinkToFit="1"/>
      <protection hidden="1"/>
    </xf>
    <xf numFmtId="0" fontId="227" fillId="35" borderId="192" xfId="0" applyNumberFormat="1" applyFont="1" applyFill="1" applyBorder="1" applyAlignment="1" applyProtection="1">
      <alignment horizontal="center" vertical="center" shrinkToFit="1"/>
      <protection hidden="1"/>
    </xf>
    <xf numFmtId="0" fontId="235" fillId="35" borderId="91" xfId="0" applyNumberFormat="1" applyFont="1" applyFill="1" applyBorder="1" applyAlignment="1" applyProtection="1">
      <alignment horizontal="center" vertical="center" shrinkToFit="1"/>
      <protection hidden="1"/>
    </xf>
    <xf numFmtId="0" fontId="235" fillId="35" borderId="33" xfId="0" applyNumberFormat="1" applyFont="1" applyFill="1" applyBorder="1" applyAlignment="1" applyProtection="1">
      <alignment horizontal="center" vertical="center" shrinkToFit="1"/>
      <protection hidden="1"/>
    </xf>
    <xf numFmtId="166" fontId="76" fillId="0" borderId="181" xfId="0" applyFont="1" applyBorder="1"/>
    <xf numFmtId="166" fontId="227" fillId="35" borderId="181" xfId="0" applyFont="1" applyFill="1" applyBorder="1" applyAlignment="1">
      <alignment horizontal="center"/>
    </xf>
    <xf numFmtId="166" fontId="227" fillId="35" borderId="27" xfId="0" applyFont="1" applyFill="1" applyBorder="1" applyAlignment="1">
      <alignment horizontal="center"/>
    </xf>
    <xf numFmtId="166" fontId="227" fillId="35" borderId="25" xfId="0" applyFont="1" applyFill="1" applyBorder="1" applyAlignment="1">
      <alignment horizontal="center"/>
    </xf>
    <xf numFmtId="166" fontId="76" fillId="0" borderId="0" xfId="0" applyFont="1" applyBorder="1"/>
    <xf numFmtId="166" fontId="227" fillId="35" borderId="195" xfId="0" applyFont="1" applyFill="1" applyBorder="1" applyAlignment="1">
      <alignment horizontal="center"/>
    </xf>
    <xf numFmtId="166" fontId="227" fillId="35" borderId="196" xfId="0" applyFont="1" applyFill="1" applyBorder="1" applyAlignment="1">
      <alignment horizontal="center"/>
    </xf>
    <xf numFmtId="166" fontId="129" fillId="0" borderId="0" xfId="0" applyFont="1"/>
    <xf numFmtId="0" fontId="194" fillId="4" borderId="114" xfId="0" applyNumberFormat="1" applyFont="1" applyFill="1" applyBorder="1" applyProtection="1">
      <protection locked="0"/>
    </xf>
    <xf numFmtId="0" fontId="194" fillId="4" borderId="2" xfId="0" applyNumberFormat="1" applyFont="1" applyFill="1" applyBorder="1" applyProtection="1">
      <protection locked="0"/>
    </xf>
    <xf numFmtId="166" fontId="194" fillId="0" borderId="2" xfId="0" applyFont="1" applyBorder="1" applyProtection="1">
      <protection hidden="1"/>
    </xf>
    <xf numFmtId="0" fontId="66" fillId="4" borderId="181" xfId="0" applyNumberFormat="1" applyFont="1" applyFill="1" applyBorder="1" applyProtection="1">
      <protection locked="0"/>
    </xf>
    <xf numFmtId="166" fontId="79" fillId="38" borderId="185" xfId="0" applyFont="1" applyFill="1" applyBorder="1" applyAlignment="1" applyProtection="1">
      <alignment vertical="center"/>
      <protection locked="0"/>
    </xf>
    <xf numFmtId="166" fontId="79" fillId="0" borderId="181" xfId="0" applyFont="1" applyBorder="1" applyAlignment="1">
      <alignment vertical="center"/>
    </xf>
    <xf numFmtId="166" fontId="239" fillId="0" borderId="0" xfId="0" applyFont="1" applyAlignment="1" applyProtection="1">
      <alignment horizontal="center" vertical="center"/>
      <protection hidden="1"/>
    </xf>
    <xf numFmtId="166" fontId="238" fillId="0" borderId="0" xfId="0" applyFont="1" applyAlignment="1">
      <alignment vertical="center"/>
    </xf>
    <xf numFmtId="166" fontId="238" fillId="0" borderId="0" xfId="0" applyFont="1" applyAlignment="1" applyProtection="1">
      <alignment vertical="center"/>
      <protection hidden="1"/>
    </xf>
    <xf numFmtId="2" fontId="76" fillId="21" borderId="63" xfId="0" applyNumberFormat="1" applyFont="1" applyFill="1" applyBorder="1" applyAlignment="1" applyProtection="1">
      <alignment horizontal="center"/>
      <protection hidden="1"/>
    </xf>
    <xf numFmtId="2" fontId="76" fillId="21" borderId="186" xfId="0" applyNumberFormat="1" applyFont="1" applyFill="1" applyBorder="1" applyAlignment="1" applyProtection="1">
      <alignment horizontal="center"/>
      <protection hidden="1"/>
    </xf>
    <xf numFmtId="166" fontId="76" fillId="0" borderId="185" xfId="0" applyFont="1" applyBorder="1"/>
    <xf numFmtId="166" fontId="76" fillId="0" borderId="186" xfId="0" applyFont="1" applyBorder="1"/>
    <xf numFmtId="166" fontId="76" fillId="0" borderId="7" xfId="0" applyFont="1" applyBorder="1"/>
    <xf numFmtId="166" fontId="76" fillId="0" borderId="31" xfId="0" applyFont="1" applyBorder="1"/>
    <xf numFmtId="166" fontId="76" fillId="0" borderId="32" xfId="0" applyFont="1" applyBorder="1"/>
    <xf numFmtId="166" fontId="76" fillId="0" borderId="9" xfId="0" applyFont="1" applyBorder="1"/>
    <xf numFmtId="166" fontId="76" fillId="0" borderId="33" xfId="0" applyFont="1" applyBorder="1"/>
    <xf numFmtId="166" fontId="76" fillId="0" borderId="29" xfId="0" applyFont="1" applyBorder="1"/>
    <xf numFmtId="166" fontId="76" fillId="0" borderId="23" xfId="0" applyFont="1" applyBorder="1"/>
    <xf numFmtId="166" fontId="76" fillId="0" borderId="2" xfId="0" applyFont="1" applyBorder="1"/>
    <xf numFmtId="166" fontId="66" fillId="34" borderId="0" xfId="0" applyFont="1" applyFill="1" applyAlignment="1" applyProtection="1">
      <protection hidden="1"/>
    </xf>
    <xf numFmtId="166" fontId="167" fillId="0" borderId="181" xfId="0" applyFont="1" applyBorder="1"/>
    <xf numFmtId="0" fontId="19" fillId="0" borderId="0" xfId="47" applyNumberFormat="1" applyFont="1" applyProtection="1">
      <protection hidden="1"/>
    </xf>
    <xf numFmtId="0" fontId="224" fillId="0" borderId="0" xfId="47" applyNumberFormat="1" applyFont="1" applyProtection="1">
      <protection hidden="1"/>
    </xf>
    <xf numFmtId="2" fontId="60" fillId="0" borderId="12" xfId="47" applyNumberFormat="1" applyBorder="1" applyAlignment="1" applyProtection="1">
      <alignment horizontal="center" vertical="center" shrinkToFit="1"/>
      <protection hidden="1"/>
    </xf>
    <xf numFmtId="2" fontId="60" fillId="0" borderId="10" xfId="47" applyNumberFormat="1" applyBorder="1" applyAlignment="1" applyProtection="1">
      <alignment horizontal="center" vertical="center" shrinkToFit="1"/>
      <protection hidden="1"/>
    </xf>
    <xf numFmtId="0" fontId="64" fillId="5" borderId="36" xfId="47" applyNumberFormat="1" applyFont="1" applyFill="1" applyBorder="1" applyAlignment="1" applyProtection="1">
      <alignment horizontal="center" vertical="center" shrinkToFit="1"/>
      <protection hidden="1"/>
    </xf>
    <xf numFmtId="0" fontId="60" fillId="19" borderId="12" xfId="47" applyNumberFormat="1" applyFill="1" applyBorder="1" applyAlignment="1" applyProtection="1">
      <alignment horizontal="right" vertical="center" shrinkToFit="1"/>
      <protection hidden="1"/>
    </xf>
    <xf numFmtId="0" fontId="60" fillId="19" borderId="10" xfId="47" applyNumberFormat="1" applyFill="1" applyBorder="1" applyAlignment="1" applyProtection="1">
      <alignment horizontal="right" vertical="center" shrinkToFit="1"/>
      <protection hidden="1"/>
    </xf>
    <xf numFmtId="0" fontId="241" fillId="0" borderId="0" xfId="47" applyNumberFormat="1" applyFont="1" applyProtection="1">
      <protection hidden="1"/>
    </xf>
    <xf numFmtId="192" fontId="60" fillId="0" borderId="12" xfId="47" applyNumberFormat="1" applyBorder="1" applyAlignment="1" applyProtection="1">
      <alignment horizontal="center" vertical="center" shrinkToFit="1"/>
      <protection hidden="1"/>
    </xf>
    <xf numFmtId="192" fontId="60" fillId="0" borderId="10" xfId="47" applyNumberFormat="1" applyBorder="1" applyAlignment="1" applyProtection="1">
      <alignment horizontal="center" vertical="center" shrinkToFit="1"/>
      <protection hidden="1"/>
    </xf>
    <xf numFmtId="0" fontId="240" fillId="0" borderId="0" xfId="47" applyNumberFormat="1" applyFont="1" applyProtection="1">
      <protection hidden="1"/>
    </xf>
    <xf numFmtId="0" fontId="19" fillId="0" borderId="0" xfId="47" applyNumberFormat="1" applyFont="1" applyBorder="1" applyProtection="1">
      <protection hidden="1"/>
    </xf>
    <xf numFmtId="0" fontId="242" fillId="0" borderId="0" xfId="40" applyFont="1" applyProtection="1">
      <protection hidden="1"/>
    </xf>
    <xf numFmtId="0" fontId="243" fillId="0" borderId="0" xfId="40" applyFont="1" applyBorder="1" applyProtection="1">
      <protection hidden="1"/>
    </xf>
    <xf numFmtId="0" fontId="242" fillId="0" borderId="0" xfId="40" applyFont="1" applyBorder="1" applyProtection="1">
      <protection hidden="1"/>
    </xf>
    <xf numFmtId="195" fontId="243" fillId="0" borderId="0" xfId="40" applyNumberFormat="1" applyFont="1" applyBorder="1" applyAlignment="1" applyProtection="1">
      <alignment horizontal="center"/>
      <protection hidden="1"/>
    </xf>
    <xf numFmtId="2" fontId="243" fillId="0" borderId="0" xfId="40" applyNumberFormat="1" applyFont="1" applyBorder="1" applyAlignment="1" applyProtection="1">
      <alignment horizontal="center"/>
      <protection hidden="1"/>
    </xf>
    <xf numFmtId="0" fontId="242" fillId="0" borderId="9" xfId="40" applyFont="1" applyBorder="1" applyProtection="1">
      <protection hidden="1"/>
    </xf>
    <xf numFmtId="0" fontId="18" fillId="0" borderId="0" xfId="40" applyFont="1" applyProtection="1">
      <protection hidden="1"/>
    </xf>
    <xf numFmtId="0" fontId="220" fillId="3" borderId="0" xfId="40" applyFont="1" applyFill="1" applyBorder="1" applyAlignment="1" applyProtection="1">
      <alignment horizontal="center" vertical="top" wrapText="1"/>
      <protection hidden="1"/>
    </xf>
    <xf numFmtId="0" fontId="103" fillId="21" borderId="9" xfId="45" applyNumberFormat="1" applyFont="1" applyFill="1" applyBorder="1" applyAlignment="1" applyProtection="1">
      <alignment horizontal="right" vertical="center"/>
      <protection hidden="1"/>
    </xf>
    <xf numFmtId="0" fontId="103" fillId="21" borderId="33" xfId="45" applyNumberFormat="1" applyFont="1" applyFill="1" applyBorder="1" applyAlignment="1" applyProtection="1">
      <alignment horizontal="right" vertical="center"/>
      <protection hidden="1"/>
    </xf>
    <xf numFmtId="0" fontId="17" fillId="0" borderId="0" xfId="47" applyNumberFormat="1" applyFont="1" applyProtection="1">
      <protection hidden="1"/>
    </xf>
    <xf numFmtId="0" fontId="95" fillId="0" borderId="88" xfId="21" applyNumberFormat="1" applyFont="1" applyBorder="1" applyAlignment="1" applyProtection="1">
      <alignment horizontal="center" shrinkToFit="1"/>
      <protection hidden="1"/>
    </xf>
    <xf numFmtId="0" fontId="95" fillId="0" borderId="69" xfId="21" applyFont="1" applyBorder="1" applyAlignment="1" applyProtection="1">
      <alignment horizontal="center" shrinkToFit="1"/>
      <protection hidden="1"/>
    </xf>
    <xf numFmtId="203" fontId="95" fillId="0" borderId="26" xfId="21" applyNumberFormat="1" applyFont="1" applyBorder="1" applyAlignment="1" applyProtection="1">
      <alignment horizontal="center" shrinkToFit="1"/>
      <protection hidden="1"/>
    </xf>
    <xf numFmtId="174" fontId="95" fillId="0" borderId="88" xfId="21" applyNumberFormat="1" applyFont="1" applyBorder="1" applyAlignment="1" applyProtection="1">
      <alignment horizontal="center" shrinkToFit="1"/>
      <protection hidden="1"/>
    </xf>
    <xf numFmtId="174" fontId="95" fillId="0" borderId="69" xfId="21" applyNumberFormat="1" applyFont="1" applyBorder="1" applyAlignment="1" applyProtection="1">
      <alignment horizontal="center" shrinkToFit="1"/>
      <protection hidden="1"/>
    </xf>
    <xf numFmtId="174" fontId="95" fillId="0" borderId="26" xfId="21" applyNumberFormat="1" applyFont="1" applyBorder="1" applyAlignment="1" applyProtection="1">
      <alignment horizontal="center" shrinkToFit="1"/>
      <protection hidden="1"/>
    </xf>
    <xf numFmtId="178" fontId="95" fillId="0" borderId="26" xfId="21" applyNumberFormat="1" applyFont="1" applyBorder="1" applyAlignment="1" applyProtection="1">
      <alignment horizontal="center" shrinkToFit="1"/>
      <protection hidden="1"/>
    </xf>
    <xf numFmtId="172" fontId="95" fillId="0" borderId="26" xfId="21" applyNumberFormat="1" applyFont="1" applyBorder="1" applyAlignment="1" applyProtection="1">
      <alignment horizontal="center" shrinkToFit="1"/>
      <protection hidden="1"/>
    </xf>
    <xf numFmtId="0" fontId="95" fillId="0" borderId="41" xfId="21" applyNumberFormat="1" applyFont="1" applyBorder="1" applyAlignment="1" applyProtection="1">
      <alignment horizontal="center" shrinkToFit="1"/>
      <protection hidden="1"/>
    </xf>
    <xf numFmtId="0" fontId="95" fillId="0" borderId="62" xfId="21" applyFont="1" applyBorder="1" applyAlignment="1" applyProtection="1">
      <alignment horizontal="center" shrinkToFit="1"/>
      <protection hidden="1"/>
    </xf>
    <xf numFmtId="203" fontId="95" fillId="0" borderId="25" xfId="21" applyNumberFormat="1" applyFont="1" applyBorder="1" applyAlignment="1" applyProtection="1">
      <alignment horizontal="center" shrinkToFit="1"/>
      <protection hidden="1"/>
    </xf>
    <xf numFmtId="174" fontId="95" fillId="0" borderId="62" xfId="21" applyNumberFormat="1" applyFont="1" applyBorder="1" applyAlignment="1" applyProtection="1">
      <alignment horizontal="center" shrinkToFit="1"/>
      <protection hidden="1"/>
    </xf>
    <xf numFmtId="174" fontId="95" fillId="0" borderId="25" xfId="21" applyNumberFormat="1" applyFont="1" applyBorder="1" applyAlignment="1" applyProtection="1">
      <alignment horizontal="center" shrinkToFit="1"/>
      <protection hidden="1"/>
    </xf>
    <xf numFmtId="178" fontId="95" fillId="0" borderId="25" xfId="21" applyNumberFormat="1" applyFont="1" applyBorder="1" applyAlignment="1" applyProtection="1">
      <alignment horizontal="center" shrinkToFit="1"/>
      <protection hidden="1"/>
    </xf>
    <xf numFmtId="172" fontId="95" fillId="0" borderId="25" xfId="21" applyNumberFormat="1" applyFont="1" applyBorder="1" applyAlignment="1" applyProtection="1">
      <alignment horizontal="center" shrinkToFit="1"/>
      <protection hidden="1"/>
    </xf>
    <xf numFmtId="0" fontId="244" fillId="21" borderId="32" xfId="45" applyNumberFormat="1" applyFont="1" applyFill="1" applyBorder="1" applyAlignment="1" applyProtection="1">
      <alignment horizontal="center" vertical="center"/>
      <protection hidden="1"/>
    </xf>
    <xf numFmtId="0" fontId="80" fillId="5" borderId="60" xfId="21" applyNumberFormat="1" applyFont="1" applyFill="1" applyBorder="1" applyAlignment="1" applyProtection="1">
      <alignment horizontal="center" wrapText="1" shrinkToFit="1"/>
      <protection hidden="1"/>
    </xf>
    <xf numFmtId="0" fontId="80" fillId="5" borderId="60" xfId="21" applyNumberFormat="1" applyFont="1" applyFill="1" applyBorder="1" applyAlignment="1" applyProtection="1">
      <alignment horizontal="center" vertical="center" wrapText="1" shrinkToFit="1"/>
      <protection hidden="1"/>
    </xf>
    <xf numFmtId="166" fontId="167" fillId="0" borderId="0" xfId="0" applyFont="1"/>
    <xf numFmtId="2" fontId="76" fillId="4" borderId="98" xfId="0" applyNumberFormat="1" applyFont="1" applyFill="1" applyBorder="1" applyAlignment="1" applyProtection="1">
      <alignment horizontal="center"/>
      <protection locked="0"/>
    </xf>
    <xf numFmtId="2" fontId="76" fillId="4" borderId="43" xfId="0" applyNumberFormat="1" applyFont="1" applyFill="1" applyBorder="1" applyAlignment="1" applyProtection="1">
      <alignment horizontal="center"/>
      <protection locked="0"/>
    </xf>
    <xf numFmtId="2" fontId="76" fillId="4" borderId="41" xfId="0" applyNumberFormat="1" applyFont="1" applyFill="1" applyBorder="1" applyAlignment="1" applyProtection="1">
      <alignment horizontal="center"/>
      <protection locked="0"/>
    </xf>
    <xf numFmtId="2" fontId="76" fillId="4" borderId="62" xfId="0" applyNumberFormat="1" applyFont="1" applyFill="1" applyBorder="1" applyAlignment="1" applyProtection="1">
      <alignment horizontal="center"/>
      <protection locked="0"/>
    </xf>
    <xf numFmtId="192" fontId="76" fillId="4" borderId="63" xfId="0" applyNumberFormat="1" applyFont="1" applyFill="1" applyBorder="1" applyAlignment="1" applyProtection="1">
      <alignment horizontal="center"/>
      <protection locked="0"/>
    </xf>
    <xf numFmtId="192" fontId="76" fillId="4" borderId="186" xfId="0" applyNumberFormat="1" applyFont="1" applyFill="1" applyBorder="1" applyAlignment="1" applyProtection="1">
      <alignment horizontal="center"/>
      <protection locked="0"/>
    </xf>
    <xf numFmtId="0" fontId="227" fillId="35" borderId="193" xfId="0" applyNumberFormat="1" applyFont="1" applyFill="1" applyBorder="1" applyAlignment="1" applyProtection="1">
      <alignment shrinkToFit="1"/>
      <protection hidden="1"/>
    </xf>
    <xf numFmtId="0" fontId="227" fillId="35" borderId="198" xfId="0" applyNumberFormat="1" applyFont="1" applyFill="1" applyBorder="1" applyAlignment="1" applyProtection="1">
      <alignment shrinkToFit="1"/>
      <protection hidden="1"/>
    </xf>
    <xf numFmtId="0" fontId="227" fillId="35" borderId="7" xfId="0" applyNumberFormat="1" applyFont="1" applyFill="1" applyBorder="1" applyAlignment="1" applyProtection="1">
      <alignment shrinkToFit="1"/>
      <protection hidden="1"/>
    </xf>
    <xf numFmtId="0" fontId="227" fillId="35" borderId="31" xfId="0" applyNumberFormat="1" applyFont="1" applyFill="1" applyBorder="1" applyAlignment="1" applyProtection="1">
      <alignment shrinkToFit="1"/>
      <protection hidden="1"/>
    </xf>
    <xf numFmtId="178" fontId="126" fillId="28" borderId="119" xfId="47" applyNumberFormat="1" applyFont="1" applyFill="1" applyBorder="1" applyAlignment="1" applyProtection="1">
      <alignment horizontal="center" vertical="center" shrinkToFit="1"/>
      <protection locked="0"/>
    </xf>
    <xf numFmtId="178" fontId="126" fillId="4" borderId="16" xfId="47" applyNumberFormat="1" applyFont="1" applyFill="1" applyBorder="1" applyAlignment="1" applyProtection="1">
      <alignment horizontal="center" vertical="center" shrinkToFit="1"/>
      <protection locked="0"/>
    </xf>
    <xf numFmtId="178" fontId="126" fillId="28" borderId="16" xfId="47" applyNumberFormat="1" applyFont="1" applyFill="1" applyBorder="1" applyAlignment="1" applyProtection="1">
      <alignment horizontal="center" vertical="center" shrinkToFit="1"/>
      <protection locked="0"/>
    </xf>
    <xf numFmtId="178" fontId="126" fillId="4" borderId="117" xfId="47" applyNumberFormat="1" applyFont="1" applyFill="1" applyBorder="1" applyAlignment="1" applyProtection="1">
      <alignment horizontal="center" vertical="center" shrinkToFit="1"/>
      <protection locked="0"/>
    </xf>
    <xf numFmtId="178" fontId="126" fillId="28" borderId="130" xfId="47" applyNumberFormat="1" applyFont="1" applyFill="1" applyBorder="1" applyAlignment="1" applyProtection="1">
      <alignment horizontal="center" vertical="center" shrinkToFit="1"/>
      <protection locked="0"/>
    </xf>
    <xf numFmtId="178" fontId="126" fillId="4" borderId="133" xfId="47" applyNumberFormat="1" applyFont="1" applyFill="1" applyBorder="1" applyAlignment="1" applyProtection="1">
      <alignment horizontal="center" vertical="center" shrinkToFit="1"/>
      <protection locked="0"/>
    </xf>
    <xf numFmtId="0" fontId="95" fillId="0" borderId="0" xfId="21" applyFont="1" applyAlignment="1" applyProtection="1">
      <alignment wrapText="1"/>
      <protection hidden="1"/>
    </xf>
    <xf numFmtId="0" fontId="213" fillId="0" borderId="0" xfId="21" applyFont="1" applyAlignment="1" applyProtection="1">
      <alignment wrapText="1"/>
      <protection hidden="1"/>
    </xf>
    <xf numFmtId="0" fontId="212" fillId="0" borderId="0" xfId="21" applyFont="1" applyAlignment="1" applyProtection="1">
      <alignment horizontal="left"/>
      <protection hidden="1"/>
    </xf>
    <xf numFmtId="0" fontId="95" fillId="0" borderId="0" xfId="21" applyFont="1" applyAlignment="1" applyProtection="1">
      <protection hidden="1"/>
    </xf>
    <xf numFmtId="0" fontId="210" fillId="0" borderId="0" xfId="21" applyFont="1" applyBorder="1" applyAlignment="1" applyProtection="1">
      <alignment horizontal="left" vertical="top"/>
      <protection hidden="1"/>
    </xf>
    <xf numFmtId="0" fontId="72" fillId="0" borderId="0" xfId="21" applyFont="1" applyAlignment="1" applyProtection="1">
      <alignment horizontal="left" vertical="top"/>
      <protection hidden="1"/>
    </xf>
    <xf numFmtId="0" fontId="95" fillId="0" borderId="0" xfId="21" applyFont="1" applyAlignment="1" applyProtection="1">
      <alignment horizontal="center"/>
      <protection hidden="1"/>
    </xf>
    <xf numFmtId="0" fontId="16" fillId="0" borderId="181" xfId="40" applyFont="1" applyBorder="1" applyProtection="1">
      <protection hidden="1"/>
    </xf>
    <xf numFmtId="0" fontId="62" fillId="38" borderId="181" xfId="40" applyFill="1" applyBorder="1" applyProtection="1">
      <protection locked="0" hidden="1"/>
    </xf>
    <xf numFmtId="0" fontId="62" fillId="0" borderId="68" xfId="40" applyFont="1" applyFill="1" applyBorder="1" applyAlignment="1" applyProtection="1">
      <alignment horizontal="left" vertical="center"/>
      <protection locked="0"/>
    </xf>
    <xf numFmtId="0" fontId="62" fillId="0" borderId="21" xfId="40" applyFont="1" applyFill="1" applyBorder="1" applyAlignment="1" applyProtection="1">
      <alignment horizontal="left" vertical="center"/>
      <protection locked="0"/>
    </xf>
    <xf numFmtId="0" fontId="62" fillId="0" borderId="69" xfId="40" applyFont="1" applyFill="1" applyBorder="1" applyAlignment="1" applyProtection="1">
      <alignment horizontal="left" vertical="center"/>
      <protection locked="0"/>
    </xf>
    <xf numFmtId="15" fontId="220" fillId="0" borderId="88" xfId="40" applyNumberFormat="1" applyFont="1" applyFill="1" applyBorder="1" applyAlignment="1" applyProtection="1">
      <alignment horizontal="center" vertical="center" shrinkToFit="1"/>
      <protection locked="0"/>
    </xf>
    <xf numFmtId="20" fontId="127" fillId="0" borderId="42" xfId="40" applyNumberFormat="1" applyFont="1" applyFill="1" applyBorder="1" applyAlignment="1" applyProtection="1">
      <alignment horizontal="center" vertical="center"/>
      <protection locked="0"/>
    </xf>
    <xf numFmtId="0" fontId="36" fillId="0" borderId="68" xfId="40" applyFont="1" applyFill="1" applyBorder="1" applyAlignment="1" applyProtection="1">
      <alignment horizontal="left" vertical="center"/>
      <protection locked="0"/>
    </xf>
    <xf numFmtId="0" fontId="62" fillId="0" borderId="89" xfId="40" applyFont="1" applyFill="1" applyBorder="1" applyAlignment="1" applyProtection="1">
      <alignment horizontal="left" vertical="center"/>
      <protection locked="0"/>
    </xf>
    <xf numFmtId="0" fontId="62" fillId="0" borderId="15" xfId="40" applyFont="1" applyFill="1" applyBorder="1" applyAlignment="1" applyProtection="1">
      <alignment horizontal="left" vertical="center"/>
      <protection locked="0"/>
    </xf>
    <xf numFmtId="0" fontId="62" fillId="0" borderId="90" xfId="40" applyFont="1" applyFill="1" applyBorder="1" applyAlignment="1" applyProtection="1">
      <alignment horizontal="left" vertical="center"/>
      <protection locked="0"/>
    </xf>
    <xf numFmtId="15" fontId="220" fillId="0" borderId="58" xfId="40" applyNumberFormat="1" applyFont="1" applyFill="1" applyBorder="1" applyAlignment="1" applyProtection="1">
      <alignment horizontal="center" vertical="center" shrinkToFit="1"/>
      <protection locked="0"/>
    </xf>
    <xf numFmtId="20" fontId="127" fillId="0" borderId="57" xfId="40" applyNumberFormat="1" applyFont="1" applyFill="1" applyBorder="1" applyAlignment="1" applyProtection="1">
      <alignment horizontal="center" vertical="center"/>
      <protection locked="0"/>
    </xf>
    <xf numFmtId="0" fontId="23" fillId="0" borderId="68" xfId="40" applyFont="1" applyFill="1" applyBorder="1" applyAlignment="1" applyProtection="1">
      <alignment horizontal="left" vertical="center"/>
      <protection locked="0"/>
    </xf>
    <xf numFmtId="0" fontId="23" fillId="0" borderId="39" xfId="40" applyFont="1" applyFill="1" applyBorder="1" applyAlignment="1" applyProtection="1">
      <alignment horizontal="left" vertical="center"/>
      <protection locked="0"/>
    </xf>
    <xf numFmtId="0" fontId="62" fillId="0" borderId="66" xfId="40" applyFont="1" applyFill="1" applyBorder="1" applyAlignment="1" applyProtection="1">
      <alignment horizontal="left" vertical="center"/>
      <protection locked="0"/>
    </xf>
    <xf numFmtId="0" fontId="62" fillId="0" borderId="62" xfId="40" applyFont="1" applyFill="1" applyBorder="1" applyAlignment="1" applyProtection="1">
      <alignment horizontal="left" vertical="center"/>
      <protection locked="0"/>
    </xf>
    <xf numFmtId="15" fontId="220" fillId="0" borderId="41" xfId="40" applyNumberFormat="1" applyFont="1" applyFill="1" applyBorder="1" applyAlignment="1" applyProtection="1">
      <alignment horizontal="center" vertical="center" shrinkToFit="1"/>
      <protection locked="0"/>
    </xf>
    <xf numFmtId="20" fontId="127" fillId="0" borderId="35" xfId="40" applyNumberFormat="1" applyFont="1" applyFill="1" applyBorder="1" applyAlignment="1" applyProtection="1">
      <alignment horizontal="center" vertical="center"/>
      <protection locked="0"/>
    </xf>
    <xf numFmtId="0" fontId="23" fillId="0" borderId="70" xfId="40" applyFont="1" applyFill="1" applyBorder="1" applyAlignment="1" applyProtection="1">
      <alignment horizontal="left" vertical="center"/>
      <protection locked="0"/>
    </xf>
    <xf numFmtId="0" fontId="62" fillId="0" borderId="13" xfId="40" applyFont="1" applyFill="1" applyBorder="1" applyAlignment="1" applyProtection="1">
      <alignment horizontal="left" vertical="center"/>
      <protection locked="0"/>
    </xf>
    <xf numFmtId="0" fontId="62" fillId="0" borderId="71" xfId="40" applyFont="1" applyFill="1" applyBorder="1" applyAlignment="1" applyProtection="1">
      <alignment horizontal="left" vertical="center"/>
      <protection locked="0"/>
    </xf>
    <xf numFmtId="15" fontId="220" fillId="0" borderId="72" xfId="40" applyNumberFormat="1" applyFont="1" applyFill="1" applyBorder="1" applyAlignment="1" applyProtection="1">
      <alignment horizontal="center" vertical="center" shrinkToFit="1"/>
      <protection locked="0"/>
    </xf>
    <xf numFmtId="20" fontId="127" fillId="0" borderId="73" xfId="40" applyNumberFormat="1" applyFont="1" applyFill="1" applyBorder="1" applyAlignment="1" applyProtection="1">
      <alignment horizontal="center" vertical="center"/>
      <protection locked="0"/>
    </xf>
    <xf numFmtId="0" fontId="62" fillId="0" borderId="70" xfId="40" applyFont="1" applyFill="1" applyBorder="1" applyAlignment="1" applyProtection="1">
      <alignment horizontal="left" vertical="center"/>
      <protection locked="0"/>
    </xf>
    <xf numFmtId="0" fontId="62" fillId="0" borderId="39" xfId="40" applyFont="1" applyFill="1" applyBorder="1" applyAlignment="1" applyProtection="1">
      <alignment horizontal="left" vertical="center"/>
      <protection locked="0"/>
    </xf>
    <xf numFmtId="0" fontId="64" fillId="0" borderId="65" xfId="40" applyFont="1" applyFill="1" applyBorder="1" applyAlignment="1" applyProtection="1">
      <alignment horizontal="center"/>
      <protection locked="0"/>
    </xf>
    <xf numFmtId="0" fontId="62" fillId="0" borderId="44" xfId="40" applyFill="1" applyBorder="1" applyAlignment="1" applyProtection="1">
      <alignment horizontal="center"/>
      <protection locked="0"/>
    </xf>
    <xf numFmtId="0" fontId="64" fillId="0" borderId="44" xfId="40" applyFont="1" applyFill="1" applyBorder="1" applyAlignment="1" applyProtection="1">
      <alignment horizontal="right"/>
      <protection locked="0"/>
    </xf>
    <xf numFmtId="0" fontId="62" fillId="0" borderId="43" xfId="40" applyFill="1" applyBorder="1" applyAlignment="1" applyProtection="1">
      <alignment horizontal="right"/>
      <protection locked="0"/>
    </xf>
    <xf numFmtId="0" fontId="62" fillId="0" borderId="43" xfId="40" applyFill="1" applyBorder="1" applyAlignment="1" applyProtection="1">
      <alignment horizontal="center"/>
      <protection locked="0"/>
    </xf>
    <xf numFmtId="2" fontId="64" fillId="0" borderId="65" xfId="40" applyNumberFormat="1" applyFont="1" applyFill="1" applyBorder="1" applyAlignment="1" applyProtection="1">
      <alignment horizontal="center"/>
      <protection locked="0"/>
    </xf>
    <xf numFmtId="0" fontId="64" fillId="0" borderId="32" xfId="40" applyFont="1" applyFill="1" applyBorder="1" applyAlignment="1" applyProtection="1">
      <alignment vertical="center"/>
      <protection locked="0"/>
    </xf>
    <xf numFmtId="0" fontId="64" fillId="0" borderId="9" xfId="40" applyFont="1" applyFill="1" applyBorder="1" applyAlignment="1" applyProtection="1">
      <alignment horizontal="center" vertical="center"/>
      <protection locked="0"/>
    </xf>
    <xf numFmtId="0" fontId="64" fillId="0" borderId="33" xfId="40" applyFont="1" applyFill="1" applyBorder="1" applyAlignment="1" applyProtection="1">
      <alignment horizontal="center" vertical="center"/>
      <protection locked="0"/>
    </xf>
    <xf numFmtId="0" fontId="64" fillId="0" borderId="91" xfId="40" applyFont="1" applyFill="1" applyBorder="1" applyAlignment="1" applyProtection="1">
      <alignment horizontal="center" vertical="center"/>
      <protection locked="0"/>
    </xf>
    <xf numFmtId="0" fontId="64" fillId="0" borderId="100" xfId="40" applyFont="1" applyFill="1" applyBorder="1" applyAlignment="1" applyProtection="1">
      <alignment horizontal="center" vertical="center"/>
      <protection locked="0"/>
    </xf>
    <xf numFmtId="0" fontId="64" fillId="0" borderId="185" xfId="40" applyFont="1" applyFill="1" applyBorder="1" applyAlignment="1" applyProtection="1">
      <alignment vertical="center"/>
      <protection locked="0"/>
    </xf>
    <xf numFmtId="0" fontId="64" fillId="0" borderId="29" xfId="40" applyFont="1" applyFill="1" applyBorder="1" applyAlignment="1" applyProtection="1">
      <alignment horizontal="center" vertical="center"/>
      <protection locked="0"/>
    </xf>
    <xf numFmtId="0" fontId="64" fillId="0" borderId="186" xfId="40" applyFont="1" applyFill="1" applyBorder="1" applyAlignment="1" applyProtection="1">
      <alignment horizontal="center" vertical="center"/>
      <protection locked="0"/>
    </xf>
    <xf numFmtId="0" fontId="64" fillId="0" borderId="63" xfId="40" applyFont="1" applyFill="1" applyBorder="1" applyAlignment="1" applyProtection="1">
      <alignment horizontal="center" vertical="center"/>
      <protection locked="0"/>
    </xf>
    <xf numFmtId="0" fontId="64" fillId="0" borderId="74" xfId="40" applyFont="1" applyFill="1" applyBorder="1" applyAlignment="1" applyProtection="1">
      <alignment horizontal="center" vertical="center"/>
      <protection locked="0"/>
    </xf>
    <xf numFmtId="0" fontId="245" fillId="0" borderId="0" xfId="40" applyFont="1" applyProtection="1">
      <protection hidden="1"/>
    </xf>
    <xf numFmtId="0" fontId="15" fillId="0" borderId="0" xfId="40" applyFont="1" applyProtection="1">
      <protection hidden="1"/>
    </xf>
    <xf numFmtId="0" fontId="246" fillId="36" borderId="24" xfId="0" applyNumberFormat="1" applyFont="1" applyFill="1" applyBorder="1" applyAlignment="1" applyProtection="1">
      <alignment horizontal="center"/>
    </xf>
    <xf numFmtId="0" fontId="246" fillId="36" borderId="2" xfId="0" applyNumberFormat="1" applyFont="1" applyFill="1" applyBorder="1" applyAlignment="1" applyProtection="1">
      <alignment horizontal="center"/>
    </xf>
    <xf numFmtId="0" fontId="203" fillId="0" borderId="1" xfId="0" applyNumberFormat="1" applyFont="1" applyFill="1" applyBorder="1" applyAlignment="1" applyProtection="1">
      <alignment horizontal="center"/>
      <protection hidden="1"/>
    </xf>
    <xf numFmtId="0" fontId="246" fillId="21" borderId="181" xfId="0" applyNumberFormat="1" applyFont="1" applyFill="1" applyBorder="1" applyAlignment="1" applyProtection="1">
      <alignment horizontal="center"/>
    </xf>
    <xf numFmtId="178" fontId="66" fillId="0" borderId="181" xfId="21" applyNumberFormat="1" applyFont="1" applyBorder="1" applyProtection="1">
      <protection hidden="1"/>
    </xf>
    <xf numFmtId="0" fontId="14" fillId="0" borderId="9" xfId="40" applyNumberFormat="1" applyFont="1" applyFill="1" applyBorder="1" applyProtection="1">
      <protection hidden="1"/>
    </xf>
    <xf numFmtId="172" fontId="127" fillId="28" borderId="130" xfId="47" applyNumberFormat="1" applyFont="1" applyFill="1" applyBorder="1" applyAlignment="1" applyProtection="1">
      <alignment horizontal="center" vertical="center" shrinkToFit="1"/>
      <protection locked="0"/>
    </xf>
    <xf numFmtId="172" fontId="127" fillId="4" borderId="16" xfId="47" applyNumberFormat="1" applyFont="1" applyFill="1" applyBorder="1" applyAlignment="1" applyProtection="1">
      <alignment horizontal="center" vertical="center" shrinkToFit="1"/>
      <protection locked="0"/>
    </xf>
    <xf numFmtId="172" fontId="127" fillId="28" borderId="16" xfId="47" applyNumberFormat="1" applyFont="1" applyFill="1" applyBorder="1" applyAlignment="1" applyProtection="1">
      <alignment horizontal="center" vertical="center" shrinkToFit="1"/>
      <protection locked="0"/>
    </xf>
    <xf numFmtId="172" fontId="127" fillId="4" borderId="133" xfId="47" applyNumberFormat="1" applyFont="1" applyFill="1" applyBorder="1" applyAlignment="1" applyProtection="1">
      <alignment horizontal="center" vertical="center" shrinkToFit="1"/>
      <protection locked="0"/>
    </xf>
    <xf numFmtId="172" fontId="218" fillId="19" borderId="130" xfId="47" applyNumberFormat="1" applyFont="1" applyFill="1" applyBorder="1" applyAlignment="1" applyProtection="1">
      <alignment horizontal="center" vertical="center" shrinkToFit="1"/>
      <protection hidden="1"/>
    </xf>
    <xf numFmtId="172" fontId="218" fillId="19" borderId="16" xfId="47" applyNumberFormat="1" applyFont="1" applyFill="1" applyBorder="1" applyAlignment="1" applyProtection="1">
      <alignment horizontal="center" vertical="center" shrinkToFit="1"/>
      <protection hidden="1"/>
    </xf>
    <xf numFmtId="172" fontId="218" fillId="19" borderId="133" xfId="47" applyNumberFormat="1" applyFont="1" applyFill="1" applyBorder="1" applyAlignment="1" applyProtection="1">
      <alignment horizontal="center" vertical="center" shrinkToFit="1"/>
      <protection hidden="1"/>
    </xf>
    <xf numFmtId="172" fontId="127" fillId="28" borderId="119" xfId="47" applyNumberFormat="1" applyFont="1" applyFill="1" applyBorder="1" applyAlignment="1" applyProtection="1">
      <alignment horizontal="center" vertical="center" shrinkToFit="1"/>
      <protection locked="0"/>
    </xf>
    <xf numFmtId="172" fontId="127" fillId="4" borderId="117" xfId="47" applyNumberFormat="1" applyFont="1" applyFill="1" applyBorder="1" applyAlignment="1" applyProtection="1">
      <alignment horizontal="center" vertical="center" shrinkToFit="1"/>
      <protection locked="0"/>
    </xf>
    <xf numFmtId="172" fontId="127" fillId="0" borderId="119" xfId="47" applyNumberFormat="1" applyFont="1" applyFill="1" applyBorder="1" applyAlignment="1" applyProtection="1">
      <alignment horizontal="center" vertical="center" shrinkToFit="1"/>
      <protection hidden="1"/>
    </xf>
    <xf numFmtId="172" fontId="127" fillId="0" borderId="16" xfId="47" applyNumberFormat="1" applyFont="1" applyFill="1" applyBorder="1" applyAlignment="1" applyProtection="1">
      <alignment horizontal="center" vertical="center" shrinkToFit="1"/>
      <protection hidden="1"/>
    </xf>
    <xf numFmtId="172" fontId="127" fillId="0" borderId="117" xfId="47" applyNumberFormat="1" applyFont="1" applyFill="1" applyBorder="1" applyAlignment="1" applyProtection="1">
      <alignment horizontal="center" vertical="center" shrinkToFit="1"/>
      <protection hidden="1"/>
    </xf>
    <xf numFmtId="178" fontId="207" fillId="0" borderId="145" xfId="21" applyNumberFormat="1" applyFont="1" applyFill="1" applyBorder="1" applyAlignment="1" applyProtection="1">
      <alignment vertical="center"/>
      <protection hidden="1"/>
    </xf>
    <xf numFmtId="172" fontId="95" fillId="0" borderId="181" xfId="21" applyNumberFormat="1" applyFont="1" applyBorder="1" applyAlignment="1" applyProtection="1">
      <alignment horizontal="center"/>
      <protection hidden="1"/>
    </xf>
    <xf numFmtId="178" fontId="87" fillId="4" borderId="72" xfId="46" applyNumberFormat="1" applyFont="1" applyFill="1" applyBorder="1" applyAlignment="1" applyProtection="1">
      <alignment horizontal="center" vertical="center"/>
      <protection locked="0"/>
    </xf>
    <xf numFmtId="178" fontId="147" fillId="4" borderId="73" xfId="46" applyNumberFormat="1" applyFont="1" applyFill="1" applyBorder="1" applyAlignment="1" applyProtection="1">
      <alignment horizontal="center" vertical="center"/>
      <protection locked="0"/>
    </xf>
    <xf numFmtId="178" fontId="87" fillId="4" borderId="88" xfId="46" applyNumberFormat="1" applyFont="1" applyFill="1" applyBorder="1" applyAlignment="1" applyProtection="1">
      <alignment horizontal="center" vertical="center"/>
      <protection locked="0"/>
    </xf>
    <xf numFmtId="178" fontId="147" fillId="4" borderId="42" xfId="46" applyNumberFormat="1" applyFont="1" applyFill="1" applyBorder="1" applyAlignment="1" applyProtection="1">
      <alignment horizontal="center" vertical="center"/>
      <protection locked="0"/>
    </xf>
    <xf numFmtId="178" fontId="87" fillId="4" borderId="41" xfId="46" applyNumberFormat="1" applyFont="1" applyFill="1" applyBorder="1" applyAlignment="1" applyProtection="1">
      <alignment horizontal="center" vertical="center"/>
      <protection locked="0"/>
    </xf>
    <xf numFmtId="178" fontId="147" fillId="4" borderId="35" xfId="46" applyNumberFormat="1" applyFont="1" applyFill="1" applyBorder="1" applyAlignment="1" applyProtection="1">
      <alignment horizontal="center" vertical="center"/>
      <protection locked="0"/>
    </xf>
    <xf numFmtId="0" fontId="76" fillId="4" borderId="0" xfId="40" applyFont="1" applyFill="1" applyAlignment="1" applyProtection="1">
      <alignment horizontal="left"/>
      <protection locked="0"/>
    </xf>
    <xf numFmtId="0" fontId="42" fillId="4" borderId="0" xfId="40" applyFont="1" applyFill="1" applyAlignment="1" applyProtection="1">
      <alignment horizontal="left"/>
      <protection locked="0"/>
    </xf>
    <xf numFmtId="0" fontId="247" fillId="5" borderId="75" xfId="21" applyNumberFormat="1" applyFont="1" applyFill="1" applyBorder="1" applyAlignment="1" applyProtection="1">
      <alignment horizontal="center" wrapText="1"/>
      <protection hidden="1"/>
    </xf>
    <xf numFmtId="0" fontId="80" fillId="5" borderId="67" xfId="21" applyNumberFormat="1" applyFont="1" applyFill="1" applyBorder="1" applyAlignment="1" applyProtection="1">
      <alignment horizontal="center" wrapText="1"/>
      <protection hidden="1"/>
    </xf>
    <xf numFmtId="0" fontId="248" fillId="5" borderId="92" xfId="45" applyNumberFormat="1" applyFont="1" applyFill="1" applyBorder="1" applyAlignment="1" applyProtection="1">
      <alignment horizontal="center" vertical="center" shrinkToFit="1"/>
      <protection hidden="1"/>
    </xf>
    <xf numFmtId="0" fontId="248" fillId="5" borderId="94" xfId="45" applyNumberFormat="1" applyFont="1" applyFill="1" applyBorder="1" applyAlignment="1" applyProtection="1">
      <alignment horizontal="center" vertical="center" shrinkToFit="1"/>
      <protection hidden="1"/>
    </xf>
    <xf numFmtId="0" fontId="248" fillId="5" borderId="92" xfId="45" applyNumberFormat="1" applyFont="1" applyFill="1" applyBorder="1" applyAlignment="1" applyProtection="1">
      <alignment horizontal="center" shrinkToFit="1"/>
      <protection hidden="1"/>
    </xf>
    <xf numFmtId="0" fontId="248" fillId="5" borderId="93" xfId="45" applyNumberFormat="1" applyFont="1" applyFill="1" applyBorder="1" applyAlignment="1" applyProtection="1">
      <alignment horizontal="center" vertical="center" shrinkToFit="1"/>
      <protection hidden="1"/>
    </xf>
    <xf numFmtId="0" fontId="248" fillId="5" borderId="96" xfId="45" applyNumberFormat="1" applyFont="1" applyFill="1" applyBorder="1" applyAlignment="1" applyProtection="1">
      <alignment horizontal="center" vertical="center" shrinkToFit="1"/>
      <protection hidden="1"/>
    </xf>
    <xf numFmtId="0" fontId="248" fillId="5" borderId="139" xfId="45" applyNumberFormat="1" applyFont="1" applyFill="1" applyBorder="1" applyAlignment="1" applyProtection="1">
      <alignment horizontal="center" vertical="center" shrinkToFit="1"/>
      <protection hidden="1"/>
    </xf>
    <xf numFmtId="0" fontId="248" fillId="5" borderId="138" xfId="45" applyNumberFormat="1" applyFont="1" applyFill="1" applyBorder="1" applyAlignment="1" applyProtection="1">
      <alignment horizontal="center" vertical="center" shrinkToFit="1"/>
      <protection hidden="1"/>
    </xf>
    <xf numFmtId="0" fontId="248" fillId="5" borderId="95" xfId="45" applyNumberFormat="1" applyFont="1" applyFill="1" applyBorder="1" applyAlignment="1" applyProtection="1">
      <alignment horizontal="center" vertical="center" shrinkToFit="1"/>
      <protection hidden="1"/>
    </xf>
    <xf numFmtId="0" fontId="248" fillId="5" borderId="92" xfId="45" quotePrefix="1" applyNumberFormat="1" applyFont="1" applyFill="1" applyBorder="1" applyAlignment="1" applyProtection="1">
      <alignment horizontal="center" vertical="center" shrinkToFit="1"/>
      <protection hidden="1"/>
    </xf>
    <xf numFmtId="0" fontId="248" fillId="5" borderId="140" xfId="45" applyNumberFormat="1" applyFont="1" applyFill="1" applyBorder="1" applyAlignment="1" applyProtection="1">
      <alignment horizontal="center" vertical="center" shrinkToFit="1"/>
      <protection hidden="1"/>
    </xf>
    <xf numFmtId="0" fontId="225" fillId="35" borderId="199" xfId="21" applyFont="1" applyFill="1" applyBorder="1" applyAlignment="1" applyProtection="1">
      <alignment horizontal="center" vertical="center" shrinkToFit="1"/>
      <protection hidden="1"/>
    </xf>
    <xf numFmtId="0" fontId="103" fillId="19" borderId="204" xfId="45" applyNumberFormat="1" applyFont="1" applyFill="1" applyBorder="1" applyAlignment="1" applyProtection="1">
      <alignment horizontal="center" vertical="center"/>
      <protection hidden="1"/>
    </xf>
    <xf numFmtId="0" fontId="103" fillId="19" borderId="209" xfId="45" applyNumberFormat="1" applyFont="1" applyFill="1" applyBorder="1" applyAlignment="1" applyProtection="1">
      <alignment horizontal="center" vertical="center"/>
      <protection hidden="1"/>
    </xf>
    <xf numFmtId="211" fontId="76" fillId="6" borderId="0" xfId="21" applyNumberFormat="1" applyFont="1" applyFill="1" applyBorder="1" applyAlignment="1" applyProtection="1">
      <alignment horizontal="left" vertical="center"/>
      <protection hidden="1"/>
    </xf>
    <xf numFmtId="211" fontId="83" fillId="0" borderId="40" xfId="0" applyNumberFormat="1" applyFont="1" applyFill="1" applyBorder="1" applyAlignment="1" applyProtection="1">
      <alignment horizontal="center" vertical="center" shrinkToFit="1"/>
      <protection hidden="1"/>
    </xf>
    <xf numFmtId="211" fontId="83" fillId="0" borderId="42" xfId="0" applyNumberFormat="1" applyFont="1" applyFill="1" applyBorder="1" applyAlignment="1" applyProtection="1">
      <alignment horizontal="center" vertical="center" shrinkToFit="1"/>
      <protection hidden="1"/>
    </xf>
    <xf numFmtId="211" fontId="83" fillId="0" borderId="35" xfId="0" applyNumberFormat="1" applyFont="1" applyFill="1" applyBorder="1" applyAlignment="1" applyProtection="1">
      <alignment horizontal="center" vertical="center" shrinkToFit="1"/>
      <protection hidden="1"/>
    </xf>
    <xf numFmtId="211" fontId="101" fillId="0" borderId="13" xfId="0" applyNumberFormat="1" applyFont="1" applyBorder="1" applyAlignment="1" applyProtection="1">
      <alignment horizontal="left" vertical="top"/>
      <protection hidden="1"/>
    </xf>
    <xf numFmtId="211" fontId="66" fillId="6" borderId="0" xfId="21" applyNumberFormat="1" applyFont="1" applyFill="1" applyBorder="1" applyAlignment="1" applyProtection="1">
      <alignment horizontal="left" vertical="center"/>
      <protection hidden="1"/>
    </xf>
    <xf numFmtId="211" fontId="127" fillId="4" borderId="40" xfId="40" applyNumberFormat="1" applyFont="1" applyFill="1" applyBorder="1" applyAlignment="1" applyProtection="1">
      <alignment horizontal="center" vertical="center"/>
      <protection locked="0"/>
    </xf>
    <xf numFmtId="211" fontId="127" fillId="4" borderId="42" xfId="40" applyNumberFormat="1" applyFont="1" applyFill="1" applyBorder="1" applyAlignment="1" applyProtection="1">
      <alignment horizontal="center" vertical="center"/>
      <protection locked="0"/>
    </xf>
    <xf numFmtId="211" fontId="127" fillId="4" borderId="57" xfId="40" applyNumberFormat="1" applyFont="1" applyFill="1" applyBorder="1" applyAlignment="1" applyProtection="1">
      <alignment horizontal="center" vertical="center"/>
      <protection locked="0"/>
    </xf>
    <xf numFmtId="211" fontId="127" fillId="4" borderId="35" xfId="40" applyNumberFormat="1" applyFont="1" applyFill="1" applyBorder="1" applyAlignment="1" applyProtection="1">
      <alignment horizontal="center" vertical="center"/>
      <protection locked="0"/>
    </xf>
    <xf numFmtId="211" fontId="127" fillId="4" borderId="73" xfId="40" applyNumberFormat="1" applyFont="1" applyFill="1" applyBorder="1" applyAlignment="1" applyProtection="1">
      <alignment horizontal="center" vertical="center"/>
      <protection locked="0"/>
    </xf>
    <xf numFmtId="211" fontId="62" fillId="0" borderId="43" xfId="40" applyNumberFormat="1" applyBorder="1" applyAlignment="1" applyProtection="1">
      <alignment horizontal="center"/>
      <protection hidden="1"/>
    </xf>
    <xf numFmtId="211" fontId="62" fillId="0" borderId="69" xfId="40" applyNumberFormat="1" applyBorder="1" applyAlignment="1" applyProtection="1">
      <alignment horizontal="center"/>
      <protection hidden="1"/>
    </xf>
    <xf numFmtId="211" fontId="62" fillId="0" borderId="62" xfId="40" applyNumberFormat="1" applyBorder="1" applyAlignment="1" applyProtection="1">
      <alignment horizontal="center"/>
      <protection hidden="1"/>
    </xf>
    <xf numFmtId="211" fontId="62" fillId="0" borderId="98" xfId="40" applyNumberFormat="1" applyBorder="1" applyAlignment="1" applyProtection="1">
      <alignment horizontal="center"/>
      <protection hidden="1"/>
    </xf>
    <xf numFmtId="211" fontId="62" fillId="0" borderId="88" xfId="40" applyNumberFormat="1" applyBorder="1" applyAlignment="1" applyProtection="1">
      <alignment horizontal="center"/>
      <protection hidden="1"/>
    </xf>
    <xf numFmtId="211" fontId="62" fillId="0" borderId="41" xfId="40" applyNumberFormat="1" applyBorder="1" applyAlignment="1" applyProtection="1">
      <alignment horizontal="center"/>
      <protection hidden="1"/>
    </xf>
    <xf numFmtId="211" fontId="83" fillId="4" borderId="40" xfId="0" applyNumberFormat="1" applyFont="1" applyFill="1" applyBorder="1" applyAlignment="1" applyProtection="1">
      <alignment horizontal="center" vertical="center"/>
      <protection locked="0"/>
    </xf>
    <xf numFmtId="211" fontId="83" fillId="4" borderId="42" xfId="0" applyNumberFormat="1" applyFont="1" applyFill="1" applyBorder="1" applyAlignment="1" applyProtection="1">
      <alignment horizontal="center" vertical="center"/>
      <protection locked="0"/>
    </xf>
    <xf numFmtId="166" fontId="254" fillId="0" borderId="0" xfId="0" applyFont="1" applyAlignment="1" applyProtection="1">
      <alignment horizontal="right"/>
      <protection hidden="1"/>
    </xf>
    <xf numFmtId="166" fontId="253" fillId="0" borderId="0" xfId="0" applyFont="1" applyAlignment="1" applyProtection="1">
      <alignment horizontal="right"/>
      <protection hidden="1"/>
    </xf>
    <xf numFmtId="166" fontId="256" fillId="0" borderId="0" xfId="0" applyFont="1" applyAlignment="1" applyProtection="1">
      <alignment horizontal="center"/>
      <protection hidden="1"/>
    </xf>
    <xf numFmtId="166" fontId="251" fillId="0" borderId="0" xfId="0" applyFont="1" applyAlignment="1" applyProtection="1">
      <alignment horizontal="center"/>
      <protection hidden="1"/>
    </xf>
    <xf numFmtId="166" fontId="253" fillId="0" borderId="0" xfId="0" applyFont="1" applyProtection="1">
      <protection hidden="1"/>
    </xf>
    <xf numFmtId="166" fontId="253" fillId="0" borderId="181" xfId="0" applyFont="1" applyBorder="1" applyProtection="1">
      <protection hidden="1"/>
    </xf>
    <xf numFmtId="166" fontId="250" fillId="0" borderId="0" xfId="0" applyFont="1" applyProtection="1">
      <protection hidden="1"/>
    </xf>
    <xf numFmtId="166" fontId="253" fillId="0" borderId="6" xfId="0" applyFont="1" applyBorder="1" applyProtection="1">
      <protection hidden="1"/>
    </xf>
    <xf numFmtId="166" fontId="258" fillId="0" borderId="0" xfId="0" applyFont="1" applyProtection="1">
      <protection hidden="1"/>
    </xf>
    <xf numFmtId="166" fontId="258" fillId="0" borderId="181" xfId="0" applyFont="1" applyBorder="1" applyProtection="1">
      <protection hidden="1"/>
    </xf>
    <xf numFmtId="166" fontId="255" fillId="5" borderId="0" xfId="0" applyFont="1" applyFill="1" applyAlignment="1" applyProtection="1">
      <alignment vertical="center"/>
      <protection hidden="1"/>
    </xf>
    <xf numFmtId="166" fontId="253" fillId="0" borderId="0" xfId="0" applyFont="1" applyAlignment="1" applyProtection="1">
      <alignment vertical="center"/>
      <protection hidden="1"/>
    </xf>
    <xf numFmtId="166" fontId="260" fillId="0" borderId="0" xfId="0" applyFont="1" applyAlignment="1" applyProtection="1">
      <alignment vertical="center"/>
      <protection hidden="1"/>
    </xf>
    <xf numFmtId="166" fontId="258" fillId="0" borderId="0" xfId="0" applyFont="1" applyAlignment="1" applyProtection="1">
      <alignment vertical="center"/>
      <protection hidden="1"/>
    </xf>
    <xf numFmtId="166" fontId="257" fillId="5" borderId="0" xfId="0" applyFont="1" applyFill="1" applyAlignment="1" applyProtection="1">
      <alignment vertical="center"/>
      <protection hidden="1"/>
    </xf>
    <xf numFmtId="166" fontId="255" fillId="0" borderId="0" xfId="0" applyFont="1" applyAlignment="1" applyProtection="1">
      <alignment vertical="center"/>
      <protection hidden="1"/>
    </xf>
    <xf numFmtId="166" fontId="252" fillId="0" borderId="0" xfId="59" applyFont="1" applyAlignment="1" applyProtection="1">
      <alignment horizontal="center" vertical="center" shrinkToFit="1"/>
      <protection hidden="1"/>
    </xf>
    <xf numFmtId="166" fontId="249" fillId="0" borderId="0" xfId="0" applyFont="1" applyAlignment="1" applyProtection="1">
      <alignment horizontal="center" vertical="center" shrinkToFit="1"/>
      <protection hidden="1"/>
    </xf>
    <xf numFmtId="166" fontId="255" fillId="5" borderId="22" xfId="0" applyFont="1" applyFill="1" applyBorder="1" applyAlignment="1" applyProtection="1">
      <alignment vertical="center"/>
      <protection hidden="1"/>
    </xf>
    <xf numFmtId="166" fontId="255" fillId="5" borderId="21" xfId="0" applyFont="1" applyFill="1" applyBorder="1" applyAlignment="1" applyProtection="1">
      <alignment vertical="center"/>
      <protection hidden="1"/>
    </xf>
    <xf numFmtId="166" fontId="255" fillId="5" borderId="38" xfId="0" applyFont="1" applyFill="1" applyBorder="1" applyAlignment="1" applyProtection="1">
      <alignment vertical="center"/>
      <protection hidden="1"/>
    </xf>
    <xf numFmtId="166" fontId="255" fillId="5" borderId="66" xfId="0" applyFont="1" applyFill="1" applyBorder="1" applyAlignment="1" applyProtection="1">
      <alignment vertical="center"/>
      <protection hidden="1"/>
    </xf>
    <xf numFmtId="166" fontId="255" fillId="5" borderId="61" xfId="0" applyFont="1" applyFill="1" applyBorder="1" applyAlignment="1" applyProtection="1">
      <alignment vertical="center"/>
      <protection hidden="1"/>
    </xf>
    <xf numFmtId="166" fontId="255" fillId="5" borderId="13" xfId="0" applyFont="1" applyFill="1" applyBorder="1" applyAlignment="1" applyProtection="1">
      <alignment vertical="center"/>
      <protection hidden="1"/>
    </xf>
    <xf numFmtId="166" fontId="253" fillId="0" borderId="185" xfId="0" applyFont="1" applyBorder="1" applyProtection="1">
      <protection hidden="1"/>
    </xf>
    <xf numFmtId="166" fontId="258" fillId="0" borderId="0" xfId="0" applyFont="1" applyAlignment="1" applyProtection="1">
      <alignment vertical="center"/>
      <protection locked="0"/>
    </xf>
    <xf numFmtId="166" fontId="258" fillId="0" borderId="0" xfId="0" quotePrefix="1" applyFont="1" applyAlignment="1" applyProtection="1">
      <alignment vertical="center" shrinkToFit="1"/>
      <protection locked="0"/>
    </xf>
    <xf numFmtId="166" fontId="253" fillId="4" borderId="0" xfId="0" applyFont="1" applyFill="1" applyAlignment="1" applyProtection="1">
      <alignment vertical="center" shrinkToFit="1"/>
      <protection locked="0"/>
    </xf>
    <xf numFmtId="166" fontId="253" fillId="4" borderId="0" xfId="0" applyFont="1" applyFill="1" applyAlignment="1" applyProtection="1">
      <alignment horizontal="left" vertical="center" shrinkToFit="1"/>
      <protection locked="0"/>
    </xf>
    <xf numFmtId="166" fontId="253" fillId="4" borderId="10" xfId="0" applyFont="1" applyFill="1" applyBorder="1" applyAlignment="1" applyProtection="1">
      <alignment horizontal="center" vertical="center" shrinkToFit="1"/>
      <protection locked="0"/>
    </xf>
    <xf numFmtId="166" fontId="253" fillId="4" borderId="36" xfId="0" applyFont="1" applyFill="1" applyBorder="1" applyAlignment="1" applyProtection="1">
      <alignment horizontal="center" vertical="center" shrinkToFit="1"/>
      <protection locked="0"/>
    </xf>
    <xf numFmtId="2" fontId="253" fillId="4" borderId="12" xfId="0" applyNumberFormat="1" applyFont="1" applyFill="1" applyBorder="1" applyAlignment="1" applyProtection="1">
      <alignment horizontal="center" vertical="center" shrinkToFit="1"/>
      <protection locked="0"/>
    </xf>
    <xf numFmtId="2" fontId="253" fillId="4" borderId="10" xfId="0" applyNumberFormat="1" applyFont="1" applyFill="1" applyBorder="1" applyAlignment="1" applyProtection="1">
      <alignment horizontal="center" vertical="center" shrinkToFit="1"/>
      <protection locked="0"/>
    </xf>
    <xf numFmtId="192" fontId="253" fillId="4" borderId="36" xfId="0" applyNumberFormat="1" applyFont="1" applyFill="1" applyBorder="1" applyAlignment="1" applyProtection="1">
      <alignment horizontal="center" vertical="center" shrinkToFit="1"/>
      <protection locked="0"/>
    </xf>
    <xf numFmtId="178" fontId="254" fillId="4" borderId="12" xfId="0" applyNumberFormat="1" applyFont="1" applyFill="1" applyBorder="1" applyAlignment="1" applyProtection="1">
      <alignment horizontal="center" vertical="center" shrinkToFit="1"/>
      <protection locked="0"/>
    </xf>
    <xf numFmtId="178" fontId="253" fillId="4" borderId="36" xfId="0" applyNumberFormat="1" applyFont="1" applyFill="1" applyBorder="1" applyAlignment="1" applyProtection="1">
      <alignment horizontal="center" vertical="center" shrinkToFit="1"/>
      <protection locked="0"/>
    </xf>
    <xf numFmtId="172" fontId="253" fillId="4" borderId="12" xfId="0" applyNumberFormat="1" applyFont="1" applyFill="1" applyBorder="1" applyAlignment="1" applyProtection="1">
      <alignment horizontal="center" vertical="center" shrinkToFit="1"/>
      <protection locked="0"/>
    </xf>
    <xf numFmtId="166" fontId="260" fillId="0" borderId="0" xfId="0" quotePrefix="1" applyFont="1" applyAlignment="1" applyProtection="1">
      <alignment horizontal="center" vertical="center" shrinkToFit="1"/>
      <protection locked="0"/>
    </xf>
    <xf numFmtId="166" fontId="258" fillId="0" borderId="0" xfId="0" applyFont="1" applyAlignment="1" applyProtection="1">
      <alignment vertical="center" shrinkToFit="1"/>
      <protection locked="0"/>
    </xf>
    <xf numFmtId="166" fontId="259" fillId="5" borderId="13" xfId="0" applyFont="1" applyFill="1" applyBorder="1" applyAlignment="1" applyProtection="1">
      <alignment vertical="center"/>
      <protection locked="0"/>
    </xf>
    <xf numFmtId="166" fontId="261" fillId="5" borderId="20" xfId="0" applyFont="1" applyFill="1" applyBorder="1" applyAlignment="1" applyProtection="1">
      <alignment horizontal="right" vertical="center"/>
      <protection hidden="1"/>
    </xf>
    <xf numFmtId="166" fontId="261" fillId="5" borderId="37" xfId="0" applyFont="1" applyFill="1" applyBorder="1" applyAlignment="1" applyProtection="1">
      <alignment horizontal="right" vertical="center"/>
      <protection hidden="1"/>
    </xf>
    <xf numFmtId="166" fontId="261" fillId="5" borderId="59" xfId="0" applyFont="1" applyFill="1" applyBorder="1" applyAlignment="1" applyProtection="1">
      <alignment horizontal="right" vertical="center"/>
      <protection hidden="1"/>
    </xf>
    <xf numFmtId="166" fontId="261" fillId="5" borderId="0" xfId="0" applyFont="1" applyFill="1" applyAlignment="1" applyProtection="1">
      <alignment vertical="center"/>
      <protection hidden="1"/>
    </xf>
    <xf numFmtId="2" fontId="127" fillId="0" borderId="223" xfId="40" applyNumberFormat="1" applyFont="1" applyFill="1" applyBorder="1" applyAlignment="1" applyProtection="1">
      <alignment horizontal="center" vertical="center" shrinkToFit="1"/>
      <protection hidden="1"/>
    </xf>
    <xf numFmtId="178" fontId="64" fillId="31" borderId="165" xfId="40" applyNumberFormat="1" applyFont="1" applyFill="1" applyBorder="1" applyAlignment="1" applyProtection="1">
      <alignment horizontal="right" vertical="center"/>
      <protection hidden="1"/>
    </xf>
    <xf numFmtId="0" fontId="62" fillId="0" borderId="0" xfId="40" applyNumberFormat="1" applyFill="1" applyBorder="1" applyAlignment="1" applyProtection="1">
      <protection hidden="1"/>
    </xf>
    <xf numFmtId="0" fontId="62" fillId="0" borderId="223" xfId="40" applyNumberFormat="1" applyFill="1" applyBorder="1" applyProtection="1">
      <protection hidden="1"/>
    </xf>
    <xf numFmtId="0" fontId="62" fillId="0" borderId="0" xfId="40" applyNumberFormat="1" applyFill="1" applyBorder="1" applyAlignment="1" applyProtection="1">
      <alignment wrapText="1"/>
      <protection hidden="1"/>
    </xf>
    <xf numFmtId="178" fontId="64" fillId="5" borderId="165" xfId="40" applyNumberFormat="1" applyFont="1" applyFill="1" applyBorder="1" applyAlignment="1" applyProtection="1">
      <alignment horizontal="right" vertical="center"/>
      <protection hidden="1"/>
    </xf>
    <xf numFmtId="0" fontId="130" fillId="31" borderId="165" xfId="45" applyNumberFormat="1" applyFont="1" applyFill="1" applyBorder="1" applyAlignment="1" applyProtection="1">
      <alignment vertical="center"/>
      <protection hidden="1"/>
    </xf>
    <xf numFmtId="176" fontId="203" fillId="4" borderId="1" xfId="0" applyNumberFormat="1" applyFont="1" applyFill="1" applyBorder="1" applyAlignment="1" applyProtection="1">
      <alignment horizontal="center"/>
    </xf>
    <xf numFmtId="166" fontId="66" fillId="0" borderId="2" xfId="0" applyFont="1" applyBorder="1" applyProtection="1">
      <protection hidden="1"/>
    </xf>
    <xf numFmtId="166" fontId="66" fillId="0" borderId="226" xfId="0" applyFont="1" applyBorder="1" applyProtection="1">
      <protection hidden="1"/>
    </xf>
    <xf numFmtId="166" fontId="258" fillId="0" borderId="0" xfId="0" applyFont="1" applyAlignment="1" applyProtection="1">
      <alignment horizontal="left" vertical="center"/>
      <protection locked="0"/>
    </xf>
    <xf numFmtId="0" fontId="66" fillId="0" borderId="226" xfId="0" applyNumberFormat="1" applyFont="1" applyBorder="1" applyProtection="1">
      <protection hidden="1"/>
    </xf>
    <xf numFmtId="0" fontId="12" fillId="0" borderId="0" xfId="40" applyFont="1" applyProtection="1">
      <protection hidden="1"/>
    </xf>
    <xf numFmtId="166" fontId="66" fillId="0" borderId="227" xfId="0" applyFont="1" applyBorder="1" applyProtection="1">
      <protection hidden="1"/>
    </xf>
    <xf numFmtId="166" fontId="66" fillId="34" borderId="226" xfId="0" applyFont="1" applyFill="1" applyBorder="1" applyProtection="1">
      <protection hidden="1"/>
    </xf>
    <xf numFmtId="166" fontId="66" fillId="39" borderId="226" xfId="0" applyFont="1" applyFill="1" applyBorder="1" applyProtection="1">
      <protection hidden="1"/>
    </xf>
    <xf numFmtId="166" fontId="66" fillId="36" borderId="226" xfId="0" applyFont="1" applyFill="1" applyBorder="1" applyProtection="1">
      <protection hidden="1"/>
    </xf>
    <xf numFmtId="166" fontId="66" fillId="40" borderId="226" xfId="0" applyFont="1" applyFill="1" applyBorder="1" applyProtection="1">
      <protection hidden="1"/>
    </xf>
    <xf numFmtId="166" fontId="66" fillId="11" borderId="226" xfId="0" applyFont="1" applyFill="1" applyBorder="1" applyProtection="1">
      <protection hidden="1"/>
    </xf>
    <xf numFmtId="166" fontId="66" fillId="23" borderId="226" xfId="0" applyFont="1" applyFill="1" applyBorder="1" applyProtection="1">
      <protection hidden="1"/>
    </xf>
    <xf numFmtId="166" fontId="66" fillId="41" borderId="226" xfId="0" applyFont="1" applyFill="1" applyBorder="1" applyProtection="1">
      <protection hidden="1"/>
    </xf>
    <xf numFmtId="166" fontId="66" fillId="42" borderId="226" xfId="0" applyFont="1" applyFill="1" applyBorder="1" applyProtection="1">
      <protection hidden="1"/>
    </xf>
    <xf numFmtId="166" fontId="194" fillId="0" borderId="226" xfId="0" applyFont="1" applyBorder="1" applyProtection="1">
      <protection hidden="1"/>
    </xf>
    <xf numFmtId="166" fontId="194" fillId="44" borderId="226" xfId="0" applyFont="1" applyFill="1" applyBorder="1" applyProtection="1">
      <protection hidden="1"/>
    </xf>
    <xf numFmtId="166" fontId="194" fillId="43" borderId="226" xfId="0" applyFont="1" applyFill="1" applyBorder="1" applyProtection="1">
      <protection hidden="1"/>
    </xf>
    <xf numFmtId="166" fontId="194" fillId="45" borderId="226" xfId="0" applyFont="1" applyFill="1" applyBorder="1" applyProtection="1">
      <protection hidden="1"/>
    </xf>
    <xf numFmtId="166" fontId="66" fillId="46" borderId="226" xfId="0" applyFont="1" applyFill="1" applyBorder="1" applyProtection="1">
      <protection hidden="1"/>
    </xf>
    <xf numFmtId="166" fontId="66" fillId="48" borderId="226" xfId="0" applyFont="1" applyFill="1" applyBorder="1" applyProtection="1">
      <protection hidden="1"/>
    </xf>
    <xf numFmtId="166" fontId="66" fillId="47" borderId="226" xfId="0" applyFont="1" applyFill="1" applyBorder="1" applyProtection="1">
      <protection hidden="1"/>
    </xf>
    <xf numFmtId="166" fontId="204" fillId="0" borderId="226" xfId="0" applyFont="1" applyBorder="1" applyProtection="1">
      <protection hidden="1"/>
    </xf>
    <xf numFmtId="0" fontId="211" fillId="4" borderId="27" xfId="21" applyFont="1" applyFill="1" applyBorder="1" applyAlignment="1" applyProtection="1">
      <alignment horizontal="center" shrinkToFit="1"/>
      <protection locked="0"/>
    </xf>
    <xf numFmtId="0" fontId="211" fillId="4" borderId="26" xfId="21" applyFont="1" applyFill="1" applyBorder="1" applyAlignment="1" applyProtection="1">
      <alignment horizontal="center" shrinkToFit="1"/>
      <protection locked="0"/>
    </xf>
    <xf numFmtId="0" fontId="211" fillId="4" borderId="25" xfId="21" applyFont="1" applyFill="1" applyBorder="1" applyAlignment="1" applyProtection="1">
      <alignment horizontal="center" shrinkToFit="1"/>
      <protection locked="0"/>
    </xf>
    <xf numFmtId="166" fontId="262" fillId="34" borderId="0" xfId="0" applyFont="1" applyFill="1" applyAlignment="1" applyProtection="1">
      <alignment vertical="center"/>
      <protection hidden="1"/>
    </xf>
    <xf numFmtId="166" fontId="263" fillId="34" borderId="0" xfId="0" applyFont="1" applyFill="1" applyAlignment="1" applyProtection="1">
      <alignment horizontal="right" vertical="center"/>
      <protection hidden="1"/>
    </xf>
    <xf numFmtId="0" fontId="193" fillId="3" borderId="0" xfId="20" applyFont="1" applyFill="1" applyAlignment="1" applyProtection="1">
      <alignment vertical="center"/>
      <protection hidden="1"/>
    </xf>
    <xf numFmtId="0" fontId="193" fillId="3" borderId="0" xfId="20" applyFont="1" applyFill="1" applyBorder="1" applyAlignment="1" applyProtection="1">
      <alignment vertical="center"/>
      <protection hidden="1"/>
    </xf>
    <xf numFmtId="166" fontId="66" fillId="3" borderId="0" xfId="0" applyFont="1" applyFill="1" applyBorder="1" applyAlignment="1" applyProtection="1">
      <alignment vertical="center"/>
      <protection hidden="1"/>
    </xf>
    <xf numFmtId="0" fontId="215" fillId="3" borderId="6" xfId="20" applyFont="1" applyFill="1" applyBorder="1" applyAlignment="1" applyProtection="1">
      <alignment vertical="center"/>
      <protection hidden="1"/>
    </xf>
    <xf numFmtId="166" fontId="196" fillId="3" borderId="6" xfId="0" applyFont="1" applyFill="1" applyBorder="1" applyAlignment="1" applyProtection="1">
      <alignment vertical="center"/>
      <protection hidden="1"/>
    </xf>
    <xf numFmtId="166" fontId="196" fillId="3" borderId="6" xfId="0" applyFont="1" applyFill="1" applyBorder="1" applyAlignment="1" applyProtection="1">
      <alignment horizontal="right" vertical="center"/>
      <protection hidden="1"/>
    </xf>
    <xf numFmtId="0" fontId="86" fillId="0" borderId="0" xfId="21" applyFont="1" applyAlignment="1" applyProtection="1">
      <alignment horizontal="left"/>
      <protection hidden="1"/>
    </xf>
    <xf numFmtId="0" fontId="266" fillId="0" borderId="0" xfId="21" applyFont="1" applyAlignment="1" applyProtection="1">
      <alignment horizontal="left"/>
      <protection hidden="1"/>
    </xf>
    <xf numFmtId="0" fontId="86" fillId="0" borderId="0" xfId="21" applyFont="1" applyAlignment="1" applyProtection="1">
      <protection hidden="1"/>
    </xf>
    <xf numFmtId="0" fontId="202" fillId="0" borderId="0" xfId="21" applyFont="1" applyBorder="1" applyAlignment="1" applyProtection="1">
      <alignment horizontal="left" vertical="top"/>
      <protection hidden="1"/>
    </xf>
    <xf numFmtId="0" fontId="66" fillId="0" borderId="0" xfId="21" applyFont="1" applyAlignment="1" applyProtection="1">
      <alignment horizontal="left" vertical="top"/>
      <protection hidden="1"/>
    </xf>
    <xf numFmtId="0" fontId="234" fillId="31" borderId="0" xfId="21" applyFont="1" applyFill="1" applyBorder="1" applyAlignment="1" applyProtection="1">
      <alignment vertical="center"/>
      <protection hidden="1"/>
    </xf>
    <xf numFmtId="0" fontId="234" fillId="31" borderId="0" xfId="21" applyFont="1" applyFill="1" applyBorder="1" applyAlignment="1" applyProtection="1">
      <alignment horizontal="center" vertical="center"/>
      <protection hidden="1"/>
    </xf>
    <xf numFmtId="0" fontId="267" fillId="0" borderId="0" xfId="21" applyFont="1" applyFill="1" applyBorder="1" applyAlignment="1" applyProtection="1">
      <alignment horizontal="center" vertical="center"/>
      <protection hidden="1"/>
    </xf>
    <xf numFmtId="197" fontId="79" fillId="0" borderId="0" xfId="21" applyNumberFormat="1" applyFont="1" applyBorder="1" applyAlignment="1" applyProtection="1">
      <alignment horizontal="left" indent="1"/>
      <protection hidden="1"/>
    </xf>
    <xf numFmtId="197" fontId="79" fillId="0" borderId="0" xfId="21" applyNumberFormat="1" applyFont="1" applyBorder="1" applyAlignment="1" applyProtection="1">
      <alignment horizontal="left"/>
      <protection hidden="1"/>
    </xf>
    <xf numFmtId="0" fontId="79" fillId="4" borderId="0" xfId="21" applyFont="1" applyFill="1" applyBorder="1" applyAlignment="1" applyProtection="1">
      <alignment horizontal="center" vertical="center"/>
      <protection locked="0"/>
    </xf>
    <xf numFmtId="0" fontId="79" fillId="0" borderId="0" xfId="21" applyNumberFormat="1" applyFont="1" applyBorder="1" applyAlignment="1" applyProtection="1">
      <alignment horizontal="right"/>
      <protection hidden="1"/>
    </xf>
    <xf numFmtId="0" fontId="268" fillId="21" borderId="150" xfId="21" applyNumberFormat="1" applyFont="1" applyFill="1" applyBorder="1" applyAlignment="1" applyProtection="1">
      <alignment horizontal="center" vertical="center"/>
      <protection hidden="1"/>
    </xf>
    <xf numFmtId="1" fontId="268" fillId="21" borderId="160" xfId="21" applyNumberFormat="1" applyFont="1" applyFill="1" applyBorder="1" applyAlignment="1" applyProtection="1">
      <alignment horizontal="center" vertical="center"/>
      <protection hidden="1"/>
    </xf>
    <xf numFmtId="178" fontId="268" fillId="0" borderId="151" xfId="21" applyNumberFormat="1" applyFont="1" applyFill="1" applyBorder="1" applyAlignment="1" applyProtection="1">
      <alignment vertical="center"/>
      <protection hidden="1"/>
    </xf>
    <xf numFmtId="2" fontId="268" fillId="4" borderId="154" xfId="21" applyNumberFormat="1" applyFont="1" applyFill="1" applyBorder="1" applyAlignment="1" applyProtection="1">
      <alignment horizontal="center" vertical="center"/>
      <protection locked="0"/>
    </xf>
    <xf numFmtId="178" fontId="268" fillId="0" borderId="164" xfId="21" applyNumberFormat="1" applyFont="1" applyFill="1" applyBorder="1" applyAlignment="1" applyProtection="1">
      <alignment vertical="center"/>
      <protection hidden="1"/>
    </xf>
    <xf numFmtId="0" fontId="270" fillId="0" borderId="165" xfId="21" applyFont="1" applyBorder="1" applyAlignment="1" applyProtection="1">
      <alignment horizontal="left"/>
      <protection hidden="1"/>
    </xf>
    <xf numFmtId="197" fontId="79" fillId="0" borderId="170" xfId="21" applyNumberFormat="1" applyFont="1" applyBorder="1" applyAlignment="1" applyProtection="1">
      <alignment horizontal="left" vertical="center"/>
      <protection hidden="1"/>
    </xf>
    <xf numFmtId="197" fontId="79" fillId="0" borderId="66" xfId="21" applyNumberFormat="1" applyFont="1" applyBorder="1" applyAlignment="1" applyProtection="1">
      <alignment horizontal="center" vertical="center"/>
      <protection hidden="1"/>
    </xf>
    <xf numFmtId="0" fontId="79" fillId="4" borderId="0" xfId="21" applyFont="1" applyFill="1" applyBorder="1" applyAlignment="1" applyProtection="1">
      <alignment horizontal="left" vertical="center" indent="1"/>
      <protection locked="0"/>
    </xf>
    <xf numFmtId="0" fontId="79" fillId="4" borderId="0" xfId="21" applyFont="1" applyFill="1" applyBorder="1" applyAlignment="1" applyProtection="1">
      <alignment horizontal="left" wrapText="1" indent="1"/>
      <protection locked="0"/>
    </xf>
    <xf numFmtId="0" fontId="79" fillId="0" borderId="9" xfId="21" applyFont="1" applyBorder="1" applyAlignment="1" applyProtection="1">
      <alignment horizontal="left" indent="1"/>
      <protection hidden="1"/>
    </xf>
    <xf numFmtId="0" fontId="271" fillId="0" borderId="9" xfId="21" applyFont="1" applyFill="1" applyBorder="1" applyAlignment="1" applyProtection="1">
      <alignment horizontal="left" wrapText="1" indent="1"/>
      <protection hidden="1"/>
    </xf>
    <xf numFmtId="0" fontId="79" fillId="21" borderId="30" xfId="21" applyFont="1" applyFill="1" applyBorder="1" applyAlignment="1" applyProtection="1">
      <alignment horizontal="center" vertical="center"/>
      <protection hidden="1"/>
    </xf>
    <xf numFmtId="0" fontId="79" fillId="21" borderId="65" xfId="21" applyFont="1" applyFill="1" applyBorder="1" applyAlignment="1" applyProtection="1">
      <alignment horizontal="left" vertical="center" shrinkToFit="1"/>
      <protection hidden="1"/>
    </xf>
    <xf numFmtId="0" fontId="79" fillId="21" borderId="68" xfId="21" applyFont="1" applyFill="1" applyBorder="1" applyAlignment="1" applyProtection="1">
      <alignment horizontal="left" vertical="center" shrinkToFit="1"/>
      <protection hidden="1"/>
    </xf>
    <xf numFmtId="0" fontId="79" fillId="19" borderId="39" xfId="21" applyFont="1" applyFill="1" applyBorder="1" applyAlignment="1" applyProtection="1">
      <alignment horizontal="left" vertical="center" shrinkToFit="1"/>
      <protection locked="0"/>
    </xf>
    <xf numFmtId="197" fontId="270" fillId="0" borderId="8" xfId="21" applyNumberFormat="1" applyFont="1" applyBorder="1" applyAlignment="1" applyProtection="1">
      <alignment vertical="top"/>
      <protection hidden="1"/>
    </xf>
    <xf numFmtId="0" fontId="272" fillId="0" borderId="8" xfId="21" applyFont="1" applyBorder="1" applyAlignment="1" applyProtection="1">
      <alignment vertical="top" wrapText="1"/>
      <protection hidden="1"/>
    </xf>
    <xf numFmtId="0" fontId="171" fillId="0" borderId="9" xfId="59" applyNumberFormat="1" applyFont="1" applyBorder="1" applyAlignment="1" applyProtection="1">
      <alignment vertical="top"/>
      <protection hidden="1"/>
    </xf>
    <xf numFmtId="197" fontId="79" fillId="0" borderId="9" xfId="21" applyNumberFormat="1" applyFont="1" applyBorder="1" applyAlignment="1" applyProtection="1">
      <alignment vertical="top"/>
      <protection hidden="1"/>
    </xf>
    <xf numFmtId="0" fontId="271" fillId="0" borderId="9" xfId="21" applyFont="1" applyBorder="1" applyAlignment="1" applyProtection="1">
      <alignment vertical="top" wrapText="1"/>
      <protection hidden="1"/>
    </xf>
    <xf numFmtId="197" fontId="79" fillId="0" borderId="8" xfId="21" applyNumberFormat="1" applyFont="1" applyBorder="1" applyAlignment="1" applyProtection="1">
      <alignment vertical="top"/>
      <protection hidden="1"/>
    </xf>
    <xf numFmtId="0" fontId="271" fillId="0" borderId="8" xfId="21" applyFont="1" applyBorder="1" applyAlignment="1" applyProtection="1">
      <alignment vertical="top" wrapText="1"/>
      <protection hidden="1"/>
    </xf>
    <xf numFmtId="0" fontId="273" fillId="0" borderId="0" xfId="21" applyFont="1" applyBorder="1" applyAlignment="1" applyProtection="1">
      <alignment horizontal="right"/>
      <protection hidden="1"/>
    </xf>
    <xf numFmtId="0" fontId="97" fillId="0" borderId="0" xfId="21" applyFont="1" applyBorder="1" applyAlignment="1" applyProtection="1">
      <alignment horizontal="right" vertical="top"/>
      <protection hidden="1"/>
    </xf>
    <xf numFmtId="20" fontId="273" fillId="0" borderId="0" xfId="21" applyNumberFormat="1" applyFont="1" applyBorder="1" applyAlignment="1" applyProtection="1">
      <protection hidden="1"/>
    </xf>
    <xf numFmtId="0" fontId="97" fillId="0" borderId="32" xfId="21" applyFont="1" applyBorder="1" applyAlignment="1" applyProtection="1">
      <alignment horizontal="center"/>
      <protection hidden="1"/>
    </xf>
    <xf numFmtId="0" fontId="97" fillId="0" borderId="9" xfId="21" applyFont="1" applyBorder="1" applyAlignment="1" applyProtection="1">
      <alignment horizontal="center"/>
      <protection hidden="1"/>
    </xf>
    <xf numFmtId="0" fontId="97" fillId="0" borderId="9" xfId="21" applyFont="1" applyBorder="1" applyAlignment="1" applyProtection="1">
      <protection hidden="1"/>
    </xf>
    <xf numFmtId="0" fontId="97" fillId="0" borderId="33" xfId="21" applyFont="1" applyBorder="1" applyAlignment="1" applyProtection="1">
      <alignment horizontal="center"/>
      <protection hidden="1"/>
    </xf>
    <xf numFmtId="0" fontId="97" fillId="0" borderId="7" xfId="21" applyFont="1" applyBorder="1" applyAlignment="1" applyProtection="1">
      <alignment horizontal="left"/>
      <protection hidden="1"/>
    </xf>
    <xf numFmtId="0" fontId="97" fillId="0" borderId="0" xfId="21" applyFont="1" applyBorder="1" applyAlignment="1" applyProtection="1">
      <alignment horizontal="left"/>
      <protection hidden="1"/>
    </xf>
    <xf numFmtId="179" fontId="79" fillId="4" borderId="170" xfId="21" applyNumberFormat="1" applyFont="1" applyFill="1" applyBorder="1" applyAlignment="1" applyProtection="1">
      <alignment horizontal="center" vertical="center"/>
      <protection locked="0"/>
    </xf>
    <xf numFmtId="179" fontId="79" fillId="0" borderId="171" xfId="21" applyNumberFormat="1" applyFont="1" applyFill="1" applyBorder="1" applyAlignment="1" applyProtection="1">
      <alignment vertical="center"/>
      <protection hidden="1"/>
    </xf>
    <xf numFmtId="179" fontId="79" fillId="4" borderId="66" xfId="21" applyNumberFormat="1" applyFont="1" applyFill="1" applyBorder="1" applyAlignment="1" applyProtection="1">
      <alignment horizontal="center" vertical="center"/>
      <protection locked="0"/>
    </xf>
    <xf numFmtId="179" fontId="79" fillId="0" borderId="62" xfId="21" applyNumberFormat="1" applyFont="1" applyFill="1" applyBorder="1" applyAlignment="1" applyProtection="1">
      <alignment vertical="center"/>
      <protection hidden="1"/>
    </xf>
    <xf numFmtId="0" fontId="11" fillId="3" borderId="0" xfId="20" applyFont="1" applyFill="1" applyAlignment="1" applyProtection="1">
      <alignment vertical="center"/>
      <protection hidden="1"/>
    </xf>
    <xf numFmtId="0" fontId="11" fillId="3" borderId="0" xfId="20" applyFont="1" applyFill="1" applyBorder="1" applyAlignment="1" applyProtection="1">
      <alignment vertical="center"/>
      <protection hidden="1"/>
    </xf>
    <xf numFmtId="166" fontId="79" fillId="3" borderId="0" xfId="0" applyFont="1" applyFill="1" applyBorder="1" applyAlignment="1" applyProtection="1">
      <alignment vertical="center"/>
      <protection hidden="1"/>
    </xf>
    <xf numFmtId="166" fontId="130" fillId="3" borderId="0" xfId="0" applyFont="1" applyFill="1" applyBorder="1" applyAlignment="1" applyProtection="1">
      <alignment horizontal="right" vertical="center"/>
      <protection hidden="1"/>
    </xf>
    <xf numFmtId="0" fontId="79" fillId="0" borderId="0" xfId="21" applyFont="1" applyProtection="1">
      <protection hidden="1"/>
    </xf>
    <xf numFmtId="166" fontId="162" fillId="3" borderId="0" xfId="0" applyFont="1" applyFill="1" applyBorder="1" applyAlignment="1" applyProtection="1">
      <alignment horizontal="right" vertical="center"/>
      <protection hidden="1"/>
    </xf>
    <xf numFmtId="0" fontId="11" fillId="3" borderId="6" xfId="20" applyFont="1" applyFill="1" applyBorder="1" applyAlignment="1" applyProtection="1">
      <alignment vertical="center"/>
      <protection hidden="1"/>
    </xf>
    <xf numFmtId="166" fontId="79" fillId="3" borderId="6" xfId="0" applyFont="1" applyFill="1" applyBorder="1" applyAlignment="1" applyProtection="1">
      <alignment vertical="center"/>
      <protection hidden="1"/>
    </xf>
    <xf numFmtId="166" fontId="162" fillId="3" borderId="6" xfId="0" applyFont="1" applyFill="1" applyBorder="1" applyAlignment="1" applyProtection="1">
      <alignment horizontal="right" vertical="center"/>
      <protection hidden="1"/>
    </xf>
    <xf numFmtId="166" fontId="79" fillId="3" borderId="6" xfId="0" applyFont="1" applyFill="1" applyBorder="1" applyAlignment="1" applyProtection="1">
      <alignment horizontal="right" vertical="center"/>
      <protection hidden="1"/>
    </xf>
    <xf numFmtId="0" fontId="97" fillId="0" borderId="0" xfId="21" applyFont="1" applyProtection="1">
      <protection hidden="1"/>
    </xf>
    <xf numFmtId="0" fontId="276" fillId="0" borderId="0" xfId="21" applyFont="1" applyProtection="1">
      <protection hidden="1"/>
    </xf>
    <xf numFmtId="197" fontId="97" fillId="0" borderId="0" xfId="21" applyNumberFormat="1" applyFont="1" applyBorder="1" applyAlignment="1" applyProtection="1">
      <alignment horizontal="right" shrinkToFit="1"/>
    </xf>
    <xf numFmtId="197" fontId="276" fillId="0" borderId="0" xfId="21" applyNumberFormat="1" applyFont="1" applyBorder="1" applyAlignment="1" applyProtection="1">
      <alignment horizontal="left" shrinkToFit="1"/>
      <protection hidden="1"/>
    </xf>
    <xf numFmtId="200" fontId="264" fillId="0" borderId="9" xfId="21" applyNumberFormat="1" applyFont="1" applyBorder="1" applyAlignment="1" applyProtection="1">
      <alignment horizontal="left"/>
    </xf>
    <xf numFmtId="200" fontId="74" fillId="0" borderId="9" xfId="21" applyNumberFormat="1" applyFont="1" applyBorder="1" applyAlignment="1" applyProtection="1">
      <alignment horizontal="left"/>
    </xf>
    <xf numFmtId="197" fontId="167" fillId="5" borderId="98" xfId="21" applyNumberFormat="1" applyFont="1" applyFill="1" applyBorder="1" applyAlignment="1" applyProtection="1">
      <alignment horizontal="left" vertical="center"/>
    </xf>
    <xf numFmtId="0" fontId="167" fillId="4" borderId="43" xfId="21" applyFont="1" applyFill="1" applyBorder="1" applyAlignment="1" applyProtection="1">
      <alignment horizontal="left" vertical="center"/>
      <protection locked="0"/>
    </xf>
    <xf numFmtId="197" fontId="167" fillId="5" borderId="41" xfId="21" applyNumberFormat="1" applyFont="1" applyFill="1" applyBorder="1" applyAlignment="1" applyProtection="1">
      <alignment horizontal="left" vertical="center"/>
    </xf>
    <xf numFmtId="0" fontId="167" fillId="4" borderId="62" xfId="21" applyFont="1" applyFill="1" applyBorder="1" applyAlignment="1" applyProtection="1">
      <alignment horizontal="left" vertical="center"/>
      <protection locked="0"/>
    </xf>
    <xf numFmtId="0" fontId="97" fillId="5" borderId="25" xfId="21" applyFont="1" applyFill="1" applyBorder="1" applyAlignment="1" applyProtection="1">
      <alignment horizontal="center" vertical="center" wrapText="1"/>
      <protection hidden="1"/>
    </xf>
    <xf numFmtId="178" fontId="97" fillId="5" borderId="41" xfId="21" applyNumberFormat="1" applyFont="1" applyFill="1" applyBorder="1" applyAlignment="1" applyProtection="1">
      <alignment horizontal="center" vertical="center"/>
      <protection hidden="1"/>
    </xf>
    <xf numFmtId="178" fontId="97" fillId="5" borderId="62" xfId="21" applyNumberFormat="1" applyFont="1" applyFill="1" applyBorder="1" applyAlignment="1" applyProtection="1">
      <alignment horizontal="center" vertical="center"/>
      <protection hidden="1"/>
    </xf>
    <xf numFmtId="0" fontId="97" fillId="5" borderId="41" xfId="21" applyFont="1" applyFill="1" applyBorder="1" applyAlignment="1" applyProtection="1">
      <alignment horizontal="center" vertical="center" wrapText="1"/>
      <protection hidden="1"/>
    </xf>
    <xf numFmtId="0" fontId="97" fillId="5" borderId="37" xfId="21" applyFont="1" applyFill="1" applyBorder="1" applyAlignment="1" applyProtection="1">
      <alignment horizontal="center" vertical="center" wrapText="1"/>
      <protection hidden="1"/>
    </xf>
    <xf numFmtId="0" fontId="97" fillId="0" borderId="72" xfId="21" applyNumberFormat="1" applyFont="1" applyBorder="1" applyAlignment="1" applyProtection="1">
      <alignment horizontal="center" shrinkToFit="1"/>
      <protection hidden="1"/>
    </xf>
    <xf numFmtId="0" fontId="97" fillId="0" borderId="71" xfId="21" applyFont="1" applyBorder="1" applyAlignment="1" applyProtection="1">
      <alignment horizontal="center" shrinkToFit="1"/>
      <protection hidden="1"/>
    </xf>
    <xf numFmtId="203" fontId="97" fillId="0" borderId="87" xfId="21" applyNumberFormat="1" applyFont="1" applyBorder="1" applyAlignment="1" applyProtection="1">
      <alignment horizontal="center" shrinkToFit="1"/>
      <protection hidden="1"/>
    </xf>
    <xf numFmtId="174" fontId="97" fillId="0" borderId="72" xfId="21" applyNumberFormat="1" applyFont="1" applyBorder="1" applyAlignment="1" applyProtection="1">
      <alignment horizontal="center" shrinkToFit="1"/>
      <protection hidden="1"/>
    </xf>
    <xf numFmtId="174" fontId="97" fillId="0" borderId="71" xfId="21" applyNumberFormat="1" applyFont="1" applyBorder="1" applyAlignment="1" applyProtection="1">
      <alignment horizontal="center" shrinkToFit="1"/>
      <protection hidden="1"/>
    </xf>
    <xf numFmtId="174" fontId="97" fillId="0" borderId="59" xfId="21" applyNumberFormat="1" applyFont="1" applyBorder="1" applyAlignment="1" applyProtection="1">
      <alignment horizontal="center" shrinkToFit="1"/>
      <protection hidden="1"/>
    </xf>
    <xf numFmtId="203" fontId="97" fillId="0" borderId="71" xfId="21" applyNumberFormat="1" applyFont="1" applyBorder="1" applyAlignment="1" applyProtection="1">
      <alignment horizontal="center" shrinkToFit="1"/>
      <protection hidden="1"/>
    </xf>
    <xf numFmtId="174" fontId="97" fillId="0" borderId="87" xfId="21" applyNumberFormat="1" applyFont="1" applyBorder="1" applyAlignment="1" applyProtection="1">
      <alignment horizontal="center" shrinkToFit="1"/>
      <protection hidden="1"/>
    </xf>
    <xf numFmtId="178" fontId="97" fillId="0" borderId="87" xfId="21" applyNumberFormat="1" applyFont="1" applyBorder="1" applyAlignment="1" applyProtection="1">
      <alignment horizontal="center" shrinkToFit="1"/>
      <protection hidden="1"/>
    </xf>
    <xf numFmtId="172" fontId="97" fillId="0" borderId="87" xfId="21" applyNumberFormat="1" applyFont="1" applyBorder="1" applyAlignment="1" applyProtection="1">
      <alignment horizontal="center" shrinkToFit="1"/>
      <protection hidden="1"/>
    </xf>
    <xf numFmtId="0" fontId="97" fillId="0" borderId="182" xfId="21" applyNumberFormat="1" applyFont="1" applyBorder="1" applyAlignment="1" applyProtection="1">
      <alignment horizontal="center"/>
      <protection hidden="1"/>
    </xf>
    <xf numFmtId="0" fontId="97" fillId="0" borderId="182" xfId="21" applyFont="1" applyBorder="1" applyAlignment="1" applyProtection="1">
      <alignment horizontal="center"/>
      <protection hidden="1"/>
    </xf>
    <xf numFmtId="202" fontId="97" fillId="0" borderId="182" xfId="21" applyNumberFormat="1" applyFont="1" applyBorder="1" applyAlignment="1" applyProtection="1">
      <alignment horizontal="center"/>
      <protection hidden="1"/>
    </xf>
    <xf numFmtId="174" fontId="97" fillId="0" borderId="182" xfId="21" applyNumberFormat="1" applyFont="1" applyBorder="1" applyAlignment="1" applyProtection="1">
      <alignment horizontal="center"/>
      <protection hidden="1"/>
    </xf>
    <xf numFmtId="203" fontId="97" fillId="0" borderId="182" xfId="21" applyNumberFormat="1" applyFont="1" applyBorder="1" applyAlignment="1" applyProtection="1">
      <alignment horizontal="center"/>
      <protection hidden="1"/>
    </xf>
    <xf numFmtId="0" fontId="79" fillId="0" borderId="182" xfId="21" applyFont="1" applyBorder="1" applyProtection="1">
      <protection hidden="1"/>
    </xf>
    <xf numFmtId="203" fontId="97" fillId="0" borderId="32" xfId="21" applyNumberFormat="1" applyFont="1" applyBorder="1" applyAlignment="1" applyProtection="1">
      <alignment horizontal="center"/>
      <protection hidden="1"/>
    </xf>
    <xf numFmtId="203" fontId="97" fillId="0" borderId="9" xfId="21" applyNumberFormat="1" applyFont="1" applyBorder="1" applyAlignment="1" applyProtection="1">
      <alignment horizontal="center"/>
      <protection hidden="1"/>
    </xf>
    <xf numFmtId="174" fontId="97" fillId="0" borderId="9" xfId="21" applyNumberFormat="1" applyFont="1" applyBorder="1" applyAlignment="1" applyProtection="1">
      <alignment horizontal="center"/>
      <protection hidden="1"/>
    </xf>
    <xf numFmtId="178" fontId="97" fillId="0" borderId="9" xfId="21" applyNumberFormat="1" applyFont="1" applyBorder="1" applyAlignment="1" applyProtection="1">
      <alignment horizontal="center"/>
      <protection hidden="1"/>
    </xf>
    <xf numFmtId="176" fontId="97" fillId="0" borderId="9" xfId="21" applyNumberFormat="1" applyFont="1" applyBorder="1" applyAlignment="1" applyProtection="1">
      <alignment horizontal="center"/>
      <protection hidden="1"/>
    </xf>
    <xf numFmtId="172" fontId="97" fillId="0" borderId="9" xfId="21" applyNumberFormat="1" applyFont="1" applyBorder="1" applyAlignment="1" applyProtection="1">
      <alignment horizontal="center"/>
      <protection hidden="1"/>
    </xf>
    <xf numFmtId="0" fontId="277" fillId="0" borderId="182" xfId="21" applyFont="1" applyBorder="1" applyAlignment="1" applyProtection="1">
      <protection hidden="1"/>
    </xf>
    <xf numFmtId="174" fontId="97" fillId="0" borderId="182" xfId="21" applyNumberFormat="1" applyFont="1" applyBorder="1" applyAlignment="1" applyProtection="1">
      <protection hidden="1"/>
    </xf>
    <xf numFmtId="0" fontId="277" fillId="0" borderId="34" xfId="21" applyFont="1" applyBorder="1" applyAlignment="1" applyProtection="1">
      <protection hidden="1"/>
    </xf>
    <xf numFmtId="200" fontId="74" fillId="0" borderId="9" xfId="21" applyNumberFormat="1" applyFont="1" applyBorder="1" applyAlignment="1" applyProtection="1">
      <protection hidden="1"/>
    </xf>
    <xf numFmtId="49" fontId="167" fillId="0" borderId="9" xfId="21" applyNumberFormat="1" applyFont="1" applyBorder="1" applyAlignment="1" applyProtection="1">
      <alignment wrapText="1"/>
      <protection hidden="1"/>
    </xf>
    <xf numFmtId="197" fontId="167" fillId="5" borderId="98" xfId="21" applyNumberFormat="1" applyFont="1" applyFill="1" applyBorder="1" applyAlignment="1" applyProtection="1">
      <alignment horizontal="left"/>
    </xf>
    <xf numFmtId="197" fontId="167" fillId="5" borderId="41" xfId="21" applyNumberFormat="1" applyFont="1" applyFill="1" applyBorder="1" applyAlignment="1" applyProtection="1">
      <alignment horizontal="left"/>
    </xf>
    <xf numFmtId="178" fontId="97" fillId="0" borderId="182" xfId="21" applyNumberFormat="1" applyFont="1" applyBorder="1" applyAlignment="1" applyProtection="1">
      <alignment horizontal="center"/>
      <protection hidden="1"/>
    </xf>
    <xf numFmtId="0" fontId="264" fillId="0" borderId="9" xfId="21" applyNumberFormat="1" applyFont="1" applyBorder="1" applyAlignment="1" applyProtection="1">
      <alignment horizontal="left"/>
    </xf>
    <xf numFmtId="174" fontId="97" fillId="0" borderId="9" xfId="21" applyNumberFormat="1" applyFont="1" applyBorder="1" applyAlignment="1" applyProtection="1">
      <protection hidden="1"/>
    </xf>
    <xf numFmtId="0" fontId="276" fillId="0" borderId="29" xfId="21" applyFont="1" applyBorder="1" applyProtection="1">
      <protection hidden="1"/>
    </xf>
    <xf numFmtId="199" fontId="97" fillId="5" borderId="60" xfId="21" applyNumberFormat="1" applyFont="1" applyFill="1" applyBorder="1" applyAlignment="1" applyProtection="1">
      <alignment horizontal="left"/>
    </xf>
    <xf numFmtId="199" fontId="97" fillId="5" borderId="98" xfId="21" applyNumberFormat="1" applyFont="1" applyFill="1" applyBorder="1" applyAlignment="1" applyProtection="1"/>
    <xf numFmtId="0" fontId="80" fillId="0" borderId="0" xfId="21" applyFont="1" applyProtection="1">
      <protection hidden="1"/>
    </xf>
    <xf numFmtId="199" fontId="97" fillId="5" borderId="37" xfId="21" applyNumberFormat="1" applyFont="1" applyFill="1" applyBorder="1" applyAlignment="1" applyProtection="1">
      <alignment horizontal="left"/>
    </xf>
    <xf numFmtId="199" fontId="97" fillId="5" borderId="41" xfId="21" applyNumberFormat="1" applyFont="1" applyFill="1" applyBorder="1" applyAlignment="1" applyProtection="1"/>
    <xf numFmtId="199" fontId="97" fillId="0" borderId="8" xfId="21" applyNumberFormat="1" applyFont="1" applyBorder="1" applyAlignment="1" applyProtection="1">
      <alignment horizontal="left"/>
      <protection hidden="1"/>
    </xf>
    <xf numFmtId="0" fontId="273" fillId="0" borderId="8" xfId="21" applyFont="1" applyBorder="1" applyAlignment="1" applyProtection="1">
      <alignment horizontal="left"/>
      <protection hidden="1"/>
    </xf>
    <xf numFmtId="0" fontId="273" fillId="0" borderId="182" xfId="21" applyFont="1" applyBorder="1" applyAlignment="1" applyProtection="1">
      <alignment horizontal="left"/>
      <protection hidden="1"/>
    </xf>
    <xf numFmtId="199" fontId="97" fillId="0" borderId="8" xfId="21" applyNumberFormat="1" applyFont="1" applyBorder="1" applyAlignment="1" applyProtection="1">
      <protection hidden="1"/>
    </xf>
    <xf numFmtId="199" fontId="273" fillId="0" borderId="8" xfId="21" applyNumberFormat="1" applyFont="1" applyBorder="1" applyAlignment="1" applyProtection="1">
      <alignment horizontal="center"/>
      <protection hidden="1"/>
    </xf>
    <xf numFmtId="0" fontId="171" fillId="0" borderId="9" xfId="59" applyNumberFormat="1" applyFont="1" applyBorder="1" applyAlignment="1" applyProtection="1">
      <alignment vertical="top"/>
    </xf>
    <xf numFmtId="0" fontId="278" fillId="0" borderId="9" xfId="21" applyNumberFormat="1" applyFont="1" applyBorder="1" applyAlignment="1" applyProtection="1">
      <alignment horizontal="left" vertical="top" wrapText="1"/>
      <protection hidden="1"/>
    </xf>
    <xf numFmtId="199" fontId="97" fillId="0" borderId="8" xfId="21" applyNumberFormat="1" applyFont="1" applyBorder="1" applyAlignment="1" applyProtection="1">
      <alignment horizontal="center" vertical="top"/>
      <protection hidden="1"/>
    </xf>
    <xf numFmtId="0" fontId="278" fillId="0" borderId="8" xfId="21" applyNumberFormat="1" applyFont="1" applyBorder="1" applyAlignment="1" applyProtection="1">
      <alignment horizontal="left" vertical="top" wrapText="1"/>
      <protection hidden="1"/>
    </xf>
    <xf numFmtId="0" fontId="278" fillId="0" borderId="182" xfId="21" applyNumberFormat="1" applyFont="1" applyBorder="1" applyAlignment="1" applyProtection="1">
      <alignment horizontal="left" vertical="top" wrapText="1"/>
      <protection hidden="1"/>
    </xf>
    <xf numFmtId="199" fontId="97" fillId="0" borderId="0" xfId="21" applyNumberFormat="1" applyFont="1" applyBorder="1" applyAlignment="1" applyProtection="1">
      <alignment horizontal="center" vertical="top"/>
      <protection hidden="1"/>
    </xf>
    <xf numFmtId="0" fontId="278" fillId="0" borderId="0" xfId="21" applyNumberFormat="1" applyFont="1" applyBorder="1" applyAlignment="1" applyProtection="1">
      <alignment horizontal="left" vertical="top" wrapText="1"/>
      <protection hidden="1"/>
    </xf>
    <xf numFmtId="0" fontId="97" fillId="0" borderId="0" xfId="21" applyFont="1" applyBorder="1" applyAlignment="1" applyProtection="1">
      <protection hidden="1"/>
    </xf>
    <xf numFmtId="0" fontId="97" fillId="0" borderId="0" xfId="21" applyFont="1" applyBorder="1" applyAlignment="1" applyProtection="1">
      <alignment horizontal="center"/>
      <protection hidden="1"/>
    </xf>
    <xf numFmtId="0" fontId="97" fillId="0" borderId="9" xfId="21" applyFont="1" applyBorder="1" applyAlignment="1" applyProtection="1">
      <alignment horizontal="left"/>
      <protection hidden="1"/>
    </xf>
    <xf numFmtId="0" fontId="80" fillId="0" borderId="0" xfId="21" applyFont="1" applyBorder="1" applyAlignment="1" applyProtection="1">
      <alignment shrinkToFit="1"/>
      <protection hidden="1"/>
    </xf>
    <xf numFmtId="197" fontId="97" fillId="0" borderId="0" xfId="21" applyNumberFormat="1" applyFont="1" applyBorder="1" applyAlignment="1" applyProtection="1">
      <alignment shrinkToFit="1"/>
    </xf>
    <xf numFmtId="0" fontId="97" fillId="4" borderId="186" xfId="21" applyFont="1" applyFill="1" applyBorder="1" applyAlignment="1" applyProtection="1">
      <alignment horizontal="center" vertical="center" shrinkToFit="1"/>
      <protection locked="0"/>
    </xf>
    <xf numFmtId="199" fontId="276" fillId="0" borderId="0" xfId="21" applyNumberFormat="1" applyFont="1" applyBorder="1" applyAlignment="1" applyProtection="1">
      <alignment horizontal="left"/>
      <protection hidden="1"/>
    </xf>
    <xf numFmtId="0" fontId="279" fillId="0" borderId="0" xfId="21" applyFont="1" applyBorder="1" applyAlignment="1" applyProtection="1">
      <alignment horizontal="left"/>
      <protection hidden="1"/>
    </xf>
    <xf numFmtId="199" fontId="276" fillId="0" borderId="0" xfId="21" applyNumberFormat="1" applyFont="1" applyBorder="1" applyAlignment="1" applyProtection="1">
      <protection hidden="1"/>
    </xf>
    <xf numFmtId="199" fontId="279" fillId="0" borderId="0" xfId="21" applyNumberFormat="1" applyFont="1" applyBorder="1" applyAlignment="1" applyProtection="1">
      <alignment horizontal="center"/>
      <protection hidden="1"/>
    </xf>
    <xf numFmtId="0" fontId="267" fillId="0" borderId="0" xfId="21" applyFont="1" applyProtection="1">
      <protection hidden="1"/>
    </xf>
    <xf numFmtId="0" fontId="276" fillId="0" borderId="184" xfId="21" applyFont="1" applyBorder="1" applyProtection="1">
      <protection hidden="1"/>
    </xf>
    <xf numFmtId="0" fontId="97" fillId="0" borderId="31" xfId="21" applyNumberFormat="1" applyFont="1" applyFill="1" applyBorder="1" applyAlignment="1" applyProtection="1">
      <protection hidden="1"/>
    </xf>
    <xf numFmtId="0" fontId="97" fillId="0" borderId="0" xfId="21" applyNumberFormat="1" applyFont="1" applyFill="1" applyBorder="1" applyAlignment="1" applyProtection="1"/>
    <xf numFmtId="0" fontId="97" fillId="0" borderId="0" xfId="21" applyNumberFormat="1" applyFont="1" applyFill="1" applyBorder="1" applyAlignment="1" applyProtection="1">
      <protection hidden="1"/>
    </xf>
    <xf numFmtId="0" fontId="97" fillId="0" borderId="31" xfId="21" applyNumberFormat="1" applyFont="1" applyFill="1" applyBorder="1" applyAlignment="1" applyProtection="1">
      <alignment horizontal="left"/>
      <protection hidden="1"/>
    </xf>
    <xf numFmtId="20" fontId="97" fillId="4" borderId="128" xfId="21" applyNumberFormat="1" applyFont="1" applyFill="1" applyBorder="1" applyAlignment="1" applyProtection="1">
      <alignment horizontal="center"/>
      <protection hidden="1"/>
    </xf>
    <xf numFmtId="0" fontId="273" fillId="0" borderId="31" xfId="21" applyNumberFormat="1" applyFont="1" applyFill="1" applyBorder="1" applyAlignment="1" applyProtection="1">
      <protection hidden="1"/>
    </xf>
    <xf numFmtId="0" fontId="97" fillId="0" borderId="0" xfId="21" applyNumberFormat="1" applyFont="1" applyFill="1" applyBorder="1" applyAlignment="1" applyProtection="1">
      <alignment horizontal="left"/>
    </xf>
    <xf numFmtId="0" fontId="97" fillId="0" borderId="0" xfId="21" applyNumberFormat="1" applyFont="1" applyFill="1" applyBorder="1" applyAlignment="1" applyProtection="1">
      <alignment horizontal="left"/>
      <protection hidden="1"/>
    </xf>
    <xf numFmtId="0" fontId="97" fillId="0" borderId="31" xfId="21" applyNumberFormat="1" applyFont="1" applyFill="1" applyBorder="1" applyProtection="1">
      <protection hidden="1"/>
    </xf>
    <xf numFmtId="0" fontId="97" fillId="0" borderId="33" xfId="21" applyNumberFormat="1" applyFont="1" applyFill="1" applyBorder="1" applyAlignment="1" applyProtection="1">
      <alignment horizontal="left"/>
      <protection hidden="1"/>
    </xf>
    <xf numFmtId="199" fontId="276" fillId="0" borderId="8" xfId="21" applyNumberFormat="1" applyFont="1" applyBorder="1" applyAlignment="1" applyProtection="1">
      <alignment horizontal="center" vertical="top"/>
      <protection hidden="1"/>
    </xf>
    <xf numFmtId="0" fontId="279" fillId="0" borderId="8" xfId="21" applyNumberFormat="1" applyFont="1" applyBorder="1" applyAlignment="1" applyProtection="1">
      <alignment horizontal="left" vertical="top" wrapText="1"/>
      <protection hidden="1"/>
    </xf>
    <xf numFmtId="0" fontId="279" fillId="0" borderId="182" xfId="21" applyNumberFormat="1" applyFont="1" applyBorder="1" applyAlignment="1" applyProtection="1">
      <alignment horizontal="left" vertical="top" wrapText="1"/>
      <protection hidden="1"/>
    </xf>
    <xf numFmtId="0" fontId="11" fillId="3" borderId="0" xfId="20" applyFont="1" applyFill="1" applyAlignment="1" applyProtection="1">
      <alignment vertical="center"/>
    </xf>
    <xf numFmtId="0" fontId="11" fillId="3" borderId="0" xfId="20" applyFont="1" applyFill="1" applyBorder="1" applyAlignment="1" applyProtection="1">
      <alignment vertical="center"/>
    </xf>
    <xf numFmtId="166" fontId="79" fillId="3" borderId="0" xfId="0" applyFont="1" applyFill="1" applyBorder="1" applyAlignment="1" applyProtection="1">
      <alignment vertical="center"/>
    </xf>
    <xf numFmtId="0" fontId="79" fillId="0" borderId="0" xfId="21" applyFont="1" applyProtection="1"/>
    <xf numFmtId="0" fontId="79" fillId="0" borderId="1" xfId="21" applyFont="1" applyBorder="1" applyProtection="1"/>
    <xf numFmtId="0" fontId="276" fillId="0" borderId="1" xfId="21" applyFont="1" applyBorder="1" applyProtection="1"/>
    <xf numFmtId="166" fontId="130" fillId="3" borderId="0" xfId="0" applyFont="1" applyFill="1" applyBorder="1" applyAlignment="1" applyProtection="1">
      <alignment horizontal="right" vertical="center"/>
    </xf>
    <xf numFmtId="166" fontId="162" fillId="3" borderId="0" xfId="0" applyFont="1" applyFill="1" applyBorder="1" applyAlignment="1" applyProtection="1">
      <alignment horizontal="right" vertical="center"/>
    </xf>
    <xf numFmtId="166" fontId="189" fillId="3" borderId="6" xfId="0" applyFont="1" applyFill="1" applyBorder="1" applyAlignment="1" applyProtection="1">
      <alignment vertical="center"/>
    </xf>
    <xf numFmtId="166" fontId="180" fillId="3" borderId="6" xfId="0" applyFont="1" applyFill="1" applyBorder="1" applyAlignment="1" applyProtection="1">
      <alignment horizontal="right" vertical="center"/>
    </xf>
    <xf numFmtId="166" fontId="189" fillId="3" borderId="6" xfId="0" applyFont="1" applyFill="1" applyBorder="1" applyAlignment="1" applyProtection="1">
      <alignment horizontal="right" vertical="center"/>
    </xf>
    <xf numFmtId="0" fontId="189" fillId="0" borderId="0" xfId="21" applyFont="1" applyProtection="1"/>
    <xf numFmtId="166" fontId="189" fillId="3" borderId="5" xfId="0" applyFont="1" applyFill="1" applyBorder="1" applyAlignment="1" applyProtection="1">
      <alignment vertical="center"/>
    </xf>
    <xf numFmtId="166" fontId="180" fillId="3" borderId="5" xfId="0" applyFont="1" applyFill="1" applyBorder="1" applyAlignment="1" applyProtection="1">
      <alignment horizontal="right" vertical="center"/>
    </xf>
    <xf numFmtId="166" fontId="189" fillId="3" borderId="5" xfId="0" applyFont="1" applyFill="1" applyBorder="1" applyAlignment="1" applyProtection="1">
      <alignment horizontal="right" vertical="center"/>
    </xf>
    <xf numFmtId="0" fontId="79" fillId="0" borderId="181" xfId="21" applyFont="1" applyBorder="1" applyProtection="1"/>
    <xf numFmtId="0" fontId="182" fillId="0" borderId="0" xfId="21" applyFont="1" applyBorder="1" applyProtection="1"/>
    <xf numFmtId="0" fontId="276" fillId="0" borderId="0" xfId="21" applyFont="1" applyBorder="1" applyAlignment="1" applyProtection="1">
      <alignment horizontal="left" indent="1"/>
    </xf>
    <xf numFmtId="0" fontId="267" fillId="0" borderId="0" xfId="21" applyFont="1" applyBorder="1" applyAlignment="1" applyProtection="1"/>
    <xf numFmtId="0" fontId="267" fillId="0" borderId="0" xfId="21" applyFont="1" applyBorder="1" applyProtection="1"/>
    <xf numFmtId="0" fontId="276" fillId="0" borderId="0" xfId="21" applyFont="1" applyProtection="1"/>
    <xf numFmtId="205" fontId="189" fillId="0" borderId="0" xfId="21" applyNumberFormat="1" applyFont="1" applyBorder="1" applyProtection="1"/>
    <xf numFmtId="0" fontId="280" fillId="0" borderId="0" xfId="21" applyFont="1" applyBorder="1" applyAlignment="1" applyProtection="1">
      <alignment horizontal="left"/>
    </xf>
    <xf numFmtId="199" fontId="189" fillId="0" borderId="0" xfId="21" applyNumberFormat="1" applyFont="1" applyBorder="1" applyProtection="1"/>
    <xf numFmtId="198" fontId="280" fillId="0" borderId="0" xfId="21" applyNumberFormat="1" applyFont="1" applyBorder="1" applyAlignment="1" applyProtection="1">
      <alignment horizontal="left"/>
    </xf>
    <xf numFmtId="0" fontId="189" fillId="0" borderId="181" xfId="21" applyFont="1" applyBorder="1" applyProtection="1"/>
    <xf numFmtId="0" fontId="189" fillId="0" borderId="9" xfId="21" applyFont="1" applyBorder="1" applyProtection="1"/>
    <xf numFmtId="0" fontId="271" fillId="0" borderId="0" xfId="21" applyFont="1" applyFill="1" applyBorder="1" applyAlignment="1" applyProtection="1">
      <alignment vertical="center"/>
    </xf>
    <xf numFmtId="0" fontId="271" fillId="0" borderId="31" xfId="21" applyFont="1" applyFill="1" applyBorder="1" applyAlignment="1" applyProtection="1">
      <alignment vertical="center"/>
    </xf>
    <xf numFmtId="0" fontId="274" fillId="0" borderId="0" xfId="21" applyFont="1" applyProtection="1"/>
    <xf numFmtId="0" fontId="271" fillId="4" borderId="27" xfId="21" applyFont="1" applyFill="1" applyBorder="1" applyAlignment="1" applyProtection="1">
      <alignment horizontal="center"/>
      <protection locked="0"/>
    </xf>
    <xf numFmtId="0" fontId="271" fillId="4" borderId="26" xfId="21" applyFont="1" applyFill="1" applyBorder="1" applyAlignment="1" applyProtection="1">
      <alignment horizontal="center"/>
      <protection locked="0"/>
    </xf>
    <xf numFmtId="0" fontId="271" fillId="4" borderId="25" xfId="21" applyFont="1" applyFill="1" applyBorder="1" applyAlignment="1" applyProtection="1">
      <alignment horizontal="center"/>
      <protection locked="0"/>
    </xf>
    <xf numFmtId="205" fontId="271" fillId="0" borderId="9" xfId="21" applyNumberFormat="1" applyFont="1" applyBorder="1" applyAlignment="1" applyProtection="1">
      <alignment vertical="top"/>
    </xf>
    <xf numFmtId="0" fontId="271" fillId="0" borderId="9" xfId="21" applyFont="1" applyBorder="1" applyAlignment="1" applyProtection="1">
      <alignment vertical="top" wrapText="1"/>
    </xf>
    <xf numFmtId="0" fontId="79" fillId="0" borderId="165" xfId="21" applyFont="1" applyBorder="1" applyAlignment="1" applyProtection="1"/>
    <xf numFmtId="0" fontId="79" fillId="0" borderId="182" xfId="21" applyFont="1" applyBorder="1" applyAlignment="1" applyProtection="1"/>
    <xf numFmtId="0" fontId="97" fillId="0" borderId="0" xfId="21" applyFont="1" applyAlignment="1" applyProtection="1">
      <alignment horizontal="left"/>
    </xf>
    <xf numFmtId="0" fontId="97" fillId="0" borderId="0" xfId="21" applyFont="1" applyProtection="1"/>
    <xf numFmtId="0" fontId="79" fillId="0" borderId="0" xfId="21" applyFont="1" applyAlignment="1" applyProtection="1"/>
    <xf numFmtId="166" fontId="276" fillId="3" borderId="6" xfId="0" applyFont="1" applyFill="1" applyBorder="1" applyAlignment="1" applyProtection="1">
      <alignment horizontal="right" vertical="center"/>
      <protection hidden="1"/>
    </xf>
    <xf numFmtId="166" fontId="276" fillId="3" borderId="5" xfId="0" applyFont="1" applyFill="1" applyBorder="1" applyAlignment="1" applyProtection="1">
      <alignment horizontal="right" vertical="center"/>
      <protection hidden="1"/>
    </xf>
    <xf numFmtId="0" fontId="281" fillId="31" borderId="0" xfId="21" applyFont="1" applyFill="1" applyBorder="1" applyAlignment="1" applyProtection="1">
      <alignment vertical="center"/>
    </xf>
    <xf numFmtId="0" fontId="281" fillId="31" borderId="0" xfId="21" applyFont="1" applyFill="1" applyBorder="1" applyAlignment="1" applyProtection="1">
      <alignment horizontal="center" vertical="center"/>
    </xf>
    <xf numFmtId="0" fontId="282" fillId="0" borderId="0" xfId="21" applyFont="1" applyBorder="1" applyAlignment="1" applyProtection="1">
      <alignment vertical="center"/>
    </xf>
    <xf numFmtId="200" fontId="97" fillId="0" borderId="0" xfId="21" applyNumberFormat="1" applyFont="1" applyBorder="1" applyAlignment="1" applyProtection="1"/>
    <xf numFmtId="0" fontId="83" fillId="0" borderId="9" xfId="21" applyNumberFormat="1" applyFont="1" applyBorder="1" applyAlignment="1" applyProtection="1"/>
    <xf numFmtId="200" fontId="97" fillId="21" borderId="1" xfId="21" applyNumberFormat="1" applyFont="1" applyFill="1" applyBorder="1" applyAlignment="1" applyProtection="1">
      <alignment horizontal="center" vertical="center"/>
    </xf>
    <xf numFmtId="203" fontId="97" fillId="4" borderId="27" xfId="21" applyNumberFormat="1" applyFont="1" applyFill="1" applyBorder="1" applyAlignment="1" applyProtection="1">
      <alignment horizontal="center" shrinkToFit="1"/>
      <protection locked="0"/>
    </xf>
    <xf numFmtId="178" fontId="273" fillId="4" borderId="27" xfId="21" applyNumberFormat="1" applyFont="1" applyFill="1" applyBorder="1" applyAlignment="1" applyProtection="1">
      <alignment horizontal="center" shrinkToFit="1"/>
      <protection locked="0"/>
    </xf>
    <xf numFmtId="203" fontId="97" fillId="4" borderId="26" xfId="21" applyNumberFormat="1" applyFont="1" applyFill="1" applyBorder="1" applyAlignment="1" applyProtection="1">
      <alignment horizontal="center" shrinkToFit="1"/>
      <protection locked="0"/>
    </xf>
    <xf numFmtId="178" fontId="273" fillId="4" borderId="26" xfId="21" applyNumberFormat="1" applyFont="1" applyFill="1" applyBorder="1" applyAlignment="1" applyProtection="1">
      <alignment horizontal="center" shrinkToFit="1"/>
      <protection locked="0"/>
    </xf>
    <xf numFmtId="200" fontId="273" fillId="0" borderId="0" xfId="21" applyNumberFormat="1" applyFont="1" applyBorder="1" applyAlignment="1" applyProtection="1"/>
    <xf numFmtId="0" fontId="273" fillId="0" borderId="31" xfId="21" applyNumberFormat="1" applyFont="1" applyBorder="1" applyAlignment="1" applyProtection="1">
      <alignment horizontal="left" shrinkToFit="1"/>
      <protection hidden="1"/>
    </xf>
    <xf numFmtId="211" fontId="79" fillId="4" borderId="33" xfId="21" applyNumberFormat="1" applyFont="1" applyFill="1" applyBorder="1" applyAlignment="1" applyProtection="1">
      <alignment horizontal="center" shrinkToFit="1"/>
      <protection locked="0"/>
    </xf>
    <xf numFmtId="203" fontId="97" fillId="4" borderId="25" xfId="21" applyNumberFormat="1" applyFont="1" applyFill="1" applyBorder="1" applyAlignment="1" applyProtection="1">
      <alignment horizontal="center" shrinkToFit="1"/>
      <protection locked="0"/>
    </xf>
    <xf numFmtId="178" fontId="273" fillId="4" borderId="25" xfId="21" applyNumberFormat="1" applyFont="1" applyFill="1" applyBorder="1" applyAlignment="1" applyProtection="1">
      <alignment horizontal="center" shrinkToFit="1"/>
      <protection locked="0"/>
    </xf>
    <xf numFmtId="0" fontId="83" fillId="0" borderId="29" xfId="21" applyNumberFormat="1" applyFont="1" applyBorder="1" applyAlignment="1" applyProtection="1"/>
    <xf numFmtId="197" fontId="189" fillId="0" borderId="180" xfId="21" applyNumberFormat="1" applyFont="1" applyBorder="1" applyAlignment="1" applyProtection="1">
      <alignment vertical="top"/>
    </xf>
    <xf numFmtId="200" fontId="283" fillId="0" borderId="180" xfId="21" applyNumberFormat="1" applyFont="1" applyBorder="1" applyAlignment="1" applyProtection="1">
      <alignment vertical="top" wrapText="1"/>
    </xf>
    <xf numFmtId="0" fontId="189" fillId="0" borderId="0" xfId="21" applyFont="1" applyAlignment="1" applyProtection="1">
      <alignment horizontal="left"/>
    </xf>
    <xf numFmtId="197" fontId="79" fillId="0" borderId="9" xfId="21" applyNumberFormat="1" applyFont="1" applyBorder="1" applyAlignment="1" applyProtection="1">
      <alignment vertical="top"/>
    </xf>
    <xf numFmtId="197" fontId="97" fillId="0" borderId="180" xfId="21" applyNumberFormat="1" applyFont="1" applyBorder="1" applyAlignment="1" applyProtection="1">
      <alignment vertical="top"/>
    </xf>
    <xf numFmtId="200" fontId="273" fillId="0" borderId="180" xfId="21" applyNumberFormat="1" applyFont="1" applyBorder="1" applyAlignment="1" applyProtection="1">
      <alignment vertical="top" wrapText="1"/>
    </xf>
    <xf numFmtId="197" fontId="97" fillId="0" borderId="0" xfId="21" applyNumberFormat="1" applyFont="1" applyBorder="1" applyAlignment="1" applyProtection="1">
      <alignment vertical="top"/>
    </xf>
    <xf numFmtId="200" fontId="273" fillId="0" borderId="0" xfId="21" applyNumberFormat="1" applyFont="1" applyBorder="1" applyAlignment="1" applyProtection="1">
      <alignment vertical="top" wrapText="1"/>
    </xf>
    <xf numFmtId="0" fontId="284" fillId="0" borderId="0" xfId="21" applyFont="1" applyBorder="1" applyAlignment="1" applyProtection="1">
      <alignment horizontal="left" vertical="top"/>
    </xf>
    <xf numFmtId="0" fontId="97" fillId="0" borderId="0" xfId="21" applyFont="1" applyAlignment="1" applyProtection="1">
      <alignment horizontal="center"/>
    </xf>
    <xf numFmtId="166" fontId="276" fillId="3" borderId="6" xfId="0" applyFont="1" applyFill="1" applyBorder="1" applyAlignment="1" applyProtection="1">
      <alignment vertical="center"/>
    </xf>
    <xf numFmtId="166" fontId="195" fillId="3" borderId="6" xfId="0" applyFont="1" applyFill="1" applyBorder="1" applyAlignment="1" applyProtection="1">
      <alignment horizontal="right" vertical="center"/>
    </xf>
    <xf numFmtId="166" fontId="276" fillId="3" borderId="6" xfId="0" applyFont="1" applyFill="1" applyBorder="1" applyAlignment="1" applyProtection="1">
      <alignment horizontal="right" vertical="center"/>
    </xf>
    <xf numFmtId="166" fontId="276" fillId="3" borderId="5" xfId="0" applyFont="1" applyFill="1" applyBorder="1" applyAlignment="1" applyProtection="1">
      <alignment vertical="center"/>
    </xf>
    <xf numFmtId="166" fontId="195" fillId="3" borderId="5" xfId="0" applyFont="1" applyFill="1" applyBorder="1" applyAlignment="1" applyProtection="1">
      <alignment horizontal="right" vertical="center"/>
    </xf>
    <xf numFmtId="166" fontId="276" fillId="3" borderId="5" xfId="0" applyFont="1" applyFill="1" applyBorder="1" applyAlignment="1" applyProtection="1">
      <alignment horizontal="right" vertical="center"/>
    </xf>
    <xf numFmtId="0" fontId="275" fillId="31" borderId="0" xfId="21" applyFont="1" applyFill="1" applyBorder="1" applyAlignment="1" applyProtection="1">
      <alignment vertical="center"/>
    </xf>
    <xf numFmtId="0" fontId="285" fillId="31" borderId="0" xfId="21" applyFont="1" applyFill="1" applyBorder="1" applyAlignment="1" applyProtection="1">
      <alignment horizontal="center" vertical="center"/>
    </xf>
    <xf numFmtId="0" fontId="276" fillId="0" borderId="0" xfId="21" applyFont="1" applyBorder="1" applyAlignment="1" applyProtection="1">
      <alignment vertical="center"/>
    </xf>
    <xf numFmtId="0" fontId="267" fillId="0" borderId="0" xfId="21" applyFont="1" applyBorder="1" applyAlignment="1" applyProtection="1">
      <alignment vertical="center"/>
    </xf>
    <xf numFmtId="199" fontId="97" fillId="0" borderId="0" xfId="21" applyNumberFormat="1" applyFont="1" applyBorder="1" applyAlignment="1" applyProtection="1"/>
    <xf numFmtId="0" fontId="79" fillId="0" borderId="0" xfId="21" applyFont="1" applyBorder="1" applyProtection="1"/>
    <xf numFmtId="0" fontId="97" fillId="0" borderId="0" xfId="21" applyFont="1" applyBorder="1" applyProtection="1"/>
    <xf numFmtId="0" fontId="79" fillId="21" borderId="41" xfId="21" applyFont="1" applyFill="1" applyBorder="1" applyAlignment="1" applyProtection="1">
      <alignment horizontal="center" vertical="center"/>
    </xf>
    <xf numFmtId="0" fontId="79" fillId="21" borderId="33" xfId="21" applyFont="1" applyFill="1" applyBorder="1" applyAlignment="1" applyProtection="1">
      <alignment horizontal="center" vertical="center"/>
    </xf>
    <xf numFmtId="0" fontId="76" fillId="21" borderId="27" xfId="21" applyFont="1" applyFill="1" applyBorder="1" applyProtection="1"/>
    <xf numFmtId="0" fontId="79" fillId="4" borderId="27" xfId="21" applyFont="1" applyFill="1" applyBorder="1" applyAlignment="1" applyProtection="1">
      <alignment horizontal="center" shrinkToFit="1"/>
      <protection locked="0"/>
    </xf>
    <xf numFmtId="0" fontId="79" fillId="4" borderId="27" xfId="21" applyFont="1" applyFill="1" applyBorder="1" applyAlignment="1" applyProtection="1">
      <alignment horizontal="left" shrinkToFit="1"/>
      <protection locked="0"/>
    </xf>
    <xf numFmtId="0" fontId="76" fillId="21" borderId="26" xfId="21" applyFont="1" applyFill="1" applyBorder="1" applyProtection="1"/>
    <xf numFmtId="0" fontId="79" fillId="4" borderId="26" xfId="21" applyFont="1" applyFill="1" applyBorder="1" applyAlignment="1" applyProtection="1">
      <alignment horizontal="center" shrinkToFit="1"/>
      <protection locked="0"/>
    </xf>
    <xf numFmtId="0" fontId="79" fillId="4" borderId="26" xfId="21" applyFont="1" applyFill="1" applyBorder="1" applyAlignment="1" applyProtection="1">
      <alignment horizontal="left" shrinkToFit="1"/>
      <protection locked="0"/>
    </xf>
    <xf numFmtId="0" fontId="76" fillId="21" borderId="25" xfId="21" applyFont="1" applyFill="1" applyBorder="1" applyProtection="1"/>
    <xf numFmtId="0" fontId="79" fillId="4" borderId="25" xfId="21" applyFont="1" applyFill="1" applyBorder="1" applyAlignment="1" applyProtection="1">
      <alignment horizontal="center" shrinkToFit="1"/>
      <protection locked="0"/>
    </xf>
    <xf numFmtId="0" fontId="79" fillId="4" borderId="25" xfId="21" applyFont="1" applyFill="1" applyBorder="1" applyAlignment="1" applyProtection="1">
      <alignment horizontal="left" shrinkToFit="1"/>
      <protection locked="0"/>
    </xf>
    <xf numFmtId="0" fontId="79" fillId="0" borderId="0" xfId="21" applyFont="1" applyBorder="1" applyAlignment="1" applyProtection="1">
      <alignment horizontal="left"/>
    </xf>
    <xf numFmtId="0" fontId="286" fillId="0" borderId="0" xfId="21" applyFont="1" applyBorder="1" applyAlignment="1" applyProtection="1">
      <alignment horizontal="left"/>
    </xf>
    <xf numFmtId="0" fontId="286" fillId="0" borderId="0" xfId="21" applyFont="1" applyBorder="1" applyProtection="1"/>
    <xf numFmtId="0" fontId="189" fillId="0" borderId="0" xfId="21" applyFont="1" applyBorder="1" applyAlignment="1" applyProtection="1">
      <alignment horizontal="left"/>
    </xf>
    <xf numFmtId="0" fontId="189" fillId="0" borderId="0" xfId="21" applyFont="1" applyBorder="1" applyProtection="1"/>
    <xf numFmtId="0" fontId="79" fillId="0" borderId="0" xfId="21" applyFont="1" applyBorder="1" applyAlignment="1" applyProtection="1">
      <alignment horizontal="right"/>
    </xf>
    <xf numFmtId="0" fontId="97" fillId="0" borderId="9" xfId="21" applyFont="1" applyBorder="1" applyAlignment="1" applyProtection="1">
      <alignment horizontal="center"/>
    </xf>
    <xf numFmtId="0" fontId="79" fillId="38" borderId="226" xfId="21" applyFont="1" applyFill="1" applyBorder="1" applyProtection="1">
      <protection locked="0"/>
    </xf>
    <xf numFmtId="0" fontId="79" fillId="0" borderId="226" xfId="21" applyFont="1" applyBorder="1" applyProtection="1"/>
    <xf numFmtId="0" fontId="238" fillId="0" borderId="0" xfId="21" applyFont="1" applyProtection="1"/>
    <xf numFmtId="2" fontId="97" fillId="4" borderId="20" xfId="21" applyNumberFormat="1" applyFont="1" applyFill="1" applyBorder="1" applyAlignment="1" applyProtection="1">
      <alignment horizontal="center" vertical="center" shrinkToFit="1"/>
      <protection locked="0"/>
    </xf>
    <xf numFmtId="2" fontId="97" fillId="4" borderId="69" xfId="21" applyNumberFormat="1" applyFont="1" applyFill="1" applyBorder="1" applyAlignment="1" applyProtection="1">
      <alignment horizontal="center" vertical="center" shrinkToFit="1"/>
      <protection locked="0"/>
    </xf>
    <xf numFmtId="0" fontId="97" fillId="4" borderId="20" xfId="21" applyFont="1" applyFill="1" applyBorder="1" applyAlignment="1" applyProtection="1">
      <alignment horizontal="center" vertical="center" shrinkToFit="1"/>
      <protection locked="0"/>
    </xf>
    <xf numFmtId="0" fontId="97" fillId="4" borderId="69" xfId="21" applyFont="1" applyFill="1" applyBorder="1" applyAlignment="1" applyProtection="1">
      <alignment horizontal="center" vertical="center" shrinkToFit="1"/>
      <protection locked="0"/>
    </xf>
    <xf numFmtId="0" fontId="97" fillId="21" borderId="27" xfId="21" applyFont="1" applyFill="1" applyBorder="1" applyAlignment="1" applyProtection="1">
      <alignment horizontal="center"/>
    </xf>
    <xf numFmtId="0" fontId="97" fillId="21" borderId="26" xfId="21" applyFont="1" applyFill="1" applyBorder="1" applyAlignment="1" applyProtection="1">
      <alignment horizontal="center"/>
    </xf>
    <xf numFmtId="0" fontId="97" fillId="21" borderId="25" xfId="21" applyFont="1" applyFill="1" applyBorder="1" applyAlignment="1" applyProtection="1">
      <alignment horizontal="center"/>
    </xf>
    <xf numFmtId="178" fontId="97" fillId="0" borderId="0" xfId="21" applyNumberFormat="1" applyFont="1" applyBorder="1" applyProtection="1"/>
    <xf numFmtId="0" fontId="97" fillId="0" borderId="0" xfId="21" applyFont="1" applyBorder="1" applyAlignment="1" applyProtection="1">
      <alignment horizontal="center"/>
    </xf>
    <xf numFmtId="0" fontId="171" fillId="0" borderId="0" xfId="59" applyNumberFormat="1" applyFont="1" applyBorder="1" applyAlignment="1" applyProtection="1">
      <alignment vertical="top"/>
    </xf>
    <xf numFmtId="0" fontId="278" fillId="0" borderId="9" xfId="21" applyNumberFormat="1" applyFont="1" applyBorder="1" applyAlignment="1" applyProtection="1">
      <alignment horizontal="left" vertical="top" wrapText="1"/>
    </xf>
    <xf numFmtId="0" fontId="278" fillId="0" borderId="0" xfId="21" applyNumberFormat="1" applyFont="1" applyBorder="1" applyAlignment="1" applyProtection="1">
      <alignment horizontal="left" vertical="top" wrapText="1"/>
    </xf>
    <xf numFmtId="0" fontId="79" fillId="0" borderId="31" xfId="21" applyFont="1" applyBorder="1" applyProtection="1"/>
    <xf numFmtId="0" fontId="79" fillId="0" borderId="7" xfId="21" applyFont="1" applyBorder="1" applyProtection="1"/>
    <xf numFmtId="0" fontId="276" fillId="0" borderId="0" xfId="21" applyFont="1" applyBorder="1" applyAlignment="1" applyProtection="1">
      <alignment horizontal="left"/>
    </xf>
    <xf numFmtId="0" fontId="276" fillId="0" borderId="182" xfId="21" applyFont="1" applyBorder="1" applyAlignment="1" applyProtection="1">
      <alignment horizontal="left"/>
    </xf>
    <xf numFmtId="0" fontId="276" fillId="0" borderId="182" xfId="21" applyFont="1" applyBorder="1" applyAlignment="1" applyProtection="1">
      <alignment horizontal="center"/>
    </xf>
    <xf numFmtId="0" fontId="276" fillId="0" borderId="0" xfId="21" applyFont="1" applyBorder="1" applyAlignment="1" applyProtection="1">
      <alignment horizontal="center"/>
    </xf>
    <xf numFmtId="0" fontId="97" fillId="0" borderId="0" xfId="21" applyFont="1" applyBorder="1" applyAlignment="1" applyProtection="1">
      <alignment horizontal="left"/>
    </xf>
    <xf numFmtId="0" fontId="276" fillId="0" borderId="0" xfId="21" applyFont="1" applyBorder="1" applyAlignment="1" applyProtection="1"/>
    <xf numFmtId="0" fontId="276" fillId="0" borderId="0" xfId="21" applyFont="1" applyBorder="1" applyProtection="1"/>
    <xf numFmtId="0" fontId="287" fillId="0" borderId="0" xfId="21" applyFont="1" applyProtection="1"/>
    <xf numFmtId="166" fontId="0" fillId="4" borderId="226" xfId="0" applyFill="1" applyBorder="1" applyProtection="1">
      <protection locked="0"/>
    </xf>
    <xf numFmtId="0" fontId="67" fillId="19" borderId="41" xfId="21" applyFont="1" applyFill="1" applyBorder="1" applyAlignment="1" applyProtection="1">
      <alignment horizontal="center" vertical="center" shrinkToFit="1"/>
      <protection hidden="1"/>
    </xf>
    <xf numFmtId="0" fontId="67" fillId="19" borderId="9" xfId="21" applyFont="1" applyFill="1" applyBorder="1" applyAlignment="1" applyProtection="1">
      <alignment horizontal="center" vertical="center" shrinkToFit="1"/>
      <protection hidden="1"/>
    </xf>
    <xf numFmtId="0" fontId="67" fillId="19" borderId="76" xfId="21" applyFont="1" applyFill="1" applyBorder="1" applyAlignment="1" applyProtection="1">
      <alignment horizontal="center" vertical="center" shrinkToFit="1"/>
      <protection hidden="1"/>
    </xf>
    <xf numFmtId="0" fontId="67" fillId="19" borderId="205" xfId="59" applyNumberFormat="1" applyFont="1" applyFill="1" applyBorder="1" applyAlignment="1" applyProtection="1">
      <alignment horizontal="center" vertical="center" shrinkToFit="1"/>
      <protection hidden="1"/>
    </xf>
    <xf numFmtId="172" fontId="66" fillId="3" borderId="44" xfId="21" applyNumberFormat="1" applyFont="1" applyFill="1" applyBorder="1" applyAlignment="1" applyProtection="1">
      <alignment horizontal="center" vertical="center" shrinkToFit="1"/>
      <protection hidden="1"/>
    </xf>
    <xf numFmtId="10" fontId="66" fillId="3" borderId="75" xfId="21" applyNumberFormat="1" applyFont="1" applyFill="1" applyBorder="1" applyAlignment="1" applyProtection="1">
      <alignment horizontal="center" vertical="center" shrinkToFit="1"/>
      <protection hidden="1"/>
    </xf>
    <xf numFmtId="172" fontId="66" fillId="3" borderId="66" xfId="21" applyNumberFormat="1" applyFont="1" applyFill="1" applyBorder="1" applyAlignment="1" applyProtection="1">
      <alignment horizontal="center" vertical="center" shrinkToFit="1"/>
      <protection hidden="1"/>
    </xf>
    <xf numFmtId="10" fontId="66" fillId="3" borderId="36" xfId="21" applyNumberFormat="1" applyFont="1" applyFill="1" applyBorder="1" applyAlignment="1" applyProtection="1">
      <alignment horizontal="center" vertical="center" shrinkToFit="1"/>
      <protection hidden="1"/>
    </xf>
    <xf numFmtId="178" fontId="67" fillId="8" borderId="229" xfId="21" applyNumberFormat="1" applyFont="1" applyFill="1" applyBorder="1" applyAlignment="1" applyProtection="1">
      <alignment horizontal="center" vertical="center" shrinkToFit="1"/>
      <protection hidden="1"/>
    </xf>
    <xf numFmtId="178" fontId="67" fillId="8" borderId="228" xfId="21" applyNumberFormat="1" applyFont="1" applyFill="1" applyBorder="1" applyAlignment="1" applyProtection="1">
      <alignment horizontal="center" vertical="center" shrinkToFit="1"/>
      <protection hidden="1"/>
    </xf>
    <xf numFmtId="10" fontId="67" fillId="8" borderId="45" xfId="21" applyNumberFormat="1" applyFont="1" applyFill="1" applyBorder="1" applyAlignment="1" applyProtection="1">
      <alignment horizontal="center" vertical="center" shrinkToFit="1"/>
      <protection hidden="1"/>
    </xf>
    <xf numFmtId="196" fontId="67" fillId="8" borderId="208" xfId="21" applyNumberFormat="1" applyFont="1" applyFill="1" applyBorder="1" applyAlignment="1" applyProtection="1">
      <alignment horizontal="center" vertical="center" shrinkToFit="1"/>
      <protection hidden="1"/>
    </xf>
    <xf numFmtId="0" fontId="194" fillId="0" borderId="204" xfId="21" applyFont="1" applyFill="1" applyBorder="1" applyAlignment="1" applyProtection="1">
      <alignment horizontal="left" vertical="center"/>
      <protection hidden="1"/>
    </xf>
    <xf numFmtId="0" fontId="194" fillId="0" borderId="0" xfId="21" applyFont="1" applyFill="1" applyBorder="1" applyAlignment="1" applyProtection="1">
      <alignment horizontal="left" vertical="center"/>
      <protection hidden="1"/>
    </xf>
    <xf numFmtId="178" fontId="198" fillId="0" borderId="0" xfId="21" applyNumberFormat="1" applyFont="1" applyFill="1" applyBorder="1" applyAlignment="1" applyProtection="1">
      <alignment horizontal="center" vertical="center"/>
      <protection hidden="1"/>
    </xf>
    <xf numFmtId="0" fontId="194" fillId="0" borderId="112" xfId="21" applyFont="1" applyFill="1" applyBorder="1" applyAlignment="1" applyProtection="1">
      <alignment vertical="center"/>
      <protection hidden="1"/>
    </xf>
    <xf numFmtId="0" fontId="194" fillId="0" borderId="204" xfId="21" applyFont="1" applyFill="1" applyBorder="1" applyAlignment="1" applyProtection="1">
      <alignment vertical="center"/>
      <protection hidden="1"/>
    </xf>
    <xf numFmtId="0" fontId="194" fillId="0" borderId="0" xfId="21" applyFont="1" applyFill="1" applyBorder="1" applyAlignment="1" applyProtection="1">
      <alignment vertical="center"/>
      <protection hidden="1"/>
    </xf>
    <xf numFmtId="0" fontId="67" fillId="19" borderId="100" xfId="21" applyNumberFormat="1" applyFont="1" applyFill="1" applyBorder="1" applyAlignment="1" applyProtection="1">
      <alignment horizontal="center" vertical="center" shrinkToFit="1"/>
      <protection hidden="1"/>
    </xf>
    <xf numFmtId="0" fontId="64" fillId="19" borderId="91" xfId="40" applyFont="1" applyFill="1" applyBorder="1" applyAlignment="1" applyProtection="1">
      <alignment horizontal="center" vertical="center" shrinkToFit="1"/>
      <protection hidden="1"/>
    </xf>
    <xf numFmtId="0" fontId="64" fillId="19" borderId="33" xfId="40" applyFont="1" applyFill="1" applyBorder="1" applyAlignment="1" applyProtection="1">
      <alignment horizontal="center" vertical="center" shrinkToFit="1"/>
      <protection hidden="1"/>
    </xf>
    <xf numFmtId="211" fontId="86" fillId="3" borderId="40" xfId="21" applyNumberFormat="1" applyFont="1" applyFill="1" applyBorder="1" applyAlignment="1" applyProtection="1">
      <alignment horizontal="center" vertical="center" shrinkToFit="1"/>
      <protection hidden="1"/>
    </xf>
    <xf numFmtId="211" fontId="62" fillId="0" borderId="98" xfId="40" applyNumberFormat="1" applyBorder="1" applyAlignment="1" applyProtection="1">
      <alignment horizontal="center" vertical="center" shrinkToFit="1"/>
      <protection hidden="1"/>
    </xf>
    <xf numFmtId="2" fontId="62" fillId="0" borderId="43" xfId="40" applyNumberFormat="1" applyBorder="1" applyAlignment="1" applyProtection="1">
      <alignment horizontal="center" vertical="center" shrinkToFit="1"/>
      <protection hidden="1"/>
    </xf>
    <xf numFmtId="211" fontId="86" fillId="3" borderId="73" xfId="21" applyNumberFormat="1" applyFont="1" applyFill="1" applyBorder="1" applyAlignment="1" applyProtection="1">
      <alignment horizontal="center" vertical="center" shrinkToFit="1"/>
      <protection hidden="1"/>
    </xf>
    <xf numFmtId="211" fontId="62" fillId="0" borderId="88" xfId="40" applyNumberFormat="1" applyBorder="1" applyAlignment="1" applyProtection="1">
      <alignment horizontal="center" vertical="center" shrinkToFit="1"/>
      <protection hidden="1"/>
    </xf>
    <xf numFmtId="2" fontId="62" fillId="0" borderId="69" xfId="40" applyNumberFormat="1" applyBorder="1" applyAlignment="1" applyProtection="1">
      <alignment horizontal="center" vertical="center" shrinkToFit="1"/>
      <protection hidden="1"/>
    </xf>
    <xf numFmtId="211" fontId="86" fillId="3" borderId="215" xfId="21" applyNumberFormat="1" applyFont="1" applyFill="1" applyBorder="1" applyAlignment="1" applyProtection="1">
      <alignment horizontal="center" vertical="center" shrinkToFit="1"/>
      <protection hidden="1"/>
    </xf>
    <xf numFmtId="211" fontId="62" fillId="0" borderId="139" xfId="40" applyNumberFormat="1" applyBorder="1" applyAlignment="1" applyProtection="1">
      <alignment horizontal="center" vertical="center" shrinkToFit="1"/>
      <protection hidden="1"/>
    </xf>
    <xf numFmtId="2" fontId="62" fillId="0" borderId="138" xfId="40" applyNumberFormat="1" applyBorder="1" applyAlignment="1" applyProtection="1">
      <alignment horizontal="center" vertical="center" shrinkToFit="1"/>
      <protection hidden="1"/>
    </xf>
    <xf numFmtId="0" fontId="66" fillId="0" borderId="5" xfId="21" applyBorder="1" applyAlignment="1" applyProtection="1">
      <alignment vertical="center"/>
      <protection hidden="1"/>
    </xf>
    <xf numFmtId="195" fontId="64" fillId="8" borderId="220" xfId="40" applyNumberFormat="1" applyFont="1" applyFill="1" applyBorder="1" applyAlignment="1" applyProtection="1">
      <alignment horizontal="center" vertical="center"/>
      <protection hidden="1"/>
    </xf>
    <xf numFmtId="2" fontId="64" fillId="8" borderId="221" xfId="40" applyNumberFormat="1" applyFont="1" applyFill="1" applyBorder="1" applyAlignment="1" applyProtection="1">
      <alignment horizontal="center" vertical="center"/>
      <protection hidden="1"/>
    </xf>
    <xf numFmtId="0" fontId="66" fillId="0" borderId="0" xfId="21" applyAlignment="1" applyProtection="1">
      <alignment vertical="center"/>
      <protection hidden="1"/>
    </xf>
    <xf numFmtId="195" fontId="64" fillId="8" borderId="139" xfId="40" applyNumberFormat="1" applyFont="1" applyFill="1" applyBorder="1" applyAlignment="1" applyProtection="1">
      <alignment horizontal="center" vertical="center"/>
      <protection hidden="1"/>
    </xf>
    <xf numFmtId="2" fontId="64" fillId="8" borderId="222" xfId="40" applyNumberFormat="1" applyFont="1" applyFill="1" applyBorder="1" applyAlignment="1" applyProtection="1">
      <alignment horizontal="center" vertical="center"/>
      <protection hidden="1"/>
    </xf>
    <xf numFmtId="0" fontId="194" fillId="0" borderId="0" xfId="21" applyFont="1" applyFill="1" applyAlignment="1" applyProtection="1">
      <alignment vertical="center"/>
      <protection hidden="1"/>
    </xf>
    <xf numFmtId="0" fontId="173" fillId="0" borderId="0" xfId="21" applyFont="1" applyAlignment="1" applyProtection="1">
      <alignment vertical="center"/>
      <protection hidden="1"/>
    </xf>
    <xf numFmtId="0" fontId="67" fillId="0" borderId="29" xfId="21" applyFont="1" applyBorder="1" applyAlignment="1" applyProtection="1">
      <alignment vertical="center"/>
      <protection hidden="1"/>
    </xf>
    <xf numFmtId="0" fontId="67" fillId="0" borderId="186" xfId="21" applyFont="1" applyBorder="1" applyAlignment="1" applyProtection="1">
      <alignment vertical="center"/>
      <protection hidden="1"/>
    </xf>
    <xf numFmtId="0" fontId="103" fillId="21" borderId="65" xfId="45" applyNumberFormat="1" applyFont="1" applyFill="1" applyBorder="1" applyAlignment="1" applyProtection="1">
      <alignment horizontal="center" vertical="center" shrinkToFit="1"/>
      <protection hidden="1"/>
    </xf>
    <xf numFmtId="0" fontId="67" fillId="34" borderId="98" xfId="21" applyFont="1" applyFill="1" applyBorder="1" applyAlignment="1" applyProtection="1">
      <alignment horizontal="center" vertical="center" shrinkToFit="1"/>
      <protection hidden="1"/>
    </xf>
    <xf numFmtId="0" fontId="67" fillId="34" borderId="44" xfId="21" applyFont="1" applyFill="1" applyBorder="1" applyAlignment="1" applyProtection="1">
      <alignment horizontal="center" vertical="center" shrinkToFit="1"/>
      <protection hidden="1"/>
    </xf>
    <xf numFmtId="0" fontId="67" fillId="34" borderId="67" xfId="21" applyFont="1" applyFill="1" applyBorder="1" applyAlignment="1" applyProtection="1">
      <alignment horizontal="center" vertical="center" shrinkToFit="1"/>
      <protection hidden="1"/>
    </xf>
    <xf numFmtId="0" fontId="67" fillId="34" borderId="43" xfId="21" applyFont="1" applyFill="1" applyBorder="1" applyAlignment="1" applyProtection="1">
      <alignment horizontal="center" vertical="center" shrinkToFit="1"/>
      <protection hidden="1"/>
    </xf>
    <xf numFmtId="178" fontId="67" fillId="0" borderId="91" xfId="21" applyNumberFormat="1" applyFont="1" applyFill="1" applyBorder="1" applyAlignment="1" applyProtection="1">
      <alignment horizontal="center" vertical="center"/>
      <protection hidden="1"/>
    </xf>
    <xf numFmtId="178" fontId="67" fillId="0" borderId="9" xfId="21" applyNumberFormat="1" applyFont="1" applyFill="1" applyBorder="1" applyAlignment="1" applyProtection="1">
      <alignment horizontal="center" vertical="center"/>
      <protection hidden="1"/>
    </xf>
    <xf numFmtId="178" fontId="67" fillId="3" borderId="86" xfId="21" applyNumberFormat="1" applyFont="1" applyFill="1" applyBorder="1" applyAlignment="1" applyProtection="1">
      <alignment horizontal="center" vertical="center"/>
      <protection hidden="1"/>
    </xf>
    <xf numFmtId="178" fontId="67" fillId="8" borderId="91" xfId="21" applyNumberFormat="1" applyFont="1" applyFill="1" applyBorder="1" applyAlignment="1" applyProtection="1">
      <alignment horizontal="center" vertical="center"/>
      <protection hidden="1"/>
    </xf>
    <xf numFmtId="178" fontId="67" fillId="8" borderId="33" xfId="21" applyNumberFormat="1" applyFont="1" applyFill="1" applyBorder="1" applyAlignment="1" applyProtection="1">
      <alignment horizontal="center" vertical="center"/>
      <protection hidden="1"/>
    </xf>
    <xf numFmtId="0" fontId="66" fillId="0" borderId="0" xfId="21" applyFont="1" applyAlignment="1" applyProtection="1">
      <alignment vertical="center"/>
      <protection hidden="1"/>
    </xf>
    <xf numFmtId="0" fontId="67" fillId="21" borderId="45" xfId="21" applyFont="1" applyFill="1" applyBorder="1" applyAlignment="1" applyProtection="1">
      <alignment horizontal="center" vertical="center"/>
      <protection hidden="1"/>
    </xf>
    <xf numFmtId="166" fontId="76" fillId="0" borderId="0" xfId="27" applyNumberFormat="1" applyFont="1" applyFill="1" applyBorder="1" applyProtection="1">
      <protection hidden="1"/>
    </xf>
    <xf numFmtId="176" fontId="203" fillId="4" borderId="1" xfId="0" applyNumberFormat="1" applyFont="1" applyFill="1" applyBorder="1" applyAlignment="1" applyProtection="1">
      <alignment horizontal="center" shrinkToFit="1"/>
      <protection locked="0"/>
    </xf>
    <xf numFmtId="185" fontId="203" fillId="4" borderId="1" xfId="0" applyNumberFormat="1" applyFont="1" applyFill="1" applyBorder="1" applyAlignment="1" applyProtection="1">
      <alignment horizontal="center" shrinkToFit="1"/>
      <protection locked="0"/>
    </xf>
    <xf numFmtId="179" fontId="203" fillId="4" borderId="1" xfId="0" applyNumberFormat="1" applyFont="1" applyFill="1" applyBorder="1" applyAlignment="1" applyProtection="1">
      <alignment horizontal="center" shrinkToFit="1"/>
      <protection locked="0"/>
    </xf>
    <xf numFmtId="2" fontId="203" fillId="4" borderId="1" xfId="0" applyNumberFormat="1" applyFont="1" applyFill="1" applyBorder="1" applyAlignment="1" applyProtection="1">
      <alignment horizontal="center" shrinkToFit="1"/>
      <protection locked="0"/>
    </xf>
    <xf numFmtId="0" fontId="288" fillId="0" borderId="0" xfId="0" applyNumberFormat="1" applyFont="1" applyAlignment="1" applyProtection="1">
      <alignment vertical="center"/>
    </xf>
    <xf numFmtId="0" fontId="203" fillId="21" borderId="226" xfId="0" applyNumberFormat="1" applyFont="1" applyFill="1" applyBorder="1" applyAlignment="1" applyProtection="1">
      <alignment vertical="center"/>
    </xf>
    <xf numFmtId="0" fontId="203" fillId="4" borderId="226" xfId="0" applyNumberFormat="1" applyFont="1" applyFill="1" applyBorder="1" applyAlignment="1" applyProtection="1">
      <alignment horizontal="center" vertical="center"/>
      <protection locked="0"/>
    </xf>
    <xf numFmtId="176" fontId="67" fillId="4" borderId="2" xfId="0" applyNumberFormat="1" applyFont="1" applyFill="1" applyBorder="1" applyAlignment="1" applyProtection="1">
      <alignment horizontal="center" vertical="center" shrinkToFit="1"/>
      <protection locked="0"/>
    </xf>
    <xf numFmtId="166" fontId="0" fillId="0" borderId="226" xfId="0" applyBorder="1" applyProtection="1"/>
    <xf numFmtId="166" fontId="0" fillId="0" borderId="226" xfId="0" applyFill="1" applyBorder="1" applyProtection="1"/>
    <xf numFmtId="0" fontId="203" fillId="47" borderId="2" xfId="0" applyNumberFormat="1" applyFont="1" applyFill="1" applyBorder="1" applyAlignment="1" applyProtection="1">
      <alignment horizontal="center" shrinkToFit="1"/>
    </xf>
    <xf numFmtId="0" fontId="67" fillId="47" borderId="235" xfId="0" applyNumberFormat="1" applyFont="1" applyFill="1" applyBorder="1" applyAlignment="1" applyProtection="1">
      <alignment horizontal="center" shrinkToFit="1"/>
    </xf>
    <xf numFmtId="0" fontId="67" fillId="47" borderId="2" xfId="0" applyNumberFormat="1" applyFont="1" applyFill="1" applyBorder="1" applyAlignment="1" applyProtection="1">
      <alignment horizontal="center" shrinkToFit="1"/>
    </xf>
    <xf numFmtId="0" fontId="203" fillId="48" borderId="181" xfId="0" applyNumberFormat="1" applyFont="1" applyFill="1" applyBorder="1" applyAlignment="1" applyProtection="1">
      <alignment horizontal="right" shrinkToFit="1"/>
    </xf>
    <xf numFmtId="0" fontId="203" fillId="48" borderId="30" xfId="0" applyNumberFormat="1" applyFont="1" applyFill="1" applyBorder="1" applyAlignment="1" applyProtection="1">
      <alignment horizontal="right" shrinkToFit="1"/>
    </xf>
    <xf numFmtId="0" fontId="67" fillId="47" borderId="24" xfId="0" applyNumberFormat="1" applyFont="1" applyFill="1" applyBorder="1" applyAlignment="1" applyProtection="1">
      <alignment horizontal="center" shrinkToFit="1"/>
    </xf>
    <xf numFmtId="0" fontId="67" fillId="47" borderId="30" xfId="0" applyNumberFormat="1" applyFont="1" applyFill="1" applyBorder="1" applyAlignment="1" applyProtection="1">
      <alignment horizontal="right" shrinkToFit="1"/>
    </xf>
    <xf numFmtId="0" fontId="203" fillId="47" borderId="28" xfId="0" applyNumberFormat="1" applyFont="1" applyFill="1" applyBorder="1" applyAlignment="1" applyProtection="1">
      <alignment shrinkToFit="1"/>
    </xf>
    <xf numFmtId="0" fontId="203" fillId="47" borderId="24" xfId="0" applyNumberFormat="1" applyFont="1" applyFill="1" applyBorder="1" applyProtection="1"/>
    <xf numFmtId="0" fontId="203" fillId="47" borderId="24" xfId="0" applyNumberFormat="1" applyFont="1" applyFill="1" applyBorder="1" applyAlignment="1" applyProtection="1">
      <alignment horizontal="center"/>
    </xf>
    <xf numFmtId="0" fontId="203" fillId="47" borderId="2" xfId="0" applyNumberFormat="1" applyFont="1" applyFill="1" applyBorder="1" applyAlignment="1" applyProtection="1">
      <alignment horizontal="center"/>
    </xf>
    <xf numFmtId="0" fontId="67" fillId="47" borderId="181" xfId="0" applyNumberFormat="1" applyFont="1" applyFill="1" applyBorder="1" applyAlignment="1" applyProtection="1">
      <alignment horizontal="center"/>
    </xf>
    <xf numFmtId="0" fontId="246" fillId="36" borderId="226" xfId="0" applyNumberFormat="1" applyFont="1" applyFill="1" applyBorder="1" applyAlignment="1" applyProtection="1">
      <alignment horizontal="center" shrinkToFit="1"/>
    </xf>
    <xf numFmtId="0" fontId="246" fillId="39" borderId="2" xfId="0" applyNumberFormat="1" applyFont="1" applyFill="1" applyBorder="1" applyAlignment="1" applyProtection="1">
      <alignment horizontal="center"/>
    </xf>
    <xf numFmtId="0" fontId="64" fillId="39" borderId="1" xfId="40" applyFont="1" applyFill="1" applyBorder="1" applyAlignment="1" applyProtection="1">
      <alignment horizontal="center"/>
    </xf>
    <xf numFmtId="0" fontId="10" fillId="0" borderId="181" xfId="40" applyFont="1" applyBorder="1" applyProtection="1">
      <protection hidden="1"/>
    </xf>
    <xf numFmtId="166" fontId="289" fillId="30" borderId="8" xfId="0" applyFont="1" applyFill="1" applyBorder="1" applyAlignment="1" applyProtection="1">
      <protection hidden="1"/>
    </xf>
    <xf numFmtId="166" fontId="290" fillId="30" borderId="223" xfId="0" applyFont="1" applyFill="1" applyBorder="1" applyAlignment="1" applyProtection="1">
      <alignment horizontal="right"/>
      <protection hidden="1"/>
    </xf>
    <xf numFmtId="166" fontId="290" fillId="30" borderId="34" xfId="0" applyFont="1" applyFill="1" applyBorder="1" applyAlignment="1" applyProtection="1">
      <protection hidden="1"/>
    </xf>
    <xf numFmtId="166" fontId="290" fillId="30" borderId="236" xfId="0" applyFont="1" applyFill="1" applyBorder="1" applyAlignment="1" applyProtection="1">
      <alignment horizontal="right"/>
      <protection hidden="1"/>
    </xf>
    <xf numFmtId="166" fontId="290" fillId="30" borderId="33" xfId="0" applyFont="1" applyFill="1" applyBorder="1" applyAlignment="1" applyProtection="1">
      <protection hidden="1"/>
    </xf>
    <xf numFmtId="0" fontId="9" fillId="0" borderId="181" xfId="40" applyFont="1" applyBorder="1" applyProtection="1">
      <protection hidden="1"/>
    </xf>
    <xf numFmtId="0" fontId="103" fillId="19" borderId="0" xfId="45" applyNumberFormat="1" applyFont="1" applyFill="1" applyBorder="1" applyAlignment="1" applyProtection="1">
      <alignment vertical="center"/>
      <protection hidden="1"/>
    </xf>
    <xf numFmtId="0" fontId="103" fillId="19" borderId="9" xfId="45" applyNumberFormat="1" applyFont="1" applyFill="1" applyBorder="1" applyAlignment="1" applyProtection="1">
      <alignment vertical="center"/>
      <protection hidden="1"/>
    </xf>
    <xf numFmtId="0" fontId="103" fillId="21" borderId="44" xfId="45" applyNumberFormat="1" applyFont="1" applyFill="1" applyBorder="1" applyAlignment="1" applyProtection="1">
      <alignment horizontal="center" vertical="center" shrinkToFit="1"/>
      <protection hidden="1"/>
    </xf>
    <xf numFmtId="0" fontId="103" fillId="21" borderId="43" xfId="45" applyNumberFormat="1" applyFont="1" applyFill="1" applyBorder="1" applyAlignment="1" applyProtection="1">
      <alignment horizontal="center" vertical="center" shrinkToFit="1"/>
      <protection hidden="1"/>
    </xf>
    <xf numFmtId="0" fontId="226" fillId="21" borderId="43" xfId="45" applyNumberFormat="1" applyFont="1" applyFill="1" applyBorder="1" applyAlignment="1" applyProtection="1">
      <alignment horizontal="center" vertical="center" shrinkToFit="1"/>
      <protection hidden="1"/>
    </xf>
    <xf numFmtId="0" fontId="226" fillId="19" borderId="31" xfId="45" applyNumberFormat="1" applyFont="1" applyFill="1" applyBorder="1" applyAlignment="1" applyProtection="1">
      <alignment vertical="center" shrinkToFit="1"/>
      <protection hidden="1"/>
    </xf>
    <xf numFmtId="0" fontId="226" fillId="19" borderId="33" xfId="45" applyNumberFormat="1" applyFont="1" applyFill="1" applyBorder="1" applyAlignment="1" applyProtection="1">
      <alignment vertical="center" shrinkToFit="1"/>
      <protection hidden="1"/>
    </xf>
    <xf numFmtId="0" fontId="8" fillId="0" borderId="0" xfId="40" applyFont="1" applyProtection="1">
      <protection hidden="1"/>
    </xf>
    <xf numFmtId="166" fontId="167" fillId="0" borderId="0" xfId="0" applyFont="1" applyProtection="1">
      <protection hidden="1"/>
    </xf>
    <xf numFmtId="0" fontId="8" fillId="3" borderId="6" xfId="40" applyFont="1" applyFill="1" applyBorder="1" applyProtection="1">
      <protection hidden="1"/>
    </xf>
    <xf numFmtId="166" fontId="287" fillId="0" borderId="0" xfId="0" applyFont="1" applyProtection="1">
      <protection hidden="1"/>
    </xf>
    <xf numFmtId="166" fontId="79" fillId="0" borderId="226" xfId="0" applyFont="1" applyBorder="1" applyProtection="1">
      <protection hidden="1"/>
    </xf>
    <xf numFmtId="166" fontId="294" fillId="0" borderId="0" xfId="0" applyFont="1" applyProtection="1">
      <protection hidden="1"/>
    </xf>
    <xf numFmtId="166" fontId="238" fillId="0" borderId="0" xfId="0" applyFont="1" applyProtection="1">
      <protection hidden="1"/>
    </xf>
    <xf numFmtId="166" fontId="295" fillId="0" borderId="0" xfId="0" applyFont="1" applyProtection="1">
      <protection hidden="1"/>
    </xf>
    <xf numFmtId="0" fontId="8" fillId="3" borderId="0" xfId="40" applyFont="1" applyFill="1" applyBorder="1" applyAlignment="1" applyProtection="1">
      <alignment wrapText="1"/>
      <protection hidden="1"/>
    </xf>
    <xf numFmtId="166" fontId="79" fillId="0" borderId="0" xfId="0" applyFont="1" applyFill="1" applyProtection="1">
      <protection hidden="1"/>
    </xf>
    <xf numFmtId="0" fontId="287" fillId="0" borderId="0" xfId="21" applyFont="1" applyBorder="1" applyProtection="1"/>
    <xf numFmtId="0" fontId="287" fillId="0" borderId="185" xfId="21" applyFont="1" applyBorder="1" applyAlignment="1" applyProtection="1"/>
    <xf numFmtId="0" fontId="287" fillId="0" borderId="29" xfId="21" applyFont="1" applyBorder="1" applyAlignment="1" applyProtection="1"/>
    <xf numFmtId="0" fontId="287" fillId="0" borderId="186" xfId="21" applyFont="1" applyBorder="1" applyAlignment="1" applyProtection="1"/>
    <xf numFmtId="0" fontId="292" fillId="0" borderId="0" xfId="21" applyFont="1" applyAlignment="1" applyProtection="1">
      <alignment horizontal="left" vertical="top" wrapText="1" shrinkToFit="1"/>
      <protection hidden="1"/>
    </xf>
    <xf numFmtId="0" fontId="296" fillId="0" borderId="0" xfId="21" applyFont="1" applyProtection="1"/>
    <xf numFmtId="0" fontId="287" fillId="0" borderId="29" xfId="21" applyFont="1" applyBorder="1" applyProtection="1"/>
    <xf numFmtId="0" fontId="129" fillId="0" borderId="0" xfId="21" applyFont="1" applyProtection="1"/>
    <xf numFmtId="166" fontId="83" fillId="0" borderId="0" xfId="0" applyFont="1" applyProtection="1">
      <protection hidden="1"/>
    </xf>
    <xf numFmtId="0" fontId="76" fillId="0" borderId="0" xfId="40" applyFont="1" applyFill="1" applyAlignment="1" applyProtection="1">
      <alignment horizontal="left"/>
      <protection hidden="1"/>
    </xf>
    <xf numFmtId="0" fontId="8" fillId="0" borderId="0" xfId="40" applyFont="1" applyFill="1" applyAlignment="1" applyProtection="1">
      <alignment horizontal="left"/>
      <protection hidden="1"/>
    </xf>
    <xf numFmtId="0" fontId="64" fillId="0" borderId="0" xfId="40" applyFont="1" applyFill="1" applyAlignment="1" applyProtection="1">
      <alignment horizontal="center"/>
      <protection hidden="1"/>
    </xf>
    <xf numFmtId="166" fontId="101" fillId="0" borderId="0" xfId="0" applyFont="1" applyFill="1" applyAlignment="1" applyProtection="1">
      <alignment vertical="center"/>
      <protection hidden="1"/>
    </xf>
    <xf numFmtId="166" fontId="101" fillId="0" borderId="0" xfId="0" applyFont="1" applyAlignment="1" applyProtection="1">
      <alignment vertical="center"/>
      <protection hidden="1"/>
    </xf>
    <xf numFmtId="166" fontId="286" fillId="0" borderId="0" xfId="0" applyFont="1" applyFill="1" applyAlignment="1" applyProtection="1">
      <alignment vertical="center"/>
      <protection hidden="1"/>
    </xf>
    <xf numFmtId="166" fontId="286" fillId="0" borderId="0" xfId="0" applyFont="1" applyAlignment="1" applyProtection="1">
      <alignment vertical="center"/>
      <protection hidden="1"/>
    </xf>
    <xf numFmtId="211" fontId="127" fillId="0" borderId="40" xfId="40" applyNumberFormat="1" applyFont="1" applyFill="1" applyBorder="1" applyAlignment="1" applyProtection="1">
      <alignment horizontal="center" vertical="center"/>
      <protection hidden="1"/>
    </xf>
    <xf numFmtId="211" fontId="127" fillId="0" borderId="42" xfId="40" applyNumberFormat="1" applyFont="1" applyFill="1" applyBorder="1" applyAlignment="1" applyProtection="1">
      <alignment horizontal="center" vertical="center"/>
      <protection hidden="1"/>
    </xf>
    <xf numFmtId="211" fontId="127" fillId="0" borderId="35" xfId="40" applyNumberFormat="1" applyFont="1" applyFill="1" applyBorder="1" applyAlignment="1" applyProtection="1">
      <alignment horizontal="center" vertical="center"/>
      <protection hidden="1"/>
    </xf>
    <xf numFmtId="166" fontId="238" fillId="0" borderId="23" xfId="0" applyFont="1" applyBorder="1" applyProtection="1">
      <protection hidden="1"/>
    </xf>
    <xf numFmtId="166" fontId="238" fillId="0" borderId="2" xfId="0" applyFont="1" applyBorder="1" applyProtection="1">
      <protection hidden="1"/>
    </xf>
    <xf numFmtId="166" fontId="270" fillId="0" borderId="0" xfId="0" applyFont="1" applyAlignment="1" applyProtection="1">
      <alignment vertical="center"/>
      <protection hidden="1"/>
    </xf>
    <xf numFmtId="166" fontId="270" fillId="0" borderId="0" xfId="0" applyFont="1" applyProtection="1">
      <protection hidden="1"/>
    </xf>
    <xf numFmtId="0" fontId="297" fillId="0" borderId="0" xfId="40" applyFont="1" applyFill="1" applyAlignment="1" applyProtection="1">
      <alignment horizontal="left"/>
      <protection hidden="1"/>
    </xf>
    <xf numFmtId="166" fontId="298" fillId="0" borderId="0" xfId="0" applyFont="1" applyAlignment="1" applyProtection="1">
      <alignment vertical="center"/>
      <protection hidden="1"/>
    </xf>
    <xf numFmtId="0" fontId="274" fillId="0" borderId="0" xfId="40" applyFont="1" applyFill="1" applyAlignment="1" applyProtection="1">
      <alignment horizontal="left"/>
      <protection hidden="1"/>
    </xf>
    <xf numFmtId="0" fontId="242" fillId="0" borderId="0" xfId="40" applyFont="1" applyFill="1" applyAlignment="1" applyProtection="1">
      <alignment horizontal="left"/>
      <protection hidden="1"/>
    </xf>
    <xf numFmtId="166" fontId="299" fillId="0" borderId="0" xfId="0" applyFont="1" applyProtection="1">
      <protection hidden="1"/>
    </xf>
    <xf numFmtId="0" fontId="243" fillId="0" borderId="0" xfId="40" applyFont="1" applyFill="1" applyAlignment="1" applyProtection="1">
      <alignment horizontal="center"/>
      <protection hidden="1"/>
    </xf>
    <xf numFmtId="166" fontId="299" fillId="0" borderId="235" xfId="0" applyFont="1" applyBorder="1" applyProtection="1">
      <protection hidden="1"/>
    </xf>
    <xf numFmtId="166" fontId="274" fillId="0" borderId="0" xfId="0" applyFont="1" applyFill="1" applyBorder="1" applyAlignment="1" applyProtection="1">
      <alignment vertical="center" wrapText="1"/>
      <protection hidden="1"/>
    </xf>
    <xf numFmtId="166" fontId="274" fillId="0" borderId="0" xfId="0" applyFont="1" applyFill="1" applyProtection="1">
      <protection hidden="1"/>
    </xf>
    <xf numFmtId="166" fontId="298" fillId="0" borderId="0" xfId="0" applyFont="1" applyFill="1" applyBorder="1" applyAlignment="1" applyProtection="1">
      <alignment horizontal="center" vertical="center" wrapText="1"/>
      <protection hidden="1"/>
    </xf>
    <xf numFmtId="166" fontId="276" fillId="0" borderId="0" xfId="0" applyFont="1" applyProtection="1">
      <protection hidden="1"/>
    </xf>
    <xf numFmtId="211" fontId="127" fillId="0" borderId="0" xfId="40" applyNumberFormat="1" applyFont="1" applyFill="1" applyBorder="1" applyAlignment="1" applyProtection="1">
      <alignment horizontal="center" vertical="center"/>
      <protection hidden="1"/>
    </xf>
    <xf numFmtId="166" fontId="83" fillId="0" borderId="0" xfId="0" applyFont="1" applyFill="1" applyBorder="1" applyAlignment="1" applyProtection="1">
      <alignment horizontal="center" vertical="center" wrapText="1"/>
      <protection hidden="1"/>
    </xf>
    <xf numFmtId="166" fontId="83" fillId="19" borderId="246" xfId="0" applyFont="1" applyFill="1" applyBorder="1" applyAlignment="1" applyProtection="1">
      <alignment horizontal="center" vertical="center" shrinkToFit="1"/>
      <protection hidden="1"/>
    </xf>
    <xf numFmtId="166" fontId="83" fillId="19" borderId="252" xfId="0" applyFont="1" applyFill="1" applyBorder="1" applyAlignment="1" applyProtection="1">
      <alignment horizontal="center" vertical="center" shrinkToFit="1"/>
      <protection hidden="1"/>
    </xf>
    <xf numFmtId="166" fontId="83" fillId="19" borderId="257" xfId="0" applyFont="1" applyFill="1" applyBorder="1" applyAlignment="1" applyProtection="1">
      <alignment horizontal="center" vertical="center" shrinkToFit="1"/>
      <protection hidden="1"/>
    </xf>
    <xf numFmtId="15" fontId="127" fillId="0" borderId="98" xfId="40" applyNumberFormat="1" applyFont="1" applyFill="1" applyBorder="1" applyAlignment="1" applyProtection="1">
      <alignment horizontal="center" vertical="center" shrinkToFit="1"/>
      <protection hidden="1"/>
    </xf>
    <xf numFmtId="15" fontId="127" fillId="0" borderId="88" xfId="40" applyNumberFormat="1" applyFont="1" applyFill="1" applyBorder="1" applyAlignment="1" applyProtection="1">
      <alignment horizontal="center" vertical="center" shrinkToFit="1"/>
      <protection hidden="1"/>
    </xf>
    <xf numFmtId="15" fontId="127" fillId="0" borderId="41" xfId="40" applyNumberFormat="1" applyFont="1" applyFill="1" applyBorder="1" applyAlignment="1" applyProtection="1">
      <alignment horizontal="center" vertical="center" shrinkToFit="1"/>
      <protection hidden="1"/>
    </xf>
    <xf numFmtId="166" fontId="83" fillId="5" borderId="39" xfId="0" applyFont="1" applyFill="1" applyBorder="1" applyAlignment="1" applyProtection="1">
      <alignment horizontal="center" vertical="center"/>
      <protection hidden="1"/>
    </xf>
    <xf numFmtId="166" fontId="83" fillId="5" borderId="62" xfId="0" applyFont="1" applyFill="1" applyBorder="1" applyAlignment="1" applyProtection="1">
      <alignment horizontal="center" vertical="center"/>
      <protection hidden="1"/>
    </xf>
    <xf numFmtId="166" fontId="287" fillId="0" borderId="226" xfId="0" applyFont="1" applyBorder="1" applyProtection="1">
      <protection hidden="1"/>
    </xf>
    <xf numFmtId="166" fontId="238" fillId="0" borderId="235" xfId="0" applyFont="1" applyBorder="1" applyProtection="1">
      <protection hidden="1"/>
    </xf>
    <xf numFmtId="0" fontId="127" fillId="0" borderId="0" xfId="40" applyFont="1" applyFill="1" applyAlignment="1" applyProtection="1">
      <alignment horizontal="left"/>
      <protection hidden="1"/>
    </xf>
    <xf numFmtId="2" fontId="127" fillId="0" borderId="98" xfId="40" applyNumberFormat="1" applyFont="1" applyFill="1" applyBorder="1" applyAlignment="1" applyProtection="1">
      <alignment horizontal="center" vertical="center"/>
      <protection hidden="1"/>
    </xf>
    <xf numFmtId="2" fontId="127" fillId="0" borderId="88" xfId="40" applyNumberFormat="1" applyFont="1" applyFill="1" applyBorder="1" applyAlignment="1" applyProtection="1">
      <alignment horizontal="center" vertical="center"/>
      <protection hidden="1"/>
    </xf>
    <xf numFmtId="2" fontId="127" fillId="0" borderId="41" xfId="40" applyNumberFormat="1" applyFont="1" applyFill="1" applyBorder="1" applyAlignment="1" applyProtection="1">
      <alignment horizontal="center" vertical="center"/>
      <protection hidden="1"/>
    </xf>
    <xf numFmtId="166" fontId="79" fillId="19" borderId="226" xfId="0" applyFont="1" applyFill="1" applyBorder="1" applyProtection="1">
      <protection hidden="1"/>
    </xf>
    <xf numFmtId="166" fontId="274" fillId="0" borderId="223" xfId="0" applyFont="1" applyBorder="1" applyAlignment="1" applyProtection="1">
      <alignment vertical="center"/>
      <protection hidden="1"/>
    </xf>
    <xf numFmtId="166" fontId="274" fillId="0" borderId="223" xfId="0" applyFont="1" applyBorder="1" applyProtection="1">
      <protection hidden="1"/>
    </xf>
    <xf numFmtId="0" fontId="242" fillId="0" borderId="223" xfId="40" applyFont="1" applyFill="1" applyBorder="1" applyAlignment="1" applyProtection="1">
      <alignment horizontal="left"/>
      <protection hidden="1"/>
    </xf>
    <xf numFmtId="0" fontId="209" fillId="0" borderId="0" xfId="21" applyFont="1" applyBorder="1" applyAlignment="1" applyProtection="1">
      <alignment vertical="top" wrapText="1"/>
      <protection hidden="1"/>
    </xf>
    <xf numFmtId="166" fontId="274" fillId="0" borderId="0" xfId="0" applyFont="1" applyProtection="1">
      <protection hidden="1"/>
    </xf>
    <xf numFmtId="166" fontId="274" fillId="0" borderId="0" xfId="0" applyFont="1" applyAlignment="1" applyProtection="1">
      <alignment vertical="center"/>
      <protection hidden="1"/>
    </xf>
    <xf numFmtId="0" fontId="209" fillId="0" borderId="223" xfId="21" applyFont="1" applyBorder="1" applyAlignment="1" applyProtection="1">
      <alignment vertical="top" wrapText="1"/>
      <protection hidden="1"/>
    </xf>
    <xf numFmtId="0" fontId="209" fillId="0" borderId="236" xfId="21" applyFont="1" applyBorder="1" applyAlignment="1" applyProtection="1">
      <alignment vertical="top" wrapText="1"/>
      <protection hidden="1"/>
    </xf>
    <xf numFmtId="166" fontId="74" fillId="0" borderId="0" xfId="0" applyFont="1" applyAlignment="1" applyProtection="1">
      <alignment vertical="center"/>
      <protection hidden="1"/>
    </xf>
    <xf numFmtId="166" fontId="300" fillId="0" borderId="0" xfId="0" applyFont="1" applyAlignment="1" applyProtection="1">
      <alignment vertical="center"/>
      <protection hidden="1"/>
    </xf>
    <xf numFmtId="166" fontId="299" fillId="0" borderId="23" xfId="0" applyFont="1" applyBorder="1" applyProtection="1">
      <protection hidden="1"/>
    </xf>
    <xf numFmtId="166" fontId="83" fillId="21" borderId="246" xfId="0" applyFont="1" applyFill="1" applyBorder="1" applyAlignment="1" applyProtection="1">
      <alignment horizontal="center" vertical="center" shrinkToFit="1"/>
      <protection hidden="1"/>
    </xf>
    <xf numFmtId="166" fontId="83" fillId="21" borderId="252" xfId="0" applyFont="1" applyFill="1" applyBorder="1" applyAlignment="1" applyProtection="1">
      <alignment horizontal="center" vertical="center" shrinkToFit="1"/>
      <protection hidden="1"/>
    </xf>
    <xf numFmtId="166" fontId="83" fillId="21" borderId="257" xfId="0" applyFont="1" applyFill="1" applyBorder="1" applyAlignment="1" applyProtection="1">
      <alignment horizontal="center" vertical="center" shrinkToFit="1"/>
      <protection hidden="1"/>
    </xf>
    <xf numFmtId="166" fontId="79" fillId="0" borderId="0" xfId="0" applyFont="1" applyBorder="1" applyProtection="1">
      <protection hidden="1"/>
    </xf>
    <xf numFmtId="166" fontId="238" fillId="0" borderId="0" xfId="0" applyFont="1" applyBorder="1" applyProtection="1">
      <protection hidden="1"/>
    </xf>
    <xf numFmtId="166" fontId="274" fillId="0" borderId="0" xfId="0" applyFont="1" applyBorder="1" applyProtection="1">
      <protection hidden="1"/>
    </xf>
    <xf numFmtId="166" fontId="300" fillId="0" borderId="0" xfId="0" applyFont="1" applyAlignment="1" applyProtection="1">
      <alignment horizontal="center" vertical="center"/>
      <protection hidden="1"/>
    </xf>
    <xf numFmtId="178" fontId="127" fillId="4" borderId="27" xfId="40" applyNumberFormat="1" applyFont="1" applyFill="1" applyBorder="1" applyAlignment="1" applyProtection="1">
      <protection locked="0"/>
    </xf>
    <xf numFmtId="166" fontId="79" fillId="38" borderId="226" xfId="0" applyFont="1" applyFill="1" applyBorder="1" applyProtection="1">
      <protection locked="0"/>
    </xf>
    <xf numFmtId="166" fontId="79" fillId="4" borderId="0" xfId="0" applyFont="1" applyFill="1" applyAlignment="1" applyProtection="1">
      <alignment vertical="top"/>
      <protection locked="0"/>
    </xf>
    <xf numFmtId="166" fontId="79" fillId="4" borderId="0" xfId="0" applyFont="1" applyFill="1" applyAlignment="1" applyProtection="1">
      <alignment vertical="top" wrapText="1"/>
      <protection locked="0"/>
    </xf>
    <xf numFmtId="166" fontId="79" fillId="0" borderId="0" xfId="0" applyFont="1" applyFill="1" applyAlignment="1" applyProtection="1">
      <alignment vertical="top"/>
      <protection hidden="1"/>
    </xf>
    <xf numFmtId="166" fontId="97" fillId="4" borderId="0" xfId="0" applyFont="1" applyFill="1" applyAlignment="1" applyProtection="1">
      <alignment vertical="top" wrapText="1"/>
      <protection locked="0"/>
    </xf>
    <xf numFmtId="166" fontId="79" fillId="4" borderId="0" xfId="0" applyFont="1" applyFill="1" applyAlignment="1" applyProtection="1">
      <alignment horizontal="center" vertical="top"/>
      <protection locked="0"/>
    </xf>
    <xf numFmtId="166" fontId="79" fillId="0" borderId="0" xfId="0" applyFont="1" applyFill="1" applyAlignment="1" applyProtection="1">
      <protection hidden="1"/>
    </xf>
    <xf numFmtId="166" fontId="79" fillId="0" borderId="0" xfId="0" applyFont="1" applyAlignment="1" applyProtection="1">
      <alignment vertical="top"/>
      <protection hidden="1"/>
    </xf>
    <xf numFmtId="166" fontId="274" fillId="0" borderId="226" xfId="0" applyFont="1" applyBorder="1" applyProtection="1">
      <protection hidden="1"/>
    </xf>
    <xf numFmtId="166" fontId="79" fillId="21" borderId="226" xfId="0" applyFont="1" applyFill="1" applyBorder="1" applyProtection="1">
      <protection hidden="1"/>
    </xf>
    <xf numFmtId="166" fontId="79" fillId="0" borderId="232" xfId="0" applyFont="1" applyBorder="1" applyProtection="1">
      <protection hidden="1"/>
    </xf>
    <xf numFmtId="166" fontId="83" fillId="21" borderId="268" xfId="0" applyFont="1" applyFill="1" applyBorder="1" applyAlignment="1" applyProtection="1">
      <alignment horizontal="center" vertical="center" shrinkToFit="1"/>
      <protection hidden="1"/>
    </xf>
    <xf numFmtId="166" fontId="83" fillId="5" borderId="232" xfId="0" applyFont="1" applyFill="1" applyBorder="1" applyAlignment="1" applyProtection="1">
      <alignment horizontal="center" vertical="center"/>
      <protection hidden="1"/>
    </xf>
    <xf numFmtId="166" fontId="83" fillId="5" borderId="227" xfId="0" applyFont="1" applyFill="1" applyBorder="1" applyAlignment="1" applyProtection="1">
      <alignment horizontal="center" vertical="center"/>
      <protection hidden="1"/>
    </xf>
    <xf numFmtId="166" fontId="301" fillId="0" borderId="0" xfId="0" applyFont="1" applyAlignment="1" applyProtection="1">
      <alignment vertical="center"/>
      <protection hidden="1"/>
    </xf>
    <xf numFmtId="166" fontId="301" fillId="0" borderId="0" xfId="0" applyFont="1" applyAlignment="1" applyProtection="1">
      <alignment horizontal="center" vertical="center"/>
      <protection hidden="1"/>
    </xf>
    <xf numFmtId="166" fontId="302" fillId="0" borderId="0" xfId="0" applyFont="1" applyAlignment="1" applyProtection="1">
      <alignment vertical="center"/>
      <protection hidden="1"/>
    </xf>
    <xf numFmtId="166" fontId="274" fillId="21" borderId="226" xfId="0" applyFont="1" applyFill="1" applyBorder="1" applyProtection="1">
      <protection hidden="1"/>
    </xf>
    <xf numFmtId="166" fontId="79" fillId="4" borderId="0" xfId="0" applyFont="1" applyFill="1" applyAlignment="1" applyProtection="1">
      <alignment vertical="top"/>
      <protection locked="0"/>
    </xf>
    <xf numFmtId="166" fontId="83" fillId="21" borderId="226" xfId="0" applyFont="1" applyFill="1" applyBorder="1" applyAlignment="1" applyProtection="1">
      <alignment horizontal="center" vertical="center" shrinkToFit="1"/>
      <protection hidden="1"/>
    </xf>
    <xf numFmtId="185" fontId="127" fillId="4" borderId="226" xfId="40" applyNumberFormat="1" applyFont="1" applyFill="1" applyBorder="1" applyAlignment="1" applyProtection="1">
      <protection locked="0"/>
    </xf>
    <xf numFmtId="166" fontId="83" fillId="21" borderId="247" xfId="0" applyFont="1" applyFill="1" applyBorder="1" applyAlignment="1" applyProtection="1">
      <alignment horizontal="center" vertical="center" shrinkToFit="1"/>
      <protection hidden="1"/>
    </xf>
    <xf numFmtId="166" fontId="83" fillId="21" borderId="258" xfId="0" applyFont="1" applyFill="1" applyBorder="1" applyAlignment="1" applyProtection="1">
      <alignment horizontal="center" vertical="center" shrinkToFit="1"/>
      <protection hidden="1"/>
    </xf>
    <xf numFmtId="178" fontId="127" fillId="4" borderId="25" xfId="40" applyNumberFormat="1" applyFont="1" applyFill="1" applyBorder="1" applyAlignment="1" applyProtection="1">
      <protection locked="0"/>
    </xf>
    <xf numFmtId="166" fontId="303" fillId="0" borderId="0" xfId="0" applyFont="1" applyFill="1" applyProtection="1">
      <protection hidden="1"/>
    </xf>
    <xf numFmtId="166" fontId="303" fillId="0" borderId="0" xfId="0" applyFont="1" applyProtection="1">
      <protection hidden="1"/>
    </xf>
    <xf numFmtId="166" fontId="303" fillId="0" borderId="226" xfId="0" applyFont="1" applyBorder="1" applyProtection="1">
      <protection hidden="1"/>
    </xf>
    <xf numFmtId="0" fontId="304" fillId="0" borderId="0" xfId="21" applyFont="1" applyProtection="1">
      <protection hidden="1"/>
    </xf>
    <xf numFmtId="0" fontId="305" fillId="0" borderId="0" xfId="21" applyFont="1" applyProtection="1">
      <protection hidden="1"/>
    </xf>
    <xf numFmtId="0" fontId="107" fillId="0" borderId="0" xfId="67" applyFont="1" applyFill="1" applyProtection="1">
      <protection hidden="1"/>
    </xf>
    <xf numFmtId="0" fontId="306" fillId="0" borderId="0" xfId="67" applyFont="1" applyFill="1" applyProtection="1">
      <protection hidden="1"/>
    </xf>
    <xf numFmtId="0" fontId="203" fillId="0" borderId="0" xfId="67" applyFill="1" applyAlignment="1" applyProtection="1">
      <alignment vertical="center" shrinkToFit="1"/>
      <protection hidden="1"/>
    </xf>
    <xf numFmtId="0" fontId="307" fillId="0" borderId="0" xfId="67" applyFont="1" applyFill="1" applyProtection="1">
      <protection hidden="1"/>
    </xf>
    <xf numFmtId="0" fontId="307" fillId="0" borderId="0" xfId="67" applyFont="1" applyFill="1" applyAlignment="1" applyProtection="1">
      <alignment vertical="center" shrinkToFit="1"/>
      <protection hidden="1"/>
    </xf>
    <xf numFmtId="179" fontId="307" fillId="0" borderId="0" xfId="67" applyNumberFormat="1" applyFont="1" applyFill="1" applyAlignment="1" applyProtection="1">
      <alignment vertical="center" shrinkToFit="1"/>
      <protection hidden="1"/>
    </xf>
    <xf numFmtId="179" fontId="307" fillId="0" borderId="0" xfId="67" applyNumberFormat="1" applyFont="1" applyFill="1" applyAlignment="1" applyProtection="1">
      <alignment horizontal="center"/>
      <protection hidden="1"/>
    </xf>
    <xf numFmtId="179" fontId="307" fillId="0" borderId="0" xfId="67" applyNumberFormat="1" applyFont="1" applyFill="1" applyAlignment="1" applyProtection="1">
      <alignment horizontal="center" vertical="center" shrinkToFit="1"/>
      <protection hidden="1"/>
    </xf>
    <xf numFmtId="172" fontId="307" fillId="0" borderId="0" xfId="67" applyNumberFormat="1" applyFont="1" applyFill="1" applyAlignment="1" applyProtection="1">
      <alignment vertical="center" shrinkToFit="1"/>
      <protection hidden="1"/>
    </xf>
    <xf numFmtId="213" fontId="307" fillId="0" borderId="0" xfId="68" applyNumberFormat="1" applyFont="1" applyFill="1" applyAlignment="1" applyProtection="1">
      <alignment horizontal="center"/>
      <protection hidden="1"/>
    </xf>
    <xf numFmtId="0" fontId="307" fillId="0" borderId="0" xfId="67" applyFont="1" applyFill="1" applyAlignment="1" applyProtection="1">
      <alignment horizontal="center"/>
      <protection hidden="1"/>
    </xf>
    <xf numFmtId="0" fontId="307" fillId="0" borderId="0" xfId="67" applyFont="1" applyFill="1" applyAlignment="1" applyProtection="1">
      <alignment horizontal="center" vertical="center" shrinkToFit="1"/>
      <protection hidden="1"/>
    </xf>
    <xf numFmtId="0" fontId="307" fillId="49" borderId="0" xfId="67" applyFont="1" applyFill="1" applyAlignment="1" applyProtection="1">
      <alignment horizontal="center"/>
      <protection hidden="1"/>
    </xf>
    <xf numFmtId="0" fontId="307" fillId="49" borderId="0" xfId="67" applyFont="1" applyFill="1" applyAlignment="1" applyProtection="1">
      <alignment horizontal="center" vertical="center" shrinkToFit="1"/>
      <protection hidden="1"/>
    </xf>
    <xf numFmtId="0" fontId="307" fillId="49" borderId="0" xfId="67" applyFont="1" applyFill="1" applyAlignment="1" applyProtection="1">
      <alignment vertical="center" shrinkToFit="1"/>
      <protection hidden="1"/>
    </xf>
    <xf numFmtId="0" fontId="308" fillId="50" borderId="0" xfId="67" applyFont="1" applyFill="1" applyAlignment="1" applyProtection="1">
      <alignment horizontal="center" vertical="center" shrinkToFit="1"/>
      <protection hidden="1"/>
    </xf>
    <xf numFmtId="172" fontId="173" fillId="51" borderId="226" xfId="67" applyNumberFormat="1" applyFont="1" applyFill="1" applyBorder="1" applyAlignment="1" applyProtection="1">
      <alignment horizontal="center" vertical="center" shrinkToFit="1"/>
      <protection hidden="1"/>
    </xf>
    <xf numFmtId="0" fontId="308" fillId="50" borderId="0" xfId="67" applyFont="1" applyFill="1" applyAlignment="1" applyProtection="1">
      <alignment vertical="center"/>
      <protection hidden="1"/>
    </xf>
    <xf numFmtId="0" fontId="66" fillId="51" borderId="226" xfId="69" applyFont="1" applyFill="1" applyBorder="1" applyAlignment="1" applyProtection="1">
      <alignment horizontal="center"/>
    </xf>
    <xf numFmtId="172" fontId="66" fillId="51" borderId="226" xfId="67" applyNumberFormat="1" applyFont="1" applyFill="1" applyBorder="1" applyAlignment="1" applyProtection="1">
      <alignment horizontal="center" vertical="center" shrinkToFit="1"/>
      <protection hidden="1"/>
    </xf>
    <xf numFmtId="214" fontId="66" fillId="51" borderId="226" xfId="69" applyNumberFormat="1" applyFont="1" applyFill="1" applyBorder="1" applyAlignment="1" applyProtection="1">
      <alignment horizontal="center"/>
    </xf>
    <xf numFmtId="2" fontId="173" fillId="51" borderId="226" xfId="67" applyNumberFormat="1" applyFont="1" applyFill="1" applyBorder="1" applyAlignment="1" applyProtection="1">
      <alignment horizontal="center" vertical="center" shrinkToFit="1"/>
      <protection hidden="1"/>
    </xf>
    <xf numFmtId="2" fontId="66" fillId="51" borderId="226" xfId="69" applyNumberFormat="1" applyFont="1" applyFill="1" applyBorder="1" applyAlignment="1" applyProtection="1">
      <alignment horizontal="center"/>
    </xf>
    <xf numFmtId="0" fontId="308" fillId="50" borderId="0" xfId="67" applyFont="1" applyFill="1" applyAlignment="1" applyProtection="1">
      <alignment horizontal="left" vertical="center"/>
      <protection hidden="1"/>
    </xf>
    <xf numFmtId="0" fontId="307" fillId="49" borderId="0" xfId="67" applyFont="1" applyFill="1" applyAlignment="1" applyProtection="1">
      <alignment horizontal="left" vertical="center" shrinkToFit="1"/>
      <protection hidden="1"/>
    </xf>
    <xf numFmtId="0" fontId="309" fillId="49" borderId="0" xfId="67" applyFont="1" applyFill="1" applyAlignment="1" applyProtection="1">
      <alignment horizontal="center" shrinkToFit="1"/>
      <protection hidden="1"/>
    </xf>
    <xf numFmtId="176" fontId="66" fillId="51" borderId="226" xfId="67" applyNumberFormat="1" applyFont="1" applyFill="1" applyBorder="1" applyAlignment="1" applyProtection="1">
      <alignment horizontal="center" vertical="center" shrinkToFit="1"/>
      <protection hidden="1"/>
    </xf>
    <xf numFmtId="0" fontId="308" fillId="50" borderId="226" xfId="67" applyFont="1" applyFill="1" applyBorder="1" applyAlignment="1" applyProtection="1">
      <alignment horizontal="center" vertical="center" shrinkToFit="1"/>
      <protection hidden="1"/>
    </xf>
    <xf numFmtId="0" fontId="307" fillId="49" borderId="0" xfId="67" applyFont="1" applyFill="1" applyAlignment="1" applyProtection="1">
      <alignment horizontal="left" vertical="center"/>
      <protection hidden="1"/>
    </xf>
    <xf numFmtId="0" fontId="308" fillId="50" borderId="0" xfId="67" applyFont="1" applyFill="1" applyAlignment="1" applyProtection="1">
      <alignment horizontal="left" vertical="center" shrinkToFit="1"/>
      <protection hidden="1"/>
    </xf>
    <xf numFmtId="176" fontId="66" fillId="52" borderId="226" xfId="67" applyNumberFormat="1" applyFont="1" applyFill="1" applyBorder="1" applyAlignment="1" applyProtection="1">
      <alignment horizontal="center" vertical="center" shrinkToFit="1"/>
      <protection hidden="1"/>
    </xf>
    <xf numFmtId="0" fontId="310" fillId="50" borderId="226" xfId="67" applyFont="1" applyFill="1" applyBorder="1" applyAlignment="1" applyProtection="1">
      <alignment horizontal="center" vertical="center" shrinkToFit="1"/>
      <protection hidden="1"/>
    </xf>
    <xf numFmtId="0" fontId="66" fillId="49" borderId="0" xfId="67" applyFont="1" applyFill="1" applyAlignment="1" applyProtection="1">
      <alignment horizontal="center" vertical="center" shrinkToFit="1"/>
      <protection hidden="1"/>
    </xf>
    <xf numFmtId="176" fontId="308" fillId="50" borderId="0" xfId="67" applyNumberFormat="1" applyFont="1" applyFill="1" applyAlignment="1" applyProtection="1">
      <alignment horizontal="center" vertical="center" shrinkToFit="1"/>
      <protection hidden="1"/>
    </xf>
    <xf numFmtId="176" fontId="67" fillId="51" borderId="226" xfId="67" applyNumberFormat="1" applyFont="1" applyFill="1" applyBorder="1" applyAlignment="1" applyProtection="1">
      <alignment horizontal="center" vertical="center" shrinkToFit="1"/>
      <protection hidden="1"/>
    </xf>
    <xf numFmtId="215" fontId="308" fillId="50" borderId="0" xfId="67" applyNumberFormat="1" applyFont="1" applyFill="1" applyAlignment="1" applyProtection="1">
      <alignment horizontal="center" vertical="center" shrinkToFit="1"/>
      <protection hidden="1"/>
    </xf>
    <xf numFmtId="215" fontId="310" fillId="50" borderId="0" xfId="67" applyNumberFormat="1" applyFont="1" applyFill="1" applyAlignment="1" applyProtection="1">
      <alignment horizontal="center" vertical="center" shrinkToFit="1"/>
      <protection hidden="1"/>
    </xf>
    <xf numFmtId="0" fontId="66" fillId="50" borderId="0" xfId="67" applyFont="1" applyFill="1" applyAlignment="1" applyProtection="1">
      <alignment horizontal="center" vertical="center" shrinkToFit="1"/>
      <protection hidden="1"/>
    </xf>
    <xf numFmtId="216" fontId="308" fillId="50" borderId="0" xfId="67" applyNumberFormat="1" applyFont="1" applyFill="1" applyAlignment="1" applyProtection="1">
      <alignment horizontal="center" vertical="center" shrinkToFit="1"/>
      <protection hidden="1"/>
    </xf>
    <xf numFmtId="216" fontId="310" fillId="50" borderId="0" xfId="67" applyNumberFormat="1" applyFont="1" applyFill="1" applyAlignment="1" applyProtection="1">
      <alignment horizontal="center" vertical="center" shrinkToFit="1"/>
      <protection hidden="1"/>
    </xf>
    <xf numFmtId="0" fontId="307" fillId="49" borderId="0" xfId="67" applyFont="1" applyFill="1" applyAlignment="1" applyProtection="1">
      <alignment horizontal="center" vertical="center"/>
      <protection hidden="1"/>
    </xf>
    <xf numFmtId="0" fontId="311" fillId="49" borderId="0" xfId="67" applyFont="1" applyFill="1" applyAlignment="1" applyProtection="1">
      <alignment horizontal="left" vertical="center"/>
      <protection hidden="1"/>
    </xf>
    <xf numFmtId="0" fontId="307" fillId="50" borderId="0" xfId="67" applyFont="1" applyFill="1" applyAlignment="1" applyProtection="1">
      <alignment horizontal="center"/>
      <protection hidden="1"/>
    </xf>
    <xf numFmtId="0" fontId="307" fillId="53" borderId="0" xfId="67" applyFont="1" applyFill="1" applyAlignment="1" applyProtection="1">
      <alignment horizontal="center"/>
      <protection hidden="1"/>
    </xf>
    <xf numFmtId="0" fontId="307" fillId="53" borderId="0" xfId="67" applyFont="1" applyFill="1" applyAlignment="1" applyProtection="1">
      <alignment horizontal="center" vertical="center" shrinkToFit="1"/>
      <protection hidden="1"/>
    </xf>
    <xf numFmtId="0" fontId="307" fillId="53" borderId="0" xfId="67" applyFont="1" applyFill="1" applyAlignment="1" applyProtection="1">
      <alignment vertical="center" shrinkToFit="1"/>
      <protection hidden="1"/>
    </xf>
    <xf numFmtId="0" fontId="306" fillId="0" borderId="0" xfId="67" applyFont="1" applyFill="1" applyAlignment="1" applyProtection="1">
      <alignment horizontal="center"/>
      <protection hidden="1"/>
    </xf>
    <xf numFmtId="0" fontId="306" fillId="49" borderId="0" xfId="67" applyFont="1" applyFill="1" applyAlignment="1" applyProtection="1">
      <alignment horizontal="center"/>
      <protection hidden="1"/>
    </xf>
    <xf numFmtId="0" fontId="306" fillId="50" borderId="0" xfId="67" applyFont="1" applyFill="1" applyAlignment="1" applyProtection="1">
      <alignment horizontal="center"/>
      <protection hidden="1"/>
    </xf>
    <xf numFmtId="217" fontId="312" fillId="9" borderId="33" xfId="67" applyNumberFormat="1" applyFont="1" applyFill="1" applyBorder="1" applyAlignment="1" applyProtection="1">
      <alignment horizontal="center" vertical="center" shrinkToFit="1"/>
      <protection hidden="1"/>
    </xf>
    <xf numFmtId="0" fontId="308" fillId="9" borderId="236" xfId="67" applyFont="1" applyFill="1" applyBorder="1" applyAlignment="1" applyProtection="1">
      <alignment vertical="center" shrinkToFit="1"/>
      <protection hidden="1"/>
    </xf>
    <xf numFmtId="0" fontId="158" fillId="9" borderId="32" xfId="70" applyFont="1" applyFill="1" applyBorder="1" applyAlignment="1" applyProtection="1">
      <alignment vertical="center" shrinkToFit="1"/>
      <protection hidden="1"/>
    </xf>
    <xf numFmtId="0" fontId="308" fillId="9" borderId="31" xfId="67" applyFont="1" applyFill="1" applyBorder="1" applyAlignment="1" applyProtection="1">
      <alignment horizontal="center" vertical="center" shrinkToFit="1"/>
      <protection hidden="1"/>
    </xf>
    <xf numFmtId="0" fontId="308" fillId="9" borderId="0" xfId="67" applyFont="1" applyFill="1" applyBorder="1" applyAlignment="1" applyProtection="1">
      <alignment vertical="center" shrinkToFit="1"/>
      <protection hidden="1"/>
    </xf>
    <xf numFmtId="0" fontId="308" fillId="54" borderId="0" xfId="67" applyFont="1" applyFill="1" applyBorder="1" applyAlignment="1" applyProtection="1">
      <alignment vertical="center" shrinkToFit="1"/>
      <protection hidden="1"/>
    </xf>
    <xf numFmtId="176" fontId="308" fillId="56" borderId="0" xfId="67" applyNumberFormat="1" applyFont="1" applyFill="1" applyBorder="1" applyAlignment="1" applyProtection="1">
      <alignment horizontal="center" vertical="center" shrinkToFit="1"/>
      <protection hidden="1"/>
    </xf>
    <xf numFmtId="0" fontId="158" fillId="9" borderId="7" xfId="70" applyFont="1" applyFill="1" applyBorder="1" applyAlignment="1" applyProtection="1">
      <alignment vertical="center" shrinkToFit="1"/>
      <protection hidden="1"/>
    </xf>
    <xf numFmtId="0" fontId="308" fillId="9" borderId="0" xfId="67" applyFont="1" applyFill="1" applyBorder="1" applyAlignment="1" applyProtection="1">
      <alignment horizontal="center" vertical="center" shrinkToFit="1"/>
      <protection hidden="1"/>
    </xf>
    <xf numFmtId="0" fontId="158" fillId="54" borderId="0" xfId="70" applyFont="1" applyFill="1" applyBorder="1" applyAlignment="1" applyProtection="1">
      <alignment vertical="center" shrinkToFit="1"/>
      <protection hidden="1"/>
    </xf>
    <xf numFmtId="0" fontId="158" fillId="9" borderId="0" xfId="70" applyFont="1" applyFill="1" applyBorder="1" applyAlignment="1" applyProtection="1">
      <alignment vertical="center" shrinkToFit="1"/>
      <protection hidden="1"/>
    </xf>
    <xf numFmtId="0" fontId="314" fillId="9" borderId="0" xfId="67" applyFont="1" applyFill="1" applyBorder="1" applyAlignment="1" applyProtection="1">
      <alignment horizontal="left" vertical="center" shrinkToFit="1"/>
      <protection hidden="1"/>
    </xf>
    <xf numFmtId="0" fontId="158" fillId="9" borderId="0" xfId="67" applyFont="1" applyFill="1" applyBorder="1" applyAlignment="1" applyProtection="1">
      <alignment vertical="center" shrinkToFit="1"/>
      <protection hidden="1"/>
    </xf>
    <xf numFmtId="0" fontId="316" fillId="9" borderId="0" xfId="67" applyFont="1" applyFill="1" applyBorder="1" applyAlignment="1" applyProtection="1">
      <alignment shrinkToFit="1"/>
      <protection hidden="1"/>
    </xf>
    <xf numFmtId="175" fontId="317" fillId="55" borderId="274" xfId="67" applyNumberFormat="1" applyFont="1" applyFill="1" applyBorder="1" applyAlignment="1" applyProtection="1">
      <alignment horizontal="centerContinuous" vertical="center" shrinkToFit="1"/>
      <protection hidden="1"/>
    </xf>
    <xf numFmtId="0" fontId="318" fillId="53" borderId="0" xfId="67" applyFont="1" applyFill="1" applyBorder="1" applyAlignment="1" applyProtection="1">
      <alignment vertical="center" shrinkToFit="1"/>
      <protection hidden="1"/>
    </xf>
    <xf numFmtId="0" fontId="306" fillId="49" borderId="0" xfId="67" applyFont="1" applyFill="1" applyProtection="1">
      <protection hidden="1"/>
    </xf>
    <xf numFmtId="0" fontId="306" fillId="49" borderId="0" xfId="67" applyFont="1" applyFill="1" applyAlignment="1" applyProtection="1">
      <alignment horizontal="centerContinuous"/>
      <protection hidden="1"/>
    </xf>
    <xf numFmtId="0" fontId="306" fillId="50" borderId="0" xfId="67" applyFont="1" applyFill="1" applyAlignment="1" applyProtection="1">
      <alignment horizontal="centerContinuous"/>
      <protection hidden="1"/>
    </xf>
    <xf numFmtId="0" fontId="306" fillId="0" borderId="0" xfId="67" applyFont="1" applyFill="1" applyAlignment="1" applyProtection="1">
      <alignment horizontal="centerContinuous"/>
      <protection hidden="1"/>
    </xf>
    <xf numFmtId="0" fontId="203" fillId="9" borderId="31" xfId="67" applyFill="1" applyBorder="1" applyAlignment="1" applyProtection="1">
      <alignment horizontal="centerContinuous" vertical="center" shrinkToFit="1"/>
      <protection hidden="1"/>
    </xf>
    <xf numFmtId="218" fontId="318" fillId="9" borderId="0" xfId="67" applyNumberFormat="1" applyFont="1" applyFill="1" applyBorder="1" applyAlignment="1" applyProtection="1">
      <alignment vertical="center" shrinkToFit="1"/>
      <protection hidden="1"/>
    </xf>
    <xf numFmtId="0" fontId="318" fillId="9" borderId="0" xfId="67" applyFont="1" applyFill="1" applyBorder="1" applyAlignment="1" applyProtection="1">
      <alignment vertical="center" shrinkToFit="1"/>
      <protection hidden="1"/>
    </xf>
    <xf numFmtId="0" fontId="320" fillId="9" borderId="0" xfId="67" applyFont="1" applyFill="1" applyBorder="1" applyAlignment="1" applyProtection="1">
      <alignment vertical="center" shrinkToFit="1"/>
      <protection hidden="1"/>
    </xf>
    <xf numFmtId="0" fontId="306" fillId="49" borderId="0" xfId="67" applyFont="1" applyFill="1"/>
    <xf numFmtId="0" fontId="306" fillId="50" borderId="0" xfId="67" applyFont="1" applyFill="1"/>
    <xf numFmtId="0" fontId="203" fillId="9" borderId="31" xfId="67" applyFill="1" applyBorder="1" applyAlignment="1" applyProtection="1">
      <alignment vertical="center" shrinkToFit="1"/>
      <protection hidden="1"/>
    </xf>
    <xf numFmtId="0" fontId="319" fillId="59" borderId="0" xfId="67" applyFont="1" applyFill="1" applyBorder="1" applyAlignment="1" applyProtection="1">
      <alignment horizontal="center" vertical="center" shrinkToFit="1"/>
      <protection hidden="1"/>
    </xf>
    <xf numFmtId="0" fontId="66" fillId="21" borderId="274" xfId="67" applyFont="1" applyFill="1" applyBorder="1" applyAlignment="1" applyProtection="1">
      <alignment horizontal="centerContinuous" vertical="center" shrinkToFit="1"/>
      <protection hidden="1"/>
    </xf>
    <xf numFmtId="0" fontId="318" fillId="54" borderId="0" xfId="67" applyFont="1" applyFill="1" applyBorder="1" applyAlignment="1" applyProtection="1">
      <alignment vertical="center" shrinkToFit="1"/>
      <protection hidden="1"/>
    </xf>
    <xf numFmtId="218" fontId="319" fillId="59" borderId="0" xfId="67" applyNumberFormat="1" applyFont="1" applyFill="1" applyBorder="1" applyAlignment="1" applyProtection="1">
      <alignment horizontal="center" vertical="center" shrinkToFit="1"/>
      <protection hidden="1"/>
    </xf>
    <xf numFmtId="0" fontId="318" fillId="59" borderId="0" xfId="67" applyFont="1" applyFill="1" applyBorder="1" applyAlignment="1" applyProtection="1">
      <alignment horizontal="centerContinuous" vertical="center" shrinkToFit="1"/>
      <protection hidden="1"/>
    </xf>
    <xf numFmtId="0" fontId="321" fillId="59" borderId="0" xfId="67" applyFont="1" applyFill="1" applyBorder="1" applyAlignment="1" applyProtection="1">
      <alignment horizontal="centerContinuous" vertical="center" shrinkToFit="1"/>
      <protection hidden="1"/>
    </xf>
    <xf numFmtId="0" fontId="319" fillId="58" borderId="277" xfId="67" applyFont="1" applyFill="1" applyBorder="1" applyAlignment="1" applyProtection="1">
      <alignment horizontal="center" vertical="center" shrinkToFit="1"/>
      <protection hidden="1"/>
    </xf>
    <xf numFmtId="0" fontId="158" fillId="54" borderId="0" xfId="67" applyFont="1" applyFill="1" applyBorder="1" applyAlignment="1" applyProtection="1">
      <alignment vertical="center" shrinkToFit="1"/>
      <protection hidden="1"/>
    </xf>
    <xf numFmtId="0" fontId="322" fillId="9" borderId="0" xfId="67" applyFont="1" applyFill="1" applyBorder="1" applyAlignment="1" applyProtection="1">
      <alignment vertical="center" shrinkToFit="1"/>
      <protection hidden="1"/>
    </xf>
    <xf numFmtId="0" fontId="322" fillId="54" borderId="0" xfId="67" applyFont="1" applyFill="1" applyBorder="1" applyAlignment="1" applyProtection="1">
      <alignment vertical="center" shrinkToFit="1"/>
      <protection hidden="1"/>
    </xf>
    <xf numFmtId="218" fontId="319" fillId="59" borderId="0" xfId="67" applyNumberFormat="1" applyFont="1" applyFill="1" applyBorder="1" applyAlignment="1" applyProtection="1">
      <alignment horizontal="centerContinuous" vertical="center" shrinkToFit="1"/>
      <protection hidden="1"/>
    </xf>
    <xf numFmtId="0" fontId="319" fillId="59" borderId="0" xfId="67" applyFont="1" applyFill="1" applyBorder="1" applyAlignment="1" applyProtection="1">
      <alignment horizontal="centerContinuous" vertical="center" shrinkToFit="1"/>
      <protection hidden="1"/>
    </xf>
    <xf numFmtId="218" fontId="318" fillId="9" borderId="0" xfId="67" applyNumberFormat="1" applyFont="1" applyFill="1" applyBorder="1" applyAlignment="1" applyProtection="1">
      <alignment horizontal="centerContinuous" vertical="center" shrinkToFit="1"/>
      <protection hidden="1"/>
    </xf>
    <xf numFmtId="0" fontId="318" fillId="9" borderId="0" xfId="67" applyFont="1" applyFill="1" applyBorder="1" applyAlignment="1" applyProtection="1">
      <alignment horizontal="centerContinuous" vertical="center" shrinkToFit="1"/>
      <protection hidden="1"/>
    </xf>
    <xf numFmtId="0" fontId="319" fillId="9" borderId="0" xfId="67" applyFont="1" applyFill="1" applyBorder="1" applyAlignment="1" applyProtection="1">
      <alignment horizontal="centerContinuous" vertical="center" shrinkToFit="1"/>
      <protection hidden="1"/>
    </xf>
    <xf numFmtId="0" fontId="323" fillId="9" borderId="0" xfId="67" applyFont="1" applyFill="1" applyBorder="1" applyAlignment="1" applyProtection="1">
      <alignment horizontal="centerContinuous" vertical="center" shrinkToFit="1"/>
      <protection hidden="1"/>
    </xf>
    <xf numFmtId="175" fontId="317" fillId="0" borderId="274" xfId="67" applyNumberFormat="1" applyFont="1" applyFill="1" applyBorder="1" applyAlignment="1" applyProtection="1">
      <alignment horizontal="center" vertical="center" shrinkToFit="1"/>
      <protection locked="0"/>
    </xf>
    <xf numFmtId="0" fontId="310" fillId="58" borderId="275" xfId="67" applyFont="1" applyFill="1" applyBorder="1" applyAlignment="1" applyProtection="1">
      <alignment horizontal="center" vertical="center" shrinkToFit="1"/>
      <protection hidden="1"/>
    </xf>
    <xf numFmtId="0" fontId="310" fillId="58" borderId="276" xfId="67" applyFont="1" applyFill="1" applyBorder="1" applyAlignment="1" applyProtection="1">
      <alignment horizontal="center" vertical="center" shrinkToFit="1"/>
      <protection hidden="1"/>
    </xf>
    <xf numFmtId="0" fontId="306" fillId="50" borderId="0" xfId="67" applyFont="1" applyFill="1" applyProtection="1">
      <protection hidden="1"/>
    </xf>
    <xf numFmtId="0" fontId="318" fillId="54" borderId="0" xfId="67" applyFont="1" applyFill="1" applyBorder="1" applyAlignment="1" applyProtection="1">
      <alignment horizontal="centerContinuous" vertical="center" shrinkToFit="1"/>
      <protection hidden="1"/>
    </xf>
    <xf numFmtId="0" fontId="319" fillId="54" borderId="0" xfId="67" applyFont="1" applyFill="1" applyBorder="1" applyAlignment="1" applyProtection="1">
      <alignment horizontal="centerContinuous" vertical="center" shrinkToFit="1"/>
      <protection hidden="1"/>
    </xf>
    <xf numFmtId="0" fontId="322" fillId="54" borderId="0" xfId="67" applyFont="1" applyFill="1" applyBorder="1" applyAlignment="1" applyProtection="1">
      <alignment shrinkToFit="1"/>
      <protection hidden="1"/>
    </xf>
    <xf numFmtId="172" fontId="318" fillId="54" borderId="0" xfId="67" applyNumberFormat="1" applyFont="1" applyFill="1" applyBorder="1" applyAlignment="1" applyProtection="1">
      <alignment horizontal="centerContinuous" shrinkToFit="1"/>
      <protection hidden="1"/>
    </xf>
    <xf numFmtId="2" fontId="324" fillId="58" borderId="277" xfId="67" applyNumberFormat="1" applyFont="1" applyFill="1" applyBorder="1" applyAlignment="1" applyProtection="1">
      <alignment horizontal="centerContinuous" vertical="center" shrinkToFit="1"/>
      <protection hidden="1"/>
    </xf>
    <xf numFmtId="172" fontId="325" fillId="55" borderId="274" xfId="67" applyNumberFormat="1" applyFont="1" applyFill="1" applyBorder="1" applyAlignment="1" applyProtection="1">
      <alignment horizontal="centerContinuous" vertical="center" shrinkToFit="1"/>
      <protection hidden="1"/>
    </xf>
    <xf numFmtId="176" fontId="158" fillId="9" borderId="0" xfId="67" applyNumberFormat="1" applyFont="1" applyFill="1" applyBorder="1" applyAlignment="1" applyProtection="1">
      <alignment vertical="center" shrinkToFit="1"/>
      <protection hidden="1"/>
    </xf>
    <xf numFmtId="172" fontId="317" fillId="55" borderId="274" xfId="67" applyNumberFormat="1" applyFont="1" applyFill="1" applyBorder="1" applyAlignment="1" applyProtection="1">
      <alignment horizontal="centerContinuous" vertical="center" shrinkToFit="1"/>
      <protection hidden="1"/>
    </xf>
    <xf numFmtId="179" fontId="318" fillId="54" borderId="0" xfId="67" applyNumberFormat="1" applyFont="1" applyFill="1" applyBorder="1" applyAlignment="1" applyProtection="1">
      <alignment vertical="center" shrinkToFit="1"/>
      <protection hidden="1"/>
    </xf>
    <xf numFmtId="176" fontId="318" fillId="54" borderId="0" xfId="67" applyNumberFormat="1" applyFont="1" applyFill="1" applyBorder="1" applyAlignment="1" applyProtection="1">
      <alignment vertical="center" shrinkToFit="1"/>
      <protection hidden="1"/>
    </xf>
    <xf numFmtId="2" fontId="318" fillId="54" borderId="0" xfId="67" applyNumberFormat="1" applyFont="1" applyFill="1" applyBorder="1" applyAlignment="1" applyProtection="1">
      <alignment vertical="center" shrinkToFit="1"/>
      <protection hidden="1"/>
    </xf>
    <xf numFmtId="172" fontId="318" fillId="54" borderId="0" xfId="67" applyNumberFormat="1" applyFont="1" applyFill="1" applyBorder="1" applyAlignment="1" applyProtection="1">
      <alignment vertical="center" shrinkToFit="1"/>
      <protection hidden="1"/>
    </xf>
    <xf numFmtId="2" fontId="326" fillId="60" borderId="277" xfId="67" applyNumberFormat="1" applyFont="1" applyFill="1" applyBorder="1" applyAlignment="1" applyProtection="1">
      <alignment horizontal="centerContinuous" vertical="center" shrinkToFit="1"/>
      <protection hidden="1"/>
    </xf>
    <xf numFmtId="172" fontId="326" fillId="61" borderId="274" xfId="67" applyNumberFormat="1" applyFont="1" applyFill="1" applyBorder="1" applyAlignment="1" applyProtection="1">
      <alignment horizontal="centerContinuous" vertical="center" shrinkToFit="1"/>
      <protection hidden="1"/>
    </xf>
    <xf numFmtId="0" fontId="320" fillId="54" borderId="0" xfId="67" applyFont="1" applyFill="1" applyBorder="1" applyAlignment="1" applyProtection="1">
      <alignment vertical="center" shrinkToFit="1"/>
      <protection hidden="1"/>
    </xf>
    <xf numFmtId="176" fontId="319" fillId="59" borderId="0" xfId="67" applyNumberFormat="1" applyFont="1" applyFill="1" applyBorder="1" applyAlignment="1" applyProtection="1">
      <alignment horizontal="center" vertical="center" shrinkToFit="1"/>
      <protection hidden="1"/>
    </xf>
    <xf numFmtId="176" fontId="203" fillId="9" borderId="31" xfId="67" applyNumberFormat="1" applyFill="1" applyBorder="1" applyAlignment="1" applyProtection="1">
      <alignment vertical="center" shrinkToFit="1"/>
      <protection hidden="1"/>
    </xf>
    <xf numFmtId="176" fontId="319" fillId="59" borderId="0" xfId="67" applyNumberFormat="1" applyFont="1" applyFill="1" applyBorder="1" applyAlignment="1" applyProtection="1">
      <alignment horizontal="centerContinuous" vertical="center" shrinkToFit="1"/>
      <protection hidden="1"/>
    </xf>
    <xf numFmtId="172" fontId="319" fillId="58" borderId="277" xfId="67" applyNumberFormat="1" applyFont="1" applyFill="1" applyBorder="1" applyAlignment="1" applyProtection="1">
      <alignment horizontal="centerContinuous" vertical="center" shrinkToFit="1"/>
      <protection hidden="1"/>
    </xf>
    <xf numFmtId="0" fontId="203" fillId="9" borderId="0" xfId="67" applyFill="1" applyBorder="1" applyAlignment="1" applyProtection="1">
      <alignment vertical="center" shrinkToFit="1"/>
      <protection hidden="1"/>
    </xf>
    <xf numFmtId="0" fontId="158" fillId="9" borderId="0" xfId="67" applyFont="1" applyFill="1" applyBorder="1" applyAlignment="1" applyProtection="1">
      <alignment horizontal="left" vertical="center" shrinkToFit="1"/>
      <protection hidden="1"/>
    </xf>
    <xf numFmtId="2" fontId="173" fillId="62" borderId="0" xfId="67" applyNumberFormat="1" applyFont="1" applyFill="1" applyProtection="1">
      <protection hidden="1"/>
    </xf>
    <xf numFmtId="0" fontId="173" fillId="49" borderId="226" xfId="67" applyFont="1" applyFill="1" applyBorder="1" applyAlignment="1" applyProtection="1">
      <alignment horizontal="center" vertical="center" shrinkToFit="1"/>
      <protection hidden="1"/>
    </xf>
    <xf numFmtId="0" fontId="173" fillId="50" borderId="226" xfId="67" applyFont="1" applyFill="1" applyBorder="1" applyAlignment="1" applyProtection="1">
      <alignment horizontal="center" vertical="center" shrinkToFit="1"/>
      <protection hidden="1"/>
    </xf>
    <xf numFmtId="0" fontId="173" fillId="51" borderId="226" xfId="67" applyFont="1" applyFill="1" applyBorder="1" applyAlignment="1" applyProtection="1">
      <alignment horizontal="center" vertical="center" shrinkToFit="1"/>
      <protection hidden="1"/>
    </xf>
    <xf numFmtId="0" fontId="319" fillId="59" borderId="31" xfId="67" applyFont="1" applyFill="1" applyBorder="1" applyAlignment="1" applyProtection="1">
      <alignment horizontal="center" vertical="center" shrinkToFit="1"/>
      <protection hidden="1"/>
    </xf>
    <xf numFmtId="0" fontId="317" fillId="55" borderId="274" xfId="67" applyNumberFormat="1" applyFont="1" applyFill="1" applyBorder="1" applyAlignment="1" applyProtection="1">
      <alignment horizontal="center" vertical="center" shrinkToFit="1"/>
      <protection hidden="1"/>
    </xf>
    <xf numFmtId="0" fontId="203" fillId="9" borderId="0" xfId="67" applyFill="1" applyBorder="1" applyAlignment="1" applyProtection="1">
      <alignment horizontal="centerContinuous" vertical="center" shrinkToFit="1"/>
      <protection hidden="1"/>
    </xf>
    <xf numFmtId="0" fontId="327" fillId="0" borderId="274" xfId="67" applyNumberFormat="1" applyFont="1" applyBorder="1" applyAlignment="1" applyProtection="1">
      <alignment horizontal="center" vertical="center" shrinkToFit="1"/>
      <protection locked="0"/>
    </xf>
    <xf numFmtId="2" fontId="327" fillId="0" borderId="274" xfId="67" applyNumberFormat="1" applyFont="1" applyBorder="1" applyAlignment="1" applyProtection="1">
      <alignment horizontal="center" vertical="center" shrinkToFit="1"/>
      <protection locked="0"/>
    </xf>
    <xf numFmtId="0" fontId="327" fillId="0" borderId="278" xfId="67" applyFont="1" applyFill="1" applyBorder="1" applyAlignment="1" applyProtection="1">
      <alignment horizontal="left" vertical="center" shrinkToFit="1"/>
      <protection hidden="1"/>
    </xf>
    <xf numFmtId="0" fontId="158" fillId="53" borderId="0" xfId="67" applyFont="1" applyFill="1" applyBorder="1" applyAlignment="1" applyProtection="1">
      <alignment vertical="center" shrinkToFit="1"/>
      <protection hidden="1"/>
    </xf>
    <xf numFmtId="0" fontId="329" fillId="49" borderId="226" xfId="67" applyFont="1" applyFill="1" applyBorder="1" applyAlignment="1" applyProtection="1">
      <alignment horizontal="center" vertical="center" shrinkToFit="1"/>
      <protection hidden="1"/>
    </xf>
    <xf numFmtId="179" fontId="66" fillId="50" borderId="226" xfId="67" applyNumberFormat="1" applyFont="1" applyFill="1" applyBorder="1" applyAlignment="1" applyProtection="1">
      <alignment horizontal="center" vertical="center" shrinkToFit="1"/>
      <protection hidden="1"/>
    </xf>
    <xf numFmtId="0" fontId="318" fillId="9" borderId="31" xfId="67" applyFont="1" applyFill="1" applyBorder="1" applyAlignment="1" applyProtection="1">
      <alignment vertical="center" shrinkToFit="1"/>
      <protection hidden="1"/>
    </xf>
    <xf numFmtId="0" fontId="158" fillId="9" borderId="0" xfId="67" applyFont="1" applyFill="1" applyBorder="1" applyAlignment="1" applyProtection="1">
      <alignment horizontal="centerContinuous" vertical="center" shrinkToFit="1"/>
      <protection hidden="1"/>
    </xf>
    <xf numFmtId="0" fontId="306" fillId="62" borderId="0" xfId="67" applyFont="1" applyFill="1" applyProtection="1">
      <protection hidden="1"/>
    </xf>
    <xf numFmtId="0" fontId="319" fillId="54" borderId="0" xfId="67" applyFont="1" applyFill="1" applyBorder="1" applyAlignment="1" applyProtection="1">
      <alignment vertical="center" shrinkToFit="1"/>
      <protection hidden="1"/>
    </xf>
    <xf numFmtId="4" fontId="310" fillId="57" borderId="279" xfId="67" applyNumberFormat="1" applyFont="1" applyFill="1" applyBorder="1" applyAlignment="1" applyProtection="1">
      <alignment horizontal="center" vertical="center" shrinkToFit="1"/>
      <protection hidden="1"/>
    </xf>
    <xf numFmtId="4" fontId="310" fillId="57" borderId="277" xfId="67" applyNumberFormat="1" applyFont="1" applyFill="1" applyBorder="1" applyAlignment="1" applyProtection="1">
      <alignment horizontal="center" vertical="center" shrinkToFit="1"/>
      <protection hidden="1"/>
    </xf>
    <xf numFmtId="4" fontId="327" fillId="63" borderId="278" xfId="67" applyNumberFormat="1" applyFont="1" applyFill="1" applyBorder="1" applyAlignment="1" applyProtection="1">
      <alignment horizontal="left" vertical="center" shrinkToFit="1"/>
      <protection locked="0"/>
    </xf>
    <xf numFmtId="0" fontId="66" fillId="9" borderId="280" xfId="67" applyFont="1" applyFill="1" applyBorder="1" applyAlignment="1" applyProtection="1">
      <alignment vertical="center" shrinkToFit="1"/>
      <protection hidden="1"/>
    </xf>
    <xf numFmtId="0" fontId="66" fillId="9" borderId="281" xfId="67" applyFont="1" applyFill="1" applyBorder="1" applyAlignment="1" applyProtection="1">
      <alignment horizontal="centerContinuous" vertical="center" shrinkToFit="1"/>
      <protection hidden="1"/>
    </xf>
    <xf numFmtId="0" fontId="66" fillId="9" borderId="281" xfId="67" applyFont="1" applyFill="1" applyBorder="1" applyAlignment="1" applyProtection="1">
      <alignment vertical="center" shrinkToFit="1"/>
      <protection hidden="1"/>
    </xf>
    <xf numFmtId="0" fontId="158" fillId="9" borderId="282" xfId="70" applyFont="1" applyFill="1" applyBorder="1" applyAlignment="1" applyProtection="1">
      <alignment vertical="center" shrinkToFit="1"/>
      <protection hidden="1"/>
    </xf>
    <xf numFmtId="0" fontId="330" fillId="0" borderId="0" xfId="67" applyFont="1" applyFill="1" applyProtection="1">
      <protection hidden="1"/>
    </xf>
    <xf numFmtId="0" fontId="331" fillId="0" borderId="0" xfId="67" applyFont="1" applyFill="1" applyProtection="1">
      <protection hidden="1"/>
    </xf>
    <xf numFmtId="0" fontId="331" fillId="49" borderId="0" xfId="67" applyFont="1" applyFill="1" applyProtection="1">
      <protection hidden="1"/>
    </xf>
    <xf numFmtId="0" fontId="66" fillId="50" borderId="226" xfId="67" applyFont="1" applyFill="1" applyBorder="1" applyAlignment="1" applyProtection="1">
      <alignment horizontal="center" vertical="center" shrinkToFit="1"/>
      <protection hidden="1"/>
    </xf>
    <xf numFmtId="0" fontId="331" fillId="50" borderId="0" xfId="67" applyFont="1" applyFill="1" applyProtection="1">
      <protection hidden="1"/>
    </xf>
    <xf numFmtId="0" fontId="334" fillId="38" borderId="226" xfId="67" applyFont="1" applyFill="1" applyBorder="1" applyAlignment="1" applyProtection="1">
      <alignment horizontal="center" vertical="center" shrinkToFit="1"/>
      <protection locked="0" hidden="1"/>
    </xf>
    <xf numFmtId="0" fontId="335" fillId="62" borderId="0" xfId="67" applyFont="1" applyFill="1" applyProtection="1">
      <protection hidden="1"/>
    </xf>
    <xf numFmtId="0" fontId="334" fillId="38" borderId="226" xfId="67" quotePrefix="1" applyNumberFormat="1" applyFont="1" applyFill="1" applyBorder="1" applyAlignment="1" applyProtection="1">
      <alignment horizontal="center" vertical="center" shrinkToFit="1"/>
      <protection locked="0" hidden="1"/>
    </xf>
    <xf numFmtId="0" fontId="336" fillId="30" borderId="227" xfId="67" applyFont="1" applyFill="1" applyBorder="1" applyAlignment="1" applyProtection="1">
      <alignment horizontal="center" vertical="center"/>
      <protection hidden="1"/>
    </xf>
    <xf numFmtId="0" fontId="336" fillId="30" borderId="283" xfId="67" applyFont="1" applyFill="1" applyBorder="1" applyAlignment="1" applyProtection="1">
      <alignment horizontal="center" vertical="center"/>
      <protection hidden="1"/>
    </xf>
    <xf numFmtId="0" fontId="336" fillId="30" borderId="283" xfId="67" applyFont="1" applyFill="1" applyBorder="1" applyAlignment="1" applyProtection="1">
      <alignment vertical="center"/>
      <protection hidden="1"/>
    </xf>
    <xf numFmtId="0" fontId="337" fillId="30" borderId="283" xfId="67" applyFont="1" applyFill="1" applyBorder="1" applyAlignment="1" applyProtection="1">
      <alignment horizontal="right" vertical="center"/>
      <protection hidden="1"/>
    </xf>
    <xf numFmtId="0" fontId="336" fillId="30" borderId="232" xfId="70" applyFont="1" applyFill="1" applyBorder="1" applyAlignment="1" applyProtection="1">
      <alignment horizontal="center" vertical="center"/>
      <protection hidden="1"/>
    </xf>
    <xf numFmtId="22" fontId="306" fillId="0" borderId="0" xfId="67" applyNumberFormat="1" applyFont="1" applyFill="1" applyProtection="1">
      <protection hidden="1"/>
    </xf>
    <xf numFmtId="0" fontId="306" fillId="32" borderId="0" xfId="67" applyFont="1" applyFill="1" applyProtection="1">
      <protection hidden="1"/>
    </xf>
    <xf numFmtId="0" fontId="306" fillId="32" borderId="0" xfId="67" applyFont="1" applyFill="1" applyProtection="1">
      <protection locked="0"/>
    </xf>
    <xf numFmtId="0" fontId="306" fillId="0" borderId="0" xfId="67" applyFont="1" applyFill="1" applyBorder="1" applyAlignment="1" applyProtection="1">
      <alignment horizontal="center"/>
      <protection hidden="1"/>
    </xf>
    <xf numFmtId="0" fontId="83" fillId="0" borderId="0" xfId="21" applyFont="1" applyBorder="1" applyAlignment="1" applyProtection="1">
      <alignment horizontal="left" shrinkToFit="1"/>
      <protection hidden="1"/>
    </xf>
    <xf numFmtId="0" fontId="271" fillId="0" borderId="7" xfId="21" applyFont="1" applyFill="1" applyBorder="1" applyAlignment="1" applyProtection="1">
      <alignment vertical="center"/>
    </xf>
    <xf numFmtId="0" fontId="271" fillId="4" borderId="85" xfId="21" applyFont="1" applyFill="1" applyBorder="1" applyAlignment="1" applyProtection="1">
      <alignment horizontal="center"/>
      <protection locked="0"/>
    </xf>
    <xf numFmtId="0" fontId="274" fillId="0" borderId="0" xfId="21" applyFont="1" applyBorder="1" applyProtection="1"/>
    <xf numFmtId="206" fontId="79" fillId="21" borderId="1" xfId="21" applyNumberFormat="1" applyFont="1" applyFill="1" applyBorder="1" applyAlignment="1" applyProtection="1"/>
    <xf numFmtId="0" fontId="79" fillId="21" borderId="1" xfId="21" applyFont="1" applyFill="1" applyBorder="1" applyAlignment="1" applyProtection="1">
      <alignment horizontal="center" wrapText="1"/>
    </xf>
    <xf numFmtId="0" fontId="271" fillId="0" borderId="282" xfId="21" applyFont="1" applyFill="1" applyBorder="1" applyAlignment="1" applyProtection="1">
      <alignment vertical="center"/>
    </xf>
    <xf numFmtId="0" fontId="271" fillId="0" borderId="7" xfId="21" applyFont="1" applyFill="1" applyBorder="1" applyAlignment="1" applyProtection="1">
      <alignment horizontal="left" vertical="center"/>
    </xf>
    <xf numFmtId="0" fontId="271" fillId="0" borderId="32" xfId="21" applyFont="1" applyFill="1" applyBorder="1" applyAlignment="1" applyProtection="1">
      <alignment vertical="center"/>
    </xf>
    <xf numFmtId="0" fontId="76" fillId="21" borderId="26" xfId="21" applyFont="1" applyFill="1" applyBorder="1" applyAlignment="1" applyProtection="1">
      <alignment horizontal="center"/>
    </xf>
    <xf numFmtId="0" fontId="76" fillId="21" borderId="27" xfId="21" applyFont="1" applyFill="1" applyBorder="1" applyAlignment="1" applyProtection="1">
      <alignment horizontal="center"/>
    </xf>
    <xf numFmtId="0" fontId="76" fillId="21" borderId="25" xfId="21" applyFont="1" applyFill="1" applyBorder="1" applyAlignment="1" applyProtection="1">
      <alignment horizontal="center"/>
    </xf>
    <xf numFmtId="0" fontId="76" fillId="4" borderId="283" xfId="21" applyNumberFormat="1" applyFont="1" applyFill="1" applyBorder="1" applyAlignment="1" applyProtection="1">
      <alignment vertical="center"/>
      <protection locked="0"/>
    </xf>
    <xf numFmtId="0" fontId="76" fillId="4" borderId="186" xfId="21" applyNumberFormat="1" applyFont="1" applyFill="1" applyBorder="1" applyAlignment="1" applyProtection="1">
      <alignment horizontal="center" vertical="center"/>
      <protection locked="0"/>
    </xf>
    <xf numFmtId="0" fontId="76" fillId="4" borderId="283" xfId="21" applyNumberFormat="1" applyFont="1" applyFill="1" applyBorder="1" applyAlignment="1" applyProtection="1">
      <alignment horizontal="center" vertical="center"/>
      <protection locked="0"/>
    </xf>
    <xf numFmtId="0" fontId="76" fillId="4" borderId="185" xfId="21" applyNumberFormat="1" applyFont="1" applyFill="1" applyBorder="1" applyAlignment="1" applyProtection="1">
      <alignment horizontal="right" vertical="center"/>
      <protection locked="0"/>
    </xf>
    <xf numFmtId="166" fontId="240" fillId="0" borderId="0" xfId="0" applyFont="1" applyProtection="1">
      <protection hidden="1"/>
    </xf>
    <xf numFmtId="166" fontId="340" fillId="0" borderId="0" xfId="0" applyFont="1" applyProtection="1">
      <protection hidden="1"/>
    </xf>
    <xf numFmtId="0" fontId="332" fillId="2" borderId="32" xfId="70" applyFont="1" applyFill="1" applyBorder="1" applyAlignment="1" applyProtection="1">
      <alignment horizontal="center" vertical="center"/>
      <protection hidden="1"/>
    </xf>
    <xf numFmtId="0" fontId="332" fillId="2" borderId="9" xfId="67" applyFont="1" applyFill="1" applyBorder="1" applyAlignment="1" applyProtection="1">
      <alignment horizontal="center" vertical="center"/>
      <protection hidden="1"/>
    </xf>
    <xf numFmtId="0" fontId="333" fillId="2" borderId="9" xfId="67" applyFont="1" applyFill="1" applyBorder="1" applyAlignment="1" applyProtection="1">
      <alignment horizontal="center" vertical="center"/>
      <protection hidden="1"/>
    </xf>
    <xf numFmtId="0" fontId="332" fillId="2" borderId="33" xfId="67" applyFont="1" applyFill="1" applyBorder="1" applyAlignment="1" applyProtection="1">
      <alignment horizontal="center" vertical="center"/>
      <protection hidden="1"/>
    </xf>
    <xf numFmtId="178" fontId="253" fillId="4" borderId="10" xfId="0" applyNumberFormat="1" applyFont="1" applyFill="1" applyBorder="1" applyAlignment="1" applyProtection="1">
      <alignment horizontal="center" vertical="center" shrinkToFit="1"/>
      <protection locked="0"/>
    </xf>
    <xf numFmtId="178" fontId="66" fillId="4" borderId="1" xfId="0" applyNumberFormat="1" applyFont="1" applyFill="1" applyBorder="1" applyAlignment="1" applyProtection="1">
      <alignment horizontal="center"/>
      <protection locked="0"/>
    </xf>
    <xf numFmtId="176" fontId="246" fillId="4" borderId="181" xfId="0" applyNumberFormat="1" applyFont="1" applyFill="1" applyBorder="1" applyAlignment="1" applyProtection="1">
      <alignment horizontal="center" shrinkToFit="1"/>
      <protection locked="0"/>
    </xf>
    <xf numFmtId="0" fontId="271" fillId="4" borderId="27" xfId="21" applyFont="1" applyFill="1" applyBorder="1" applyAlignment="1" applyProtection="1">
      <alignment horizontal="center" wrapText="1"/>
      <protection locked="0"/>
    </xf>
    <xf numFmtId="0" fontId="271" fillId="4" borderId="26" xfId="21" applyFont="1" applyFill="1" applyBorder="1" applyAlignment="1" applyProtection="1">
      <alignment horizontal="center" wrapText="1"/>
      <protection locked="0"/>
    </xf>
    <xf numFmtId="0" fontId="271" fillId="4" borderId="85" xfId="21" applyFont="1" applyFill="1" applyBorder="1" applyAlignment="1" applyProtection="1">
      <alignment horizontal="center" wrapText="1"/>
      <protection locked="0"/>
    </xf>
    <xf numFmtId="0" fontId="271" fillId="4" borderId="25" xfId="21" applyFont="1" applyFill="1" applyBorder="1" applyAlignment="1" applyProtection="1">
      <alignment horizontal="center" wrapText="1"/>
      <protection locked="0"/>
    </xf>
    <xf numFmtId="176" fontId="203" fillId="4" borderId="181" xfId="0" applyNumberFormat="1" applyFont="1" applyFill="1" applyBorder="1" applyAlignment="1" applyProtection="1">
      <alignment shrinkToFit="1"/>
      <protection locked="0"/>
    </xf>
    <xf numFmtId="176" fontId="203" fillId="4" borderId="181" xfId="0" quotePrefix="1" applyNumberFormat="1" applyFont="1" applyFill="1" applyBorder="1" applyAlignment="1" applyProtection="1">
      <alignment shrinkToFit="1"/>
      <protection locked="0"/>
    </xf>
    <xf numFmtId="166" fontId="66" fillId="0" borderId="186" xfId="0" applyFont="1" applyBorder="1" applyProtection="1">
      <protection hidden="1"/>
    </xf>
    <xf numFmtId="0" fontId="230" fillId="3" borderId="1" xfId="20" applyFont="1" applyFill="1" applyBorder="1" applyAlignment="1" applyProtection="1">
      <alignment shrinkToFit="1"/>
      <protection hidden="1"/>
    </xf>
    <xf numFmtId="0" fontId="156" fillId="3" borderId="1" xfId="20" applyFont="1" applyFill="1" applyBorder="1" applyAlignment="1" applyProtection="1">
      <alignment shrinkToFit="1"/>
      <protection hidden="1"/>
    </xf>
    <xf numFmtId="166" fontId="66" fillId="0" borderId="181" xfId="0" applyFont="1" applyBorder="1" applyAlignment="1" applyProtection="1">
      <alignment shrinkToFit="1"/>
      <protection hidden="1"/>
    </xf>
    <xf numFmtId="166" fontId="194" fillId="0" borderId="181" xfId="0" applyFont="1" applyBorder="1" applyAlignment="1" applyProtection="1">
      <alignment shrinkToFit="1"/>
      <protection hidden="1"/>
    </xf>
    <xf numFmtId="166" fontId="66" fillId="16" borderId="226" xfId="0" applyFont="1" applyFill="1" applyBorder="1" applyProtection="1">
      <protection hidden="1"/>
    </xf>
    <xf numFmtId="166" fontId="66" fillId="64" borderId="226" xfId="0" applyFont="1" applyFill="1" applyBorder="1" applyProtection="1">
      <protection hidden="1"/>
    </xf>
    <xf numFmtId="166" fontId="66" fillId="65" borderId="226" xfId="0" applyFont="1" applyFill="1" applyBorder="1" applyProtection="1">
      <protection hidden="1"/>
    </xf>
    <xf numFmtId="166" fontId="66" fillId="66" borderId="226" xfId="0" applyFont="1" applyFill="1" applyBorder="1" applyProtection="1">
      <protection hidden="1"/>
    </xf>
    <xf numFmtId="166" fontId="66" fillId="67" borderId="226" xfId="0" applyFont="1" applyFill="1" applyBorder="1" applyProtection="1">
      <protection hidden="1"/>
    </xf>
    <xf numFmtId="166" fontId="66" fillId="68" borderId="226" xfId="0" applyFont="1" applyFill="1" applyBorder="1" applyProtection="1">
      <protection hidden="1"/>
    </xf>
    <xf numFmtId="0" fontId="79" fillId="0" borderId="283" xfId="21" applyNumberFormat="1" applyFont="1" applyFill="1" applyBorder="1" applyAlignment="1" applyProtection="1">
      <protection hidden="1"/>
    </xf>
    <xf numFmtId="0" fontId="271" fillId="0" borderId="283" xfId="21" applyNumberFormat="1" applyFont="1" applyFill="1" applyBorder="1" applyAlignment="1" applyProtection="1">
      <protection hidden="1"/>
    </xf>
    <xf numFmtId="0" fontId="271" fillId="0" borderId="280" xfId="21" applyNumberFormat="1" applyFont="1" applyFill="1" applyBorder="1" applyAlignment="1" applyProtection="1">
      <protection hidden="1"/>
    </xf>
    <xf numFmtId="0" fontId="97" fillId="0" borderId="283" xfId="21" applyNumberFormat="1" applyFont="1" applyFill="1" applyBorder="1" applyAlignment="1" applyProtection="1">
      <protection hidden="1"/>
    </xf>
    <xf numFmtId="0" fontId="273" fillId="0" borderId="283" xfId="21" applyNumberFormat="1" applyFont="1" applyFill="1" applyBorder="1" applyAlignment="1" applyProtection="1">
      <protection hidden="1"/>
    </xf>
    <xf numFmtId="0" fontId="97" fillId="0" borderId="283" xfId="21" applyNumberFormat="1" applyFont="1" applyFill="1" applyBorder="1" applyProtection="1">
      <protection hidden="1"/>
    </xf>
    <xf numFmtId="166" fontId="255" fillId="5" borderId="86" xfId="0" applyFont="1" applyFill="1" applyBorder="1" applyAlignment="1" applyProtection="1">
      <alignment vertical="center"/>
      <protection hidden="1"/>
    </xf>
    <xf numFmtId="166" fontId="255" fillId="5" borderId="236" xfId="0" applyFont="1" applyFill="1" applyBorder="1" applyAlignment="1" applyProtection="1">
      <alignment vertical="center"/>
      <protection hidden="1"/>
    </xf>
    <xf numFmtId="166" fontId="261" fillId="5" borderId="77" xfId="0" applyFont="1" applyFill="1" applyBorder="1" applyAlignment="1" applyProtection="1">
      <alignment horizontal="right" vertical="center"/>
      <protection hidden="1"/>
    </xf>
    <xf numFmtId="2" fontId="253" fillId="4" borderId="76" xfId="0" applyNumberFormat="1" applyFont="1" applyFill="1" applyBorder="1" applyAlignment="1" applyProtection="1">
      <alignment horizontal="center" vertical="center" shrinkToFit="1"/>
      <protection locked="0"/>
    </xf>
    <xf numFmtId="166" fontId="253" fillId="0" borderId="13" xfId="0" applyFont="1" applyBorder="1" applyAlignment="1" applyProtection="1">
      <alignment vertical="center"/>
      <protection hidden="1"/>
    </xf>
    <xf numFmtId="0" fontId="80" fillId="5" borderId="75" xfId="21" applyNumberFormat="1" applyFont="1" applyFill="1" applyBorder="1" applyAlignment="1" applyProtection="1">
      <alignment horizontal="right" vertical="center" wrapText="1"/>
      <protection hidden="1"/>
    </xf>
    <xf numFmtId="0" fontId="248" fillId="5" borderId="285" xfId="45" applyNumberFormat="1" applyFont="1" applyFill="1" applyBorder="1" applyAlignment="1" applyProtection="1">
      <alignment horizontal="center" vertical="center" shrinkToFit="1"/>
      <protection hidden="1"/>
    </xf>
    <xf numFmtId="2" fontId="127" fillId="4" borderId="286" xfId="47" applyNumberFormat="1" applyFont="1" applyFill="1" applyBorder="1" applyAlignment="1" applyProtection="1">
      <alignment horizontal="center" vertical="center" shrinkToFit="1"/>
      <protection locked="0"/>
    </xf>
    <xf numFmtId="0" fontId="7" fillId="4" borderId="22" xfId="40" applyFont="1" applyFill="1" applyBorder="1" applyAlignment="1" applyProtection="1">
      <alignment horizontal="left" vertical="center"/>
      <protection locked="0"/>
    </xf>
    <xf numFmtId="0" fontId="60" fillId="0" borderId="0" xfId="47" applyNumberFormat="1" applyProtection="1">
      <protection locked="0" hidden="1"/>
    </xf>
    <xf numFmtId="0" fontId="7" fillId="4" borderId="44" xfId="40" applyFont="1" applyFill="1" applyBorder="1" applyAlignment="1" applyProtection="1">
      <alignment horizontal="left" vertical="center"/>
      <protection locked="0"/>
    </xf>
    <xf numFmtId="0" fontId="6" fillId="4" borderId="67" xfId="40" applyFont="1" applyFill="1" applyBorder="1" applyAlignment="1" applyProtection="1">
      <alignment horizontal="left" vertical="center"/>
      <protection locked="0"/>
    </xf>
    <xf numFmtId="0" fontId="4" fillId="4" borderId="67" xfId="40" applyFont="1" applyFill="1" applyBorder="1" applyAlignment="1" applyProtection="1">
      <alignment horizontal="left" vertical="center"/>
      <protection locked="0"/>
    </xf>
    <xf numFmtId="0" fontId="2" fillId="4" borderId="67" xfId="40" applyFont="1" applyFill="1" applyBorder="1" applyAlignment="1" applyProtection="1">
      <alignment horizontal="left" vertical="center"/>
      <protection locked="0"/>
    </xf>
    <xf numFmtId="0" fontId="203" fillId="4" borderId="235" xfId="0" applyNumberFormat="1" applyFont="1" applyFill="1" applyBorder="1" applyAlignment="1" applyProtection="1">
      <alignment horizontal="center"/>
    </xf>
    <xf numFmtId="0" fontId="203" fillId="4" borderId="23" xfId="0" applyNumberFormat="1" applyFont="1" applyFill="1" applyBorder="1" applyAlignment="1" applyProtection="1">
      <alignment horizontal="center"/>
    </xf>
    <xf numFmtId="0" fontId="203" fillId="4" borderId="2" xfId="0" applyNumberFormat="1" applyFont="1" applyFill="1" applyBorder="1" applyAlignment="1" applyProtection="1">
      <alignment horizontal="center"/>
    </xf>
    <xf numFmtId="0" fontId="67" fillId="47" borderId="226" xfId="0" applyNumberFormat="1" applyFont="1" applyFill="1" applyBorder="1" applyAlignment="1" applyProtection="1">
      <alignment horizontal="center" vertical="center"/>
    </xf>
    <xf numFmtId="0" fontId="288" fillId="47" borderId="282" xfId="0" applyNumberFormat="1" applyFont="1" applyFill="1" applyBorder="1" applyAlignment="1" applyProtection="1">
      <alignment horizontal="center" vertical="center"/>
    </xf>
    <xf numFmtId="0" fontId="288" fillId="47" borderId="284" xfId="0" applyNumberFormat="1" applyFont="1" applyFill="1" applyBorder="1" applyAlignment="1" applyProtection="1">
      <alignment horizontal="center" vertical="center"/>
    </xf>
    <xf numFmtId="0" fontId="288" fillId="47" borderId="32" xfId="0" applyNumberFormat="1" applyFont="1" applyFill="1" applyBorder="1" applyAlignment="1" applyProtection="1">
      <alignment horizontal="center" vertical="center"/>
    </xf>
    <xf numFmtId="0" fontId="288" fillId="47" borderId="9" xfId="0" applyNumberFormat="1" applyFont="1" applyFill="1" applyBorder="1" applyAlignment="1" applyProtection="1">
      <alignment horizontal="center" vertical="center"/>
    </xf>
    <xf numFmtId="0" fontId="203" fillId="4" borderId="235" xfId="0" applyNumberFormat="1" applyFont="1" applyFill="1" applyBorder="1" applyAlignment="1" applyProtection="1">
      <alignment horizontal="center" vertical="center"/>
      <protection locked="0"/>
    </xf>
    <xf numFmtId="0" fontId="203" fillId="4" borderId="2" xfId="0" applyNumberFormat="1" applyFont="1" applyFill="1" applyBorder="1" applyAlignment="1" applyProtection="1">
      <alignment horizontal="center" vertical="center"/>
      <protection locked="0"/>
    </xf>
    <xf numFmtId="0" fontId="288" fillId="47" borderId="235" xfId="0" applyNumberFormat="1" applyFont="1" applyFill="1" applyBorder="1" applyAlignment="1" applyProtection="1">
      <alignment horizontal="center" vertical="center"/>
    </xf>
    <xf numFmtId="0" fontId="288" fillId="47" borderId="2" xfId="0" applyNumberFormat="1" applyFont="1" applyFill="1" applyBorder="1" applyAlignment="1" applyProtection="1">
      <alignment horizontal="center" vertical="center"/>
    </xf>
    <xf numFmtId="0" fontId="67" fillId="0" borderId="235" xfId="0" applyNumberFormat="1" applyFont="1" applyFill="1" applyBorder="1" applyAlignment="1" applyProtection="1">
      <alignment horizontal="center" vertical="center" shrinkToFit="1"/>
      <protection hidden="1"/>
    </xf>
    <xf numFmtId="0" fontId="67" fillId="0" borderId="2" xfId="0" applyNumberFormat="1" applyFont="1" applyFill="1" applyBorder="1" applyAlignment="1" applyProtection="1">
      <alignment horizontal="center" vertical="center" shrinkToFit="1"/>
      <protection hidden="1"/>
    </xf>
    <xf numFmtId="0" fontId="67" fillId="47" borderId="232" xfId="0" applyNumberFormat="1" applyFont="1" applyFill="1" applyBorder="1" applyAlignment="1" applyProtection="1">
      <alignment horizontal="center" shrinkToFit="1"/>
    </xf>
    <xf numFmtId="0" fontId="67" fillId="47" borderId="165" xfId="0" applyNumberFormat="1" applyFont="1" applyFill="1" applyBorder="1" applyAlignment="1" applyProtection="1">
      <alignment horizontal="center" shrinkToFit="1"/>
    </xf>
    <xf numFmtId="0" fontId="67" fillId="47" borderId="227" xfId="0" applyNumberFormat="1" applyFont="1" applyFill="1" applyBorder="1" applyAlignment="1" applyProtection="1">
      <alignment horizontal="center" shrinkToFit="1"/>
    </xf>
    <xf numFmtId="0" fontId="203" fillId="4" borderId="24" xfId="0" applyNumberFormat="1" applyFont="1" applyFill="1" applyBorder="1" applyAlignment="1" applyProtection="1">
      <alignment horizontal="center"/>
    </xf>
    <xf numFmtId="0" fontId="203" fillId="39" borderId="7" xfId="0" applyNumberFormat="1" applyFont="1" applyFill="1" applyBorder="1" applyAlignment="1" applyProtection="1">
      <alignment horizontal="right" vertical="top"/>
    </xf>
    <xf numFmtId="0" fontId="203" fillId="39" borderId="0" xfId="0" applyNumberFormat="1" applyFont="1" applyFill="1" applyBorder="1" applyAlignment="1" applyProtection="1">
      <alignment horizontal="right" vertical="top"/>
    </xf>
    <xf numFmtId="0" fontId="203" fillId="39" borderId="31" xfId="0" applyNumberFormat="1" applyFont="1" applyFill="1" applyBorder="1" applyAlignment="1" applyProtection="1">
      <alignment horizontal="right" vertical="top"/>
    </xf>
    <xf numFmtId="0" fontId="203" fillId="39" borderId="32" xfId="0" applyNumberFormat="1" applyFont="1" applyFill="1" applyBorder="1" applyAlignment="1" applyProtection="1">
      <alignment horizontal="right" vertical="top"/>
    </xf>
    <xf numFmtId="0" fontId="203" fillId="39" borderId="9" xfId="0" applyNumberFormat="1" applyFont="1" applyFill="1" applyBorder="1" applyAlignment="1" applyProtection="1">
      <alignment horizontal="right" vertical="top"/>
    </xf>
    <xf numFmtId="0" fontId="203" fillId="39" borderId="33" xfId="0" applyNumberFormat="1" applyFont="1" applyFill="1" applyBorder="1" applyAlignment="1" applyProtection="1">
      <alignment horizontal="right" vertical="top"/>
    </xf>
    <xf numFmtId="0" fontId="67" fillId="36" borderId="185" xfId="0" applyNumberFormat="1" applyFont="1" applyFill="1" applyBorder="1" applyAlignment="1" applyProtection="1">
      <alignment horizontal="center"/>
    </xf>
    <xf numFmtId="0" fontId="67" fillId="36" borderId="29" xfId="0" applyNumberFormat="1" applyFont="1" applyFill="1" applyBorder="1" applyAlignment="1" applyProtection="1">
      <alignment horizontal="center"/>
    </xf>
    <xf numFmtId="0" fontId="67" fillId="36" borderId="186" xfId="0" applyNumberFormat="1" applyFont="1" applyFill="1" applyBorder="1" applyAlignment="1" applyProtection="1">
      <alignment horizontal="center"/>
    </xf>
    <xf numFmtId="0" fontId="246" fillId="36" borderId="193" xfId="0" applyNumberFormat="1" applyFont="1" applyFill="1" applyBorder="1" applyAlignment="1" applyProtection="1">
      <alignment horizontal="center"/>
    </xf>
    <xf numFmtId="0" fontId="246" fillId="36" borderId="188" xfId="0" applyNumberFormat="1" applyFont="1" applyFill="1" applyBorder="1" applyAlignment="1" applyProtection="1">
      <alignment horizontal="center"/>
    </xf>
    <xf numFmtId="0" fontId="246" fillId="36" borderId="198" xfId="0" applyNumberFormat="1" applyFont="1" applyFill="1" applyBorder="1" applyAlignment="1" applyProtection="1">
      <alignment horizontal="center"/>
    </xf>
    <xf numFmtId="0" fontId="246" fillId="36" borderId="32" xfId="0" applyNumberFormat="1" applyFont="1" applyFill="1" applyBorder="1" applyAlignment="1" applyProtection="1">
      <alignment horizontal="center"/>
    </xf>
    <xf numFmtId="0" fontId="246" fillId="36" borderId="9" xfId="0" applyNumberFormat="1" applyFont="1" applyFill="1" applyBorder="1" applyAlignment="1" applyProtection="1">
      <alignment horizontal="center"/>
    </xf>
    <xf numFmtId="0" fontId="246" fillId="36" borderId="33" xfId="0" applyNumberFormat="1" applyFont="1" applyFill="1" applyBorder="1" applyAlignment="1" applyProtection="1">
      <alignment horizontal="center"/>
    </xf>
    <xf numFmtId="0" fontId="156" fillId="39" borderId="185" xfId="40" applyFont="1" applyFill="1" applyBorder="1" applyProtection="1"/>
    <xf numFmtId="0" fontId="156" fillId="39" borderId="29" xfId="40" applyFont="1" applyFill="1" applyBorder="1" applyProtection="1"/>
    <xf numFmtId="0" fontId="156" fillId="39" borderId="186" xfId="40" applyFont="1" applyFill="1" applyBorder="1" applyProtection="1"/>
    <xf numFmtId="0" fontId="246" fillId="36" borderId="185" xfId="0" applyNumberFormat="1" applyFont="1" applyFill="1" applyBorder="1" applyAlignment="1" applyProtection="1">
      <alignment horizontal="center"/>
    </xf>
    <xf numFmtId="0" fontId="246" fillId="36" borderId="29" xfId="0" applyNumberFormat="1" applyFont="1" applyFill="1" applyBorder="1" applyAlignment="1" applyProtection="1">
      <alignment horizontal="center"/>
    </xf>
    <xf numFmtId="0" fontId="246" fillId="36" borderId="186" xfId="0" applyNumberFormat="1" applyFont="1" applyFill="1" applyBorder="1" applyAlignment="1" applyProtection="1">
      <alignment horizontal="center"/>
    </xf>
    <xf numFmtId="0" fontId="203" fillId="39" borderId="185" xfId="0" applyNumberFormat="1" applyFont="1" applyFill="1" applyBorder="1" applyAlignment="1" applyProtection="1">
      <alignment horizontal="right"/>
    </xf>
    <xf numFmtId="0" fontId="203" fillId="39" borderId="29" xfId="0" applyNumberFormat="1" applyFont="1" applyFill="1" applyBorder="1" applyAlignment="1" applyProtection="1">
      <alignment horizontal="right"/>
    </xf>
    <xf numFmtId="0" fontId="203" fillId="39" borderId="186" xfId="0" applyNumberFormat="1" applyFont="1" applyFill="1" applyBorder="1" applyAlignment="1" applyProtection="1">
      <alignment horizontal="right"/>
    </xf>
    <xf numFmtId="0" fontId="203" fillId="39" borderId="193" xfId="0" applyNumberFormat="1" applyFont="1" applyFill="1" applyBorder="1" applyAlignment="1" applyProtection="1">
      <alignment horizontal="right" vertical="top"/>
    </xf>
    <xf numFmtId="0" fontId="203" fillId="39" borderId="188" xfId="0" applyNumberFormat="1" applyFont="1" applyFill="1" applyBorder="1" applyAlignment="1" applyProtection="1">
      <alignment horizontal="right" vertical="top"/>
    </xf>
    <xf numFmtId="0" fontId="203" fillId="39" borderId="198" xfId="0" applyNumberFormat="1" applyFont="1" applyFill="1" applyBorder="1" applyAlignment="1" applyProtection="1">
      <alignment horizontal="right" vertical="top"/>
    </xf>
    <xf numFmtId="0" fontId="203" fillId="39" borderId="185" xfId="0" applyNumberFormat="1" applyFont="1" applyFill="1" applyBorder="1" applyAlignment="1" applyProtection="1">
      <alignment horizontal="right" vertical="top"/>
    </xf>
    <xf numFmtId="0" fontId="203" fillId="39" borderId="29" xfId="0" applyNumberFormat="1" applyFont="1" applyFill="1" applyBorder="1" applyAlignment="1" applyProtection="1">
      <alignment horizontal="right" vertical="top"/>
    </xf>
    <xf numFmtId="0" fontId="203" fillId="39" borderId="186" xfId="0" applyNumberFormat="1" applyFont="1" applyFill="1" applyBorder="1" applyAlignment="1" applyProtection="1">
      <alignment horizontal="right" vertical="top"/>
    </xf>
    <xf numFmtId="0" fontId="203" fillId="39" borderId="65" xfId="0" applyNumberFormat="1" applyFont="1" applyFill="1" applyBorder="1" applyAlignment="1" applyProtection="1">
      <alignment horizontal="right"/>
    </xf>
    <xf numFmtId="0" fontId="203" fillId="39" borderId="44" xfId="0" applyNumberFormat="1" applyFont="1" applyFill="1" applyBorder="1" applyAlignment="1" applyProtection="1">
      <alignment horizontal="right"/>
    </xf>
    <xf numFmtId="0" fontId="203" fillId="39" borderId="43" xfId="0" applyNumberFormat="1" applyFont="1" applyFill="1" applyBorder="1" applyAlignment="1" applyProtection="1">
      <alignment horizontal="right"/>
    </xf>
    <xf numFmtId="0" fontId="203" fillId="39" borderId="68" xfId="0" applyNumberFormat="1" applyFont="1" applyFill="1" applyBorder="1" applyAlignment="1" applyProtection="1">
      <alignment horizontal="right"/>
    </xf>
    <xf numFmtId="0" fontId="203" fillId="39" borderId="21" xfId="0" applyNumberFormat="1" applyFont="1" applyFill="1" applyBorder="1" applyAlignment="1" applyProtection="1">
      <alignment horizontal="right"/>
    </xf>
    <xf numFmtId="0" fontId="203" fillId="39" borderId="69" xfId="0" applyNumberFormat="1" applyFont="1" applyFill="1" applyBorder="1" applyAlignment="1" applyProtection="1">
      <alignment horizontal="right"/>
    </xf>
    <xf numFmtId="0" fontId="203" fillId="39" borderId="39" xfId="0" applyNumberFormat="1" applyFont="1" applyFill="1" applyBorder="1" applyAlignment="1" applyProtection="1">
      <alignment horizontal="right"/>
    </xf>
    <xf numFmtId="0" fontId="203" fillId="39" borderId="66" xfId="0" applyNumberFormat="1" applyFont="1" applyFill="1" applyBorder="1" applyAlignment="1" applyProtection="1">
      <alignment horizontal="right"/>
    </xf>
    <xf numFmtId="0" fontId="203" fillId="39" borderId="62" xfId="0" applyNumberFormat="1" applyFont="1" applyFill="1" applyBorder="1" applyAlignment="1" applyProtection="1">
      <alignment horizontal="right"/>
    </xf>
    <xf numFmtId="176" fontId="203" fillId="4" borderId="32" xfId="0" applyNumberFormat="1" applyFont="1" applyFill="1" applyBorder="1" applyAlignment="1" applyProtection="1">
      <alignment horizontal="left" shrinkToFit="1"/>
      <protection locked="0"/>
    </xf>
    <xf numFmtId="176" fontId="203" fillId="4" borderId="33" xfId="0" applyNumberFormat="1" applyFont="1" applyFill="1" applyBorder="1" applyAlignment="1" applyProtection="1">
      <alignment horizontal="left" shrinkToFit="1"/>
      <protection locked="0"/>
    </xf>
    <xf numFmtId="0" fontId="288" fillId="36" borderId="233" xfId="0" applyNumberFormat="1" applyFont="1" applyFill="1" applyBorder="1" applyAlignment="1" applyProtection="1">
      <alignment horizontal="center" vertical="center"/>
    </xf>
    <xf numFmtId="0" fontId="288" fillId="36" borderId="223" xfId="0" applyNumberFormat="1" applyFont="1" applyFill="1" applyBorder="1" applyAlignment="1" applyProtection="1">
      <alignment horizontal="center" vertical="center"/>
    </xf>
    <xf numFmtId="0" fontId="288" fillId="36" borderId="234" xfId="0" applyNumberFormat="1" applyFont="1" applyFill="1" applyBorder="1" applyAlignment="1" applyProtection="1">
      <alignment horizontal="center" vertical="center"/>
    </xf>
    <xf numFmtId="0" fontId="288" fillId="36" borderId="32" xfId="0" applyNumberFormat="1" applyFont="1" applyFill="1" applyBorder="1" applyAlignment="1" applyProtection="1">
      <alignment horizontal="center" vertical="center"/>
    </xf>
    <xf numFmtId="0" fontId="288" fillId="36" borderId="9" xfId="0" applyNumberFormat="1" applyFont="1" applyFill="1" applyBorder="1" applyAlignment="1" applyProtection="1">
      <alignment horizontal="center" vertical="center"/>
    </xf>
    <xf numFmtId="0" fontId="288" fillId="36" borderId="33" xfId="0" applyNumberFormat="1" applyFont="1" applyFill="1" applyBorder="1" applyAlignment="1" applyProtection="1">
      <alignment horizontal="center" vertical="center"/>
    </xf>
    <xf numFmtId="0" fontId="246" fillId="36" borderId="226" xfId="0" applyNumberFormat="1" applyFont="1" applyFill="1" applyBorder="1" applyAlignment="1" applyProtection="1">
      <alignment horizontal="center" shrinkToFit="1"/>
    </xf>
    <xf numFmtId="176" fontId="204" fillId="4" borderId="39" xfId="0" applyNumberFormat="1" applyFont="1" applyFill="1" applyBorder="1" applyAlignment="1" applyProtection="1">
      <alignment horizontal="center" vertical="top" shrinkToFit="1"/>
      <protection locked="0"/>
    </xf>
    <xf numFmtId="176" fontId="204" fillId="4" borderId="62" xfId="0" applyNumberFormat="1" applyFont="1" applyFill="1" applyBorder="1" applyAlignment="1" applyProtection="1">
      <alignment horizontal="center" vertical="top" shrinkToFit="1"/>
      <protection locked="0"/>
    </xf>
    <xf numFmtId="176" fontId="204" fillId="4" borderId="68" xfId="0" applyNumberFormat="1" applyFont="1" applyFill="1" applyBorder="1" applyAlignment="1" applyProtection="1">
      <alignment horizontal="center" vertical="top" shrinkToFit="1"/>
      <protection locked="0"/>
    </xf>
    <xf numFmtId="176" fontId="204" fillId="4" borderId="69" xfId="0" applyNumberFormat="1" applyFont="1" applyFill="1" applyBorder="1" applyAlignment="1" applyProtection="1">
      <alignment horizontal="center" vertical="top" shrinkToFit="1"/>
      <protection locked="0"/>
    </xf>
    <xf numFmtId="176" fontId="205" fillId="39" borderId="30" xfId="0" applyNumberFormat="1" applyFont="1" applyFill="1" applyBorder="1" applyAlignment="1" applyProtection="1">
      <alignment horizontal="center" vertical="top" shrinkToFit="1"/>
      <protection hidden="1"/>
    </xf>
    <xf numFmtId="176" fontId="205" fillId="39" borderId="28" xfId="0" applyNumberFormat="1" applyFont="1" applyFill="1" applyBorder="1" applyAlignment="1" applyProtection="1">
      <alignment horizontal="center" vertical="top" shrinkToFit="1"/>
      <protection hidden="1"/>
    </xf>
    <xf numFmtId="49" fontId="203" fillId="4" borderId="68" xfId="0" applyNumberFormat="1" applyFont="1" applyFill="1" applyBorder="1" applyAlignment="1" applyProtection="1">
      <alignment horizontal="left" shrinkToFit="1"/>
      <protection locked="0"/>
    </xf>
    <xf numFmtId="49" fontId="203" fillId="4" borderId="69" xfId="0" applyNumberFormat="1" applyFont="1" applyFill="1" applyBorder="1" applyAlignment="1" applyProtection="1">
      <alignment horizontal="left" shrinkToFit="1"/>
      <protection locked="0"/>
    </xf>
    <xf numFmtId="49" fontId="203" fillId="4" borderId="89" xfId="0" applyNumberFormat="1" applyFont="1" applyFill="1" applyBorder="1" applyAlignment="1" applyProtection="1">
      <alignment horizontal="left" shrinkToFit="1"/>
      <protection locked="0"/>
    </xf>
    <xf numFmtId="49" fontId="203" fillId="4" borderId="90" xfId="0" applyNumberFormat="1" applyFont="1" applyFill="1" applyBorder="1" applyAlignment="1" applyProtection="1">
      <alignment horizontal="left" shrinkToFit="1"/>
      <protection locked="0"/>
    </xf>
    <xf numFmtId="176" fontId="204" fillId="4" borderId="11" xfId="0" applyNumberFormat="1" applyFont="1" applyFill="1" applyBorder="1" applyAlignment="1" applyProtection="1">
      <alignment horizontal="left" vertical="top" wrapText="1" shrinkToFit="1"/>
      <protection locked="0"/>
    </xf>
    <xf numFmtId="176" fontId="204" fillId="4" borderId="34" xfId="0" applyNumberFormat="1" applyFont="1" applyFill="1" applyBorder="1" applyAlignment="1" applyProtection="1">
      <alignment horizontal="left" vertical="top" wrapText="1" shrinkToFit="1"/>
      <protection locked="0"/>
    </xf>
    <xf numFmtId="176" fontId="204" fillId="4" borderId="7" xfId="0" applyNumberFormat="1" applyFont="1" applyFill="1" applyBorder="1" applyAlignment="1" applyProtection="1">
      <alignment horizontal="left" vertical="top" wrapText="1" shrinkToFit="1"/>
      <protection locked="0"/>
    </xf>
    <xf numFmtId="176" fontId="204" fillId="4" borderId="31" xfId="0" applyNumberFormat="1" applyFont="1" applyFill="1" applyBorder="1" applyAlignment="1" applyProtection="1">
      <alignment horizontal="left" vertical="top" wrapText="1" shrinkToFit="1"/>
      <protection locked="0"/>
    </xf>
    <xf numFmtId="176" fontId="204" fillId="4" borderId="32" xfId="0" applyNumberFormat="1" applyFont="1" applyFill="1" applyBorder="1" applyAlignment="1" applyProtection="1">
      <alignment horizontal="left" vertical="top" wrapText="1" shrinkToFit="1"/>
      <protection locked="0"/>
    </xf>
    <xf numFmtId="176" fontId="204" fillId="4" borderId="33" xfId="0" applyNumberFormat="1" applyFont="1" applyFill="1" applyBorder="1" applyAlignment="1" applyProtection="1">
      <alignment horizontal="left" vertical="top" wrapText="1" shrinkToFit="1"/>
      <protection locked="0"/>
    </xf>
    <xf numFmtId="166" fontId="203" fillId="4" borderId="30" xfId="27" applyNumberFormat="1" applyFont="1" applyFill="1" applyBorder="1" applyAlignment="1" applyProtection="1">
      <alignment shrinkToFit="1"/>
      <protection locked="0"/>
    </xf>
    <xf numFmtId="166" fontId="203" fillId="4" borderId="28" xfId="27" applyNumberFormat="1" applyFont="1" applyFill="1" applyBorder="1" applyAlignment="1" applyProtection="1">
      <alignment shrinkToFit="1"/>
      <protection locked="0"/>
    </xf>
    <xf numFmtId="176" fontId="204" fillId="4" borderId="65" xfId="0" applyNumberFormat="1" applyFont="1" applyFill="1" applyBorder="1" applyAlignment="1" applyProtection="1">
      <alignment horizontal="center" vertical="top" shrinkToFit="1"/>
      <protection locked="0"/>
    </xf>
    <xf numFmtId="176" fontId="204" fillId="4" borderId="43" xfId="0" applyNumberFormat="1" applyFont="1" applyFill="1" applyBorder="1" applyAlignment="1" applyProtection="1">
      <alignment horizontal="center" vertical="top" shrinkToFit="1"/>
      <protection locked="0"/>
    </xf>
    <xf numFmtId="176" fontId="204" fillId="4" borderId="65" xfId="0" applyNumberFormat="1" applyFont="1" applyFill="1" applyBorder="1" applyAlignment="1" applyProtection="1">
      <alignment horizontal="center" vertical="top" wrapText="1" shrinkToFit="1"/>
      <protection locked="0"/>
    </xf>
    <xf numFmtId="176" fontId="204" fillId="4" borderId="43" xfId="0" applyNumberFormat="1" applyFont="1" applyFill="1" applyBorder="1" applyAlignment="1" applyProtection="1">
      <alignment horizontal="center" vertical="top" wrapText="1" shrinkToFit="1"/>
      <protection locked="0"/>
    </xf>
    <xf numFmtId="166" fontId="103" fillId="34" borderId="141" xfId="0" applyFont="1" applyFill="1" applyBorder="1" applyAlignment="1" applyProtection="1">
      <alignment horizontal="center" vertical="center"/>
      <protection hidden="1"/>
    </xf>
    <xf numFmtId="166" fontId="103" fillId="34" borderId="142" xfId="0" applyFont="1" applyFill="1" applyBorder="1" applyAlignment="1" applyProtection="1">
      <alignment horizontal="center" vertical="center"/>
      <protection hidden="1"/>
    </xf>
    <xf numFmtId="166" fontId="103" fillId="34" borderId="143" xfId="0" applyFont="1" applyFill="1" applyBorder="1" applyAlignment="1" applyProtection="1">
      <alignment horizontal="center" vertical="center"/>
      <protection hidden="1"/>
    </xf>
    <xf numFmtId="0" fontId="130" fillId="31" borderId="29" xfId="45" applyNumberFormat="1" applyFont="1" applyFill="1" applyBorder="1" applyAlignment="1" applyProtection="1">
      <alignment horizontal="center" vertical="center"/>
      <protection hidden="1"/>
    </xf>
    <xf numFmtId="166" fontId="206" fillId="34" borderId="141" xfId="0" applyFont="1" applyFill="1" applyBorder="1" applyAlignment="1" applyProtection="1">
      <alignment horizontal="center" vertical="center"/>
      <protection hidden="1"/>
    </xf>
    <xf numFmtId="166" fontId="206" fillId="34" borderId="142" xfId="0" applyFont="1" applyFill="1" applyBorder="1" applyAlignment="1" applyProtection="1">
      <alignment horizontal="center" vertical="center"/>
      <protection hidden="1"/>
    </xf>
    <xf numFmtId="166" fontId="206" fillId="34" borderId="143" xfId="0" applyFont="1" applyFill="1" applyBorder="1" applyAlignment="1" applyProtection="1">
      <alignment horizontal="center" vertical="center"/>
      <protection hidden="1"/>
    </xf>
    <xf numFmtId="166" fontId="228" fillId="34" borderId="189" xfId="0" applyFont="1" applyFill="1" applyBorder="1" applyAlignment="1" applyProtection="1">
      <alignment horizontal="center" vertical="center" wrapText="1"/>
      <protection hidden="1"/>
    </xf>
    <xf numFmtId="166" fontId="228" fillId="34" borderId="190" xfId="0" applyFont="1" applyFill="1" applyBorder="1" applyAlignment="1" applyProtection="1">
      <alignment horizontal="center" vertical="center" wrapText="1"/>
      <protection hidden="1"/>
    </xf>
    <xf numFmtId="166" fontId="228" fillId="34" borderId="191" xfId="0" applyFont="1" applyFill="1" applyBorder="1" applyAlignment="1" applyProtection="1">
      <alignment horizontal="center" vertical="center" wrapText="1"/>
      <protection hidden="1"/>
    </xf>
    <xf numFmtId="210" fontId="253" fillId="4" borderId="0" xfId="0" applyNumberFormat="1" applyFont="1" applyFill="1" applyAlignment="1" applyProtection="1">
      <alignment horizontal="left" vertical="center" shrinkToFit="1"/>
      <protection locked="0"/>
    </xf>
    <xf numFmtId="211" fontId="253" fillId="4" borderId="0" xfId="0" applyNumberFormat="1" applyFont="1" applyFill="1" applyAlignment="1" applyProtection="1">
      <alignment horizontal="left" vertical="center"/>
      <protection locked="0"/>
    </xf>
    <xf numFmtId="49" fontId="253" fillId="4" borderId="0" xfId="0" applyNumberFormat="1" applyFont="1" applyFill="1" applyAlignment="1" applyProtection="1">
      <alignment horizontal="left" vertical="center" shrinkToFit="1"/>
      <protection locked="0"/>
    </xf>
    <xf numFmtId="166" fontId="253" fillId="4" borderId="0" xfId="0" applyFont="1" applyFill="1" applyAlignment="1" applyProtection="1">
      <alignment horizontal="left" vertical="center" shrinkToFit="1"/>
      <protection locked="0"/>
    </xf>
    <xf numFmtId="166" fontId="237" fillId="35" borderId="26" xfId="0" applyFont="1" applyFill="1" applyBorder="1" applyAlignment="1" applyProtection="1">
      <alignment horizontal="center" vertical="center"/>
      <protection hidden="1"/>
    </xf>
    <xf numFmtId="166" fontId="227" fillId="35" borderId="2" xfId="0" applyFont="1" applyFill="1" applyBorder="1" applyAlignment="1" applyProtection="1">
      <alignment horizontal="center" vertical="center"/>
      <protection hidden="1"/>
    </xf>
    <xf numFmtId="166" fontId="237" fillId="35" borderId="26" xfId="0" applyFont="1" applyFill="1" applyBorder="1" applyAlignment="1">
      <alignment horizontal="right" vertical="center"/>
    </xf>
    <xf numFmtId="166" fontId="227" fillId="35" borderId="2" xfId="0" applyFont="1" applyFill="1" applyBorder="1" applyAlignment="1">
      <alignment horizontal="right" vertical="center"/>
    </xf>
    <xf numFmtId="166" fontId="227" fillId="35" borderId="181" xfId="0" applyFont="1" applyFill="1" applyBorder="1" applyAlignment="1">
      <alignment horizontal="center" vertical="center" textRotation="90"/>
    </xf>
    <xf numFmtId="166" fontId="237" fillId="35" borderId="197" xfId="0" applyFont="1" applyFill="1" applyBorder="1" applyAlignment="1" applyProtection="1">
      <alignment horizontal="center" vertical="center"/>
      <protection hidden="1"/>
    </xf>
    <xf numFmtId="166" fontId="237" fillId="35" borderId="197" xfId="0" applyFont="1" applyFill="1" applyBorder="1" applyAlignment="1">
      <alignment horizontal="right" vertical="center"/>
    </xf>
    <xf numFmtId="166" fontId="83" fillId="5" borderId="30" xfId="0" applyFont="1" applyFill="1" applyBorder="1" applyAlignment="1" applyProtection="1">
      <alignment horizontal="center" vertical="center"/>
      <protection hidden="1"/>
    </xf>
    <xf numFmtId="166" fontId="83" fillId="5" borderId="29" xfId="0" applyFont="1" applyFill="1" applyBorder="1" applyAlignment="1" applyProtection="1">
      <alignment horizontal="center" vertical="center"/>
      <protection hidden="1"/>
    </xf>
    <xf numFmtId="166" fontId="83" fillId="5" borderId="28" xfId="0" applyFont="1" applyFill="1" applyBorder="1" applyAlignment="1" applyProtection="1">
      <alignment horizontal="center" vertical="center"/>
      <protection hidden="1"/>
    </xf>
    <xf numFmtId="166" fontId="83" fillId="5" borderId="24" xfId="0" applyFont="1" applyFill="1" applyBorder="1" applyAlignment="1" applyProtection="1">
      <alignment horizontal="center" vertical="center"/>
      <protection hidden="1"/>
    </xf>
    <xf numFmtId="166" fontId="83" fillId="5" borderId="87" xfId="0" applyFont="1" applyFill="1" applyBorder="1" applyAlignment="1" applyProtection="1">
      <alignment horizontal="center" vertical="center"/>
      <protection hidden="1"/>
    </xf>
    <xf numFmtId="166" fontId="74" fillId="5" borderId="11" xfId="0" applyFont="1" applyFill="1" applyBorder="1" applyAlignment="1" applyProtection="1">
      <alignment horizontal="center" vertical="center" wrapText="1"/>
      <protection hidden="1"/>
    </xf>
    <xf numFmtId="166" fontId="74" fillId="5" borderId="34" xfId="0" applyFont="1" applyFill="1" applyBorder="1" applyAlignment="1" applyProtection="1">
      <alignment horizontal="center" vertical="center" wrapText="1"/>
      <protection hidden="1"/>
    </xf>
    <xf numFmtId="166" fontId="74" fillId="5" borderId="7" xfId="0" applyFont="1" applyFill="1" applyBorder="1" applyAlignment="1" applyProtection="1">
      <alignment horizontal="center" vertical="center" wrapText="1"/>
      <protection hidden="1"/>
    </xf>
    <xf numFmtId="166" fontId="74" fillId="5" borderId="31" xfId="0" applyFont="1" applyFill="1" applyBorder="1" applyAlignment="1" applyProtection="1">
      <alignment horizontal="center" vertical="center" wrapText="1"/>
      <protection hidden="1"/>
    </xf>
    <xf numFmtId="166" fontId="74" fillId="5" borderId="32" xfId="0" applyFont="1" applyFill="1" applyBorder="1" applyAlignment="1" applyProtection="1">
      <alignment horizontal="center" vertical="center" wrapText="1"/>
      <protection hidden="1"/>
    </xf>
    <xf numFmtId="166" fontId="74" fillId="5" borderId="33" xfId="0" applyFont="1" applyFill="1" applyBorder="1" applyAlignment="1" applyProtection="1">
      <alignment horizontal="center" vertical="center" wrapText="1"/>
      <protection hidden="1"/>
    </xf>
    <xf numFmtId="166" fontId="175" fillId="19" borderId="65" xfId="0" applyFont="1" applyFill="1" applyBorder="1" applyAlignment="1" applyProtection="1">
      <alignment vertical="center" shrinkToFit="1"/>
      <protection locked="0"/>
    </xf>
    <xf numFmtId="166" fontId="175" fillId="19" borderId="43" xfId="0" applyFont="1" applyFill="1" applyBorder="1" applyAlignment="1" applyProtection="1">
      <alignment vertical="center" shrinkToFit="1"/>
      <protection locked="0"/>
    </xf>
    <xf numFmtId="166" fontId="175" fillId="5" borderId="181" xfId="0" applyFont="1" applyFill="1" applyBorder="1" applyAlignment="1" applyProtection="1">
      <alignment horizontal="center" vertical="center"/>
      <protection hidden="1"/>
    </xf>
    <xf numFmtId="15" fontId="83" fillId="5" borderId="30" xfId="0" applyNumberFormat="1" applyFont="1" applyFill="1" applyBorder="1" applyAlignment="1" applyProtection="1">
      <alignment horizontal="right" vertical="center" wrapText="1"/>
      <protection hidden="1"/>
    </xf>
    <xf numFmtId="15" fontId="83" fillId="5" borderId="29" xfId="0" applyNumberFormat="1" applyFont="1" applyFill="1" applyBorder="1" applyAlignment="1" applyProtection="1">
      <alignment horizontal="right" vertical="center" wrapText="1"/>
      <protection hidden="1"/>
    </xf>
    <xf numFmtId="15" fontId="83" fillId="5" borderId="28" xfId="0" applyNumberFormat="1" applyFont="1" applyFill="1" applyBorder="1" applyAlignment="1" applyProtection="1">
      <alignment horizontal="right" vertical="center" wrapText="1"/>
      <protection hidden="1"/>
    </xf>
    <xf numFmtId="166" fontId="175" fillId="19" borderId="39" xfId="0" applyFont="1" applyFill="1" applyBorder="1" applyAlignment="1" applyProtection="1">
      <alignment vertical="center" shrinkToFit="1"/>
      <protection locked="0"/>
    </xf>
    <xf numFmtId="166" fontId="175" fillId="19" borderId="62" xfId="0" applyFont="1" applyFill="1" applyBorder="1" applyAlignment="1" applyProtection="1">
      <alignment vertical="center" shrinkToFit="1"/>
      <protection locked="0"/>
    </xf>
    <xf numFmtId="166" fontId="175" fillId="19" borderId="68" xfId="0" applyFont="1" applyFill="1" applyBorder="1" applyAlignment="1" applyProtection="1">
      <alignment vertical="center" shrinkToFit="1"/>
      <protection locked="0"/>
    </xf>
    <xf numFmtId="166" fontId="175" fillId="19" borderId="69" xfId="0" applyFont="1" applyFill="1" applyBorder="1" applyAlignment="1" applyProtection="1">
      <alignment vertical="center" shrinkToFit="1"/>
      <protection locked="0"/>
    </xf>
    <xf numFmtId="166" fontId="83" fillId="31" borderId="30" xfId="0" applyFont="1" applyFill="1" applyBorder="1" applyAlignment="1" applyProtection="1">
      <alignment horizontal="center" vertical="center" shrinkToFit="1"/>
      <protection hidden="1"/>
    </xf>
    <xf numFmtId="166" fontId="83" fillId="31" borderId="29" xfId="0" applyFont="1" applyFill="1" applyBorder="1" applyAlignment="1" applyProtection="1">
      <alignment horizontal="center" vertical="center" shrinkToFit="1"/>
      <protection hidden="1"/>
    </xf>
    <xf numFmtId="166" fontId="175" fillId="31" borderId="30" xfId="0" applyFont="1" applyFill="1" applyBorder="1" applyAlignment="1" applyProtection="1">
      <alignment horizontal="center" vertical="center" shrinkToFit="1"/>
      <protection hidden="1"/>
    </xf>
    <xf numFmtId="166" fontId="175" fillId="31" borderId="29" xfId="0" applyFont="1" applyFill="1" applyBorder="1" applyAlignment="1" applyProtection="1">
      <alignment horizontal="center" vertical="center" shrinkToFit="1"/>
      <protection hidden="1"/>
    </xf>
    <xf numFmtId="0" fontId="127" fillId="4" borderId="22" xfId="47" applyNumberFormat="1" applyFont="1" applyFill="1" applyBorder="1" applyAlignment="1" applyProtection="1">
      <alignment vertical="center" shrinkToFit="1"/>
      <protection locked="0"/>
    </xf>
    <xf numFmtId="0" fontId="127" fillId="4" borderId="21" xfId="47" applyNumberFormat="1" applyFont="1" applyFill="1" applyBorder="1" applyAlignment="1" applyProtection="1">
      <alignment vertical="center" shrinkToFit="1"/>
      <protection locked="0"/>
    </xf>
    <xf numFmtId="0" fontId="127" fillId="4" borderId="20" xfId="47" applyNumberFormat="1" applyFont="1" applyFill="1" applyBorder="1" applyAlignment="1" applyProtection="1">
      <alignment vertical="center" shrinkToFit="1"/>
      <protection locked="0"/>
    </xf>
    <xf numFmtId="0" fontId="62" fillId="3" borderId="9" xfId="40" applyNumberFormat="1" applyFont="1" applyFill="1" applyBorder="1" applyAlignment="1" applyProtection="1">
      <alignment horizontal="center" shrinkToFit="1"/>
      <protection hidden="1"/>
    </xf>
    <xf numFmtId="0" fontId="64" fillId="5" borderId="188" xfId="40" applyNumberFormat="1" applyFont="1" applyFill="1" applyBorder="1" applyAlignment="1" applyProtection="1">
      <alignment horizontal="center" vertical="center" shrinkToFit="1"/>
      <protection hidden="1"/>
    </xf>
    <xf numFmtId="0" fontId="125" fillId="31" borderId="78" xfId="45" applyNumberFormat="1" applyFont="1" applyFill="1" applyBorder="1" applyAlignment="1" applyProtection="1">
      <alignment horizontal="center" vertical="center" shrinkToFit="1"/>
      <protection hidden="1"/>
    </xf>
    <xf numFmtId="0" fontId="125" fillId="31" borderId="79" xfId="45" applyNumberFormat="1" applyFont="1" applyFill="1" applyBorder="1" applyAlignment="1" applyProtection="1">
      <alignment horizontal="center" vertical="center" shrinkToFit="1"/>
      <protection hidden="1"/>
    </xf>
    <xf numFmtId="0" fontId="125" fillId="31" borderId="80" xfId="45" applyNumberFormat="1" applyFont="1" applyFill="1" applyBorder="1" applyAlignment="1" applyProtection="1">
      <alignment horizontal="center" vertical="center" shrinkToFit="1"/>
      <protection hidden="1"/>
    </xf>
    <xf numFmtId="0" fontId="62" fillId="3" borderId="9" xfId="40" applyNumberFormat="1" applyFill="1" applyBorder="1" applyAlignment="1" applyProtection="1">
      <alignment horizontal="center" shrinkToFit="1"/>
      <protection hidden="1"/>
    </xf>
    <xf numFmtId="0" fontId="64" fillId="5" borderId="0" xfId="40" applyNumberFormat="1" applyFont="1" applyFill="1" applyBorder="1" applyAlignment="1" applyProtection="1">
      <alignment horizontal="center" vertical="center"/>
      <protection hidden="1"/>
    </xf>
    <xf numFmtId="166" fontId="77" fillId="3" borderId="0" xfId="0" applyFont="1" applyFill="1" applyBorder="1" applyAlignment="1" applyProtection="1">
      <alignment horizontal="right" shrinkToFit="1"/>
      <protection hidden="1"/>
    </xf>
    <xf numFmtId="0" fontId="64" fillId="5" borderId="0" xfId="47" applyNumberFormat="1" applyFont="1" applyFill="1" applyProtection="1">
      <protection hidden="1"/>
    </xf>
    <xf numFmtId="0" fontId="64" fillId="5" borderId="0" xfId="40" applyNumberFormat="1" applyFont="1" applyFill="1" applyProtection="1">
      <protection hidden="1"/>
    </xf>
    <xf numFmtId="0" fontId="64" fillId="0" borderId="0" xfId="47" applyNumberFormat="1" applyFont="1" applyAlignment="1" applyProtection="1">
      <alignment horizontal="left"/>
      <protection hidden="1"/>
    </xf>
    <xf numFmtId="15" fontId="60" fillId="0" borderId="0" xfId="47" applyNumberFormat="1" applyAlignment="1" applyProtection="1">
      <alignment horizontal="left"/>
      <protection hidden="1"/>
    </xf>
    <xf numFmtId="211" fontId="60" fillId="0" borderId="0" xfId="47" applyNumberFormat="1" applyAlignment="1" applyProtection="1">
      <alignment horizontal="left"/>
      <protection hidden="1"/>
    </xf>
    <xf numFmtId="0" fontId="64" fillId="5" borderId="8" xfId="40" applyNumberFormat="1" applyFont="1" applyFill="1" applyBorder="1" applyAlignment="1" applyProtection="1">
      <alignment horizontal="center" vertical="center" shrinkToFit="1"/>
      <protection hidden="1"/>
    </xf>
    <xf numFmtId="0" fontId="64" fillId="5" borderId="0" xfId="40" applyNumberFormat="1" applyFont="1" applyFill="1" applyBorder="1" applyAlignment="1" applyProtection="1">
      <alignment horizontal="center" vertical="center" shrinkToFit="1"/>
      <protection hidden="1"/>
    </xf>
    <xf numFmtId="0" fontId="126" fillId="5" borderId="30" xfId="47" applyNumberFormat="1" applyFont="1" applyFill="1" applyBorder="1" applyAlignment="1" applyProtection="1">
      <alignment horizontal="center"/>
      <protection hidden="1"/>
    </xf>
    <xf numFmtId="0" fontId="126" fillId="5" borderId="28" xfId="47" applyNumberFormat="1" applyFont="1" applyFill="1" applyBorder="1" applyAlignment="1" applyProtection="1">
      <alignment horizontal="center"/>
      <protection hidden="1"/>
    </xf>
    <xf numFmtId="0" fontId="60" fillId="0" borderId="9" xfId="47" applyNumberFormat="1" applyBorder="1" applyAlignment="1" applyProtection="1">
      <alignment horizontal="center" shrinkToFit="1"/>
      <protection hidden="1"/>
    </xf>
    <xf numFmtId="208" fontId="60" fillId="4" borderId="0" xfId="47" applyNumberFormat="1" applyFill="1" applyAlignment="1" applyProtection="1">
      <alignment horizontal="left"/>
      <protection locked="0"/>
    </xf>
    <xf numFmtId="208" fontId="25" fillId="4" borderId="0" xfId="47" applyNumberFormat="1" applyFont="1" applyFill="1" applyAlignment="1" applyProtection="1">
      <alignment horizontal="left"/>
      <protection locked="0"/>
    </xf>
    <xf numFmtId="0" fontId="125" fillId="18" borderId="78" xfId="45" applyNumberFormat="1" applyFont="1" applyFill="1" applyBorder="1" applyAlignment="1" applyProtection="1">
      <alignment horizontal="center" vertical="center" shrinkToFit="1"/>
      <protection hidden="1"/>
    </xf>
    <xf numFmtId="0" fontId="125" fillId="18" borderId="79" xfId="45" applyNumberFormat="1" applyFont="1" applyFill="1" applyBorder="1" applyAlignment="1" applyProtection="1">
      <alignment horizontal="center" vertical="center" shrinkToFit="1"/>
      <protection hidden="1"/>
    </xf>
    <xf numFmtId="0" fontId="125" fillId="18" borderId="80" xfId="45" applyNumberFormat="1" applyFont="1" applyFill="1" applyBorder="1" applyAlignment="1" applyProtection="1">
      <alignment horizontal="center" vertical="center" shrinkToFit="1"/>
      <protection hidden="1"/>
    </xf>
    <xf numFmtId="0" fontId="64" fillId="5" borderId="8" xfId="40" applyNumberFormat="1" applyFont="1" applyFill="1" applyBorder="1" applyAlignment="1" applyProtection="1">
      <alignment horizontal="center" vertical="center"/>
      <protection hidden="1"/>
    </xf>
    <xf numFmtId="0" fontId="62" fillId="3" borderId="9" xfId="40" applyNumberFormat="1" applyFill="1" applyBorder="1" applyAlignment="1" applyProtection="1">
      <alignment horizontal="center"/>
      <protection hidden="1"/>
    </xf>
    <xf numFmtId="0" fontId="67" fillId="21" borderId="185" xfId="21" applyFont="1" applyFill="1" applyBorder="1" applyAlignment="1" applyProtection="1">
      <alignment horizontal="left" vertical="center" shrinkToFit="1"/>
      <protection hidden="1"/>
    </xf>
    <xf numFmtId="0" fontId="67" fillId="21" borderId="29" xfId="21" applyFont="1" applyFill="1" applyBorder="1" applyAlignment="1" applyProtection="1">
      <alignment horizontal="left" vertical="center" shrinkToFit="1"/>
      <protection hidden="1"/>
    </xf>
    <xf numFmtId="0" fontId="67" fillId="0" borderId="185" xfId="21" applyFont="1" applyBorder="1" applyAlignment="1" applyProtection="1">
      <alignment horizontal="left" vertical="center"/>
      <protection hidden="1"/>
    </xf>
    <xf numFmtId="0" fontId="67" fillId="0" borderId="29" xfId="21" applyFont="1" applyBorder="1" applyAlignment="1" applyProtection="1">
      <alignment horizontal="left" vertical="center"/>
      <protection hidden="1"/>
    </xf>
    <xf numFmtId="0" fontId="67" fillId="0" borderId="186" xfId="21" applyFont="1" applyBorder="1" applyAlignment="1" applyProtection="1">
      <alignment horizontal="left" vertical="center"/>
      <protection hidden="1"/>
    </xf>
    <xf numFmtId="0" fontId="209" fillId="0" borderId="187" xfId="21" quotePrefix="1" applyFont="1" applyBorder="1" applyAlignment="1" applyProtection="1">
      <alignment vertical="top" wrapText="1"/>
      <protection hidden="1"/>
    </xf>
    <xf numFmtId="0" fontId="209" fillId="0" borderId="188" xfId="21" applyFont="1" applyBorder="1" applyAlignment="1" applyProtection="1">
      <alignment vertical="top" wrapText="1"/>
      <protection hidden="1"/>
    </xf>
    <xf numFmtId="0" fontId="209" fillId="0" borderId="7" xfId="21" applyFont="1" applyBorder="1" applyAlignment="1" applyProtection="1">
      <alignment vertical="top" wrapText="1"/>
      <protection hidden="1"/>
    </xf>
    <xf numFmtId="0" fontId="209" fillId="0" borderId="0" xfId="21" applyFont="1" applyBorder="1" applyAlignment="1" applyProtection="1">
      <alignment vertical="top" wrapText="1"/>
      <protection hidden="1"/>
    </xf>
    <xf numFmtId="0" fontId="209" fillId="0" borderId="32" xfId="21" applyFont="1" applyBorder="1" applyAlignment="1" applyProtection="1">
      <alignment vertical="top" wrapText="1"/>
      <protection hidden="1"/>
    </xf>
    <xf numFmtId="0" fontId="209" fillId="0" borderId="9" xfId="21" applyFont="1" applyBorder="1" applyAlignment="1" applyProtection="1">
      <alignment vertical="top" wrapText="1"/>
      <protection hidden="1"/>
    </xf>
    <xf numFmtId="0" fontId="123" fillId="4" borderId="65" xfId="21" applyFont="1" applyFill="1" applyBorder="1" applyAlignment="1" applyProtection="1">
      <alignment vertical="top"/>
      <protection locked="0"/>
    </xf>
    <xf numFmtId="0" fontId="123" fillId="4" borderId="44" xfId="21" applyFont="1" applyFill="1" applyBorder="1" applyAlignment="1" applyProtection="1">
      <alignment vertical="top"/>
      <protection locked="0"/>
    </xf>
    <xf numFmtId="0" fontId="123" fillId="4" borderId="43" xfId="21" applyFont="1" applyFill="1" applyBorder="1" applyAlignment="1" applyProtection="1">
      <alignment vertical="top"/>
      <protection locked="0"/>
    </xf>
    <xf numFmtId="0" fontId="123" fillId="4" borderId="68" xfId="21" applyFont="1" applyFill="1" applyBorder="1" applyAlignment="1" applyProtection="1">
      <alignment vertical="top"/>
      <protection locked="0"/>
    </xf>
    <xf numFmtId="0" fontId="123" fillId="4" borderId="21" xfId="21" applyFont="1" applyFill="1" applyBorder="1" applyAlignment="1" applyProtection="1">
      <alignment vertical="top"/>
      <protection locked="0"/>
    </xf>
    <xf numFmtId="0" fontId="123" fillId="4" borderId="69" xfId="21" applyFont="1" applyFill="1" applyBorder="1" applyAlignment="1" applyProtection="1">
      <alignment vertical="top"/>
      <protection locked="0"/>
    </xf>
    <xf numFmtId="0" fontId="123" fillId="4" borderId="39" xfId="21" applyFont="1" applyFill="1" applyBorder="1" applyAlignment="1" applyProtection="1">
      <alignment vertical="top"/>
      <protection locked="0"/>
    </xf>
    <xf numFmtId="0" fontId="123" fillId="4" borderId="66" xfId="21" applyFont="1" applyFill="1" applyBorder="1" applyAlignment="1" applyProtection="1">
      <alignment vertical="top"/>
      <protection locked="0"/>
    </xf>
    <xf numFmtId="0" fontId="123" fillId="4" borderId="62" xfId="21" applyFont="1" applyFill="1" applyBorder="1" applyAlignment="1" applyProtection="1">
      <alignment vertical="top"/>
      <protection locked="0"/>
    </xf>
    <xf numFmtId="0" fontId="209" fillId="0" borderId="284" xfId="21" applyFont="1" applyBorder="1" applyAlignment="1" applyProtection="1">
      <alignment horizontal="center" vertical="top"/>
      <protection hidden="1"/>
    </xf>
    <xf numFmtId="0" fontId="209" fillId="0" borderId="280" xfId="21" applyFont="1" applyBorder="1" applyAlignment="1" applyProtection="1">
      <alignment horizontal="center" vertical="top"/>
      <protection hidden="1"/>
    </xf>
    <xf numFmtId="0" fontId="209" fillId="0" borderId="0" xfId="21" applyFont="1" applyBorder="1" applyAlignment="1" applyProtection="1">
      <alignment horizontal="center" vertical="top"/>
      <protection hidden="1"/>
    </xf>
    <xf numFmtId="0" fontId="209" fillId="0" borderId="31" xfId="21" applyFont="1" applyBorder="1" applyAlignment="1" applyProtection="1">
      <alignment horizontal="center" vertical="top"/>
      <protection hidden="1"/>
    </xf>
    <xf numFmtId="0" fontId="209" fillId="0" borderId="9" xfId="21" applyFont="1" applyBorder="1" applyAlignment="1" applyProtection="1">
      <alignment horizontal="center" vertical="top"/>
      <protection hidden="1"/>
    </xf>
    <xf numFmtId="0" fontId="209" fillId="0" borderId="33" xfId="21" applyFont="1" applyBorder="1" applyAlignment="1" applyProtection="1">
      <alignment horizontal="center" vertical="top"/>
      <protection hidden="1"/>
    </xf>
    <xf numFmtId="0" fontId="67" fillId="21" borderId="98" xfId="21" applyFont="1" applyFill="1" applyBorder="1" applyAlignment="1" applyProtection="1">
      <alignment horizontal="left"/>
      <protection hidden="1"/>
    </xf>
    <xf numFmtId="0" fontId="67" fillId="21" borderId="75" xfId="21" applyFont="1" applyFill="1" applyBorder="1" applyAlignment="1" applyProtection="1">
      <alignment horizontal="left"/>
      <protection hidden="1"/>
    </xf>
    <xf numFmtId="0" fontId="67" fillId="21" borderId="40" xfId="21" applyFont="1" applyFill="1" applyBorder="1" applyAlignment="1" applyProtection="1">
      <alignment horizontal="left"/>
      <protection hidden="1"/>
    </xf>
    <xf numFmtId="0" fontId="67" fillId="0" borderId="44" xfId="21" applyFont="1" applyBorder="1" applyAlignment="1" applyProtection="1">
      <alignment horizontal="left"/>
      <protection hidden="1"/>
    </xf>
    <xf numFmtId="0" fontId="67" fillId="0" borderId="43" xfId="21" applyFont="1" applyBorder="1" applyAlignment="1" applyProtection="1">
      <alignment horizontal="left"/>
      <protection hidden="1"/>
    </xf>
    <xf numFmtId="0" fontId="67" fillId="0" borderId="21" xfId="21" applyFont="1" applyBorder="1" applyAlignment="1" applyProtection="1">
      <alignment horizontal="left"/>
      <protection hidden="1"/>
    </xf>
    <xf numFmtId="0" fontId="67" fillId="0" borderId="69" xfId="21" applyFont="1" applyBorder="1" applyAlignment="1" applyProtection="1">
      <alignment horizontal="left"/>
      <protection hidden="1"/>
    </xf>
    <xf numFmtId="0" fontId="67" fillId="21" borderId="88" xfId="21" applyFont="1" applyFill="1" applyBorder="1" applyAlignment="1" applyProtection="1">
      <alignment horizontal="left"/>
      <protection hidden="1"/>
    </xf>
    <xf numFmtId="0" fontId="67" fillId="21" borderId="10" xfId="21" applyFont="1" applyFill="1" applyBorder="1" applyAlignment="1" applyProtection="1">
      <alignment horizontal="left"/>
      <protection hidden="1"/>
    </xf>
    <xf numFmtId="0" fontId="67" fillId="21" borderId="42" xfId="21" applyFont="1" applyFill="1" applyBorder="1" applyAlignment="1" applyProtection="1">
      <alignment horizontal="left"/>
      <protection hidden="1"/>
    </xf>
    <xf numFmtId="0" fontId="67" fillId="21" borderId="88" xfId="21" applyFont="1" applyFill="1" applyBorder="1" applyAlignment="1" applyProtection="1">
      <alignment horizontal="left" shrinkToFit="1"/>
      <protection hidden="1"/>
    </xf>
    <xf numFmtId="0" fontId="67" fillId="21" borderId="10" xfId="21" applyFont="1" applyFill="1" applyBorder="1" applyAlignment="1" applyProtection="1">
      <alignment horizontal="left" shrinkToFit="1"/>
      <protection hidden="1"/>
    </xf>
    <xf numFmtId="0" fontId="67" fillId="21" borderId="42" xfId="21" applyFont="1" applyFill="1" applyBorder="1" applyAlignment="1" applyProtection="1">
      <alignment horizontal="left" shrinkToFit="1"/>
      <protection hidden="1"/>
    </xf>
    <xf numFmtId="15" fontId="67" fillId="0" borderId="21" xfId="21" applyNumberFormat="1" applyFont="1" applyBorder="1" applyAlignment="1" applyProtection="1">
      <alignment horizontal="left"/>
      <protection hidden="1"/>
    </xf>
    <xf numFmtId="15" fontId="67" fillId="0" borderId="69" xfId="21" applyNumberFormat="1" applyFont="1" applyBorder="1" applyAlignment="1" applyProtection="1">
      <alignment horizontal="left"/>
      <protection hidden="1"/>
    </xf>
    <xf numFmtId="0" fontId="67" fillId="0" borderId="21" xfId="21" applyNumberFormat="1" applyFont="1" applyBorder="1" applyAlignment="1" applyProtection="1">
      <alignment horizontal="left"/>
      <protection hidden="1"/>
    </xf>
    <xf numFmtId="0" fontId="67" fillId="0" borderId="69" xfId="21" applyNumberFormat="1" applyFont="1" applyBorder="1" applyAlignment="1" applyProtection="1">
      <alignment horizontal="left"/>
      <protection hidden="1"/>
    </xf>
    <xf numFmtId="0" fontId="67" fillId="21" borderId="30" xfId="21" applyFont="1" applyFill="1" applyBorder="1" applyAlignment="1" applyProtection="1">
      <alignment horizontal="right"/>
      <protection hidden="1"/>
    </xf>
    <xf numFmtId="0" fontId="67" fillId="21" borderId="29" xfId="21" applyFont="1" applyFill="1" applyBorder="1" applyAlignment="1" applyProtection="1">
      <alignment horizontal="right"/>
      <protection hidden="1"/>
    </xf>
    <xf numFmtId="0" fontId="67" fillId="21" borderId="28" xfId="21" applyFont="1" applyFill="1" applyBorder="1" applyAlignment="1" applyProtection="1">
      <alignment horizontal="right"/>
      <protection hidden="1"/>
    </xf>
    <xf numFmtId="0" fontId="67" fillId="21" borderId="32" xfId="21" applyFont="1" applyFill="1" applyBorder="1" applyAlignment="1" applyProtection="1">
      <alignment horizontal="left" shrinkToFit="1"/>
      <protection hidden="1"/>
    </xf>
    <xf numFmtId="0" fontId="67" fillId="21" borderId="9" xfId="21" applyFont="1" applyFill="1" applyBorder="1" applyAlignment="1" applyProtection="1">
      <alignment horizontal="left" shrinkToFit="1"/>
      <protection hidden="1"/>
    </xf>
    <xf numFmtId="0" fontId="67" fillId="21" borderId="33" xfId="21" applyFont="1" applyFill="1" applyBorder="1" applyAlignment="1" applyProtection="1">
      <alignment horizontal="left" shrinkToFit="1"/>
      <protection hidden="1"/>
    </xf>
    <xf numFmtId="0" fontId="67" fillId="21" borderId="70" xfId="21" applyFont="1" applyFill="1" applyBorder="1" applyAlignment="1" applyProtection="1">
      <alignment horizontal="left" shrinkToFit="1"/>
      <protection hidden="1"/>
    </xf>
    <xf numFmtId="0" fontId="67" fillId="21" borderId="13" xfId="21" applyFont="1" applyFill="1" applyBorder="1" applyAlignment="1" applyProtection="1">
      <alignment horizontal="left" shrinkToFit="1"/>
      <protection hidden="1"/>
    </xf>
    <xf numFmtId="0" fontId="67" fillId="21" borderId="71" xfId="21" applyFont="1" applyFill="1" applyBorder="1" applyAlignment="1" applyProtection="1">
      <alignment horizontal="left" shrinkToFit="1"/>
      <protection hidden="1"/>
    </xf>
    <xf numFmtId="0" fontId="67" fillId="21" borderId="91" xfId="21" applyFont="1" applyFill="1" applyBorder="1" applyAlignment="1" applyProtection="1">
      <alignment horizontal="left" shrinkToFit="1"/>
      <protection hidden="1"/>
    </xf>
    <xf numFmtId="0" fontId="67" fillId="21" borderId="76" xfId="21" applyFont="1" applyFill="1" applyBorder="1" applyAlignment="1" applyProtection="1">
      <alignment horizontal="left" shrinkToFit="1"/>
      <protection hidden="1"/>
    </xf>
    <xf numFmtId="0" fontId="67" fillId="21" borderId="100" xfId="21" applyFont="1" applyFill="1" applyBorder="1" applyAlignment="1" applyProtection="1">
      <alignment horizontal="left" shrinkToFit="1"/>
      <protection hidden="1"/>
    </xf>
    <xf numFmtId="15" fontId="67" fillId="0" borderId="39" xfId="21" applyNumberFormat="1" applyFont="1" applyBorder="1" applyAlignment="1" applyProtection="1">
      <alignment shrinkToFit="1"/>
      <protection hidden="1"/>
    </xf>
    <xf numFmtId="15" fontId="67" fillId="0" borderId="66" xfId="21" applyNumberFormat="1" applyFont="1" applyBorder="1" applyAlignment="1" applyProtection="1">
      <alignment shrinkToFit="1"/>
      <protection hidden="1"/>
    </xf>
    <xf numFmtId="15" fontId="67" fillId="0" borderId="62" xfId="21" applyNumberFormat="1" applyFont="1" applyBorder="1" applyAlignment="1" applyProtection="1">
      <alignment shrinkToFit="1"/>
      <protection hidden="1"/>
    </xf>
    <xf numFmtId="0" fontId="67" fillId="21" borderId="39" xfId="21" applyFont="1" applyFill="1" applyBorder="1" applyAlignment="1" applyProtection="1">
      <alignment horizontal="left" shrinkToFit="1"/>
      <protection hidden="1"/>
    </xf>
    <xf numFmtId="0" fontId="67" fillId="21" borderId="66" xfId="21" applyFont="1" applyFill="1" applyBorder="1" applyAlignment="1" applyProtection="1">
      <alignment horizontal="left" shrinkToFit="1"/>
      <protection hidden="1"/>
    </xf>
    <xf numFmtId="0" fontId="67" fillId="21" borderId="62" xfId="21" applyFont="1" applyFill="1" applyBorder="1" applyAlignment="1" applyProtection="1">
      <alignment horizontal="left" shrinkToFit="1"/>
      <protection hidden="1"/>
    </xf>
    <xf numFmtId="0" fontId="86" fillId="0" borderId="216" xfId="21" applyFont="1" applyFill="1" applyBorder="1" applyAlignment="1" applyProtection="1">
      <alignment vertical="center" shrinkToFit="1"/>
      <protection hidden="1"/>
    </xf>
    <xf numFmtId="0" fontId="86" fillId="0" borderId="6" xfId="21" applyFont="1" applyFill="1" applyBorder="1" applyAlignment="1" applyProtection="1">
      <alignment vertical="center" shrinkToFit="1"/>
      <protection hidden="1"/>
    </xf>
    <xf numFmtId="0" fontId="86" fillId="0" borderId="113" xfId="21" applyFont="1" applyFill="1" applyBorder="1" applyAlignment="1" applyProtection="1">
      <alignment vertical="center" shrinkToFit="1"/>
      <protection hidden="1"/>
    </xf>
    <xf numFmtId="0" fontId="123" fillId="4" borderId="39" xfId="21" applyFont="1" applyFill="1" applyBorder="1" applyAlignment="1" applyProtection="1">
      <alignment vertical="center"/>
      <protection hidden="1"/>
    </xf>
    <xf numFmtId="0" fontId="123" fillId="4" borderId="66" xfId="21" applyFont="1" applyFill="1" applyBorder="1" applyAlignment="1" applyProtection="1">
      <alignment vertical="center"/>
      <protection hidden="1"/>
    </xf>
    <xf numFmtId="0" fontId="123" fillId="4" borderId="62" xfId="21" applyFont="1" applyFill="1" applyBorder="1" applyAlignment="1" applyProtection="1">
      <alignment vertical="center"/>
      <protection hidden="1"/>
    </xf>
    <xf numFmtId="0" fontId="123" fillId="4" borderId="65" xfId="21" applyFont="1" applyFill="1" applyBorder="1" applyAlignment="1" applyProtection="1">
      <alignment vertical="center"/>
      <protection hidden="1"/>
    </xf>
    <xf numFmtId="0" fontId="123" fillId="4" borderId="44" xfId="21" applyFont="1" applyFill="1" applyBorder="1" applyAlignment="1" applyProtection="1">
      <alignment vertical="center"/>
      <protection hidden="1"/>
    </xf>
    <xf numFmtId="0" fontId="123" fillId="4" borderId="43" xfId="21" applyFont="1" applyFill="1" applyBorder="1" applyAlignment="1" applyProtection="1">
      <alignment vertical="center"/>
      <protection hidden="1"/>
    </xf>
    <xf numFmtId="0" fontId="123" fillId="4" borderId="68" xfId="21" applyFont="1" applyFill="1" applyBorder="1" applyAlignment="1" applyProtection="1">
      <alignment vertical="center"/>
      <protection hidden="1"/>
    </xf>
    <xf numFmtId="0" fontId="123" fillId="4" borderId="21" xfId="21" applyFont="1" applyFill="1" applyBorder="1" applyAlignment="1" applyProtection="1">
      <alignment vertical="center"/>
      <protection hidden="1"/>
    </xf>
    <xf numFmtId="0" fontId="123" fillId="4" borderId="69" xfId="21" applyFont="1" applyFill="1" applyBorder="1" applyAlignment="1" applyProtection="1">
      <alignment vertical="center"/>
      <protection hidden="1"/>
    </xf>
    <xf numFmtId="0" fontId="86" fillId="19" borderId="210" xfId="21" applyNumberFormat="1" applyFont="1" applyFill="1" applyBorder="1" applyAlignment="1" applyProtection="1">
      <alignment vertical="center"/>
      <protection hidden="1"/>
    </xf>
    <xf numFmtId="0" fontId="66" fillId="19" borderId="21" xfId="21" applyFont="1" applyFill="1" applyBorder="1" applyAlignment="1" applyProtection="1">
      <alignment vertical="center"/>
      <protection hidden="1"/>
    </xf>
    <xf numFmtId="0" fontId="66" fillId="19" borderId="69" xfId="21" applyFont="1" applyFill="1" applyBorder="1" applyAlignment="1" applyProtection="1">
      <alignment vertical="center"/>
      <protection hidden="1"/>
    </xf>
    <xf numFmtId="15" fontId="86" fillId="3" borderId="68" xfId="21" applyNumberFormat="1" applyFont="1" applyFill="1" applyBorder="1" applyAlignment="1" applyProtection="1">
      <alignment horizontal="center" vertical="center" shrinkToFit="1"/>
      <protection hidden="1"/>
    </xf>
    <xf numFmtId="15" fontId="86" fillId="3" borderId="20" xfId="21" applyNumberFormat="1" applyFont="1" applyFill="1" applyBorder="1" applyAlignment="1" applyProtection="1">
      <alignment horizontal="center" vertical="center" shrinkToFit="1"/>
      <protection hidden="1"/>
    </xf>
    <xf numFmtId="0" fontId="86" fillId="0" borderId="70" xfId="21" applyFont="1" applyFill="1" applyBorder="1" applyAlignment="1" applyProtection="1">
      <alignment vertical="center" shrinkToFit="1"/>
      <protection hidden="1"/>
    </xf>
    <xf numFmtId="0" fontId="86" fillId="0" borderId="13" xfId="21" applyFont="1" applyFill="1" applyBorder="1" applyAlignment="1" applyProtection="1">
      <alignment vertical="center" shrinkToFit="1"/>
      <protection hidden="1"/>
    </xf>
    <xf numFmtId="0" fontId="86" fillId="0" borderId="212" xfId="21" applyFont="1" applyFill="1" applyBorder="1" applyAlignment="1" applyProtection="1">
      <alignment vertical="center" shrinkToFit="1"/>
      <protection hidden="1"/>
    </xf>
    <xf numFmtId="0" fontId="86" fillId="19" borderId="202" xfId="21" applyNumberFormat="1" applyFont="1" applyFill="1" applyBorder="1" applyAlignment="1" applyProtection="1">
      <alignment vertical="center"/>
      <protection hidden="1"/>
    </xf>
    <xf numFmtId="0" fontId="66" fillId="19" borderId="44" xfId="21" applyFont="1" applyFill="1" applyBorder="1" applyAlignment="1" applyProtection="1">
      <alignment vertical="center"/>
      <protection hidden="1"/>
    </xf>
    <xf numFmtId="0" fontId="66" fillId="19" borderId="43" xfId="21" applyFont="1" applyFill="1" applyBorder="1" applyAlignment="1" applyProtection="1">
      <alignment vertical="center"/>
      <protection hidden="1"/>
    </xf>
    <xf numFmtId="0" fontId="103" fillId="27" borderId="202" xfId="59" applyNumberFormat="1" applyFont="1" applyFill="1" applyBorder="1" applyAlignment="1" applyProtection="1">
      <alignment horizontal="center" vertical="center"/>
      <protection hidden="1"/>
    </xf>
    <xf numFmtId="0" fontId="103" fillId="27" borderId="44" xfId="59" applyNumberFormat="1" applyFont="1" applyFill="1" applyBorder="1" applyAlignment="1" applyProtection="1">
      <alignment horizontal="center" vertical="center"/>
      <protection hidden="1"/>
    </xf>
    <xf numFmtId="0" fontId="103" fillId="27" borderId="203" xfId="59" applyNumberFormat="1" applyFont="1" applyFill="1" applyBorder="1" applyAlignment="1" applyProtection="1">
      <alignment horizontal="center" vertical="center"/>
      <protection hidden="1"/>
    </xf>
    <xf numFmtId="0" fontId="67" fillId="19" borderId="32" xfId="21" applyNumberFormat="1" applyFont="1" applyFill="1" applyBorder="1" applyAlignment="1" applyProtection="1">
      <alignment horizontal="center" vertical="center" shrinkToFit="1"/>
      <protection hidden="1"/>
    </xf>
    <xf numFmtId="0" fontId="67" fillId="19" borderId="77" xfId="21" applyNumberFormat="1" applyFont="1" applyFill="1" applyBorder="1" applyAlignment="1" applyProtection="1">
      <alignment horizontal="center" vertical="center" shrinkToFit="1"/>
      <protection hidden="1"/>
    </xf>
    <xf numFmtId="0" fontId="67" fillId="19" borderId="32" xfId="21" applyFont="1" applyFill="1" applyBorder="1" applyAlignment="1" applyProtection="1">
      <alignment vertical="center"/>
      <protection hidden="1"/>
    </xf>
    <xf numFmtId="0" fontId="67" fillId="19" borderId="9" xfId="21" applyFont="1" applyFill="1" applyBorder="1" applyAlignment="1" applyProtection="1">
      <alignment vertical="center"/>
      <protection hidden="1"/>
    </xf>
    <xf numFmtId="0" fontId="66" fillId="19" borderId="205" xfId="21" applyFill="1" applyBorder="1" applyAlignment="1" applyProtection="1">
      <alignment vertical="center"/>
      <protection hidden="1"/>
    </xf>
    <xf numFmtId="15" fontId="86" fillId="3" borderId="65" xfId="21" applyNumberFormat="1" applyFont="1" applyFill="1" applyBorder="1" applyAlignment="1" applyProtection="1">
      <alignment horizontal="center" vertical="center" shrinkToFit="1"/>
      <protection hidden="1"/>
    </xf>
    <xf numFmtId="15" fontId="86" fillId="3" borderId="60" xfId="21" applyNumberFormat="1" applyFont="1" applyFill="1" applyBorder="1" applyAlignment="1" applyProtection="1">
      <alignment horizontal="center" vertical="center" shrinkToFit="1"/>
      <protection hidden="1"/>
    </xf>
    <xf numFmtId="0" fontId="86" fillId="0" borderId="65" xfId="21" applyFont="1" applyFill="1" applyBorder="1" applyAlignment="1" applyProtection="1">
      <alignment vertical="center" shrinkToFit="1"/>
      <protection hidden="1"/>
    </xf>
    <xf numFmtId="0" fontId="86" fillId="0" borderId="44" xfId="21" applyFont="1" applyFill="1" applyBorder="1" applyAlignment="1" applyProtection="1">
      <alignment vertical="center" shrinkToFit="1"/>
      <protection hidden="1"/>
    </xf>
    <xf numFmtId="0" fontId="86" fillId="0" borderId="203" xfId="21" applyFont="1" applyFill="1" applyBorder="1" applyAlignment="1" applyProtection="1">
      <alignment vertical="center" shrinkToFit="1"/>
      <protection hidden="1"/>
    </xf>
    <xf numFmtId="0" fontId="225" fillId="35" borderId="200" xfId="21" applyFont="1" applyFill="1" applyBorder="1" applyAlignment="1" applyProtection="1">
      <alignment horizontal="left" vertical="center" shrinkToFit="1"/>
      <protection hidden="1"/>
    </xf>
    <xf numFmtId="0" fontId="225" fillId="35" borderId="200" xfId="21" applyFont="1" applyFill="1" applyBorder="1" applyAlignment="1" applyProtection="1">
      <alignment horizontal="right" vertical="center" shrinkToFit="1"/>
      <protection hidden="1"/>
    </xf>
    <xf numFmtId="0" fontId="225" fillId="35" borderId="201" xfId="21" applyFont="1" applyFill="1" applyBorder="1" applyAlignment="1" applyProtection="1">
      <alignment horizontal="left" vertical="center" shrinkToFit="1"/>
      <protection hidden="1"/>
    </xf>
    <xf numFmtId="0" fontId="64" fillId="8" borderId="217" xfId="40" applyFont="1" applyFill="1" applyBorder="1" applyAlignment="1" applyProtection="1">
      <alignment horizontal="right" vertical="center"/>
      <protection hidden="1"/>
    </xf>
    <xf numFmtId="0" fontId="64" fillId="8" borderId="218" xfId="40" applyFont="1" applyFill="1" applyBorder="1" applyAlignment="1" applyProtection="1">
      <alignment horizontal="right" vertical="center"/>
      <protection hidden="1"/>
    </xf>
    <xf numFmtId="0" fontId="64" fillId="8" borderId="219" xfId="40" applyFont="1" applyFill="1" applyBorder="1" applyAlignment="1" applyProtection="1">
      <alignment horizontal="right" vertical="center"/>
      <protection hidden="1"/>
    </xf>
    <xf numFmtId="0" fontId="64" fillId="8" borderId="213" xfId="40" applyFont="1" applyFill="1" applyBorder="1" applyAlignment="1" applyProtection="1">
      <alignment horizontal="right" vertical="center"/>
      <protection hidden="1"/>
    </xf>
    <xf numFmtId="0" fontId="64" fillId="8" borderId="96" xfId="40" applyFont="1" applyFill="1" applyBorder="1" applyAlignment="1" applyProtection="1">
      <alignment horizontal="right" vertical="center"/>
      <protection hidden="1"/>
    </xf>
    <xf numFmtId="0" fontId="64" fillId="8" borderId="138" xfId="40" applyFont="1" applyFill="1" applyBorder="1" applyAlignment="1" applyProtection="1">
      <alignment horizontal="right" vertical="center"/>
      <protection hidden="1"/>
    </xf>
    <xf numFmtId="0" fontId="86" fillId="19" borderId="213" xfId="21" applyNumberFormat="1" applyFont="1" applyFill="1" applyBorder="1" applyAlignment="1" applyProtection="1">
      <alignment vertical="center"/>
      <protection hidden="1"/>
    </xf>
    <xf numFmtId="0" fontId="66" fillId="19" borderId="96" xfId="21" applyFont="1" applyFill="1" applyBorder="1" applyAlignment="1" applyProtection="1">
      <alignment vertical="center"/>
      <protection hidden="1"/>
    </xf>
    <xf numFmtId="0" fontId="66" fillId="19" borderId="138" xfId="21" applyFont="1" applyFill="1" applyBorder="1" applyAlignment="1" applyProtection="1">
      <alignment vertical="center"/>
      <protection hidden="1"/>
    </xf>
    <xf numFmtId="15" fontId="86" fillId="3" borderId="214" xfId="21" applyNumberFormat="1" applyFont="1" applyFill="1" applyBorder="1" applyAlignment="1" applyProtection="1">
      <alignment horizontal="center" vertical="center" shrinkToFit="1"/>
      <protection hidden="1"/>
    </xf>
    <xf numFmtId="15" fontId="86" fillId="3" borderId="94" xfId="21" applyNumberFormat="1" applyFont="1" applyFill="1" applyBorder="1" applyAlignment="1" applyProtection="1">
      <alignment horizontal="center" vertical="center" shrinkToFit="1"/>
      <protection hidden="1"/>
    </xf>
    <xf numFmtId="0" fontId="209" fillId="0" borderId="187" xfId="21" applyFont="1" applyBorder="1" applyAlignment="1" applyProtection="1">
      <alignment horizontal="left" vertical="top" wrapText="1"/>
      <protection hidden="1"/>
    </xf>
    <xf numFmtId="0" fontId="209" fillId="0" borderId="188" xfId="21" applyFont="1" applyBorder="1" applyAlignment="1" applyProtection="1">
      <alignment horizontal="left" vertical="top" wrapText="1"/>
      <protection hidden="1"/>
    </xf>
    <xf numFmtId="0" fontId="209" fillId="0" borderId="7" xfId="21" applyFont="1" applyBorder="1" applyAlignment="1" applyProtection="1">
      <alignment horizontal="left" vertical="top" wrapText="1"/>
      <protection hidden="1"/>
    </xf>
    <xf numFmtId="0" fontId="209" fillId="0" borderId="0" xfId="21" applyFont="1" applyBorder="1" applyAlignment="1" applyProtection="1">
      <alignment horizontal="left" vertical="top" wrapText="1"/>
      <protection hidden="1"/>
    </xf>
    <xf numFmtId="0" fontId="209" fillId="0" borderId="32" xfId="21" applyFont="1" applyBorder="1" applyAlignment="1" applyProtection="1">
      <alignment horizontal="left" vertical="top" wrapText="1"/>
      <protection hidden="1"/>
    </xf>
    <xf numFmtId="0" fontId="209" fillId="0" borderId="9" xfId="21" applyFont="1" applyBorder="1" applyAlignment="1" applyProtection="1">
      <alignment horizontal="left" vertical="top" wrapText="1"/>
      <protection hidden="1"/>
    </xf>
    <xf numFmtId="0" fontId="66" fillId="19" borderId="210" xfId="21" applyNumberFormat="1" applyFont="1" applyFill="1" applyBorder="1" applyAlignment="1" applyProtection="1">
      <alignment horizontal="right" vertical="center"/>
      <protection hidden="1"/>
    </xf>
    <xf numFmtId="0" fontId="66" fillId="19" borderId="21" xfId="21" applyNumberFormat="1" applyFont="1" applyFill="1" applyBorder="1" applyAlignment="1" applyProtection="1">
      <alignment horizontal="right" vertical="center"/>
      <protection hidden="1"/>
    </xf>
    <xf numFmtId="0" fontId="66" fillId="19" borderId="69" xfId="21" applyNumberFormat="1" applyFont="1" applyFill="1" applyBorder="1" applyAlignment="1" applyProtection="1">
      <alignment horizontal="right" vertical="center"/>
      <protection hidden="1"/>
    </xf>
    <xf numFmtId="0" fontId="66" fillId="3" borderId="68" xfId="21" applyNumberFormat="1" applyFont="1" applyFill="1" applyBorder="1" applyAlignment="1" applyProtection="1">
      <alignment horizontal="center" vertical="center"/>
      <protection hidden="1"/>
    </xf>
    <xf numFmtId="0" fontId="66" fillId="3" borderId="21" xfId="21" applyNumberFormat="1" applyFont="1" applyFill="1" applyBorder="1" applyAlignment="1" applyProtection="1">
      <alignment horizontal="center" vertical="center"/>
      <protection hidden="1"/>
    </xf>
    <xf numFmtId="0" fontId="66" fillId="3" borderId="20" xfId="21" applyNumberFormat="1" applyFont="1" applyFill="1" applyBorder="1" applyAlignment="1" applyProtection="1">
      <alignment horizontal="center" vertical="center"/>
      <protection hidden="1"/>
    </xf>
    <xf numFmtId="178" fontId="66" fillId="3" borderId="22" xfId="21" applyNumberFormat="1" applyFont="1" applyFill="1" applyBorder="1" applyAlignment="1" applyProtection="1">
      <alignment horizontal="center" vertical="center"/>
      <protection hidden="1"/>
    </xf>
    <xf numFmtId="178" fontId="66" fillId="3" borderId="20" xfId="21" applyNumberFormat="1" applyFont="1" applyFill="1" applyBorder="1" applyAlignment="1" applyProtection="1">
      <alignment horizontal="center" vertical="center"/>
      <protection hidden="1"/>
    </xf>
    <xf numFmtId="0" fontId="66" fillId="0" borderId="22" xfId="21" applyFont="1" applyFill="1" applyBorder="1" applyAlignment="1" applyProtection="1">
      <alignment horizontal="center" vertical="center"/>
      <protection hidden="1"/>
    </xf>
    <xf numFmtId="0" fontId="66" fillId="0" borderId="211" xfId="21" applyFont="1" applyFill="1" applyBorder="1" applyAlignment="1" applyProtection="1">
      <alignment horizontal="center" vertical="center"/>
      <protection hidden="1"/>
    </xf>
    <xf numFmtId="2" fontId="66" fillId="3" borderId="22" xfId="21" applyNumberFormat="1" applyFont="1" applyFill="1" applyBorder="1" applyAlignment="1" applyProtection="1">
      <alignment horizontal="center" vertical="center"/>
      <protection hidden="1"/>
    </xf>
    <xf numFmtId="2" fontId="66" fillId="3" borderId="20" xfId="21" applyNumberFormat="1" applyFont="1" applyFill="1" applyBorder="1" applyAlignment="1" applyProtection="1">
      <alignment horizontal="center" vertical="center"/>
      <protection hidden="1"/>
    </xf>
    <xf numFmtId="0" fontId="66" fillId="19" borderId="209" xfId="21" applyNumberFormat="1" applyFont="1" applyFill="1" applyBorder="1" applyAlignment="1" applyProtection="1">
      <alignment horizontal="right" vertical="center"/>
      <protection hidden="1"/>
    </xf>
    <xf numFmtId="0" fontId="66" fillId="19" borderId="236" xfId="21" applyNumberFormat="1" applyFont="1" applyFill="1" applyBorder="1" applyAlignment="1" applyProtection="1">
      <alignment horizontal="right" vertical="center"/>
      <protection hidden="1"/>
    </xf>
    <xf numFmtId="0" fontId="66" fillId="19" borderId="33" xfId="21" applyNumberFormat="1" applyFont="1" applyFill="1" applyBorder="1" applyAlignment="1" applyProtection="1">
      <alignment horizontal="right" vertical="center"/>
      <protection hidden="1"/>
    </xf>
    <xf numFmtId="0" fontId="66" fillId="3" borderId="32" xfId="21" applyNumberFormat="1" applyFont="1" applyFill="1" applyBorder="1" applyAlignment="1" applyProtection="1">
      <alignment horizontal="center" vertical="center"/>
      <protection hidden="1"/>
    </xf>
    <xf numFmtId="0" fontId="66" fillId="3" borderId="236" xfId="21" applyNumberFormat="1" applyFont="1" applyFill="1" applyBorder="1" applyAlignment="1" applyProtection="1">
      <alignment horizontal="center" vertical="center"/>
      <protection hidden="1"/>
    </xf>
    <xf numFmtId="0" fontId="66" fillId="3" borderId="77" xfId="21" applyNumberFormat="1" applyFont="1" applyFill="1" applyBorder="1" applyAlignment="1" applyProtection="1">
      <alignment horizontal="center" vertical="center"/>
      <protection hidden="1"/>
    </xf>
    <xf numFmtId="2" fontId="66" fillId="3" borderId="86" xfId="21" applyNumberFormat="1" applyFont="1" applyFill="1" applyBorder="1" applyAlignment="1" applyProtection="1">
      <alignment horizontal="center" vertical="center"/>
      <protection hidden="1"/>
    </xf>
    <xf numFmtId="2" fontId="66" fillId="3" borderId="77" xfId="21" applyNumberFormat="1" applyFont="1" applyFill="1" applyBorder="1" applyAlignment="1" applyProtection="1">
      <alignment horizontal="center" vertical="center"/>
      <protection hidden="1"/>
    </xf>
    <xf numFmtId="0" fontId="66" fillId="0" borderId="86" xfId="21" applyFont="1" applyFill="1" applyBorder="1" applyAlignment="1" applyProtection="1">
      <alignment horizontal="center" vertical="center"/>
      <protection hidden="1"/>
    </xf>
    <xf numFmtId="0" fontId="66" fillId="0" borderId="205" xfId="21" applyFont="1" applyFill="1" applyBorder="1" applyAlignment="1" applyProtection="1">
      <alignment horizontal="center" vertical="center"/>
      <protection hidden="1"/>
    </xf>
    <xf numFmtId="0" fontId="67" fillId="19" borderId="32" xfId="21" applyFont="1" applyFill="1" applyBorder="1" applyAlignment="1" applyProtection="1">
      <alignment horizontal="center" vertical="center"/>
      <protection hidden="1"/>
    </xf>
    <xf numFmtId="0" fontId="67" fillId="19" borderId="9" xfId="21" applyFont="1" applyFill="1" applyBorder="1" applyAlignment="1" applyProtection="1">
      <alignment horizontal="center" vertical="center"/>
      <protection hidden="1"/>
    </xf>
    <xf numFmtId="0" fontId="67" fillId="19" borderId="77" xfId="21" applyFont="1" applyFill="1" applyBorder="1" applyAlignment="1" applyProtection="1">
      <alignment horizontal="center" vertical="center"/>
      <protection hidden="1"/>
    </xf>
    <xf numFmtId="0" fontId="67" fillId="19" borderId="86" xfId="21" applyFont="1" applyFill="1" applyBorder="1" applyAlignment="1" applyProtection="1">
      <alignment horizontal="center" vertical="center"/>
      <protection hidden="1"/>
    </xf>
    <xf numFmtId="0" fontId="67" fillId="19" borderId="205" xfId="21" applyFont="1" applyFill="1" applyBorder="1" applyAlignment="1" applyProtection="1">
      <alignment horizontal="center" vertical="center"/>
      <protection hidden="1"/>
    </xf>
    <xf numFmtId="0" fontId="66" fillId="19" borderId="202" xfId="21" applyNumberFormat="1" applyFont="1" applyFill="1" applyBorder="1" applyAlignment="1" applyProtection="1">
      <alignment horizontal="right" vertical="center"/>
      <protection hidden="1"/>
    </xf>
    <xf numFmtId="0" fontId="66" fillId="19" borderId="44" xfId="21" applyNumberFormat="1" applyFont="1" applyFill="1" applyBorder="1" applyAlignment="1" applyProtection="1">
      <alignment horizontal="right" vertical="center"/>
      <protection hidden="1"/>
    </xf>
    <xf numFmtId="0" fontId="66" fillId="19" borderId="43" xfId="21" applyNumberFormat="1" applyFont="1" applyFill="1" applyBorder="1" applyAlignment="1" applyProtection="1">
      <alignment horizontal="right" vertical="center"/>
      <protection hidden="1"/>
    </xf>
    <xf numFmtId="0" fontId="66" fillId="3" borderId="65" xfId="21" applyNumberFormat="1" applyFont="1" applyFill="1" applyBorder="1" applyAlignment="1" applyProtection="1">
      <alignment horizontal="center" vertical="center"/>
      <protection hidden="1"/>
    </xf>
    <xf numFmtId="0" fontId="66" fillId="3" borderId="44" xfId="21" applyNumberFormat="1" applyFont="1" applyFill="1" applyBorder="1" applyAlignment="1" applyProtection="1">
      <alignment horizontal="center" vertical="center"/>
      <protection hidden="1"/>
    </xf>
    <xf numFmtId="0" fontId="66" fillId="3" borderId="60" xfId="21" applyNumberFormat="1" applyFont="1" applyFill="1" applyBorder="1" applyAlignment="1" applyProtection="1">
      <alignment horizontal="center" vertical="center"/>
      <protection hidden="1"/>
    </xf>
    <xf numFmtId="2" fontId="66" fillId="3" borderId="67" xfId="21" applyNumberFormat="1" applyFont="1" applyFill="1" applyBorder="1" applyAlignment="1" applyProtection="1">
      <alignment horizontal="center" vertical="center"/>
      <protection hidden="1"/>
    </xf>
    <xf numFmtId="2" fontId="66" fillId="3" borderId="60" xfId="21" applyNumberFormat="1" applyFont="1" applyFill="1" applyBorder="1" applyAlignment="1" applyProtection="1">
      <alignment horizontal="center" vertical="center"/>
      <protection hidden="1"/>
    </xf>
    <xf numFmtId="0" fontId="66" fillId="0" borderId="67" xfId="21" applyFont="1" applyFill="1" applyBorder="1" applyAlignment="1" applyProtection="1">
      <alignment horizontal="center" vertical="center"/>
      <protection hidden="1"/>
    </xf>
    <xf numFmtId="0" fontId="66" fillId="0" borderId="203" xfId="21" applyFont="1" applyFill="1" applyBorder="1" applyAlignment="1" applyProtection="1">
      <alignment horizontal="center" vertical="center"/>
      <protection hidden="1"/>
    </xf>
    <xf numFmtId="0" fontId="66" fillId="19" borderId="206" xfId="21" applyFont="1" applyFill="1" applyBorder="1" applyAlignment="1" applyProtection="1">
      <alignment horizontal="right" vertical="center"/>
      <protection hidden="1"/>
    </xf>
    <xf numFmtId="0" fontId="66" fillId="19" borderId="66" xfId="21" applyFont="1" applyFill="1" applyBorder="1" applyAlignment="1" applyProtection="1">
      <alignment horizontal="right" vertical="center"/>
      <protection hidden="1"/>
    </xf>
    <xf numFmtId="0" fontId="66" fillId="19" borderId="62" xfId="21" applyFont="1" applyFill="1" applyBorder="1" applyAlignment="1" applyProtection="1">
      <alignment horizontal="right" vertical="center"/>
      <protection hidden="1"/>
    </xf>
    <xf numFmtId="178" fontId="66" fillId="3" borderId="38" xfId="21" applyNumberFormat="1" applyFont="1" applyFill="1" applyBorder="1" applyAlignment="1" applyProtection="1">
      <alignment horizontal="center" vertical="center" shrinkToFit="1"/>
      <protection hidden="1"/>
    </xf>
    <xf numFmtId="178" fontId="66" fillId="3" borderId="37" xfId="21" applyNumberFormat="1" applyFont="1" applyFill="1" applyBorder="1" applyAlignment="1" applyProtection="1">
      <alignment horizontal="center" vertical="center" shrinkToFit="1"/>
      <protection hidden="1"/>
    </xf>
    <xf numFmtId="0" fontId="67" fillId="19" borderId="207" xfId="21" applyFont="1" applyFill="1" applyBorder="1" applyAlignment="1" applyProtection="1">
      <alignment horizontal="right" vertical="center"/>
      <protection hidden="1"/>
    </xf>
    <xf numFmtId="0" fontId="67" fillId="19" borderId="29" xfId="21" applyFont="1" applyFill="1" applyBorder="1" applyAlignment="1" applyProtection="1">
      <alignment horizontal="right" vertical="center"/>
      <protection hidden="1"/>
    </xf>
    <xf numFmtId="0" fontId="67" fillId="19" borderId="186" xfId="21" applyFont="1" applyFill="1" applyBorder="1" applyAlignment="1" applyProtection="1">
      <alignment horizontal="right" vertical="center"/>
      <protection hidden="1"/>
    </xf>
    <xf numFmtId="178" fontId="67" fillId="8" borderId="45" xfId="21" applyNumberFormat="1" applyFont="1" applyFill="1" applyBorder="1" applyAlignment="1" applyProtection="1">
      <alignment horizontal="center" vertical="center" shrinkToFit="1"/>
      <protection hidden="1"/>
    </xf>
    <xf numFmtId="0" fontId="67" fillId="19" borderId="86" xfId="21" applyFont="1" applyFill="1" applyBorder="1" applyAlignment="1" applyProtection="1">
      <alignment horizontal="center" vertical="center" shrinkToFit="1"/>
      <protection hidden="1"/>
    </xf>
    <xf numFmtId="0" fontId="67" fillId="19" borderId="77" xfId="21" applyFont="1" applyFill="1" applyBorder="1" applyAlignment="1" applyProtection="1">
      <alignment horizontal="center" vertical="center" shrinkToFit="1"/>
      <protection hidden="1"/>
    </xf>
    <xf numFmtId="0" fontId="66" fillId="19" borderId="202" xfId="21" applyFont="1" applyFill="1" applyBorder="1" applyAlignment="1" applyProtection="1">
      <alignment horizontal="right" vertical="center"/>
      <protection hidden="1"/>
    </xf>
    <xf numFmtId="0" fontId="66" fillId="19" borderId="44" xfId="21" applyFont="1" applyFill="1" applyBorder="1" applyAlignment="1" applyProtection="1">
      <alignment horizontal="right" vertical="center"/>
      <protection hidden="1"/>
    </xf>
    <xf numFmtId="0" fontId="66" fillId="19" borderId="43" xfId="21" applyFont="1" applyFill="1" applyBorder="1" applyAlignment="1" applyProtection="1">
      <alignment horizontal="right" vertical="center"/>
      <protection hidden="1"/>
    </xf>
    <xf numFmtId="178" fontId="66" fillId="3" borderId="67" xfId="21" applyNumberFormat="1" applyFont="1" applyFill="1" applyBorder="1" applyAlignment="1" applyProtection="1">
      <alignment horizontal="center" vertical="center" shrinkToFit="1"/>
      <protection hidden="1"/>
    </xf>
    <xf numFmtId="178" fontId="66" fillId="3" borderId="60" xfId="21" applyNumberFormat="1" applyFont="1" applyFill="1" applyBorder="1" applyAlignment="1" applyProtection="1">
      <alignment horizontal="center" vertical="center" shrinkToFit="1"/>
      <protection hidden="1"/>
    </xf>
    <xf numFmtId="0" fontId="120" fillId="31" borderId="11" xfId="21" applyFont="1" applyFill="1" applyBorder="1" applyAlignment="1" applyProtection="1">
      <alignment horizontal="center" vertical="center"/>
      <protection hidden="1"/>
    </xf>
    <xf numFmtId="0" fontId="120" fillId="31" borderId="8" xfId="21" applyFont="1" applyFill="1" applyBorder="1" applyAlignment="1" applyProtection="1">
      <alignment horizontal="center" vertical="center"/>
      <protection hidden="1"/>
    </xf>
    <xf numFmtId="0" fontId="120" fillId="31" borderId="34" xfId="21" applyFont="1" applyFill="1" applyBorder="1" applyAlignment="1" applyProtection="1">
      <alignment horizontal="center" vertical="center"/>
      <protection hidden="1"/>
    </xf>
    <xf numFmtId="0" fontId="199" fillId="33" borderId="30" xfId="21" applyFont="1" applyFill="1" applyBorder="1" applyAlignment="1" applyProtection="1">
      <alignment horizontal="center" vertical="center"/>
      <protection hidden="1"/>
    </xf>
    <xf numFmtId="0" fontId="199" fillId="33" borderId="29" xfId="21" applyFont="1" applyFill="1" applyBorder="1" applyAlignment="1" applyProtection="1">
      <alignment horizontal="center" vertical="center"/>
      <protection hidden="1"/>
    </xf>
    <xf numFmtId="0" fontId="199" fillId="33" borderId="28" xfId="21" applyFont="1" applyFill="1" applyBorder="1" applyAlignment="1" applyProtection="1">
      <alignment horizontal="center" vertical="center"/>
      <protection hidden="1"/>
    </xf>
    <xf numFmtId="0" fontId="66" fillId="19" borderId="65" xfId="21" applyFont="1" applyFill="1" applyBorder="1" applyAlignment="1" applyProtection="1">
      <alignment horizontal="left"/>
      <protection hidden="1"/>
    </xf>
    <xf numFmtId="0" fontId="66" fillId="19" borderId="44" xfId="21" applyFont="1" applyFill="1" applyBorder="1" applyAlignment="1" applyProtection="1">
      <alignment horizontal="left"/>
      <protection hidden="1"/>
    </xf>
    <xf numFmtId="0" fontId="66" fillId="19" borderId="43" xfId="21" applyFont="1" applyFill="1" applyBorder="1" applyAlignment="1" applyProtection="1">
      <alignment horizontal="left"/>
      <protection hidden="1"/>
    </xf>
    <xf numFmtId="0" fontId="67" fillId="0" borderId="65" xfId="21" applyFont="1" applyBorder="1" applyAlignment="1" applyProtection="1">
      <alignment horizontal="left"/>
      <protection hidden="1"/>
    </xf>
    <xf numFmtId="0" fontId="66" fillId="19" borderId="26" xfId="21" applyFont="1" applyFill="1" applyBorder="1" applyAlignment="1" applyProtection="1">
      <alignment horizontal="left"/>
      <protection hidden="1"/>
    </xf>
    <xf numFmtId="0" fontId="67" fillId="19" borderId="32" xfId="21" applyFont="1" applyFill="1" applyBorder="1" applyAlignment="1" applyProtection="1">
      <alignment horizontal="left"/>
      <protection hidden="1"/>
    </xf>
    <xf numFmtId="0" fontId="67" fillId="19" borderId="9" xfId="21" applyFont="1" applyFill="1" applyBorder="1" applyAlignment="1" applyProtection="1">
      <alignment horizontal="left"/>
      <protection hidden="1"/>
    </xf>
    <xf numFmtId="0" fontId="67" fillId="19" borderId="33" xfId="21" applyFont="1" applyFill="1" applyBorder="1" applyAlignment="1" applyProtection="1">
      <alignment horizontal="left"/>
      <protection hidden="1"/>
    </xf>
    <xf numFmtId="0" fontId="73" fillId="31" borderId="11" xfId="21" applyFont="1" applyFill="1" applyBorder="1" applyAlignment="1" applyProtection="1">
      <alignment horizontal="center" vertical="center"/>
      <protection hidden="1"/>
    </xf>
    <xf numFmtId="0" fontId="73" fillId="31" borderId="8" xfId="21" applyFont="1" applyFill="1" applyBorder="1" applyAlignment="1" applyProtection="1">
      <alignment horizontal="center" vertical="center"/>
      <protection hidden="1"/>
    </xf>
    <xf numFmtId="0" fontId="73" fillId="31" borderId="34" xfId="21" applyFont="1" applyFill="1" applyBorder="1" applyAlignment="1" applyProtection="1">
      <alignment horizontal="center" vertical="center"/>
      <protection hidden="1"/>
    </xf>
    <xf numFmtId="0" fontId="66" fillId="19" borderId="25" xfId="21" applyFont="1" applyFill="1" applyBorder="1" applyAlignment="1" applyProtection="1">
      <alignment horizontal="left"/>
      <protection hidden="1"/>
    </xf>
    <xf numFmtId="15" fontId="67" fillId="0" borderId="39" xfId="21" applyNumberFormat="1" applyFont="1" applyBorder="1" applyAlignment="1" applyProtection="1">
      <alignment horizontal="left"/>
      <protection hidden="1"/>
    </xf>
    <xf numFmtId="15" fontId="67" fillId="0" borderId="66" xfId="21" applyNumberFormat="1" applyFont="1" applyBorder="1" applyAlignment="1" applyProtection="1">
      <alignment horizontal="left"/>
      <protection hidden="1"/>
    </xf>
    <xf numFmtId="15" fontId="67" fillId="0" borderId="62" xfId="21" applyNumberFormat="1" applyFont="1" applyBorder="1" applyAlignment="1" applyProtection="1">
      <alignment horizontal="left"/>
      <protection hidden="1"/>
    </xf>
    <xf numFmtId="0" fontId="67" fillId="0" borderId="68" xfId="21" applyFont="1" applyBorder="1" applyAlignment="1" applyProtection="1">
      <protection hidden="1"/>
    </xf>
    <xf numFmtId="0" fontId="67" fillId="0" borderId="21" xfId="21" applyFont="1" applyBorder="1" applyAlignment="1" applyProtection="1">
      <protection hidden="1"/>
    </xf>
    <xf numFmtId="0" fontId="67" fillId="0" borderId="69" xfId="21" applyFont="1" applyBorder="1" applyAlignment="1" applyProtection="1">
      <protection hidden="1"/>
    </xf>
    <xf numFmtId="0" fontId="120" fillId="31" borderId="30" xfId="21" applyFont="1" applyFill="1" applyBorder="1" applyAlignment="1" applyProtection="1">
      <alignment horizontal="center" vertical="center"/>
      <protection hidden="1"/>
    </xf>
    <xf numFmtId="0" fontId="120" fillId="31" borderId="29" xfId="21" applyFont="1" applyFill="1" applyBorder="1" applyAlignment="1" applyProtection="1">
      <alignment horizontal="center" vertical="center"/>
      <protection hidden="1"/>
    </xf>
    <xf numFmtId="0" fontId="120" fillId="31" borderId="28" xfId="21" applyFont="1" applyFill="1" applyBorder="1" applyAlignment="1" applyProtection="1">
      <alignment horizontal="center" vertical="center"/>
      <protection hidden="1"/>
    </xf>
    <xf numFmtId="0" fontId="67" fillId="0" borderId="21" xfId="21" applyFont="1" applyBorder="1" applyAlignment="1" applyProtection="1">
      <alignment horizontal="center"/>
      <protection hidden="1"/>
    </xf>
    <xf numFmtId="178" fontId="66" fillId="0" borderId="38" xfId="21" applyNumberFormat="1" applyFont="1" applyBorder="1" applyAlignment="1" applyProtection="1">
      <alignment horizontal="center"/>
      <protection hidden="1"/>
    </xf>
    <xf numFmtId="178" fontId="66" fillId="0" borderId="37" xfId="21" applyNumberFormat="1" applyFont="1" applyBorder="1" applyAlignment="1" applyProtection="1">
      <alignment horizontal="center"/>
      <protection hidden="1"/>
    </xf>
    <xf numFmtId="178" fontId="67" fillId="8" borderId="128" xfId="21" applyNumberFormat="1" applyFont="1" applyFill="1" applyBorder="1" applyAlignment="1" applyProtection="1">
      <alignment horizontal="center"/>
      <protection hidden="1"/>
    </xf>
    <xf numFmtId="178" fontId="67" fillId="8" borderId="46" xfId="21" applyNumberFormat="1" applyFont="1" applyFill="1" applyBorder="1" applyAlignment="1" applyProtection="1">
      <alignment horizontal="center"/>
      <protection hidden="1"/>
    </xf>
    <xf numFmtId="0" fontId="67" fillId="21" borderId="30" xfId="21" applyFont="1" applyFill="1" applyBorder="1" applyAlignment="1" applyProtection="1">
      <alignment horizontal="center"/>
      <protection hidden="1"/>
    </xf>
    <xf numFmtId="0" fontId="67" fillId="21" borderId="46" xfId="21" applyFont="1" applyFill="1" applyBorder="1" applyAlignment="1" applyProtection="1">
      <alignment horizontal="center"/>
      <protection hidden="1"/>
    </xf>
    <xf numFmtId="178" fontId="66" fillId="0" borderId="65" xfId="21" applyNumberFormat="1" applyFont="1" applyBorder="1" applyAlignment="1" applyProtection="1">
      <alignment horizontal="center"/>
      <protection hidden="1"/>
    </xf>
    <xf numFmtId="178" fontId="66" fillId="0" borderId="60" xfId="21" applyNumberFormat="1" applyFont="1" applyBorder="1" applyAlignment="1" applyProtection="1">
      <alignment horizontal="center"/>
      <protection hidden="1"/>
    </xf>
    <xf numFmtId="178" fontId="66" fillId="0" borderId="39" xfId="21" applyNumberFormat="1" applyFont="1" applyBorder="1" applyAlignment="1" applyProtection="1">
      <alignment horizontal="center"/>
      <protection hidden="1"/>
    </xf>
    <xf numFmtId="178" fontId="67" fillId="8" borderId="30" xfId="21" applyNumberFormat="1" applyFont="1" applyFill="1" applyBorder="1" applyAlignment="1" applyProtection="1">
      <alignment horizontal="center"/>
      <protection hidden="1"/>
    </xf>
    <xf numFmtId="0" fontId="67" fillId="21" borderId="128" xfId="21" applyFont="1" applyFill="1" applyBorder="1" applyAlignment="1" applyProtection="1">
      <alignment horizontal="center"/>
      <protection hidden="1"/>
    </xf>
    <xf numFmtId="178" fontId="66" fillId="0" borderId="67" xfId="21" applyNumberFormat="1" applyFont="1" applyBorder="1" applyAlignment="1" applyProtection="1">
      <alignment horizontal="center"/>
      <protection hidden="1"/>
    </xf>
    <xf numFmtId="0" fontId="67" fillId="0" borderId="68" xfId="21" applyFont="1" applyBorder="1" applyAlignment="1" applyProtection="1">
      <alignment horizontal="left" shrinkToFit="1"/>
      <protection hidden="1"/>
    </xf>
    <xf numFmtId="0" fontId="67" fillId="0" borderId="21" xfId="21" applyFont="1" applyBorder="1" applyAlignment="1" applyProtection="1">
      <alignment horizontal="left" shrinkToFit="1"/>
      <protection hidden="1"/>
    </xf>
    <xf numFmtId="0" fontId="67" fillId="0" borderId="69" xfId="21" applyFont="1" applyBorder="1" applyAlignment="1" applyProtection="1">
      <alignment horizontal="left" shrinkToFit="1"/>
      <protection hidden="1"/>
    </xf>
    <xf numFmtId="0" fontId="66" fillId="19" borderId="70" xfId="21" applyFont="1" applyFill="1" applyBorder="1" applyAlignment="1" applyProtection="1">
      <alignment horizontal="left"/>
      <protection hidden="1"/>
    </xf>
    <xf numFmtId="0" fontId="66" fillId="19" borderId="13" xfId="21" applyFill="1" applyBorder="1" applyAlignment="1" applyProtection="1">
      <alignment horizontal="left"/>
      <protection hidden="1"/>
    </xf>
    <xf numFmtId="194" fontId="67" fillId="0" borderId="68" xfId="21" applyNumberFormat="1" applyFont="1" applyBorder="1" applyAlignment="1" applyProtection="1">
      <alignment horizontal="left" shrinkToFit="1"/>
      <protection hidden="1"/>
    </xf>
    <xf numFmtId="194" fontId="67" fillId="0" borderId="21" xfId="21" applyNumberFormat="1" applyFont="1" applyBorder="1" applyAlignment="1" applyProtection="1">
      <alignment horizontal="left" shrinkToFit="1"/>
      <protection hidden="1"/>
    </xf>
    <xf numFmtId="194" fontId="67" fillId="0" borderId="69" xfId="21" applyNumberFormat="1" applyFont="1" applyBorder="1" applyAlignment="1" applyProtection="1">
      <alignment horizontal="left" shrinkToFit="1"/>
      <protection hidden="1"/>
    </xf>
    <xf numFmtId="0" fontId="66" fillId="19" borderId="68" xfId="21" applyFont="1" applyFill="1" applyBorder="1" applyAlignment="1" applyProtection="1">
      <alignment horizontal="left"/>
      <protection hidden="1"/>
    </xf>
    <xf numFmtId="0" fontId="66" fillId="19" borderId="21" xfId="21" applyFont="1" applyFill="1" applyBorder="1" applyAlignment="1" applyProtection="1">
      <alignment horizontal="left"/>
      <protection hidden="1"/>
    </xf>
    <xf numFmtId="0" fontId="66" fillId="19" borderId="69" xfId="21" applyFont="1" applyFill="1" applyBorder="1" applyAlignment="1" applyProtection="1">
      <alignment horizontal="left"/>
      <protection hidden="1"/>
    </xf>
    <xf numFmtId="0" fontId="66" fillId="19" borderId="21" xfId="21" applyFill="1" applyBorder="1" applyAlignment="1" applyProtection="1">
      <alignment horizontal="left"/>
      <protection hidden="1"/>
    </xf>
    <xf numFmtId="0" fontId="203" fillId="19" borderId="65" xfId="21" applyFont="1" applyFill="1" applyBorder="1" applyAlignment="1" applyProtection="1">
      <alignment horizontal="left"/>
      <protection hidden="1"/>
    </xf>
    <xf numFmtId="0" fontId="203" fillId="19" borderId="44" xfId="21" applyFont="1" applyFill="1" applyBorder="1" applyAlignment="1" applyProtection="1">
      <alignment horizontal="left"/>
      <protection hidden="1"/>
    </xf>
    <xf numFmtId="2" fontId="67" fillId="21" borderId="128" xfId="21" applyNumberFormat="1" applyFont="1" applyFill="1" applyBorder="1" applyAlignment="1" applyProtection="1">
      <alignment horizontal="center"/>
      <protection hidden="1"/>
    </xf>
    <xf numFmtId="2" fontId="67" fillId="21" borderId="28" xfId="21" applyNumberFormat="1" applyFont="1" applyFill="1" applyBorder="1" applyAlignment="1" applyProtection="1">
      <alignment horizontal="center"/>
      <protection hidden="1"/>
    </xf>
    <xf numFmtId="178" fontId="66" fillId="0" borderId="43" xfId="21" applyNumberFormat="1" applyFont="1" applyBorder="1" applyAlignment="1" applyProtection="1">
      <alignment horizontal="center"/>
      <protection hidden="1"/>
    </xf>
    <xf numFmtId="178" fontId="66" fillId="0" borderId="62" xfId="21" applyNumberFormat="1" applyFont="1" applyBorder="1" applyAlignment="1" applyProtection="1">
      <alignment horizontal="center"/>
      <protection hidden="1"/>
    </xf>
    <xf numFmtId="178" fontId="67" fillId="8" borderId="28" xfId="21" applyNumberFormat="1" applyFont="1" applyFill="1" applyBorder="1" applyAlignment="1" applyProtection="1">
      <alignment horizontal="center"/>
      <protection hidden="1"/>
    </xf>
    <xf numFmtId="0" fontId="203" fillId="19" borderId="39" xfId="21" applyFont="1" applyFill="1" applyBorder="1" applyAlignment="1" applyProtection="1">
      <alignment horizontal="left"/>
      <protection hidden="1"/>
    </xf>
    <xf numFmtId="0" fontId="203" fillId="19" borderId="66" xfId="21" applyFont="1" applyFill="1" applyBorder="1" applyAlignment="1" applyProtection="1">
      <alignment horizontal="left"/>
      <protection hidden="1"/>
    </xf>
    <xf numFmtId="0" fontId="67" fillId="0" borderId="26" xfId="21" applyFont="1" applyBorder="1" applyAlignment="1" applyProtection="1">
      <alignment horizontal="left"/>
      <protection hidden="1"/>
    </xf>
    <xf numFmtId="0" fontId="225" fillId="35" borderId="200" xfId="21" applyFont="1" applyFill="1" applyBorder="1" applyAlignment="1" applyProtection="1">
      <alignment horizontal="center" vertical="center" shrinkToFit="1"/>
      <protection hidden="1"/>
    </xf>
    <xf numFmtId="178" fontId="66" fillId="3" borderId="224" xfId="21" applyNumberFormat="1" applyFont="1" applyFill="1" applyBorder="1" applyAlignment="1" applyProtection="1">
      <alignment horizontal="center" vertical="center" shrinkToFit="1"/>
      <protection hidden="1"/>
    </xf>
    <xf numFmtId="178" fontId="66" fillId="3" borderId="91" xfId="21" applyNumberFormat="1" applyFont="1" applyFill="1" applyBorder="1" applyAlignment="1" applyProtection="1">
      <alignment horizontal="center" vertical="center" shrinkToFit="1"/>
      <protection hidden="1"/>
    </xf>
    <xf numFmtId="219" fontId="66" fillId="3" borderId="230" xfId="66" applyNumberFormat="1" applyFont="1" applyFill="1" applyBorder="1" applyAlignment="1" applyProtection="1">
      <alignment horizontal="center" vertical="center" shrinkToFit="1"/>
      <protection hidden="1"/>
    </xf>
    <xf numFmtId="219" fontId="66" fillId="3" borderId="231" xfId="66" applyNumberFormat="1" applyFont="1" applyFill="1" applyBorder="1" applyAlignment="1" applyProtection="1">
      <alignment horizontal="center" vertical="center" shrinkToFit="1"/>
      <protection hidden="1"/>
    </xf>
    <xf numFmtId="166" fontId="74" fillId="0" borderId="0" xfId="0" applyFont="1" applyAlignment="1" applyProtection="1">
      <alignment vertical="center"/>
      <protection hidden="1"/>
    </xf>
    <xf numFmtId="15" fontId="64" fillId="3" borderId="0" xfId="40" applyNumberFormat="1" applyFont="1" applyFill="1" applyAlignment="1" applyProtection="1">
      <alignment horizontal="center"/>
      <protection hidden="1"/>
    </xf>
    <xf numFmtId="166" fontId="79" fillId="0" borderId="0" xfId="0" applyFont="1" applyAlignment="1" applyProtection="1">
      <alignment vertical="top" wrapText="1"/>
      <protection hidden="1"/>
    </xf>
    <xf numFmtId="0" fontId="127" fillId="19" borderId="65" xfId="40" applyFont="1" applyFill="1" applyBorder="1" applyAlignment="1" applyProtection="1">
      <alignment vertical="center"/>
      <protection locked="0"/>
    </xf>
    <xf numFmtId="0" fontId="127" fillId="19" borderId="44" xfId="40" applyFont="1" applyFill="1" applyBorder="1" applyAlignment="1" applyProtection="1">
      <alignment vertical="center"/>
      <protection locked="0"/>
    </xf>
    <xf numFmtId="0" fontId="127" fillId="19" borderId="43" xfId="40" applyFont="1" applyFill="1" applyBorder="1" applyAlignment="1" applyProtection="1">
      <alignment vertical="center"/>
      <protection locked="0"/>
    </xf>
    <xf numFmtId="0" fontId="127" fillId="19" borderId="68" xfId="40" applyFont="1" applyFill="1" applyBorder="1" applyAlignment="1" applyProtection="1">
      <alignment vertical="center"/>
      <protection locked="0"/>
    </xf>
    <xf numFmtId="0" fontId="127" fillId="19" borderId="21" xfId="40" applyFont="1" applyFill="1" applyBorder="1" applyAlignment="1" applyProtection="1">
      <alignment vertical="center"/>
      <protection locked="0"/>
    </xf>
    <xf numFmtId="0" fontId="127" fillId="19" borderId="69" xfId="40" applyFont="1" applyFill="1" applyBorder="1" applyAlignment="1" applyProtection="1">
      <alignment vertical="center"/>
      <protection locked="0"/>
    </xf>
    <xf numFmtId="166" fontId="83" fillId="0" borderId="226" xfId="0" applyFont="1" applyFill="1" applyBorder="1" applyAlignment="1" applyProtection="1">
      <alignment vertical="center" wrapText="1"/>
      <protection hidden="1"/>
    </xf>
    <xf numFmtId="166" fontId="293" fillId="0" borderId="0" xfId="0" applyFont="1" applyAlignment="1" applyProtection="1">
      <alignment horizontal="center" vertical="center"/>
      <protection hidden="1"/>
    </xf>
    <xf numFmtId="166" fontId="83" fillId="0" borderId="65" xfId="0" applyFont="1" applyBorder="1" applyAlignment="1" applyProtection="1">
      <alignment vertical="center" shrinkToFit="1"/>
      <protection hidden="1"/>
    </xf>
    <xf numFmtId="166" fontId="83" fillId="0" borderId="44" xfId="0" applyFont="1" applyBorder="1" applyAlignment="1" applyProtection="1">
      <alignment vertical="center" shrinkToFit="1"/>
      <protection hidden="1"/>
    </xf>
    <xf numFmtId="166" fontId="83" fillId="0" borderId="43" xfId="0" applyFont="1" applyBorder="1" applyAlignment="1" applyProtection="1">
      <alignment vertical="center" shrinkToFit="1"/>
      <protection hidden="1"/>
    </xf>
    <xf numFmtId="166" fontId="83" fillId="0" borderId="68" xfId="0" applyFont="1" applyBorder="1" applyAlignment="1" applyProtection="1">
      <alignment vertical="center" wrapText="1" shrinkToFit="1"/>
      <protection hidden="1"/>
    </xf>
    <xf numFmtId="166" fontId="83" fillId="0" borderId="21" xfId="0" applyFont="1" applyBorder="1" applyAlignment="1" applyProtection="1">
      <alignment vertical="center" wrapText="1" shrinkToFit="1"/>
      <protection hidden="1"/>
    </xf>
    <xf numFmtId="166" fontId="83" fillId="0" borderId="69" xfId="0" applyFont="1" applyBorder="1" applyAlignment="1" applyProtection="1">
      <alignment vertical="center" wrapText="1" shrinkToFit="1"/>
      <protection hidden="1"/>
    </xf>
    <xf numFmtId="166" fontId="83" fillId="0" borderId="68" xfId="0" applyFont="1" applyBorder="1" applyAlignment="1" applyProtection="1">
      <alignment vertical="center" shrinkToFit="1"/>
      <protection hidden="1"/>
    </xf>
    <xf numFmtId="166" fontId="83" fillId="0" borderId="21" xfId="0" applyFont="1" applyBorder="1" applyAlignment="1" applyProtection="1">
      <alignment vertical="center" shrinkToFit="1"/>
      <protection hidden="1"/>
    </xf>
    <xf numFmtId="166" fontId="83" fillId="0" borderId="69" xfId="0" applyFont="1" applyBorder="1" applyAlignment="1" applyProtection="1">
      <alignment vertical="center" shrinkToFit="1"/>
      <protection hidden="1"/>
    </xf>
    <xf numFmtId="166" fontId="83" fillId="0" borderId="39" xfId="0" applyFont="1" applyBorder="1" applyAlignment="1" applyProtection="1">
      <alignment vertical="center" shrinkToFit="1"/>
      <protection hidden="1"/>
    </xf>
    <xf numFmtId="166" fontId="83" fillId="0" borderId="66" xfId="0" applyFont="1" applyBorder="1" applyAlignment="1" applyProtection="1">
      <alignment vertical="center" shrinkToFit="1"/>
      <protection hidden="1"/>
    </xf>
    <xf numFmtId="166" fontId="83" fillId="0" borderId="62" xfId="0" applyFont="1" applyBorder="1" applyAlignment="1" applyProtection="1">
      <alignment vertical="center" shrinkToFit="1"/>
      <protection hidden="1"/>
    </xf>
    <xf numFmtId="166" fontId="83" fillId="5" borderId="237" xfId="0" applyFont="1" applyFill="1" applyBorder="1" applyAlignment="1" applyProtection="1">
      <alignment horizontal="center" vertical="center" shrinkToFit="1"/>
      <protection hidden="1"/>
    </xf>
    <xf numFmtId="166" fontId="83" fillId="5" borderId="238" xfId="0" applyFont="1" applyFill="1" applyBorder="1" applyAlignment="1" applyProtection="1">
      <alignment horizontal="center" vertical="center" shrinkToFit="1"/>
      <protection hidden="1"/>
    </xf>
    <xf numFmtId="166" fontId="83" fillId="5" borderId="226" xfId="0" applyFont="1" applyFill="1" applyBorder="1" applyAlignment="1" applyProtection="1">
      <alignment horizontal="center" vertical="center" shrinkToFit="1"/>
      <protection hidden="1"/>
    </xf>
    <xf numFmtId="166" fontId="292" fillId="5" borderId="241" xfId="0" applyFont="1" applyFill="1" applyBorder="1" applyAlignment="1" applyProtection="1">
      <alignment horizontal="center" vertical="center" shrinkToFit="1"/>
      <protection hidden="1"/>
    </xf>
    <xf numFmtId="166" fontId="292" fillId="5" borderId="242" xfId="0" applyFont="1" applyFill="1" applyBorder="1" applyAlignment="1" applyProtection="1">
      <alignment horizontal="center" vertical="center" shrinkToFit="1"/>
      <protection hidden="1"/>
    </xf>
    <xf numFmtId="166" fontId="83" fillId="19" borderId="258" xfId="0" applyFont="1" applyFill="1" applyBorder="1" applyAlignment="1" applyProtection="1">
      <alignment vertical="center" shrinkToFit="1"/>
      <protection hidden="1"/>
    </xf>
    <xf numFmtId="166" fontId="83" fillId="19" borderId="259" xfId="0" applyFont="1" applyFill="1" applyBorder="1" applyAlignment="1" applyProtection="1">
      <alignment vertical="center" shrinkToFit="1"/>
      <protection hidden="1"/>
    </xf>
    <xf numFmtId="166" fontId="83" fillId="19" borderId="260" xfId="0" applyFont="1" applyFill="1" applyBorder="1" applyAlignment="1" applyProtection="1">
      <alignment vertical="center" shrinkToFit="1"/>
      <protection hidden="1"/>
    </xf>
    <xf numFmtId="178" fontId="83" fillId="0" borderId="261" xfId="0" applyNumberFormat="1" applyFont="1" applyBorder="1" applyAlignment="1" applyProtection="1">
      <alignment horizontal="right" vertical="center" shrinkToFit="1"/>
      <protection hidden="1"/>
    </xf>
    <xf numFmtId="178" fontId="83" fillId="0" borderId="262" xfId="0" applyNumberFormat="1" applyFont="1" applyBorder="1" applyAlignment="1" applyProtection="1">
      <alignment horizontal="right" vertical="center" shrinkToFit="1"/>
      <protection hidden="1"/>
    </xf>
    <xf numFmtId="166" fontId="83" fillId="5" borderId="243" xfId="0" applyFont="1" applyFill="1" applyBorder="1" applyAlignment="1" applyProtection="1">
      <alignment horizontal="center" vertical="center" shrinkToFit="1"/>
      <protection hidden="1"/>
    </xf>
    <xf numFmtId="166" fontId="83" fillId="5" borderId="244" xfId="0" applyFont="1" applyFill="1" applyBorder="1" applyAlignment="1" applyProtection="1">
      <alignment horizontal="center" vertical="center" shrinkToFit="1"/>
      <protection hidden="1"/>
    </xf>
    <xf numFmtId="166" fontId="292" fillId="5" borderId="245" xfId="0" applyFont="1" applyFill="1" applyBorder="1" applyAlignment="1" applyProtection="1">
      <alignment horizontal="center" vertical="center" shrinkToFit="1"/>
      <protection hidden="1"/>
    </xf>
    <xf numFmtId="178" fontId="83" fillId="0" borderId="250" xfId="0" applyNumberFormat="1" applyFont="1" applyBorder="1" applyAlignment="1" applyProtection="1">
      <alignment horizontal="right" vertical="center" shrinkToFit="1"/>
      <protection hidden="1"/>
    </xf>
    <xf numFmtId="178" fontId="83" fillId="0" borderId="251" xfId="0" applyNumberFormat="1" applyFont="1" applyBorder="1" applyAlignment="1" applyProtection="1">
      <alignment horizontal="right" vertical="center" shrinkToFit="1"/>
      <protection hidden="1"/>
    </xf>
    <xf numFmtId="178" fontId="83" fillId="0" borderId="253" xfId="0" applyNumberFormat="1" applyFont="1" applyBorder="1" applyAlignment="1" applyProtection="1">
      <alignment horizontal="right" vertical="center" shrinkToFit="1"/>
      <protection hidden="1"/>
    </xf>
    <xf numFmtId="178" fontId="83" fillId="0" borderId="256" xfId="0" applyNumberFormat="1" applyFont="1" applyBorder="1" applyAlignment="1" applyProtection="1">
      <alignment horizontal="right" vertical="center" shrinkToFit="1"/>
      <protection hidden="1"/>
    </xf>
    <xf numFmtId="166" fontId="83" fillId="5" borderId="240" xfId="0" applyFont="1" applyFill="1" applyBorder="1" applyAlignment="1" applyProtection="1">
      <alignment horizontal="center" vertical="center" shrinkToFit="1"/>
      <protection hidden="1"/>
    </xf>
    <xf numFmtId="166" fontId="83" fillId="5" borderId="239" xfId="0" applyFont="1" applyFill="1" applyBorder="1" applyAlignment="1" applyProtection="1">
      <alignment horizontal="center" vertical="center" shrinkToFit="1"/>
      <protection hidden="1"/>
    </xf>
    <xf numFmtId="178" fontId="83" fillId="0" borderId="254" xfId="0" applyNumberFormat="1" applyFont="1" applyBorder="1" applyAlignment="1" applyProtection="1">
      <alignment horizontal="right" vertical="center" shrinkToFit="1"/>
      <protection hidden="1"/>
    </xf>
    <xf numFmtId="178" fontId="83" fillId="0" borderId="267" xfId="0" applyNumberFormat="1" applyFont="1" applyBorder="1" applyAlignment="1" applyProtection="1">
      <alignment horizontal="right" vertical="center" shrinkToFit="1"/>
      <protection hidden="1"/>
    </xf>
    <xf numFmtId="178" fontId="83" fillId="0" borderId="264" xfId="0" applyNumberFormat="1" applyFont="1" applyBorder="1" applyAlignment="1" applyProtection="1">
      <alignment horizontal="right" vertical="center" shrinkToFit="1"/>
      <protection hidden="1"/>
    </xf>
    <xf numFmtId="0" fontId="209" fillId="0" borderId="233" xfId="21" applyFont="1" applyBorder="1" applyAlignment="1" applyProtection="1">
      <alignment vertical="top" wrapText="1"/>
      <protection hidden="1"/>
    </xf>
    <xf numFmtId="0" fontId="209" fillId="0" borderId="223" xfId="21" applyFont="1" applyBorder="1" applyAlignment="1" applyProtection="1">
      <alignment vertical="top" wrapText="1"/>
      <protection hidden="1"/>
    </xf>
    <xf numFmtId="0" fontId="209" fillId="0" borderId="236" xfId="21" applyFont="1" applyBorder="1" applyAlignment="1" applyProtection="1">
      <alignment vertical="top" wrapText="1"/>
      <protection hidden="1"/>
    </xf>
    <xf numFmtId="0" fontId="8" fillId="4" borderId="236" xfId="40" applyFont="1" applyFill="1" applyBorder="1" applyAlignment="1" applyProtection="1">
      <alignment horizontal="center" shrinkToFit="1"/>
      <protection locked="0"/>
    </xf>
    <xf numFmtId="0" fontId="64" fillId="4" borderId="223" xfId="40" applyFont="1" applyFill="1" applyBorder="1" applyAlignment="1" applyProtection="1">
      <alignment horizontal="center" vertical="justify"/>
      <protection locked="0"/>
    </xf>
    <xf numFmtId="166" fontId="79" fillId="0" borderId="0" xfId="0" applyFont="1" applyFill="1" applyAlignment="1" applyProtection="1">
      <alignment vertical="top"/>
      <protection hidden="1"/>
    </xf>
    <xf numFmtId="166" fontId="79" fillId="5" borderId="226" xfId="0" applyFont="1" applyFill="1" applyBorder="1" applyAlignment="1" applyProtection="1">
      <alignment horizontal="right" vertical="center"/>
      <protection hidden="1"/>
    </xf>
    <xf numFmtId="166" fontId="83" fillId="5" borderId="27" xfId="0" applyFont="1" applyFill="1" applyBorder="1" applyAlignment="1" applyProtection="1">
      <alignment horizontal="center" vertical="center"/>
      <protection hidden="1"/>
    </xf>
    <xf numFmtId="166" fontId="83" fillId="19" borderId="263" xfId="0" applyFont="1" applyFill="1" applyBorder="1" applyAlignment="1" applyProtection="1">
      <alignment vertical="center" shrinkToFit="1"/>
      <protection hidden="1"/>
    </xf>
    <xf numFmtId="166" fontId="83" fillId="19" borderId="265" xfId="0" applyFont="1" applyFill="1" applyBorder="1" applyAlignment="1" applyProtection="1">
      <alignment vertical="center" shrinkToFit="1"/>
      <protection hidden="1"/>
    </xf>
    <xf numFmtId="166" fontId="83" fillId="19" borderId="266" xfId="0" applyFont="1" applyFill="1" applyBorder="1" applyAlignment="1" applyProtection="1">
      <alignment vertical="center" shrinkToFit="1"/>
      <protection hidden="1"/>
    </xf>
    <xf numFmtId="178" fontId="127" fillId="0" borderId="68" xfId="40" applyNumberFormat="1" applyFont="1" applyFill="1" applyBorder="1" applyAlignment="1" applyProtection="1">
      <protection hidden="1"/>
    </xf>
    <xf numFmtId="178" fontId="127" fillId="0" borderId="69" xfId="40" applyNumberFormat="1" applyFont="1" applyFill="1" applyBorder="1" applyAlignment="1" applyProtection="1">
      <protection hidden="1"/>
    </xf>
    <xf numFmtId="166" fontId="79" fillId="19" borderId="25" xfId="0" applyFont="1" applyFill="1" applyBorder="1" applyAlignment="1" applyProtection="1">
      <alignment vertical="center" shrinkToFit="1"/>
      <protection hidden="1"/>
    </xf>
    <xf numFmtId="178" fontId="127" fillId="0" borderId="39" xfId="40" applyNumberFormat="1" applyFont="1" applyFill="1" applyBorder="1" applyAlignment="1" applyProtection="1">
      <protection hidden="1"/>
    </xf>
    <xf numFmtId="178" fontId="127" fillId="0" borderId="62" xfId="40" applyNumberFormat="1" applyFont="1" applyFill="1" applyBorder="1" applyAlignment="1" applyProtection="1">
      <protection hidden="1"/>
    </xf>
    <xf numFmtId="166" fontId="274" fillId="0" borderId="0" xfId="0" applyFont="1" applyProtection="1">
      <protection hidden="1"/>
    </xf>
    <xf numFmtId="0" fontId="242" fillId="0" borderId="165" xfId="40" applyFont="1" applyFill="1" applyBorder="1" applyAlignment="1" applyProtection="1">
      <protection hidden="1"/>
    </xf>
    <xf numFmtId="166" fontId="79" fillId="19" borderId="27" xfId="0" applyFont="1" applyFill="1" applyBorder="1" applyAlignment="1" applyProtection="1">
      <alignment vertical="center" shrinkToFit="1"/>
      <protection hidden="1"/>
    </xf>
    <xf numFmtId="178" fontId="127" fillId="0" borderId="65" xfId="40" applyNumberFormat="1" applyFont="1" applyFill="1" applyBorder="1" applyAlignment="1" applyProtection="1">
      <protection hidden="1"/>
    </xf>
    <xf numFmtId="178" fontId="127" fillId="0" borderId="43" xfId="40" applyNumberFormat="1" applyFont="1" applyFill="1" applyBorder="1" applyAlignment="1" applyProtection="1">
      <protection hidden="1"/>
    </xf>
    <xf numFmtId="166" fontId="79" fillId="19" borderId="26" xfId="0" applyFont="1" applyFill="1" applyBorder="1" applyAlignment="1" applyProtection="1">
      <alignment vertical="center" shrinkToFit="1"/>
      <protection hidden="1"/>
    </xf>
    <xf numFmtId="185" fontId="127" fillId="0" borderId="68" xfId="40" applyNumberFormat="1" applyFont="1" applyFill="1" applyBorder="1" applyAlignment="1" applyProtection="1">
      <protection hidden="1"/>
    </xf>
    <xf numFmtId="185" fontId="127" fillId="0" borderId="69" xfId="40" applyNumberFormat="1" applyFont="1" applyFill="1" applyBorder="1" applyAlignment="1" applyProtection="1">
      <protection hidden="1"/>
    </xf>
    <xf numFmtId="166" fontId="83" fillId="19" borderId="65" xfId="0" applyFont="1" applyFill="1" applyBorder="1" applyAlignment="1" applyProtection="1">
      <alignment vertical="center" shrinkToFit="1"/>
      <protection hidden="1"/>
    </xf>
    <xf numFmtId="166" fontId="83" fillId="19" borderId="170" xfId="0" applyFont="1" applyFill="1" applyBorder="1" applyAlignment="1" applyProtection="1">
      <alignment vertical="center" shrinkToFit="1"/>
      <protection hidden="1"/>
    </xf>
    <xf numFmtId="166" fontId="83" fillId="19" borderId="43" xfId="0" applyFont="1" applyFill="1" applyBorder="1" applyAlignment="1" applyProtection="1">
      <alignment vertical="center" shrinkToFit="1"/>
      <protection hidden="1"/>
    </xf>
    <xf numFmtId="166" fontId="83" fillId="19" borderId="247" xfId="0" applyFont="1" applyFill="1" applyBorder="1" applyAlignment="1" applyProtection="1">
      <alignment vertical="center" shrinkToFit="1"/>
      <protection hidden="1"/>
    </xf>
    <xf numFmtId="166" fontId="83" fillId="19" borderId="248" xfId="0" applyFont="1" applyFill="1" applyBorder="1" applyAlignment="1" applyProtection="1">
      <alignment vertical="center" shrinkToFit="1"/>
      <protection hidden="1"/>
    </xf>
    <xf numFmtId="166" fontId="83" fillId="19" borderId="249" xfId="0" applyFont="1" applyFill="1" applyBorder="1" applyAlignment="1" applyProtection="1">
      <alignment vertical="center" shrinkToFit="1"/>
      <protection hidden="1"/>
    </xf>
    <xf numFmtId="166" fontId="83" fillId="19" borderId="253" xfId="0" applyFont="1" applyFill="1" applyBorder="1" applyAlignment="1" applyProtection="1">
      <alignment vertical="center" shrinkToFit="1"/>
      <protection hidden="1"/>
    </xf>
    <xf numFmtId="166" fontId="83" fillId="19" borderId="254" xfId="0" applyFont="1" applyFill="1" applyBorder="1" applyAlignment="1" applyProtection="1">
      <alignment vertical="center" shrinkToFit="1"/>
      <protection hidden="1"/>
    </xf>
    <xf numFmtId="166" fontId="83" fillId="19" borderId="255" xfId="0" applyFont="1" applyFill="1" applyBorder="1" applyAlignment="1" applyProtection="1">
      <alignment vertical="center" shrinkToFit="1"/>
      <protection hidden="1"/>
    </xf>
    <xf numFmtId="166" fontId="83" fillId="5" borderId="27" xfId="0" applyFont="1" applyFill="1" applyBorder="1" applyAlignment="1" applyProtection="1">
      <alignment vertical="center" shrinkToFit="1"/>
      <protection hidden="1"/>
    </xf>
    <xf numFmtId="166" fontId="83" fillId="5" borderId="26" xfId="0" applyFont="1" applyFill="1" applyBorder="1" applyAlignment="1" applyProtection="1">
      <alignment vertical="center" shrinkToFit="1"/>
      <protection hidden="1"/>
    </xf>
    <xf numFmtId="166" fontId="83" fillId="5" borderId="25" xfId="0" applyFont="1" applyFill="1" applyBorder="1" applyAlignment="1" applyProtection="1">
      <alignment vertical="center" shrinkToFit="1"/>
      <protection hidden="1"/>
    </xf>
    <xf numFmtId="166" fontId="274" fillId="0" borderId="0" xfId="0" applyFont="1" applyAlignment="1" applyProtection="1">
      <alignment vertical="center"/>
      <protection hidden="1"/>
    </xf>
    <xf numFmtId="166" fontId="83" fillId="5" borderId="27" xfId="0" applyFont="1" applyFill="1" applyBorder="1" applyAlignment="1" applyProtection="1">
      <alignment vertical="center" wrapText="1"/>
      <protection hidden="1"/>
    </xf>
    <xf numFmtId="166" fontId="83" fillId="5" borderId="26" xfId="0" applyFont="1" applyFill="1" applyBorder="1" applyAlignment="1" applyProtection="1">
      <alignment vertical="center" wrapText="1"/>
      <protection hidden="1"/>
    </xf>
    <xf numFmtId="166" fontId="83" fillId="5" borderId="25" xfId="0" applyFont="1" applyFill="1" applyBorder="1" applyAlignment="1" applyProtection="1">
      <alignment vertical="center" wrapText="1"/>
      <protection hidden="1"/>
    </xf>
    <xf numFmtId="166" fontId="83" fillId="5" borderId="26" xfId="0" applyFont="1" applyFill="1" applyBorder="1" applyAlignment="1" applyProtection="1">
      <alignment horizontal="center" vertical="center"/>
      <protection hidden="1"/>
    </xf>
    <xf numFmtId="166" fontId="83" fillId="5" borderId="26" xfId="0" applyFont="1" applyFill="1" applyBorder="1" applyAlignment="1" applyProtection="1">
      <alignment horizontal="center"/>
      <protection hidden="1"/>
    </xf>
    <xf numFmtId="0" fontId="127" fillId="19" borderId="89" xfId="40" applyFont="1" applyFill="1" applyBorder="1" applyAlignment="1" applyProtection="1">
      <alignment vertical="center"/>
      <protection locked="0"/>
    </xf>
    <xf numFmtId="0" fontId="127" fillId="19" borderId="15" xfId="40" applyFont="1" applyFill="1" applyBorder="1" applyAlignment="1" applyProtection="1">
      <alignment vertical="center"/>
      <protection locked="0"/>
    </xf>
    <xf numFmtId="0" fontId="127" fillId="19" borderId="90" xfId="40" applyFont="1" applyFill="1" applyBorder="1" applyAlignment="1" applyProtection="1">
      <alignment vertical="center"/>
      <protection locked="0"/>
    </xf>
    <xf numFmtId="15" fontId="127" fillId="0" borderId="89" xfId="40" applyNumberFormat="1" applyFont="1" applyFill="1" applyBorder="1" applyAlignment="1" applyProtection="1">
      <alignment horizontal="center" vertical="center" shrinkToFit="1"/>
      <protection hidden="1"/>
    </xf>
    <xf numFmtId="15" fontId="127" fillId="0" borderId="90" xfId="40" applyNumberFormat="1" applyFont="1" applyFill="1" applyBorder="1" applyAlignment="1" applyProtection="1">
      <alignment horizontal="center" vertical="center" shrinkToFit="1"/>
      <protection hidden="1"/>
    </xf>
    <xf numFmtId="211" fontId="127" fillId="0" borderId="89" xfId="40" applyNumberFormat="1" applyFont="1" applyFill="1" applyBorder="1" applyAlignment="1" applyProtection="1">
      <alignment horizontal="center" vertical="center"/>
      <protection hidden="1"/>
    </xf>
    <xf numFmtId="211" fontId="127" fillId="0" borderId="90" xfId="40" applyNumberFormat="1" applyFont="1" applyFill="1" applyBorder="1" applyAlignment="1" applyProtection="1">
      <alignment horizontal="center" vertical="center"/>
      <protection hidden="1"/>
    </xf>
    <xf numFmtId="15" fontId="127" fillId="0" borderId="65" xfId="40" applyNumberFormat="1" applyFont="1" applyFill="1" applyBorder="1" applyAlignment="1" applyProtection="1">
      <alignment horizontal="center" vertical="center" shrinkToFit="1"/>
      <protection hidden="1"/>
    </xf>
    <xf numFmtId="15" fontId="127" fillId="0" borderId="43" xfId="40" applyNumberFormat="1" applyFont="1" applyFill="1" applyBorder="1" applyAlignment="1" applyProtection="1">
      <alignment horizontal="center" vertical="center" shrinkToFit="1"/>
      <protection hidden="1"/>
    </xf>
    <xf numFmtId="15" fontId="127" fillId="0" borderId="68" xfId="40" applyNumberFormat="1" applyFont="1" applyFill="1" applyBorder="1" applyAlignment="1" applyProtection="1">
      <alignment horizontal="center" vertical="center" shrinkToFit="1"/>
      <protection hidden="1"/>
    </xf>
    <xf numFmtId="15" fontId="127" fillId="0" borderId="69" xfId="40" applyNumberFormat="1" applyFont="1" applyFill="1" applyBorder="1" applyAlignment="1" applyProtection="1">
      <alignment horizontal="center" vertical="center" shrinkToFit="1"/>
      <protection hidden="1"/>
    </xf>
    <xf numFmtId="179" fontId="83" fillId="0" borderId="226" xfId="0" applyNumberFormat="1" applyFont="1" applyFill="1" applyBorder="1" applyAlignment="1" applyProtection="1">
      <alignment horizontal="center" vertical="center" wrapText="1"/>
      <protection hidden="1"/>
    </xf>
    <xf numFmtId="211" fontId="127" fillId="0" borderId="65" xfId="40" applyNumberFormat="1" applyFont="1" applyFill="1" applyBorder="1" applyAlignment="1" applyProtection="1">
      <alignment horizontal="center" vertical="center"/>
      <protection hidden="1"/>
    </xf>
    <xf numFmtId="211" fontId="127" fillId="0" borderId="43" xfId="40" applyNumberFormat="1" applyFont="1" applyFill="1" applyBorder="1" applyAlignment="1" applyProtection="1">
      <alignment horizontal="center" vertical="center"/>
      <protection hidden="1"/>
    </xf>
    <xf numFmtId="211" fontId="127" fillId="0" borderId="68" xfId="40" applyNumberFormat="1" applyFont="1" applyFill="1" applyBorder="1" applyAlignment="1" applyProtection="1">
      <alignment horizontal="center" vertical="center"/>
      <protection hidden="1"/>
    </xf>
    <xf numFmtId="211" fontId="127" fillId="0" borderId="69" xfId="40" applyNumberFormat="1" applyFont="1" applyFill="1" applyBorder="1" applyAlignment="1" applyProtection="1">
      <alignment horizontal="center" vertical="center"/>
      <protection hidden="1"/>
    </xf>
    <xf numFmtId="166" fontId="83" fillId="0" borderId="226" xfId="0" applyFont="1" applyFill="1" applyBorder="1" applyAlignment="1" applyProtection="1">
      <alignment horizontal="center" vertical="center" wrapText="1"/>
      <protection hidden="1"/>
    </xf>
    <xf numFmtId="166" fontId="83" fillId="5" borderId="27" xfId="0" applyFont="1" applyFill="1" applyBorder="1" applyAlignment="1" applyProtection="1">
      <alignment horizontal="center"/>
      <protection hidden="1"/>
    </xf>
    <xf numFmtId="166" fontId="83" fillId="5" borderId="39" xfId="0" applyFont="1" applyFill="1" applyBorder="1" applyAlignment="1" applyProtection="1">
      <alignment horizontal="center"/>
      <protection hidden="1"/>
    </xf>
    <xf numFmtId="166" fontId="83" fillId="5" borderId="66" xfId="0" applyFont="1" applyFill="1" applyBorder="1" applyAlignment="1" applyProtection="1">
      <alignment horizontal="center"/>
      <protection hidden="1"/>
    </xf>
    <xf numFmtId="166" fontId="83" fillId="5" borderId="62" xfId="0" applyFont="1" applyFill="1" applyBorder="1" applyAlignment="1" applyProtection="1">
      <alignment horizontal="center"/>
      <protection hidden="1"/>
    </xf>
    <xf numFmtId="15" fontId="127" fillId="19" borderId="65" xfId="40" applyNumberFormat="1" applyFont="1" applyFill="1" applyBorder="1" applyAlignment="1" applyProtection="1">
      <alignment horizontal="center" vertical="center" shrinkToFit="1"/>
      <protection hidden="1"/>
    </xf>
    <xf numFmtId="15" fontId="127" fillId="19" borderId="44" xfId="40" applyNumberFormat="1" applyFont="1" applyFill="1" applyBorder="1" applyAlignment="1" applyProtection="1">
      <alignment horizontal="center" vertical="center" shrinkToFit="1"/>
      <protection hidden="1"/>
    </xf>
    <xf numFmtId="15" fontId="127" fillId="19" borderId="43" xfId="40" applyNumberFormat="1" applyFont="1" applyFill="1" applyBorder="1" applyAlignment="1" applyProtection="1">
      <alignment horizontal="center" vertical="center" shrinkToFit="1"/>
      <protection hidden="1"/>
    </xf>
    <xf numFmtId="15" fontId="127" fillId="19" borderId="68" xfId="40" applyNumberFormat="1" applyFont="1" applyFill="1" applyBorder="1" applyAlignment="1" applyProtection="1">
      <alignment horizontal="center" vertical="center" shrinkToFit="1"/>
      <protection hidden="1"/>
    </xf>
    <xf numFmtId="15" fontId="127" fillId="19" borderId="21" xfId="40" applyNumberFormat="1" applyFont="1" applyFill="1" applyBorder="1" applyAlignment="1" applyProtection="1">
      <alignment horizontal="center" vertical="center" shrinkToFit="1"/>
      <protection hidden="1"/>
    </xf>
    <xf numFmtId="15" fontId="127" fillId="19" borderId="69" xfId="40" applyNumberFormat="1" applyFont="1" applyFill="1" applyBorder="1" applyAlignment="1" applyProtection="1">
      <alignment horizontal="center" vertical="center" shrinkToFit="1"/>
      <protection hidden="1"/>
    </xf>
    <xf numFmtId="15" fontId="127" fillId="19" borderId="39" xfId="40" applyNumberFormat="1" applyFont="1" applyFill="1" applyBorder="1" applyAlignment="1" applyProtection="1">
      <alignment horizontal="center" vertical="center" shrinkToFit="1"/>
      <protection hidden="1"/>
    </xf>
    <xf numFmtId="15" fontId="127" fillId="19" borderId="66" xfId="40" applyNumberFormat="1" applyFont="1" applyFill="1" applyBorder="1" applyAlignment="1" applyProtection="1">
      <alignment horizontal="center" vertical="center" shrinkToFit="1"/>
      <protection hidden="1"/>
    </xf>
    <xf numFmtId="15" fontId="127" fillId="19" borderId="62" xfId="40" applyNumberFormat="1" applyFont="1" applyFill="1" applyBorder="1" applyAlignment="1" applyProtection="1">
      <alignment horizontal="center" vertical="center" shrinkToFit="1"/>
      <protection hidden="1"/>
    </xf>
    <xf numFmtId="166" fontId="83" fillId="5" borderId="232" xfId="0" applyFont="1" applyFill="1" applyBorder="1" applyAlignment="1" applyProtection="1">
      <alignment horizontal="center"/>
      <protection hidden="1"/>
    </xf>
    <xf numFmtId="166" fontId="83" fillId="5" borderId="165" xfId="0" applyFont="1" applyFill="1" applyBorder="1" applyAlignment="1" applyProtection="1">
      <alignment horizontal="center"/>
      <protection hidden="1"/>
    </xf>
    <xf numFmtId="166" fontId="83" fillId="5" borderId="227" xfId="0" applyFont="1" applyFill="1" applyBorder="1" applyAlignment="1" applyProtection="1">
      <alignment horizontal="center"/>
      <protection hidden="1"/>
    </xf>
    <xf numFmtId="166" fontId="83" fillId="5" borderId="226" xfId="0" applyFont="1" applyFill="1" applyBorder="1" applyAlignment="1" applyProtection="1">
      <alignment horizontal="center"/>
      <protection hidden="1"/>
    </xf>
    <xf numFmtId="166" fontId="79" fillId="0" borderId="226" xfId="0" applyFont="1" applyFill="1" applyBorder="1" applyAlignment="1" applyProtection="1">
      <alignment horizontal="center"/>
      <protection hidden="1"/>
    </xf>
    <xf numFmtId="0" fontId="64" fillId="0" borderId="236" xfId="40" applyFont="1" applyFill="1" applyBorder="1" applyAlignment="1" applyProtection="1">
      <alignment horizontal="center"/>
      <protection hidden="1"/>
    </xf>
    <xf numFmtId="0" fontId="127" fillId="19" borderId="39" xfId="40" applyFont="1" applyFill="1" applyBorder="1" applyAlignment="1" applyProtection="1">
      <alignment vertical="center"/>
      <protection locked="0"/>
    </xf>
    <xf numFmtId="0" fontId="127" fillId="19" borderId="66" xfId="40" applyFont="1" applyFill="1" applyBorder="1" applyAlignment="1" applyProtection="1">
      <alignment vertical="center"/>
      <protection locked="0"/>
    </xf>
    <xf numFmtId="0" fontId="127" fillId="19" borderId="62" xfId="40" applyFont="1" applyFill="1" applyBorder="1" applyAlignment="1" applyProtection="1">
      <alignment vertical="center"/>
      <protection locked="0"/>
    </xf>
    <xf numFmtId="166" fontId="101" fillId="0" borderId="236" xfId="0" applyFont="1" applyBorder="1" applyAlignment="1" applyProtection="1">
      <alignment vertical="center"/>
      <protection hidden="1"/>
    </xf>
    <xf numFmtId="166" fontId="79" fillId="0" borderId="232" xfId="0" applyFont="1" applyBorder="1" applyAlignment="1" applyProtection="1">
      <alignment horizontal="center"/>
      <protection hidden="1"/>
    </xf>
    <xf numFmtId="166" fontId="79" fillId="0" borderId="227" xfId="0" applyFont="1" applyBorder="1" applyAlignment="1" applyProtection="1">
      <alignment horizontal="center"/>
      <protection hidden="1"/>
    </xf>
    <xf numFmtId="0" fontId="79" fillId="0" borderId="236" xfId="0" applyNumberFormat="1" applyFont="1" applyFill="1" applyBorder="1" applyAlignment="1" applyProtection="1">
      <alignment vertical="center"/>
      <protection hidden="1"/>
    </xf>
    <xf numFmtId="166" fontId="79" fillId="4" borderId="0" xfId="0" applyFont="1" applyFill="1" applyAlignment="1" applyProtection="1">
      <alignment vertical="top"/>
      <protection locked="0"/>
    </xf>
    <xf numFmtId="166" fontId="79" fillId="4" borderId="0" xfId="0" applyFont="1" applyFill="1" applyAlignment="1" applyProtection="1">
      <alignment vertical="top" wrapText="1"/>
      <protection locked="0"/>
    </xf>
    <xf numFmtId="166" fontId="79" fillId="4" borderId="227" xfId="0" applyFont="1" applyFill="1" applyBorder="1" applyAlignment="1" applyProtection="1">
      <alignment horizontal="center" vertical="center"/>
      <protection locked="0"/>
    </xf>
    <xf numFmtId="166" fontId="79" fillId="4" borderId="232" xfId="0" applyFont="1" applyFill="1" applyBorder="1" applyAlignment="1" applyProtection="1">
      <alignment horizontal="center" vertical="center"/>
      <protection locked="0"/>
    </xf>
    <xf numFmtId="166" fontId="79" fillId="4" borderId="226" xfId="0" applyFont="1" applyFill="1" applyBorder="1" applyAlignment="1" applyProtection="1">
      <alignment horizontal="center" vertical="center"/>
      <protection locked="0"/>
    </xf>
    <xf numFmtId="0" fontId="127" fillId="4" borderId="227" xfId="40" applyFont="1" applyFill="1" applyBorder="1" applyAlignment="1" applyProtection="1">
      <alignment vertical="center"/>
      <protection locked="0"/>
    </xf>
    <xf numFmtId="0" fontId="127" fillId="4" borderId="226" xfId="40" applyFont="1" applyFill="1" applyBorder="1" applyAlignment="1" applyProtection="1">
      <alignment vertical="center"/>
      <protection locked="0"/>
    </xf>
    <xf numFmtId="166" fontId="79" fillId="0" borderId="236" xfId="0" applyFont="1" applyFill="1" applyBorder="1" applyAlignment="1" applyProtection="1">
      <alignment horizontal="center" vertical="top"/>
      <protection hidden="1"/>
    </xf>
    <xf numFmtId="166" fontId="79" fillId="0" borderId="0" xfId="0" applyFont="1" applyFill="1" applyAlignment="1" applyProtection="1">
      <protection hidden="1"/>
    </xf>
    <xf numFmtId="166" fontId="79" fillId="0" borderId="236" xfId="0" applyFont="1" applyFill="1" applyBorder="1" applyAlignment="1" applyProtection="1">
      <alignment horizontal="center"/>
      <protection hidden="1"/>
    </xf>
    <xf numFmtId="178" fontId="127" fillId="0" borderId="89" xfId="40" applyNumberFormat="1" applyFont="1" applyFill="1" applyBorder="1" applyAlignment="1" applyProtection="1">
      <protection hidden="1"/>
    </xf>
    <xf numFmtId="178" fontId="127" fillId="0" borderId="90" xfId="40" applyNumberFormat="1" applyFont="1" applyFill="1" applyBorder="1" applyAlignment="1" applyProtection="1">
      <protection hidden="1"/>
    </xf>
    <xf numFmtId="166" fontId="83" fillId="19" borderId="68" xfId="0" applyFont="1" applyFill="1" applyBorder="1" applyAlignment="1" applyProtection="1">
      <alignment vertical="center" shrinkToFit="1"/>
      <protection hidden="1"/>
    </xf>
    <xf numFmtId="166" fontId="83" fillId="19" borderId="21" xfId="0" applyFont="1" applyFill="1" applyBorder="1" applyAlignment="1" applyProtection="1">
      <alignment vertical="center" shrinkToFit="1"/>
      <protection hidden="1"/>
    </xf>
    <xf numFmtId="166" fontId="83" fillId="19" borderId="69" xfId="0" applyFont="1" applyFill="1" applyBorder="1" applyAlignment="1" applyProtection="1">
      <alignment vertical="center" shrinkToFit="1"/>
      <protection hidden="1"/>
    </xf>
    <xf numFmtId="166" fontId="83" fillId="19" borderId="89" xfId="0" applyFont="1" applyFill="1" applyBorder="1" applyAlignment="1" applyProtection="1">
      <alignment vertical="center" shrinkToFit="1"/>
      <protection hidden="1"/>
    </xf>
    <xf numFmtId="166" fontId="83" fillId="19" borderId="15" xfId="0" applyFont="1" applyFill="1" applyBorder="1" applyAlignment="1" applyProtection="1">
      <alignment vertical="center" shrinkToFit="1"/>
      <protection hidden="1"/>
    </xf>
    <xf numFmtId="166" fontId="83" fillId="19" borderId="90" xfId="0" applyFont="1" applyFill="1" applyBorder="1" applyAlignment="1" applyProtection="1">
      <alignment vertical="center" shrinkToFit="1"/>
      <protection hidden="1"/>
    </xf>
    <xf numFmtId="166" fontId="79" fillId="21" borderId="232" xfId="0" applyFont="1" applyFill="1" applyBorder="1" applyAlignment="1" applyProtection="1">
      <alignment horizontal="center" shrinkToFit="1"/>
      <protection hidden="1"/>
    </xf>
    <xf numFmtId="166" fontId="79" fillId="21" borderId="227" xfId="0" applyFont="1" applyFill="1" applyBorder="1" applyAlignment="1" applyProtection="1">
      <alignment horizontal="center" shrinkToFit="1"/>
      <protection hidden="1"/>
    </xf>
    <xf numFmtId="166" fontId="101" fillId="0" borderId="0" xfId="0" applyFont="1" applyAlignment="1" applyProtection="1">
      <alignment horizontal="center" vertical="center"/>
      <protection hidden="1"/>
    </xf>
    <xf numFmtId="166" fontId="79" fillId="0" borderId="0" xfId="0" applyFont="1" applyAlignment="1" applyProtection="1">
      <alignment horizontal="center"/>
      <protection hidden="1"/>
    </xf>
    <xf numFmtId="166" fontId="97" fillId="4" borderId="0" xfId="0" applyFont="1" applyFill="1" applyAlignment="1" applyProtection="1">
      <alignment vertical="top" wrapText="1"/>
      <protection locked="0"/>
    </xf>
    <xf numFmtId="0" fontId="227" fillId="35" borderId="68" xfId="0" applyNumberFormat="1" applyFont="1" applyFill="1" applyBorder="1" applyAlignment="1" applyProtection="1">
      <alignment horizontal="center" vertical="center" shrinkToFit="1"/>
      <protection hidden="1"/>
    </xf>
    <xf numFmtId="0" fontId="227" fillId="35" borderId="69" xfId="0" applyNumberFormat="1" applyFont="1" applyFill="1" applyBorder="1" applyAlignment="1" applyProtection="1">
      <alignment horizontal="center" vertical="center" shrinkToFit="1"/>
      <protection hidden="1"/>
    </xf>
    <xf numFmtId="0" fontId="231" fillId="35" borderId="32" xfId="0" applyNumberFormat="1" applyFont="1" applyFill="1" applyBorder="1" applyAlignment="1" applyProtection="1">
      <alignment horizontal="center" vertical="center" shrinkToFit="1"/>
      <protection hidden="1"/>
    </xf>
    <xf numFmtId="0" fontId="231" fillId="35" borderId="33" xfId="0" applyNumberFormat="1" applyFont="1" applyFill="1" applyBorder="1" applyAlignment="1" applyProtection="1">
      <alignment horizontal="center" vertical="center" shrinkToFit="1"/>
      <protection hidden="1"/>
    </xf>
    <xf numFmtId="0" fontId="227" fillId="35" borderId="24" xfId="0" applyNumberFormat="1" applyFont="1" applyFill="1" applyBorder="1" applyAlignment="1" applyProtection="1">
      <alignment horizontal="center" vertical="center" shrinkToFit="1"/>
      <protection hidden="1"/>
    </xf>
    <xf numFmtId="0" fontId="227" fillId="35" borderId="181" xfId="0" applyNumberFormat="1" applyFont="1" applyFill="1" applyBorder="1" applyAlignment="1" applyProtection="1">
      <alignment horizontal="center" shrinkToFit="1"/>
      <protection hidden="1"/>
    </xf>
    <xf numFmtId="0" fontId="134" fillId="31" borderId="0" xfId="40" applyNumberFormat="1" applyFont="1" applyFill="1" applyAlignment="1" applyProtection="1">
      <alignment horizontal="center" vertical="center" wrapText="1"/>
      <protection hidden="1"/>
    </xf>
    <xf numFmtId="0" fontId="127" fillId="0" borderId="26" xfId="40" applyNumberFormat="1" applyFont="1" applyFill="1" applyBorder="1" applyAlignment="1" applyProtection="1">
      <alignment vertical="top" wrapText="1"/>
      <protection hidden="1"/>
    </xf>
    <xf numFmtId="0" fontId="127" fillId="0" borderId="25" xfId="40" applyNumberFormat="1" applyFont="1" applyFill="1" applyBorder="1" applyAlignment="1" applyProtection="1">
      <alignment vertical="top" wrapText="1"/>
      <protection hidden="1"/>
    </xf>
    <xf numFmtId="0" fontId="64" fillId="8" borderId="30" xfId="40" applyNumberFormat="1" applyFont="1" applyFill="1" applyBorder="1" applyAlignment="1" applyProtection="1">
      <alignment horizontal="center" vertical="center" shrinkToFit="1"/>
      <protection hidden="1"/>
    </xf>
    <xf numFmtId="0" fontId="64" fillId="8" borderId="46" xfId="40" applyNumberFormat="1" applyFont="1" applyFill="1" applyBorder="1" applyAlignment="1" applyProtection="1">
      <alignment horizontal="center" vertical="center" shrinkToFit="1"/>
      <protection hidden="1"/>
    </xf>
    <xf numFmtId="0" fontId="125" fillId="8" borderId="128" xfId="40" applyNumberFormat="1" applyFont="1" applyFill="1" applyBorder="1" applyAlignment="1" applyProtection="1">
      <alignment horizontal="center" vertical="center" shrinkToFit="1"/>
      <protection hidden="1"/>
    </xf>
    <xf numFmtId="0" fontId="125" fillId="8" borderId="29" xfId="40" applyNumberFormat="1" applyFont="1" applyFill="1" applyBorder="1" applyAlignment="1" applyProtection="1">
      <alignment horizontal="center" vertical="center" shrinkToFit="1"/>
      <protection hidden="1"/>
    </xf>
    <xf numFmtId="0" fontId="125" fillId="8" borderId="28" xfId="40" applyNumberFormat="1" applyFont="1" applyFill="1" applyBorder="1" applyAlignment="1" applyProtection="1">
      <alignment horizontal="center" vertical="center" shrinkToFit="1"/>
      <protection hidden="1"/>
    </xf>
    <xf numFmtId="0" fontId="64" fillId="20" borderId="30" xfId="40" applyNumberFormat="1" applyFont="1" applyFill="1" applyBorder="1" applyAlignment="1" applyProtection="1">
      <alignment horizontal="center" vertical="center" shrinkToFit="1"/>
      <protection hidden="1"/>
    </xf>
    <xf numFmtId="0" fontId="64" fillId="20" borderId="46" xfId="40" applyNumberFormat="1" applyFont="1" applyFill="1" applyBorder="1" applyAlignment="1" applyProtection="1">
      <alignment horizontal="center" vertical="center" shrinkToFit="1"/>
      <protection hidden="1"/>
    </xf>
    <xf numFmtId="0" fontId="125" fillId="20" borderId="128" xfId="40" applyNumberFormat="1" applyFont="1" applyFill="1" applyBorder="1" applyAlignment="1" applyProtection="1">
      <alignment horizontal="center" vertical="center" shrinkToFit="1"/>
      <protection hidden="1"/>
    </xf>
    <xf numFmtId="0" fontId="125" fillId="20" borderId="29" xfId="40" applyNumberFormat="1" applyFont="1" applyFill="1" applyBorder="1" applyAlignment="1" applyProtection="1">
      <alignment horizontal="center" vertical="center" shrinkToFit="1"/>
      <protection hidden="1"/>
    </xf>
    <xf numFmtId="0" fontId="125" fillId="20" borderId="28" xfId="40" applyNumberFormat="1" applyFont="1" applyFill="1" applyBorder="1" applyAlignment="1" applyProtection="1">
      <alignment horizontal="center" vertical="center" shrinkToFit="1"/>
      <protection hidden="1"/>
    </xf>
    <xf numFmtId="0" fontId="62" fillId="0" borderId="9" xfId="40" applyNumberFormat="1" applyFill="1" applyBorder="1" applyAlignment="1" applyProtection="1">
      <alignment horizontal="center" shrinkToFit="1"/>
      <protection hidden="1"/>
    </xf>
    <xf numFmtId="0" fontId="62" fillId="0" borderId="9" xfId="40" applyNumberFormat="1" applyFont="1" applyFill="1" applyBorder="1" applyAlignment="1" applyProtection="1">
      <alignment horizontal="center" shrinkToFit="1"/>
      <protection hidden="1"/>
    </xf>
    <xf numFmtId="178" fontId="64" fillId="31" borderId="67" xfId="40" applyNumberFormat="1" applyFont="1" applyFill="1" applyBorder="1" applyAlignment="1" applyProtection="1">
      <alignment horizontal="right" vertical="center" shrinkToFit="1"/>
      <protection hidden="1"/>
    </xf>
    <xf numFmtId="178" fontId="64" fillId="31" borderId="43" xfId="40" applyNumberFormat="1" applyFont="1" applyFill="1" applyBorder="1" applyAlignment="1" applyProtection="1">
      <alignment horizontal="right" vertical="center" shrinkToFit="1"/>
      <protection hidden="1"/>
    </xf>
    <xf numFmtId="178" fontId="64" fillId="31" borderId="38" xfId="40" applyNumberFormat="1" applyFont="1" applyFill="1" applyBorder="1" applyAlignment="1" applyProtection="1">
      <alignment horizontal="right" vertical="center" shrinkToFit="1"/>
      <protection hidden="1"/>
    </xf>
    <xf numFmtId="178" fontId="64" fillId="31" borderId="62" xfId="40" applyNumberFormat="1" applyFont="1" applyFill="1" applyBorder="1" applyAlignment="1" applyProtection="1">
      <alignment horizontal="right" vertical="center" shrinkToFit="1"/>
      <protection hidden="1"/>
    </xf>
    <xf numFmtId="0" fontId="74" fillId="5" borderId="26" xfId="40" applyNumberFormat="1" applyFont="1" applyFill="1" applyBorder="1" applyAlignment="1" applyProtection="1">
      <alignment horizontal="right" vertical="top" wrapText="1" shrinkToFit="1"/>
      <protection hidden="1"/>
    </xf>
    <xf numFmtId="0" fontId="74" fillId="5" borderId="25" xfId="40" applyNumberFormat="1" applyFont="1" applyFill="1" applyBorder="1" applyAlignment="1" applyProtection="1">
      <alignment horizontal="right" vertical="top" wrapText="1" shrinkToFit="1"/>
      <protection hidden="1"/>
    </xf>
    <xf numFmtId="0" fontId="62" fillId="5" borderId="8" xfId="40" applyNumberFormat="1" applyFill="1" applyBorder="1" applyAlignment="1" applyProtection="1">
      <alignment horizontal="center" vertical="center" shrinkToFit="1"/>
      <protection hidden="1"/>
    </xf>
    <xf numFmtId="0" fontId="135" fillId="0" borderId="5" xfId="40" applyNumberFormat="1" applyFont="1" applyFill="1" applyBorder="1" applyAlignment="1" applyProtection="1">
      <protection hidden="1"/>
    </xf>
    <xf numFmtId="0" fontId="62" fillId="0" borderId="5" xfId="40" applyNumberFormat="1" applyFill="1" applyBorder="1" applyAlignment="1" applyProtection="1">
      <protection hidden="1"/>
    </xf>
    <xf numFmtId="0" fontId="58" fillId="4" borderId="22" xfId="40" applyNumberFormat="1" applyFont="1" applyFill="1" applyBorder="1" applyProtection="1">
      <protection locked="0"/>
    </xf>
    <xf numFmtId="0" fontId="62" fillId="4" borderId="21" xfId="40" applyNumberFormat="1" applyFill="1" applyBorder="1" applyProtection="1">
      <protection locked="0"/>
    </xf>
    <xf numFmtId="0" fontId="62" fillId="4" borderId="20" xfId="40" applyNumberFormat="1" applyFill="1" applyBorder="1" applyProtection="1">
      <protection locked="0"/>
    </xf>
    <xf numFmtId="0" fontId="64" fillId="0" borderId="27" xfId="40" applyNumberFormat="1" applyFont="1" applyFill="1" applyBorder="1" applyAlignment="1" applyProtection="1">
      <alignment horizontal="left" shrinkToFit="1"/>
      <protection hidden="1"/>
    </xf>
    <xf numFmtId="0" fontId="64" fillId="0" borderId="26" xfId="40" applyNumberFormat="1" applyFont="1" applyFill="1" applyBorder="1" applyAlignment="1" applyProtection="1">
      <alignment horizontal="left" shrinkToFit="1"/>
      <protection hidden="1"/>
    </xf>
    <xf numFmtId="15" fontId="62" fillId="0" borderId="26" xfId="40" applyNumberFormat="1" applyFill="1" applyBorder="1" applyAlignment="1" applyProtection="1">
      <alignment horizontal="left" shrinkToFit="1"/>
      <protection hidden="1"/>
    </xf>
    <xf numFmtId="0" fontId="125" fillId="8" borderId="165" xfId="40" applyNumberFormat="1" applyFont="1" applyFill="1" applyBorder="1" applyAlignment="1" applyProtection="1">
      <alignment horizontal="center" vertical="center" shrinkToFit="1"/>
      <protection hidden="1"/>
    </xf>
    <xf numFmtId="0" fontId="125" fillId="20" borderId="165" xfId="40" applyNumberFormat="1" applyFont="1" applyFill="1" applyBorder="1" applyAlignment="1" applyProtection="1">
      <alignment horizontal="center" vertical="center" shrinkToFit="1"/>
      <protection hidden="1"/>
    </xf>
    <xf numFmtId="0" fontId="30" fillId="4" borderId="22" xfId="40" applyFont="1" applyFill="1" applyBorder="1" applyAlignment="1" applyProtection="1">
      <protection locked="0"/>
    </xf>
    <xf numFmtId="0" fontId="41" fillId="4" borderId="21" xfId="40" applyFont="1" applyFill="1" applyBorder="1" applyAlignment="1" applyProtection="1">
      <protection locked="0"/>
    </xf>
    <xf numFmtId="0" fontId="41" fillId="4" borderId="20" xfId="40" applyFont="1" applyFill="1" applyBorder="1" applyAlignment="1" applyProtection="1">
      <protection locked="0"/>
    </xf>
    <xf numFmtId="0" fontId="41" fillId="4" borderId="67" xfId="40" applyFont="1" applyFill="1" applyBorder="1" applyAlignment="1" applyProtection="1">
      <alignment horizontal="left" vertical="center"/>
      <protection locked="0"/>
    </xf>
    <xf numFmtId="0" fontId="41" fillId="4" borderId="44" xfId="40" applyFont="1" applyFill="1" applyBorder="1" applyAlignment="1" applyProtection="1">
      <alignment horizontal="left" vertical="center"/>
      <protection locked="0"/>
    </xf>
    <xf numFmtId="0" fontId="41" fillId="4" borderId="43" xfId="40" applyFont="1" applyFill="1" applyBorder="1" applyAlignment="1" applyProtection="1">
      <alignment horizontal="left" vertical="center"/>
      <protection locked="0"/>
    </xf>
    <xf numFmtId="0" fontId="6" fillId="4" borderId="22" xfId="40" applyFont="1" applyFill="1" applyBorder="1" applyAlignment="1" applyProtection="1">
      <alignment horizontal="left" vertical="center"/>
      <protection locked="0"/>
    </xf>
    <xf numFmtId="0" fontId="41" fillId="4" borderId="21" xfId="40" applyFont="1" applyFill="1" applyBorder="1" applyAlignment="1" applyProtection="1">
      <alignment horizontal="left" vertical="center"/>
      <protection locked="0"/>
    </xf>
    <xf numFmtId="0" fontId="41" fillId="4" borderId="69" xfId="40" applyFont="1" applyFill="1" applyBorder="1" applyAlignment="1" applyProtection="1">
      <alignment horizontal="left" vertical="center"/>
      <protection locked="0"/>
    </xf>
    <xf numFmtId="0" fontId="7" fillId="4" borderId="38" xfId="40" applyFont="1" applyFill="1" applyBorder="1" applyAlignment="1" applyProtection="1">
      <alignment horizontal="left" vertical="center"/>
      <protection locked="0"/>
    </xf>
    <xf numFmtId="0" fontId="41" fillId="4" borderId="66" xfId="40" applyFont="1" applyFill="1" applyBorder="1" applyAlignment="1" applyProtection="1">
      <alignment horizontal="left" vertical="center"/>
      <protection locked="0"/>
    </xf>
    <xf numFmtId="0" fontId="41" fillId="4" borderId="62" xfId="40" applyFont="1" applyFill="1" applyBorder="1" applyAlignment="1" applyProtection="1">
      <alignment horizontal="left" vertical="center"/>
      <protection locked="0"/>
    </xf>
    <xf numFmtId="0" fontId="41" fillId="37" borderId="20" xfId="40" applyFont="1" applyFill="1" applyBorder="1" applyAlignment="1" applyProtection="1">
      <alignment horizontal="left" vertical="center"/>
      <protection locked="0"/>
    </xf>
    <xf numFmtId="0" fontId="41" fillId="37" borderId="10" xfId="40" applyFont="1" applyFill="1" applyBorder="1" applyAlignment="1" applyProtection="1">
      <alignment horizontal="left" vertical="center"/>
      <protection locked="0"/>
    </xf>
    <xf numFmtId="0" fontId="41" fillId="37" borderId="98" xfId="40" applyFont="1" applyFill="1" applyBorder="1" applyAlignment="1" applyProtection="1">
      <alignment horizontal="left" vertical="center"/>
      <protection locked="0"/>
    </xf>
    <xf numFmtId="0" fontId="41" fillId="37" borderId="75" xfId="40" applyFont="1" applyFill="1" applyBorder="1" applyAlignment="1" applyProtection="1">
      <alignment horizontal="left" vertical="center"/>
      <protection locked="0"/>
    </xf>
    <xf numFmtId="0" fontId="41" fillId="37" borderId="41" xfId="40" applyFont="1" applyFill="1" applyBorder="1" applyAlignment="1" applyProtection="1">
      <alignment horizontal="left" vertical="center"/>
      <protection locked="0"/>
    </xf>
    <xf numFmtId="0" fontId="41" fillId="37" borderId="36" xfId="40" applyFont="1" applyFill="1" applyBorder="1" applyAlignment="1" applyProtection="1">
      <alignment horizontal="left" vertical="center"/>
      <protection locked="0"/>
    </xf>
    <xf numFmtId="0" fontId="41" fillId="37" borderId="88" xfId="40" applyFont="1" applyFill="1" applyBorder="1" applyAlignment="1" applyProtection="1">
      <alignment horizontal="left" vertical="center"/>
      <protection locked="0"/>
    </xf>
    <xf numFmtId="0" fontId="3" fillId="4" borderId="22" xfId="40" applyFont="1" applyFill="1" applyBorder="1" applyAlignment="1" applyProtection="1">
      <alignment horizontal="left" vertical="center"/>
      <protection locked="0"/>
    </xf>
    <xf numFmtId="0" fontId="41" fillId="4" borderId="38" xfId="40" applyFont="1" applyFill="1" applyBorder="1" applyAlignment="1" applyProtection="1">
      <alignment horizontal="left" vertical="center"/>
      <protection locked="0"/>
    </xf>
    <xf numFmtId="0" fontId="4" fillId="4" borderId="22" xfId="40" applyFont="1" applyFill="1" applyBorder="1" applyAlignment="1" applyProtection="1">
      <protection locked="0"/>
    </xf>
    <xf numFmtId="0" fontId="41" fillId="4" borderId="22" xfId="40" applyFont="1" applyFill="1" applyBorder="1" applyAlignment="1" applyProtection="1">
      <protection locked="0"/>
    </xf>
    <xf numFmtId="0" fontId="64" fillId="5" borderId="8" xfId="40" applyFont="1" applyFill="1" applyBorder="1" applyAlignment="1" applyProtection="1">
      <alignment horizontal="center" vertical="justify"/>
      <protection hidden="1"/>
    </xf>
    <xf numFmtId="0" fontId="64" fillId="0" borderId="8" xfId="40" applyFont="1" applyBorder="1" applyAlignment="1" applyProtection="1">
      <alignment horizontal="center" vertical="justify"/>
      <protection hidden="1"/>
    </xf>
    <xf numFmtId="0" fontId="64" fillId="5" borderId="8" xfId="40" applyFont="1" applyFill="1" applyBorder="1" applyAlignment="1" applyProtection="1">
      <alignment horizontal="center" vertical="justify" shrinkToFit="1"/>
      <protection hidden="1"/>
    </xf>
    <xf numFmtId="0" fontId="64" fillId="0" borderId="8" xfId="40" applyFont="1" applyBorder="1" applyAlignment="1" applyProtection="1">
      <alignment horizontal="center" vertical="justify" shrinkToFit="1"/>
      <protection hidden="1"/>
    </xf>
    <xf numFmtId="0" fontId="41" fillId="3" borderId="0" xfId="40" applyFont="1" applyFill="1" applyAlignment="1" applyProtection="1">
      <alignment horizontal="center"/>
      <protection hidden="1"/>
    </xf>
    <xf numFmtId="0" fontId="41" fillId="0" borderId="0" xfId="40" applyFont="1" applyAlignment="1" applyProtection="1">
      <alignment horizontal="center"/>
      <protection hidden="1"/>
    </xf>
    <xf numFmtId="0" fontId="41" fillId="3" borderId="0" xfId="40" applyFont="1" applyFill="1" applyAlignment="1" applyProtection="1">
      <alignment horizontal="center" shrinkToFit="1"/>
      <protection hidden="1"/>
    </xf>
    <xf numFmtId="0" fontId="41" fillId="0" borderId="0" xfId="40" applyFont="1" applyAlignment="1" applyProtection="1">
      <alignment horizontal="center" shrinkToFit="1"/>
      <protection hidden="1"/>
    </xf>
    <xf numFmtId="0" fontId="97" fillId="0" borderId="284" xfId="21" applyFont="1" applyBorder="1" applyAlignment="1" applyProtection="1">
      <alignment horizontal="center"/>
      <protection hidden="1"/>
    </xf>
    <xf numFmtId="0" fontId="97" fillId="0" borderId="280" xfId="21" applyFont="1" applyBorder="1" applyAlignment="1" applyProtection="1">
      <alignment horizontal="center"/>
      <protection hidden="1"/>
    </xf>
    <xf numFmtId="0" fontId="97" fillId="0" borderId="0" xfId="21" applyFont="1" applyBorder="1" applyAlignment="1" applyProtection="1">
      <alignment horizontal="center"/>
      <protection hidden="1"/>
    </xf>
    <xf numFmtId="0" fontId="97" fillId="0" borderId="31" xfId="21" applyFont="1" applyBorder="1" applyAlignment="1" applyProtection="1">
      <alignment horizontal="center"/>
      <protection hidden="1"/>
    </xf>
    <xf numFmtId="0" fontId="97" fillId="0" borderId="9" xfId="21" applyFont="1" applyBorder="1" applyAlignment="1" applyProtection="1">
      <alignment horizontal="center"/>
      <protection hidden="1"/>
    </xf>
    <xf numFmtId="0" fontId="97" fillId="0" borderId="33" xfId="21" applyFont="1" applyBorder="1" applyAlignment="1" applyProtection="1">
      <alignment horizontal="center"/>
      <protection hidden="1"/>
    </xf>
    <xf numFmtId="179" fontId="207" fillId="4" borderId="152" xfId="21" applyNumberFormat="1" applyFont="1" applyFill="1" applyBorder="1" applyAlignment="1" applyProtection="1">
      <alignment horizontal="center" vertical="center"/>
      <protection locked="0"/>
    </xf>
    <xf numFmtId="179" fontId="72" fillId="4" borderId="153" xfId="21" applyNumberFormat="1" applyFont="1" applyFill="1" applyBorder="1" applyAlignment="1" applyProtection="1">
      <alignment horizontal="center" vertical="center"/>
      <protection locked="0"/>
    </xf>
    <xf numFmtId="0" fontId="273" fillId="0" borderId="8" xfId="21" applyFont="1" applyBorder="1" applyAlignment="1" applyProtection="1">
      <alignment horizontal="center" vertical="top" shrinkToFit="1"/>
      <protection hidden="1"/>
    </xf>
    <xf numFmtId="0" fontId="97" fillId="0" borderId="0" xfId="21" applyFont="1" applyBorder="1" applyAlignment="1" applyProtection="1">
      <alignment horizontal="right" wrapText="1"/>
      <protection hidden="1"/>
    </xf>
    <xf numFmtId="0" fontId="273" fillId="0" borderId="188" xfId="21" applyFont="1" applyBorder="1" applyAlignment="1" applyProtection="1">
      <alignment horizontal="center" vertical="top" shrinkToFit="1"/>
      <protection hidden="1"/>
    </xf>
    <xf numFmtId="0" fontId="273" fillId="0" borderId="0" xfId="21" applyFont="1" applyBorder="1" applyAlignment="1" applyProtection="1">
      <alignment horizontal="center" vertical="top" shrinkToFit="1"/>
      <protection hidden="1"/>
    </xf>
    <xf numFmtId="0" fontId="79" fillId="21" borderId="1" xfId="21" applyFont="1" applyFill="1" applyBorder="1" applyAlignment="1" applyProtection="1">
      <alignment horizontal="center" vertical="center" wrapText="1"/>
      <protection hidden="1"/>
    </xf>
    <xf numFmtId="0" fontId="79" fillId="19" borderId="1" xfId="21" applyFont="1" applyFill="1" applyBorder="1" applyAlignment="1" applyProtection="1">
      <alignment horizontal="center" vertical="center" wrapText="1"/>
      <protection locked="0"/>
    </xf>
    <xf numFmtId="0" fontId="79" fillId="4" borderId="65" xfId="21" applyNumberFormat="1" applyFont="1" applyFill="1" applyBorder="1" applyAlignment="1" applyProtection="1">
      <alignment vertical="top" shrinkToFit="1"/>
      <protection locked="0"/>
    </xf>
    <xf numFmtId="0" fontId="79" fillId="4" borderId="44" xfId="21" applyNumberFormat="1" applyFont="1" applyFill="1" applyBorder="1" applyAlignment="1" applyProtection="1">
      <alignment vertical="top" shrinkToFit="1"/>
      <protection locked="0"/>
    </xf>
    <xf numFmtId="0" fontId="79" fillId="4" borderId="43" xfId="21" applyNumberFormat="1" applyFont="1" applyFill="1" applyBorder="1" applyAlignment="1" applyProtection="1">
      <alignment vertical="top" shrinkToFit="1"/>
      <protection locked="0"/>
    </xf>
    <xf numFmtId="0" fontId="97" fillId="0" borderId="9" xfId="21" applyFont="1" applyBorder="1" applyAlignment="1" applyProtection="1">
      <alignment horizontal="center" wrapText="1"/>
      <protection hidden="1"/>
    </xf>
    <xf numFmtId="198" fontId="79" fillId="4" borderId="25" xfId="21" applyNumberFormat="1" applyFont="1" applyFill="1" applyBorder="1" applyAlignment="1" applyProtection="1">
      <alignment horizontal="center" vertical="center" shrinkToFit="1"/>
      <protection locked="0"/>
    </xf>
    <xf numFmtId="1" fontId="268" fillId="0" borderId="173" xfId="21" applyNumberFormat="1" applyFont="1" applyFill="1" applyBorder="1" applyAlignment="1" applyProtection="1">
      <alignment horizontal="center" vertical="center"/>
      <protection hidden="1"/>
    </xf>
    <xf numFmtId="1" fontId="268" fillId="0" borderId="177" xfId="21" applyNumberFormat="1" applyFont="1" applyFill="1" applyBorder="1" applyAlignment="1" applyProtection="1">
      <alignment horizontal="center" vertical="center"/>
      <protection hidden="1"/>
    </xf>
    <xf numFmtId="49" fontId="79" fillId="4" borderId="27" xfId="21" applyNumberFormat="1" applyFont="1" applyFill="1" applyBorder="1" applyAlignment="1" applyProtection="1">
      <alignment horizontal="center" vertical="center" shrinkToFit="1"/>
      <protection locked="0"/>
    </xf>
    <xf numFmtId="0" fontId="79" fillId="0" borderId="0" xfId="21" applyFont="1" applyBorder="1" applyAlignment="1" applyProtection="1">
      <alignment horizontal="left" indent="1"/>
      <protection hidden="1"/>
    </xf>
    <xf numFmtId="207" fontId="79" fillId="4" borderId="26" xfId="21" applyNumberFormat="1" applyFont="1" applyFill="1" applyBorder="1" applyAlignment="1" applyProtection="1">
      <alignment horizontal="center" vertical="center" shrinkToFit="1"/>
      <protection locked="0"/>
    </xf>
    <xf numFmtId="0" fontId="97" fillId="0" borderId="0" xfId="21" applyFont="1" applyBorder="1" applyAlignment="1" applyProtection="1">
      <alignment horizontal="right"/>
      <protection hidden="1"/>
    </xf>
    <xf numFmtId="0" fontId="79" fillId="4" borderId="68" xfId="21" applyNumberFormat="1" applyFont="1" applyFill="1" applyBorder="1" applyAlignment="1" applyProtection="1">
      <alignment vertical="top" shrinkToFit="1"/>
      <protection locked="0"/>
    </xf>
    <xf numFmtId="0" fontId="79" fillId="4" borderId="21" xfId="21" applyNumberFormat="1" applyFont="1" applyFill="1" applyBorder="1" applyAlignment="1" applyProtection="1">
      <alignment vertical="top" shrinkToFit="1"/>
      <protection locked="0"/>
    </xf>
    <xf numFmtId="0" fontId="79" fillId="4" borderId="69" xfId="21" applyNumberFormat="1" applyFont="1" applyFill="1" applyBorder="1" applyAlignment="1" applyProtection="1">
      <alignment vertical="top" shrinkToFit="1"/>
      <protection locked="0"/>
    </xf>
    <xf numFmtId="0" fontId="79" fillId="4" borderId="39" xfId="21" applyNumberFormat="1" applyFont="1" applyFill="1" applyBorder="1" applyAlignment="1" applyProtection="1">
      <alignment vertical="top" shrinkToFit="1"/>
      <protection locked="0"/>
    </xf>
    <xf numFmtId="0" fontId="79" fillId="4" borderId="66" xfId="21" applyNumberFormat="1" applyFont="1" applyFill="1" applyBorder="1" applyAlignment="1" applyProtection="1">
      <alignment vertical="top" shrinkToFit="1"/>
      <protection locked="0"/>
    </xf>
    <xf numFmtId="0" fontId="79" fillId="4" borderId="62" xfId="21" applyNumberFormat="1" applyFont="1" applyFill="1" applyBorder="1" applyAlignment="1" applyProtection="1">
      <alignment vertical="top" shrinkToFit="1"/>
      <protection locked="0"/>
    </xf>
    <xf numFmtId="0" fontId="97" fillId="0" borderId="0" xfId="21" applyFont="1" applyBorder="1" applyAlignment="1" applyProtection="1">
      <alignment horizontal="right" vertical="top"/>
      <protection hidden="1"/>
    </xf>
    <xf numFmtId="20" fontId="273" fillId="4" borderId="0" xfId="21" applyNumberFormat="1" applyFont="1" applyFill="1" applyBorder="1" applyAlignment="1" applyProtection="1">
      <alignment horizontal="center" vertical="center"/>
      <protection locked="0"/>
    </xf>
    <xf numFmtId="0" fontId="83" fillId="0" borderId="0" xfId="21" applyFont="1" applyBorder="1" applyAlignment="1" applyProtection="1">
      <alignment horizontal="left" indent="1"/>
      <protection hidden="1"/>
    </xf>
    <xf numFmtId="179" fontId="268" fillId="4" borderId="152" xfId="21" applyNumberFormat="1" applyFont="1" applyFill="1" applyBorder="1" applyAlignment="1" applyProtection="1">
      <alignment horizontal="center" vertical="center"/>
      <protection locked="0"/>
    </xf>
    <xf numFmtId="179" fontId="79" fillId="4" borderId="153" xfId="21" applyNumberFormat="1" applyFont="1" applyFill="1" applyBorder="1" applyAlignment="1" applyProtection="1">
      <alignment horizontal="center" vertical="center"/>
      <protection locked="0"/>
    </xf>
    <xf numFmtId="1" fontId="269" fillId="4" borderId="155" xfId="21" applyNumberFormat="1" applyFont="1" applyFill="1" applyBorder="1" applyAlignment="1" applyProtection="1">
      <alignment horizontal="center" vertical="center" shrinkToFit="1"/>
      <protection locked="0"/>
    </xf>
    <xf numFmtId="1" fontId="269" fillId="4" borderId="156" xfId="21" applyNumberFormat="1" applyFont="1" applyFill="1" applyBorder="1" applyAlignment="1" applyProtection="1">
      <alignment horizontal="center" vertical="center" shrinkToFit="1"/>
      <protection locked="0"/>
    </xf>
    <xf numFmtId="1" fontId="269" fillId="4" borderId="157" xfId="21" applyNumberFormat="1" applyFont="1" applyFill="1" applyBorder="1" applyAlignment="1" applyProtection="1">
      <alignment horizontal="center" vertical="center" shrinkToFit="1"/>
      <protection locked="0"/>
    </xf>
    <xf numFmtId="1" fontId="269" fillId="4" borderId="166" xfId="21" applyNumberFormat="1" applyFont="1" applyFill="1" applyBorder="1" applyAlignment="1" applyProtection="1">
      <alignment horizontal="center" vertical="center" shrinkToFit="1"/>
      <protection locked="0"/>
    </xf>
    <xf numFmtId="1" fontId="269" fillId="4" borderId="167" xfId="21" applyNumberFormat="1" applyFont="1" applyFill="1" applyBorder="1" applyAlignment="1" applyProtection="1">
      <alignment horizontal="center" vertical="center" shrinkToFit="1"/>
      <protection locked="0"/>
    </xf>
    <xf numFmtId="1" fontId="269" fillId="4" borderId="168" xfId="21" applyNumberFormat="1" applyFont="1" applyFill="1" applyBorder="1" applyAlignment="1" applyProtection="1">
      <alignment horizontal="center" vertical="center" shrinkToFit="1"/>
      <protection locked="0"/>
    </xf>
    <xf numFmtId="0" fontId="83" fillId="0" borderId="8" xfId="21" applyFont="1" applyBorder="1" applyAlignment="1" applyProtection="1">
      <alignment horizontal="left" indent="1"/>
      <protection hidden="1"/>
    </xf>
    <xf numFmtId="1" fontId="207" fillId="0" borderId="146" xfId="21" applyNumberFormat="1" applyFont="1" applyFill="1" applyBorder="1" applyAlignment="1" applyProtection="1">
      <alignment horizontal="center" vertical="center"/>
      <protection hidden="1"/>
    </xf>
    <xf numFmtId="1" fontId="207" fillId="0" borderId="172" xfId="21" applyNumberFormat="1" applyFont="1" applyFill="1" applyBorder="1" applyAlignment="1" applyProtection="1">
      <alignment horizontal="center" vertical="center"/>
      <protection hidden="1"/>
    </xf>
    <xf numFmtId="0" fontId="79" fillId="4" borderId="66" xfId="21" applyFont="1" applyFill="1" applyBorder="1" applyAlignment="1" applyProtection="1">
      <alignment vertical="center"/>
      <protection locked="0"/>
    </xf>
    <xf numFmtId="0" fontId="79" fillId="4" borderId="62" xfId="21" applyFont="1" applyFill="1" applyBorder="1" applyAlignment="1" applyProtection="1">
      <alignment vertical="center"/>
      <protection locked="0"/>
    </xf>
    <xf numFmtId="1" fontId="268" fillId="0" borderId="175" xfId="21" applyNumberFormat="1" applyFont="1" applyFill="1" applyBorder="1" applyAlignment="1" applyProtection="1">
      <alignment horizontal="center" vertical="center"/>
      <protection hidden="1"/>
    </xf>
    <xf numFmtId="1" fontId="268" fillId="0" borderId="176" xfId="21" applyNumberFormat="1" applyFont="1" applyFill="1" applyBorder="1" applyAlignment="1" applyProtection="1">
      <alignment horizontal="center" vertical="center"/>
      <protection hidden="1"/>
    </xf>
    <xf numFmtId="0" fontId="79" fillId="0" borderId="0" xfId="21" applyFont="1" applyBorder="1" applyAlignment="1" applyProtection="1">
      <alignment horizontal="left" wrapText="1" indent="1"/>
      <protection hidden="1"/>
    </xf>
    <xf numFmtId="1" fontId="208" fillId="4" borderId="147" xfId="21" applyNumberFormat="1" applyFont="1" applyFill="1" applyBorder="1" applyAlignment="1" applyProtection="1">
      <alignment horizontal="center" vertical="center" shrinkToFit="1"/>
      <protection locked="0"/>
    </xf>
    <xf numFmtId="1" fontId="208" fillId="4" borderId="148" xfId="21" applyNumberFormat="1" applyFont="1" applyFill="1" applyBorder="1" applyAlignment="1" applyProtection="1">
      <alignment horizontal="center" vertical="center" shrinkToFit="1"/>
      <protection locked="0"/>
    </xf>
    <xf numFmtId="1" fontId="208" fillId="4" borderId="149" xfId="21" applyNumberFormat="1" applyFont="1" applyFill="1" applyBorder="1" applyAlignment="1" applyProtection="1">
      <alignment horizontal="center" vertical="center" shrinkToFit="1"/>
      <protection locked="0"/>
    </xf>
    <xf numFmtId="197" fontId="79" fillId="0" borderId="169" xfId="21" applyNumberFormat="1" applyFont="1" applyBorder="1" applyAlignment="1" applyProtection="1">
      <alignment vertical="center"/>
      <protection hidden="1"/>
    </xf>
    <xf numFmtId="197" fontId="79" fillId="0" borderId="170" xfId="21" applyNumberFormat="1" applyFont="1" applyBorder="1" applyAlignment="1" applyProtection="1">
      <alignment vertical="center"/>
      <protection hidden="1"/>
    </xf>
    <xf numFmtId="197" fontId="79" fillId="0" borderId="39" xfId="21" applyNumberFormat="1" applyFont="1" applyBorder="1" applyAlignment="1" applyProtection="1">
      <alignment vertical="center"/>
      <protection hidden="1"/>
    </xf>
    <xf numFmtId="197" fontId="79" fillId="0" borderId="66" xfId="21" applyNumberFormat="1" applyFont="1" applyBorder="1" applyAlignment="1" applyProtection="1">
      <alignment vertical="center"/>
      <protection hidden="1"/>
    </xf>
    <xf numFmtId="0" fontId="79" fillId="4" borderId="170" xfId="21" applyFont="1" applyFill="1" applyBorder="1" applyAlignment="1" applyProtection="1">
      <alignment vertical="center"/>
      <protection locked="0"/>
    </xf>
    <xf numFmtId="0" fontId="79" fillId="4" borderId="171" xfId="21" applyFont="1" applyFill="1" applyBorder="1" applyAlignment="1" applyProtection="1">
      <alignment vertical="center"/>
      <protection locked="0"/>
    </xf>
    <xf numFmtId="0" fontId="269" fillId="21" borderId="158" xfId="21" applyNumberFormat="1" applyFont="1" applyFill="1" applyBorder="1" applyAlignment="1" applyProtection="1">
      <alignment horizontal="center" vertical="center"/>
      <protection hidden="1"/>
    </xf>
    <xf numFmtId="0" fontId="167" fillId="21" borderId="159" xfId="21" applyFont="1" applyFill="1" applyBorder="1" applyAlignment="1" applyProtection="1">
      <alignment horizontal="center" vertical="center"/>
      <protection hidden="1"/>
    </xf>
    <xf numFmtId="0" fontId="268" fillId="21" borderId="161" xfId="21" applyNumberFormat="1" applyFont="1" applyFill="1" applyBorder="1" applyAlignment="1" applyProtection="1">
      <alignment horizontal="center" vertical="center"/>
      <protection hidden="1"/>
    </xf>
    <xf numFmtId="1" fontId="268" fillId="21" borderId="162" xfId="21" applyNumberFormat="1" applyFont="1" applyFill="1" applyBorder="1" applyAlignment="1" applyProtection="1">
      <alignment horizontal="center" vertical="center"/>
      <protection hidden="1"/>
    </xf>
    <xf numFmtId="1" fontId="268" fillId="21" borderId="163" xfId="21" applyNumberFormat="1" applyFont="1" applyFill="1" applyBorder="1" applyAlignment="1" applyProtection="1">
      <alignment horizontal="center" vertical="center"/>
      <protection hidden="1"/>
    </xf>
    <xf numFmtId="0" fontId="79" fillId="0" borderId="0" xfId="21" applyFont="1" applyFill="1" applyBorder="1" applyAlignment="1" applyProtection="1">
      <alignment horizontal="left" vertical="top" wrapText="1" indent="1"/>
      <protection hidden="1"/>
    </xf>
    <xf numFmtId="0" fontId="79" fillId="0" borderId="0" xfId="21" applyFont="1" applyFill="1" applyBorder="1" applyAlignment="1" applyProtection="1">
      <alignment horizontal="left" vertical="top" wrapText="1"/>
      <protection hidden="1"/>
    </xf>
    <xf numFmtId="0" fontId="79" fillId="0" borderId="0" xfId="21" applyFont="1" applyFill="1" applyBorder="1" applyAlignment="1" applyProtection="1">
      <alignment horizontal="left" wrapText="1" indent="1"/>
      <protection hidden="1"/>
    </xf>
    <xf numFmtId="0" fontId="79" fillId="0" borderId="0" xfId="21" applyFont="1" applyFill="1" applyBorder="1" applyAlignment="1" applyProtection="1">
      <alignment horizontal="left" wrapText="1"/>
      <protection hidden="1"/>
    </xf>
    <xf numFmtId="197" fontId="79" fillId="0" borderId="0" xfId="21" applyNumberFormat="1" applyFont="1" applyBorder="1" applyAlignment="1" applyProtection="1">
      <alignment horizontal="left" indent="1"/>
      <protection hidden="1"/>
    </xf>
    <xf numFmtId="0" fontId="79" fillId="4" borderId="0" xfId="21" applyFont="1" applyFill="1" applyBorder="1" applyAlignment="1" applyProtection="1">
      <alignment horizontal="left"/>
      <protection locked="0"/>
    </xf>
    <xf numFmtId="0" fontId="83" fillId="0" borderId="144" xfId="21" applyFont="1" applyBorder="1" applyAlignment="1" applyProtection="1">
      <alignment horizontal="left" indent="1"/>
      <protection hidden="1"/>
    </xf>
    <xf numFmtId="0" fontId="268" fillId="21" borderId="158" xfId="21" applyNumberFormat="1" applyFont="1" applyFill="1" applyBorder="1" applyAlignment="1" applyProtection="1">
      <alignment horizontal="center" vertical="center"/>
      <protection hidden="1"/>
    </xf>
    <xf numFmtId="0" fontId="268" fillId="21" borderId="174" xfId="21" applyNumberFormat="1" applyFont="1" applyFill="1" applyBorder="1" applyAlignment="1" applyProtection="1">
      <alignment horizontal="center" vertical="center"/>
      <protection hidden="1"/>
    </xf>
    <xf numFmtId="0" fontId="79" fillId="4" borderId="0" xfId="21" applyNumberFormat="1" applyFont="1" applyFill="1" applyBorder="1" applyAlignment="1" applyProtection="1">
      <alignment horizontal="left"/>
      <protection locked="0"/>
    </xf>
    <xf numFmtId="0" fontId="265" fillId="0" borderId="5" xfId="21" applyFont="1" applyBorder="1" applyAlignment="1" applyProtection="1">
      <alignment horizontal="center"/>
      <protection hidden="1"/>
    </xf>
    <xf numFmtId="0" fontId="79" fillId="0" borderId="0" xfId="21" applyFont="1" applyBorder="1" applyAlignment="1" applyProtection="1">
      <protection hidden="1"/>
    </xf>
    <xf numFmtId="0" fontId="83" fillId="0" borderId="0" xfId="21" applyFont="1" applyFill="1" applyBorder="1" applyAlignment="1" applyProtection="1">
      <alignment shrinkToFit="1"/>
      <protection hidden="1"/>
    </xf>
    <xf numFmtId="0" fontId="83" fillId="0" borderId="0" xfId="21" applyFont="1" applyFill="1" applyBorder="1" applyAlignment="1" applyProtection="1">
      <alignment horizontal="left"/>
      <protection hidden="1"/>
    </xf>
    <xf numFmtId="0" fontId="83" fillId="0" borderId="0" xfId="21" applyNumberFormat="1" applyFont="1" applyFill="1" applyBorder="1" applyAlignment="1" applyProtection="1">
      <alignment horizontal="left"/>
      <protection hidden="1"/>
    </xf>
    <xf numFmtId="0" fontId="79" fillId="0" borderId="0" xfId="21" applyNumberFormat="1" applyFont="1" applyFill="1" applyBorder="1" applyAlignment="1" applyProtection="1">
      <alignment horizontal="left"/>
      <protection hidden="1"/>
    </xf>
    <xf numFmtId="15" fontId="83" fillId="0" borderId="0" xfId="21" applyNumberFormat="1" applyFont="1" applyFill="1" applyBorder="1" applyAlignment="1" applyProtection="1">
      <alignment horizontal="left"/>
      <protection hidden="1"/>
    </xf>
    <xf numFmtId="197" fontId="79" fillId="0" borderId="0" xfId="21" applyNumberFormat="1" applyFont="1" applyBorder="1" applyAlignment="1" applyProtection="1">
      <alignment horizontal="center"/>
      <protection hidden="1"/>
    </xf>
    <xf numFmtId="204" fontId="95" fillId="0" borderId="68" xfId="21" applyNumberFormat="1" applyFont="1" applyBorder="1" applyAlignment="1" applyProtection="1">
      <alignment horizontal="center"/>
      <protection hidden="1"/>
    </xf>
    <xf numFmtId="204" fontId="95" fillId="0" borderId="69" xfId="21" applyNumberFormat="1" applyFont="1" applyBorder="1" applyAlignment="1" applyProtection="1">
      <alignment horizontal="center"/>
      <protection hidden="1"/>
    </xf>
    <xf numFmtId="204" fontId="97" fillId="0" borderId="39" xfId="21" applyNumberFormat="1" applyFont="1" applyBorder="1" applyAlignment="1" applyProtection="1">
      <alignment horizontal="center"/>
      <protection hidden="1"/>
    </xf>
    <xf numFmtId="204" fontId="97" fillId="0" borderId="62" xfId="21" applyNumberFormat="1" applyFont="1" applyBorder="1" applyAlignment="1" applyProtection="1">
      <alignment horizontal="center"/>
      <protection hidden="1"/>
    </xf>
    <xf numFmtId="204" fontId="139" fillId="0" borderId="65" xfId="21" applyNumberFormat="1" applyFont="1" applyBorder="1" applyAlignment="1" applyProtection="1">
      <alignment horizontal="center"/>
      <protection hidden="1"/>
    </xf>
    <xf numFmtId="204" fontId="139" fillId="0" borderId="43" xfId="21" applyNumberFormat="1" applyFont="1" applyBorder="1" applyAlignment="1" applyProtection="1">
      <alignment horizontal="center"/>
      <protection hidden="1"/>
    </xf>
    <xf numFmtId="204" fontId="139" fillId="0" borderId="68" xfId="21" applyNumberFormat="1" applyFont="1" applyBorder="1" applyAlignment="1" applyProtection="1">
      <alignment horizontal="center"/>
      <protection hidden="1"/>
    </xf>
    <xf numFmtId="204" fontId="139" fillId="0" borderId="69" xfId="21" applyNumberFormat="1" applyFont="1" applyBorder="1" applyAlignment="1" applyProtection="1">
      <alignment horizontal="center"/>
      <protection hidden="1"/>
    </xf>
    <xf numFmtId="204" fontId="80" fillId="0" borderId="39" xfId="21" applyNumberFormat="1" applyFont="1" applyBorder="1" applyAlignment="1" applyProtection="1">
      <alignment horizontal="center"/>
      <protection hidden="1"/>
    </xf>
    <xf numFmtId="204" fontId="80" fillId="0" borderId="62" xfId="21" applyNumberFormat="1" applyFont="1" applyBorder="1" applyAlignment="1" applyProtection="1">
      <alignment horizontal="center"/>
      <protection hidden="1"/>
    </xf>
    <xf numFmtId="176" fontId="80" fillId="0" borderId="39" xfId="21" applyNumberFormat="1" applyFont="1" applyBorder="1" applyAlignment="1" applyProtection="1">
      <alignment horizontal="center"/>
      <protection hidden="1"/>
    </xf>
    <xf numFmtId="176" fontId="80" fillId="0" borderId="62" xfId="21" applyNumberFormat="1" applyFont="1" applyBorder="1" applyAlignment="1" applyProtection="1">
      <alignment horizontal="center"/>
      <protection hidden="1"/>
    </xf>
    <xf numFmtId="204" fontId="95" fillId="0" borderId="65" xfId="21" applyNumberFormat="1" applyFont="1" applyBorder="1" applyAlignment="1" applyProtection="1">
      <alignment horizontal="center"/>
      <protection hidden="1"/>
    </xf>
    <xf numFmtId="204" fontId="95" fillId="0" borderId="43" xfId="21" applyNumberFormat="1" applyFont="1" applyBorder="1" applyAlignment="1" applyProtection="1">
      <alignment horizontal="center"/>
      <protection hidden="1"/>
    </xf>
    <xf numFmtId="172" fontId="139" fillId="0" borderId="68" xfId="21" applyNumberFormat="1" applyFont="1" applyBorder="1" applyAlignment="1" applyProtection="1">
      <alignment horizontal="center"/>
      <protection hidden="1"/>
    </xf>
    <xf numFmtId="172" fontId="139" fillId="0" borderId="69" xfId="21" applyNumberFormat="1" applyFont="1" applyBorder="1" applyAlignment="1" applyProtection="1">
      <alignment horizontal="center"/>
      <protection hidden="1"/>
    </xf>
    <xf numFmtId="172" fontId="80" fillId="0" borderId="39" xfId="21" applyNumberFormat="1" applyFont="1" applyBorder="1" applyAlignment="1" applyProtection="1">
      <alignment horizontal="center"/>
      <protection hidden="1"/>
    </xf>
    <xf numFmtId="172" fontId="80" fillId="0" borderId="62" xfId="21" applyNumberFormat="1" applyFont="1" applyBorder="1" applyAlignment="1" applyProtection="1">
      <alignment horizontal="center"/>
      <protection hidden="1"/>
    </xf>
    <xf numFmtId="49" fontId="139" fillId="8" borderId="24" xfId="21" applyNumberFormat="1" applyFont="1" applyFill="1" applyBorder="1" applyAlignment="1" applyProtection="1">
      <alignment horizontal="right"/>
      <protection hidden="1"/>
    </xf>
    <xf numFmtId="178" fontId="139" fillId="8" borderId="24" xfId="21" applyNumberFormat="1" applyFont="1" applyFill="1" applyBorder="1" applyAlignment="1" applyProtection="1">
      <alignment horizontal="right"/>
      <protection hidden="1"/>
    </xf>
    <xf numFmtId="0" fontId="139" fillId="8" borderId="178" xfId="21" applyNumberFormat="1" applyFont="1" applyFill="1" applyBorder="1" applyAlignment="1" applyProtection="1">
      <alignment horizontal="center"/>
      <protection hidden="1"/>
    </xf>
    <xf numFmtId="0" fontId="139" fillId="8" borderId="29" xfId="21" applyNumberFormat="1" applyFont="1" applyFill="1" applyBorder="1" applyAlignment="1" applyProtection="1">
      <alignment horizontal="center"/>
      <protection hidden="1"/>
    </xf>
    <xf numFmtId="0" fontId="139" fillId="8" borderId="179" xfId="21" applyNumberFormat="1" applyFont="1" applyFill="1" applyBorder="1" applyAlignment="1" applyProtection="1">
      <alignment horizontal="center"/>
      <protection hidden="1"/>
    </xf>
    <xf numFmtId="174" fontId="139" fillId="8" borderId="178" xfId="21" applyNumberFormat="1" applyFont="1" applyFill="1" applyBorder="1" applyAlignment="1" applyProtection="1">
      <alignment horizontal="center"/>
      <protection hidden="1"/>
    </xf>
    <xf numFmtId="174" fontId="139" fillId="8" borderId="179" xfId="21" applyNumberFormat="1" applyFont="1" applyFill="1" applyBorder="1" applyAlignment="1" applyProtection="1">
      <alignment horizontal="center"/>
      <protection hidden="1"/>
    </xf>
    <xf numFmtId="0" fontId="97" fillId="5" borderId="178" xfId="21" applyFont="1" applyFill="1" applyBorder="1" applyAlignment="1" applyProtection="1">
      <alignment horizontal="center" vertical="center"/>
      <protection hidden="1"/>
    </xf>
    <xf numFmtId="0" fontId="97" fillId="5" borderId="179" xfId="21" applyFont="1" applyFill="1" applyBorder="1" applyAlignment="1" applyProtection="1">
      <alignment horizontal="center" vertical="center"/>
      <protection hidden="1"/>
    </xf>
    <xf numFmtId="172" fontId="139" fillId="0" borderId="65" xfId="21" applyNumberFormat="1" applyFont="1" applyBorder="1" applyAlignment="1" applyProtection="1">
      <alignment horizontal="center"/>
      <protection hidden="1"/>
    </xf>
    <xf numFmtId="172" fontId="139" fillId="0" borderId="43" xfId="21" applyNumberFormat="1" applyFont="1" applyBorder="1" applyAlignment="1" applyProtection="1">
      <alignment horizontal="center"/>
      <protection hidden="1"/>
    </xf>
    <xf numFmtId="0" fontId="97" fillId="5" borderId="1" xfId="21" applyFont="1" applyFill="1" applyBorder="1" applyAlignment="1" applyProtection="1">
      <alignment horizontal="center" vertical="center"/>
      <protection hidden="1"/>
    </xf>
    <xf numFmtId="0" fontId="97" fillId="5" borderId="27" xfId="21" applyFont="1" applyFill="1" applyBorder="1" applyAlignment="1" applyProtection="1">
      <alignment horizontal="center" vertical="center" wrapText="1"/>
      <protection hidden="1"/>
    </xf>
    <xf numFmtId="0" fontId="97" fillId="5" borderId="26" xfId="21" applyFont="1" applyFill="1" applyBorder="1" applyAlignment="1" applyProtection="1">
      <alignment horizontal="center" vertical="center" wrapText="1"/>
      <protection hidden="1"/>
    </xf>
    <xf numFmtId="178" fontId="80" fillId="8" borderId="185" xfId="21" applyNumberFormat="1" applyFont="1" applyFill="1" applyBorder="1" applyAlignment="1" applyProtection="1">
      <protection hidden="1"/>
    </xf>
    <xf numFmtId="178" fontId="80" fillId="8" borderId="186" xfId="21" applyNumberFormat="1" applyFont="1" applyFill="1" applyBorder="1" applyAlignment="1" applyProtection="1">
      <protection hidden="1"/>
    </xf>
    <xf numFmtId="49" fontId="80" fillId="20" borderId="181" xfId="21" applyNumberFormat="1" applyFont="1" applyFill="1" applyBorder="1" applyAlignment="1" applyProtection="1">
      <alignment horizontal="right"/>
      <protection hidden="1"/>
    </xf>
    <xf numFmtId="178" fontId="80" fillId="20" borderId="185" xfId="21" applyNumberFormat="1" applyFont="1" applyFill="1" applyBorder="1" applyAlignment="1" applyProtection="1">
      <protection hidden="1"/>
    </xf>
    <xf numFmtId="178" fontId="80" fillId="20" borderId="186" xfId="21" applyNumberFormat="1" applyFont="1" applyFill="1" applyBorder="1" applyAlignment="1" applyProtection="1">
      <protection hidden="1"/>
    </xf>
    <xf numFmtId="49" fontId="80" fillId="8" borderId="178" xfId="21" applyNumberFormat="1" applyFont="1" applyFill="1" applyBorder="1" applyAlignment="1" applyProtection="1">
      <alignment horizontal="right"/>
      <protection hidden="1"/>
    </xf>
    <xf numFmtId="49" fontId="80" fillId="8" borderId="179" xfId="21" applyNumberFormat="1" applyFont="1" applyFill="1" applyBorder="1" applyAlignment="1" applyProtection="1">
      <alignment horizontal="right"/>
      <protection hidden="1"/>
    </xf>
    <xf numFmtId="0" fontId="97" fillId="5" borderId="43" xfId="21" applyFont="1" applyFill="1" applyBorder="1" applyAlignment="1" applyProtection="1">
      <alignment horizontal="center" vertical="center" wrapText="1"/>
      <protection hidden="1"/>
    </xf>
    <xf numFmtId="0" fontId="97" fillId="5" borderId="69" xfId="21" applyFont="1" applyFill="1" applyBorder="1" applyAlignment="1" applyProtection="1">
      <alignment horizontal="center" vertical="center" wrapText="1"/>
      <protection hidden="1"/>
    </xf>
    <xf numFmtId="0" fontId="97" fillId="5" borderId="40" xfId="21" applyNumberFormat="1" applyFont="1" applyFill="1" applyBorder="1" applyAlignment="1" applyProtection="1">
      <alignment horizontal="center" vertical="center" textRotation="45" wrapText="1"/>
      <protection hidden="1"/>
    </xf>
    <xf numFmtId="0" fontId="97" fillId="5" borderId="42" xfId="21" applyNumberFormat="1" applyFont="1" applyFill="1" applyBorder="1" applyAlignment="1" applyProtection="1">
      <alignment horizontal="center" vertical="center" textRotation="45" wrapText="1"/>
      <protection hidden="1"/>
    </xf>
    <xf numFmtId="0" fontId="97" fillId="5" borderId="35" xfId="21" applyNumberFormat="1" applyFont="1" applyFill="1" applyBorder="1" applyAlignment="1" applyProtection="1">
      <alignment horizontal="center" vertical="center" textRotation="45" wrapText="1"/>
      <protection hidden="1"/>
    </xf>
    <xf numFmtId="49" fontId="167" fillId="4" borderId="74" xfId="21" applyNumberFormat="1" applyFont="1" applyFill="1" applyBorder="1" applyAlignment="1" applyProtection="1">
      <alignment horizontal="left" vertical="center"/>
      <protection locked="0"/>
    </xf>
    <xf numFmtId="197" fontId="167" fillId="5" borderId="25" xfId="21" applyNumberFormat="1" applyFont="1" applyFill="1" applyBorder="1" applyAlignment="1" applyProtection="1">
      <alignment horizontal="center"/>
    </xf>
    <xf numFmtId="197" fontId="167" fillId="5" borderId="41" xfId="21" applyNumberFormat="1" applyFont="1" applyFill="1" applyBorder="1" applyAlignment="1" applyProtection="1">
      <alignment horizontal="center"/>
    </xf>
    <xf numFmtId="197" fontId="167" fillId="5" borderId="27" xfId="21" applyNumberFormat="1" applyFont="1" applyFill="1" applyBorder="1" applyAlignment="1" applyProtection="1">
      <alignment horizontal="center"/>
    </xf>
    <xf numFmtId="197" fontId="167" fillId="5" borderId="98" xfId="21" applyNumberFormat="1" applyFont="1" applyFill="1" applyBorder="1" applyAlignment="1" applyProtection="1">
      <alignment horizontal="center"/>
    </xf>
    <xf numFmtId="197" fontId="167" fillId="5" borderId="64" xfId="21" applyNumberFormat="1" applyFont="1" applyFill="1" applyBorder="1" applyAlignment="1" applyProtection="1">
      <alignment horizontal="left" vertical="center"/>
    </xf>
    <xf numFmtId="197" fontId="167" fillId="5" borderId="91" xfId="21" applyNumberFormat="1" applyFont="1" applyFill="1" applyBorder="1" applyAlignment="1" applyProtection="1">
      <alignment horizontal="left" vertical="center"/>
    </xf>
    <xf numFmtId="0" fontId="97" fillId="5" borderId="224" xfId="21" applyFont="1" applyFill="1" applyBorder="1" applyAlignment="1" applyProtection="1">
      <alignment horizontal="center" vertical="center" wrapText="1"/>
      <protection hidden="1"/>
    </xf>
    <xf numFmtId="0" fontId="97" fillId="5" borderId="72" xfId="21" applyFont="1" applyFill="1" applyBorder="1" applyAlignment="1" applyProtection="1">
      <alignment horizontal="center" vertical="center" wrapText="1"/>
      <protection hidden="1"/>
    </xf>
    <xf numFmtId="0" fontId="97" fillId="5" borderId="225" xfId="21" applyFont="1" applyFill="1" applyBorder="1" applyAlignment="1" applyProtection="1">
      <alignment horizontal="center" vertical="center" wrapText="1"/>
      <protection hidden="1"/>
    </xf>
    <xf numFmtId="0" fontId="97" fillId="5" borderId="12" xfId="21" applyFont="1" applyFill="1" applyBorder="1" applyAlignment="1" applyProtection="1">
      <alignment horizontal="center" vertical="center" wrapText="1"/>
      <protection hidden="1"/>
    </xf>
    <xf numFmtId="0" fontId="97" fillId="5" borderId="98" xfId="21" applyFont="1" applyFill="1" applyBorder="1" applyAlignment="1" applyProtection="1">
      <alignment horizontal="center" vertical="center" wrapText="1"/>
      <protection hidden="1"/>
    </xf>
    <xf numFmtId="0" fontId="97" fillId="5" borderId="88" xfId="21" applyFont="1" applyFill="1" applyBorder="1" applyAlignment="1" applyProtection="1">
      <alignment horizontal="center" vertical="center" wrapText="1"/>
      <protection hidden="1"/>
    </xf>
    <xf numFmtId="0" fontId="97" fillId="5" borderId="41" xfId="21" applyFont="1" applyFill="1" applyBorder="1" applyAlignment="1" applyProtection="1">
      <alignment horizontal="center" vertical="center" wrapText="1"/>
      <protection hidden="1"/>
    </xf>
    <xf numFmtId="0" fontId="97" fillId="5" borderId="62" xfId="21" applyFont="1" applyFill="1" applyBorder="1" applyAlignment="1" applyProtection="1">
      <alignment horizontal="center" vertical="center" wrapText="1"/>
      <protection hidden="1"/>
    </xf>
    <xf numFmtId="199" fontId="167" fillId="5" borderId="27" xfId="21" applyNumberFormat="1" applyFont="1" applyFill="1" applyBorder="1" applyAlignment="1" applyProtection="1">
      <alignment horizontal="left"/>
    </xf>
    <xf numFmtId="199" fontId="167" fillId="5" borderId="98" xfId="21" applyNumberFormat="1" applyFont="1" applyFill="1" applyBorder="1" applyAlignment="1" applyProtection="1">
      <alignment horizontal="left"/>
    </xf>
    <xf numFmtId="201" fontId="167" fillId="0" borderId="43" xfId="21" applyNumberFormat="1" applyFont="1" applyBorder="1" applyAlignment="1" applyProtection="1">
      <alignment horizontal="left"/>
      <protection hidden="1"/>
    </xf>
    <xf numFmtId="201" fontId="167" fillId="0" borderId="27" xfId="21" applyNumberFormat="1" applyFont="1" applyBorder="1" applyAlignment="1" applyProtection="1">
      <alignment horizontal="left"/>
      <protection hidden="1"/>
    </xf>
    <xf numFmtId="2" fontId="167" fillId="0" borderId="43" xfId="21" applyNumberFormat="1" applyFont="1" applyBorder="1" applyAlignment="1" applyProtection="1">
      <alignment horizontal="left"/>
      <protection hidden="1"/>
    </xf>
    <xf numFmtId="2" fontId="167" fillId="0" borderId="27" xfId="21" applyNumberFormat="1" applyFont="1" applyBorder="1" applyAlignment="1" applyProtection="1">
      <alignment horizontal="left"/>
      <protection hidden="1"/>
    </xf>
    <xf numFmtId="199" fontId="167" fillId="5" borderId="25" xfId="21" applyNumberFormat="1" applyFont="1" applyFill="1" applyBorder="1" applyAlignment="1" applyProtection="1">
      <alignment horizontal="left"/>
    </xf>
    <xf numFmtId="199" fontId="167" fillId="5" borderId="41" xfId="21" applyNumberFormat="1" applyFont="1" applyFill="1" applyBorder="1" applyAlignment="1" applyProtection="1">
      <alignment horizontal="left"/>
    </xf>
    <xf numFmtId="201" fontId="167" fillId="0" borderId="62" xfId="21" applyNumberFormat="1" applyFont="1" applyBorder="1" applyAlignment="1" applyProtection="1">
      <alignment horizontal="left"/>
      <protection hidden="1"/>
    </xf>
    <xf numFmtId="201" fontId="167" fillId="0" borderId="25" xfId="21" applyNumberFormat="1" applyFont="1" applyBorder="1" applyAlignment="1" applyProtection="1">
      <alignment horizontal="left"/>
      <protection hidden="1"/>
    </xf>
    <xf numFmtId="192" fontId="167" fillId="0" borderId="62" xfId="21" applyNumberFormat="1" applyFont="1" applyBorder="1" applyAlignment="1" applyProtection="1">
      <alignment horizontal="left"/>
      <protection hidden="1"/>
    </xf>
    <xf numFmtId="192" fontId="167" fillId="0" borderId="25" xfId="21" applyNumberFormat="1" applyFont="1" applyBorder="1" applyAlignment="1" applyProtection="1">
      <alignment horizontal="left"/>
      <protection hidden="1"/>
    </xf>
    <xf numFmtId="0" fontId="97" fillId="5" borderId="9" xfId="21" applyFont="1" applyFill="1" applyBorder="1" applyAlignment="1" applyProtection="1">
      <alignment horizontal="center"/>
      <protection hidden="1"/>
    </xf>
    <xf numFmtId="0" fontId="209" fillId="0" borderId="11" xfId="21" applyFont="1" applyBorder="1" applyAlignment="1" applyProtection="1">
      <alignment horizontal="left" vertical="top" wrapText="1"/>
      <protection hidden="1"/>
    </xf>
    <xf numFmtId="0" fontId="209" fillId="0" borderId="8" xfId="21" applyFont="1" applyBorder="1" applyAlignment="1" applyProtection="1">
      <alignment horizontal="left" vertical="top" wrapText="1"/>
      <protection hidden="1"/>
    </xf>
    <xf numFmtId="0" fontId="209" fillId="0" borderId="182" xfId="21" applyFont="1" applyBorder="1" applyAlignment="1" applyProtection="1">
      <alignment horizontal="left" vertical="top" wrapText="1"/>
      <protection hidden="1"/>
    </xf>
    <xf numFmtId="0" fontId="97" fillId="0" borderId="9" xfId="21" applyFont="1" applyBorder="1" applyAlignment="1" applyProtection="1">
      <protection hidden="1"/>
    </xf>
    <xf numFmtId="0" fontId="97" fillId="5" borderId="9" xfId="21" applyFont="1" applyFill="1" applyBorder="1" applyAlignment="1" applyProtection="1">
      <alignment horizontal="center" shrinkToFit="1"/>
      <protection hidden="1"/>
    </xf>
    <xf numFmtId="0" fontId="274" fillId="0" borderId="284" xfId="21" applyFont="1" applyBorder="1" applyAlignment="1" applyProtection="1">
      <alignment horizontal="center" vertical="top"/>
      <protection hidden="1"/>
    </xf>
    <xf numFmtId="0" fontId="274" fillId="0" borderId="280" xfId="21" applyFont="1" applyBorder="1" applyAlignment="1" applyProtection="1">
      <alignment horizontal="center" vertical="top"/>
      <protection hidden="1"/>
    </xf>
    <xf numFmtId="0" fontId="274" fillId="0" borderId="0" xfId="21" applyFont="1" applyBorder="1" applyAlignment="1" applyProtection="1">
      <alignment horizontal="center" vertical="top"/>
      <protection hidden="1"/>
    </xf>
    <xf numFmtId="0" fontId="274" fillId="0" borderId="31" xfId="21" applyFont="1" applyBorder="1" applyAlignment="1" applyProtection="1">
      <alignment horizontal="center" vertical="top"/>
      <protection hidden="1"/>
    </xf>
    <xf numFmtId="0" fontId="274" fillId="0" borderId="9" xfId="21" applyFont="1" applyBorder="1" applyAlignment="1" applyProtection="1">
      <alignment horizontal="center" vertical="top"/>
      <protection hidden="1"/>
    </xf>
    <xf numFmtId="0" fontId="274" fillId="0" borderId="33" xfId="21" applyFont="1" applyBorder="1" applyAlignment="1" applyProtection="1">
      <alignment horizontal="center" vertical="top"/>
      <protection hidden="1"/>
    </xf>
    <xf numFmtId="0" fontId="97" fillId="5" borderId="65" xfId="21" applyNumberFormat="1" applyFont="1" applyFill="1" applyBorder="1" applyAlignment="1" applyProtection="1">
      <alignment horizontal="left"/>
    </xf>
    <xf numFmtId="0" fontId="97" fillId="5" borderId="44" xfId="21" applyNumberFormat="1" applyFont="1" applyFill="1" applyBorder="1" applyAlignment="1" applyProtection="1">
      <alignment horizontal="left"/>
    </xf>
    <xf numFmtId="0" fontId="273" fillId="4" borderId="44" xfId="21" applyFont="1" applyFill="1" applyBorder="1" applyAlignment="1" applyProtection="1">
      <alignment horizontal="left"/>
      <protection locked="0"/>
    </xf>
    <xf numFmtId="0" fontId="273" fillId="4" borderId="44" xfId="21" applyNumberFormat="1" applyFont="1" applyFill="1" applyBorder="1" applyAlignment="1" applyProtection="1">
      <alignment horizontal="left"/>
      <protection locked="0"/>
    </xf>
    <xf numFmtId="0" fontId="273" fillId="4" borderId="43" xfId="21" applyNumberFormat="1" applyFont="1" applyFill="1" applyBorder="1" applyAlignment="1" applyProtection="1">
      <alignment horizontal="left"/>
      <protection locked="0"/>
    </xf>
    <xf numFmtId="0" fontId="97" fillId="5" borderId="39" xfId="21" applyNumberFormat="1" applyFont="1" applyFill="1" applyBorder="1" applyAlignment="1" applyProtection="1">
      <alignment horizontal="left"/>
    </xf>
    <xf numFmtId="0" fontId="97" fillId="5" borderId="66" xfId="21" applyNumberFormat="1" applyFont="1" applyFill="1" applyBorder="1" applyAlignment="1" applyProtection="1">
      <alignment horizontal="left"/>
    </xf>
    <xf numFmtId="0" fontId="273" fillId="4" borderId="66" xfId="21" applyFont="1" applyFill="1" applyBorder="1" applyAlignment="1" applyProtection="1">
      <alignment horizontal="left"/>
      <protection locked="0"/>
    </xf>
    <xf numFmtId="0" fontId="273" fillId="4" borderId="66" xfId="21" applyNumberFormat="1" applyFont="1" applyFill="1" applyBorder="1" applyAlignment="1" applyProtection="1">
      <alignment horizontal="left"/>
      <protection locked="0"/>
    </xf>
    <xf numFmtId="0" fontId="273" fillId="4" borderId="62" xfId="21" applyNumberFormat="1" applyFont="1" applyFill="1" applyBorder="1" applyAlignment="1" applyProtection="1">
      <alignment horizontal="left"/>
      <protection locked="0"/>
    </xf>
    <xf numFmtId="172" fontId="139" fillId="0" borderId="27" xfId="21" applyNumberFormat="1" applyFont="1" applyBorder="1" applyAlignment="1" applyProtection="1">
      <alignment horizontal="center"/>
      <protection hidden="1"/>
    </xf>
    <xf numFmtId="178" fontId="139" fillId="0" borderId="27" xfId="21" applyNumberFormat="1" applyFont="1" applyBorder="1" applyAlignment="1" applyProtection="1">
      <alignment horizontal="center"/>
      <protection hidden="1"/>
    </xf>
    <xf numFmtId="0" fontId="80" fillId="0" borderId="1" xfId="21" applyFont="1" applyFill="1" applyBorder="1" applyAlignment="1" applyProtection="1">
      <alignment horizontal="left" vertical="center"/>
      <protection hidden="1"/>
    </xf>
    <xf numFmtId="0" fontId="80" fillId="0" borderId="181" xfId="21" applyFont="1" applyFill="1" applyBorder="1" applyAlignment="1" applyProtection="1">
      <alignment horizontal="left" vertical="center"/>
      <protection hidden="1"/>
    </xf>
    <xf numFmtId="172" fontId="139" fillId="0" borderId="26" xfId="21" applyNumberFormat="1" applyFont="1" applyBorder="1" applyAlignment="1" applyProtection="1">
      <alignment horizontal="center"/>
      <protection hidden="1"/>
    </xf>
    <xf numFmtId="178" fontId="139" fillId="0" borderId="26" xfId="21" applyNumberFormat="1" applyFont="1" applyBorder="1" applyAlignment="1" applyProtection="1">
      <alignment horizontal="center"/>
      <protection hidden="1"/>
    </xf>
    <xf numFmtId="172" fontId="80" fillId="0" borderId="25" xfId="21" applyNumberFormat="1" applyFont="1" applyBorder="1" applyAlignment="1" applyProtection="1">
      <alignment horizontal="center"/>
      <protection hidden="1"/>
    </xf>
    <xf numFmtId="178" fontId="80" fillId="0" borderId="25" xfId="21" applyNumberFormat="1" applyFont="1" applyBorder="1" applyAlignment="1" applyProtection="1">
      <alignment horizontal="center"/>
      <protection hidden="1"/>
    </xf>
    <xf numFmtId="176" fontId="139" fillId="0" borderId="65" xfId="21" applyNumberFormat="1" applyFont="1" applyBorder="1" applyAlignment="1" applyProtection="1">
      <alignment horizontal="center"/>
      <protection hidden="1"/>
    </xf>
    <xf numFmtId="176" fontId="139" fillId="0" borderId="43" xfId="21" applyNumberFormat="1" applyFont="1" applyBorder="1" applyAlignment="1" applyProtection="1">
      <alignment horizontal="center"/>
      <protection hidden="1"/>
    </xf>
    <xf numFmtId="176" fontId="139" fillId="0" borderId="68" xfId="21" applyNumberFormat="1" applyFont="1" applyBorder="1" applyAlignment="1" applyProtection="1">
      <alignment horizontal="center"/>
      <protection hidden="1"/>
    </xf>
    <xf numFmtId="176" fontId="139" fillId="0" borderId="69" xfId="21" applyNumberFormat="1" applyFont="1" applyBorder="1" applyAlignment="1" applyProtection="1">
      <alignment horizontal="center"/>
      <protection hidden="1"/>
    </xf>
    <xf numFmtId="0" fontId="80" fillId="20" borderId="178" xfId="21" applyNumberFormat="1" applyFont="1" applyFill="1" applyBorder="1" applyAlignment="1" applyProtection="1">
      <alignment horizontal="center"/>
      <protection hidden="1"/>
    </xf>
    <xf numFmtId="0" fontId="80" fillId="20" borderId="29" xfId="21" applyNumberFormat="1" applyFont="1" applyFill="1" applyBorder="1" applyAlignment="1" applyProtection="1">
      <alignment horizontal="center"/>
      <protection hidden="1"/>
    </xf>
    <xf numFmtId="0" fontId="80" fillId="20" borderId="179" xfId="21" applyNumberFormat="1" applyFont="1" applyFill="1" applyBorder="1" applyAlignment="1" applyProtection="1">
      <alignment horizontal="center"/>
      <protection hidden="1"/>
    </xf>
    <xf numFmtId="174" fontId="80" fillId="20" borderId="178" xfId="21" applyNumberFormat="1" applyFont="1" applyFill="1" applyBorder="1" applyAlignment="1" applyProtection="1">
      <alignment horizontal="center"/>
      <protection hidden="1"/>
    </xf>
    <xf numFmtId="174" fontId="80" fillId="20" borderId="179" xfId="21" applyNumberFormat="1" applyFont="1" applyFill="1" applyBorder="1" applyAlignment="1" applyProtection="1">
      <alignment horizontal="center"/>
      <protection hidden="1"/>
    </xf>
    <xf numFmtId="49" fontId="80" fillId="8" borderId="181" xfId="21" applyNumberFormat="1" applyFont="1" applyFill="1" applyBorder="1" applyAlignment="1" applyProtection="1">
      <alignment horizontal="right"/>
      <protection hidden="1"/>
    </xf>
    <xf numFmtId="197" fontId="97" fillId="0" borderId="0" xfId="21" applyNumberFormat="1" applyFont="1" applyBorder="1" applyAlignment="1" applyProtection="1">
      <alignment horizontal="right" shrinkToFit="1"/>
    </xf>
    <xf numFmtId="15" fontId="80" fillId="0" borderId="0" xfId="21" applyNumberFormat="1" applyFont="1" applyBorder="1" applyAlignment="1" applyProtection="1">
      <alignment horizontal="left"/>
      <protection hidden="1"/>
    </xf>
    <xf numFmtId="199" fontId="167" fillId="5" borderId="65" xfId="21" applyNumberFormat="1" applyFont="1" applyFill="1" applyBorder="1" applyAlignment="1" applyProtection="1">
      <alignment horizontal="left" vertical="center"/>
    </xf>
    <xf numFmtId="199" fontId="167" fillId="5" borderId="60" xfId="21" applyNumberFormat="1" applyFont="1" applyFill="1" applyBorder="1" applyAlignment="1" applyProtection="1">
      <alignment horizontal="left" vertical="center"/>
    </xf>
    <xf numFmtId="201" fontId="167" fillId="0" borderId="43" xfId="21" applyNumberFormat="1" applyFont="1" applyBorder="1" applyAlignment="1" applyProtection="1">
      <alignment horizontal="left" vertical="center"/>
      <protection hidden="1"/>
    </xf>
    <xf numFmtId="201" fontId="167" fillId="0" borderId="27" xfId="21" applyNumberFormat="1" applyFont="1" applyBorder="1" applyAlignment="1" applyProtection="1">
      <alignment horizontal="left" vertical="center"/>
      <protection hidden="1"/>
    </xf>
    <xf numFmtId="199" fontId="167" fillId="5" borderId="39" xfId="21" applyNumberFormat="1" applyFont="1" applyFill="1" applyBorder="1" applyAlignment="1" applyProtection="1">
      <alignment horizontal="left" vertical="center"/>
    </xf>
    <xf numFmtId="199" fontId="167" fillId="5" borderId="37" xfId="21" applyNumberFormat="1" applyFont="1" applyFill="1" applyBorder="1" applyAlignment="1" applyProtection="1">
      <alignment horizontal="left" vertical="center"/>
    </xf>
    <xf numFmtId="201" fontId="167" fillId="0" borderId="62" xfId="21" applyNumberFormat="1" applyFont="1" applyBorder="1" applyAlignment="1" applyProtection="1">
      <alignment horizontal="left" vertical="center"/>
      <protection hidden="1"/>
    </xf>
    <xf numFmtId="201" fontId="167" fillId="0" borderId="25" xfId="21" applyNumberFormat="1" applyFont="1" applyBorder="1" applyAlignment="1" applyProtection="1">
      <alignment horizontal="left" vertical="center"/>
      <protection hidden="1"/>
    </xf>
    <xf numFmtId="2" fontId="167" fillId="0" borderId="44" xfId="21" applyNumberFormat="1" applyFont="1" applyBorder="1" applyAlignment="1" applyProtection="1">
      <alignment horizontal="left" vertical="center"/>
      <protection hidden="1"/>
    </xf>
    <xf numFmtId="2" fontId="167" fillId="0" borderId="43" xfId="21" applyNumberFormat="1" applyFont="1" applyBorder="1" applyAlignment="1" applyProtection="1">
      <alignment horizontal="left" vertical="center"/>
      <protection hidden="1"/>
    </xf>
    <xf numFmtId="192" fontId="167" fillId="0" borderId="66" xfId="21" applyNumberFormat="1" applyFont="1" applyBorder="1" applyAlignment="1" applyProtection="1">
      <alignment horizontal="left" vertical="center"/>
      <protection hidden="1"/>
    </xf>
    <xf numFmtId="192" fontId="167" fillId="0" borderId="62" xfId="21" applyNumberFormat="1" applyFont="1" applyBorder="1" applyAlignment="1" applyProtection="1">
      <alignment horizontal="left" vertical="center"/>
      <protection hidden="1"/>
    </xf>
    <xf numFmtId="197" fontId="167" fillId="5" borderId="65" xfId="21" applyNumberFormat="1" applyFont="1" applyFill="1" applyBorder="1" applyAlignment="1" applyProtection="1">
      <alignment horizontal="left" vertical="center"/>
    </xf>
    <xf numFmtId="197" fontId="167" fillId="5" borderId="44" xfId="21" applyNumberFormat="1" applyFont="1" applyFill="1" applyBorder="1" applyAlignment="1" applyProtection="1">
      <alignment horizontal="left" vertical="center"/>
    </xf>
    <xf numFmtId="197" fontId="167" fillId="5" borderId="60" xfId="21" applyNumberFormat="1" applyFont="1" applyFill="1" applyBorder="1" applyAlignment="1" applyProtection="1">
      <alignment horizontal="left" vertical="center"/>
    </xf>
    <xf numFmtId="197" fontId="167" fillId="5" borderId="39" xfId="21" applyNumberFormat="1" applyFont="1" applyFill="1" applyBorder="1" applyAlignment="1" applyProtection="1">
      <alignment horizontal="left" vertical="center"/>
    </xf>
    <xf numFmtId="197" fontId="167" fillId="5" borderId="66" xfId="21" applyNumberFormat="1" applyFont="1" applyFill="1" applyBorder="1" applyAlignment="1" applyProtection="1">
      <alignment horizontal="left" vertical="center"/>
    </xf>
    <xf numFmtId="197" fontId="167" fillId="5" borderId="37" xfId="21" applyNumberFormat="1" applyFont="1" applyFill="1" applyBorder="1" applyAlignment="1" applyProtection="1">
      <alignment horizontal="left" vertical="center"/>
    </xf>
    <xf numFmtId="0" fontId="97" fillId="0" borderId="0" xfId="21" applyNumberFormat="1" applyFont="1" applyFill="1" applyBorder="1" applyAlignment="1" applyProtection="1">
      <alignment horizontal="left" shrinkToFit="1"/>
      <protection hidden="1"/>
    </xf>
    <xf numFmtId="15" fontId="97" fillId="4" borderId="0" xfId="21" applyNumberFormat="1" applyFont="1" applyFill="1" applyBorder="1" applyAlignment="1" applyProtection="1">
      <alignment horizontal="left" shrinkToFit="1"/>
      <protection locked="0"/>
    </xf>
    <xf numFmtId="0" fontId="80" fillId="0" borderId="0" xfId="21" applyFont="1" applyFill="1" applyBorder="1" applyAlignment="1" applyProtection="1">
      <alignment horizontal="left" shrinkToFit="1"/>
      <protection hidden="1"/>
    </xf>
    <xf numFmtId="0" fontId="97" fillId="0" borderId="0" xfId="21" applyFont="1" applyFill="1" applyBorder="1" applyAlignment="1" applyProtection="1">
      <alignment horizontal="left" vertical="top" wrapText="1"/>
      <protection hidden="1"/>
    </xf>
    <xf numFmtId="0" fontId="275" fillId="31" borderId="0" xfId="21" applyFont="1" applyFill="1" applyBorder="1" applyAlignment="1" applyProtection="1">
      <alignment horizontal="center" vertical="center"/>
      <protection hidden="1"/>
    </xf>
    <xf numFmtId="0" fontId="267" fillId="0" borderId="0" xfId="21" applyFont="1" applyBorder="1" applyAlignment="1" applyProtection="1">
      <alignment horizontal="center"/>
      <protection hidden="1"/>
    </xf>
    <xf numFmtId="197" fontId="97" fillId="0" borderId="0" xfId="21" applyNumberFormat="1" applyFont="1" applyBorder="1" applyAlignment="1" applyProtection="1">
      <alignment horizontal="left" shrinkToFit="1"/>
    </xf>
    <xf numFmtId="0" fontId="80" fillId="0" borderId="0" xfId="21" quotePrefix="1" applyFont="1" applyBorder="1" applyAlignment="1" applyProtection="1">
      <alignment horizontal="left" shrinkToFit="1"/>
      <protection hidden="1"/>
    </xf>
    <xf numFmtId="0" fontId="80" fillId="0" borderId="0" xfId="21" applyFont="1" applyBorder="1" applyAlignment="1" applyProtection="1">
      <alignment horizontal="left" shrinkToFit="1"/>
      <protection hidden="1"/>
    </xf>
    <xf numFmtId="49" fontId="97" fillId="4" borderId="0" xfId="21" applyNumberFormat="1" applyFont="1" applyFill="1" applyBorder="1" applyAlignment="1" applyProtection="1">
      <alignment shrinkToFit="1"/>
      <protection locked="0"/>
    </xf>
    <xf numFmtId="0" fontId="80" fillId="0" borderId="0" xfId="21" applyNumberFormat="1" applyFont="1" applyBorder="1" applyAlignment="1" applyProtection="1">
      <alignment horizontal="left"/>
      <protection hidden="1"/>
    </xf>
    <xf numFmtId="0" fontId="97" fillId="0" borderId="7" xfId="21" applyNumberFormat="1" applyFont="1" applyFill="1" applyBorder="1" applyAlignment="1" applyProtection="1"/>
    <xf numFmtId="0" fontId="97" fillId="0" borderId="0" xfId="21" applyNumberFormat="1" applyFont="1" applyFill="1" applyBorder="1" applyAlignment="1" applyProtection="1"/>
    <xf numFmtId="0" fontId="97" fillId="0" borderId="32" xfId="21" applyNumberFormat="1" applyFont="1" applyFill="1" applyBorder="1" applyAlignment="1" applyProtection="1">
      <alignment horizontal="left" shrinkToFit="1"/>
    </xf>
    <xf numFmtId="0" fontId="97" fillId="0" borderId="9" xfId="21" applyNumberFormat="1" applyFont="1" applyFill="1" applyBorder="1" applyAlignment="1" applyProtection="1">
      <alignment horizontal="left" shrinkToFit="1"/>
    </xf>
    <xf numFmtId="0" fontId="97" fillId="0" borderId="7" xfId="21" applyNumberFormat="1" applyFont="1" applyFill="1" applyBorder="1" applyAlignment="1" applyProtection="1">
      <alignment horizontal="left"/>
    </xf>
    <xf numFmtId="0" fontId="97" fillId="0" borderId="0" xfId="21" applyNumberFormat="1" applyFont="1" applyFill="1" applyBorder="1" applyAlignment="1" applyProtection="1">
      <alignment horizontal="left"/>
    </xf>
    <xf numFmtId="0" fontId="97" fillId="0" borderId="187" xfId="21" applyNumberFormat="1" applyFont="1" applyFill="1" applyBorder="1" applyAlignment="1" applyProtection="1">
      <alignment horizontal="left"/>
    </xf>
    <xf numFmtId="0" fontId="97" fillId="0" borderId="188" xfId="21" applyNumberFormat="1" applyFont="1" applyFill="1" applyBorder="1" applyAlignment="1" applyProtection="1">
      <alignment horizontal="left"/>
    </xf>
    <xf numFmtId="0" fontId="97" fillId="4" borderId="0" xfId="21" applyNumberFormat="1" applyFont="1" applyFill="1" applyBorder="1" applyAlignment="1" applyProtection="1">
      <alignment horizontal="left" shrinkToFit="1"/>
      <protection locked="0"/>
    </xf>
    <xf numFmtId="197" fontId="167" fillId="5" borderId="63" xfId="21" applyNumberFormat="1" applyFont="1" applyFill="1" applyBorder="1" applyAlignment="1" applyProtection="1">
      <alignment horizontal="left" vertical="center"/>
    </xf>
    <xf numFmtId="178" fontId="139" fillId="8" borderId="185" xfId="21" applyNumberFormat="1" applyFont="1" applyFill="1" applyBorder="1" applyAlignment="1" applyProtection="1">
      <alignment horizontal="right"/>
      <protection hidden="1"/>
    </xf>
    <xf numFmtId="178" fontId="139" fillId="8" borderId="186" xfId="21" applyNumberFormat="1" applyFont="1" applyFill="1" applyBorder="1" applyAlignment="1" applyProtection="1">
      <alignment horizontal="right"/>
      <protection hidden="1"/>
    </xf>
    <xf numFmtId="199" fontId="167" fillId="5" borderId="65" xfId="21" applyNumberFormat="1" applyFont="1" applyFill="1" applyBorder="1" applyAlignment="1" applyProtection="1">
      <alignment horizontal="left"/>
    </xf>
    <xf numFmtId="199" fontId="167" fillId="5" borderId="60" xfId="21" applyNumberFormat="1" applyFont="1" applyFill="1" applyBorder="1" applyAlignment="1" applyProtection="1">
      <alignment horizontal="left"/>
    </xf>
    <xf numFmtId="197" fontId="167" fillId="5" borderId="65" xfId="21" applyNumberFormat="1" applyFont="1" applyFill="1" applyBorder="1" applyAlignment="1" applyProtection="1">
      <alignment horizontal="center"/>
    </xf>
    <xf numFmtId="197" fontId="167" fillId="5" borderId="60" xfId="21" applyNumberFormat="1" applyFont="1" applyFill="1" applyBorder="1" applyAlignment="1" applyProtection="1">
      <alignment horizontal="center"/>
    </xf>
    <xf numFmtId="197" fontId="167" fillId="5" borderId="63" xfId="21" applyNumberFormat="1" applyFont="1" applyFill="1" applyBorder="1" applyAlignment="1" applyProtection="1">
      <alignment horizontal="center" vertical="center"/>
    </xf>
    <xf numFmtId="199" fontId="167" fillId="5" borderId="39" xfId="21" applyNumberFormat="1" applyFont="1" applyFill="1" applyBorder="1" applyAlignment="1" applyProtection="1">
      <alignment horizontal="left"/>
    </xf>
    <xf numFmtId="199" fontId="167" fillId="5" borderId="37" xfId="21" applyNumberFormat="1" applyFont="1" applyFill="1" applyBorder="1" applyAlignment="1" applyProtection="1">
      <alignment horizontal="left"/>
    </xf>
    <xf numFmtId="197" fontId="167" fillId="5" borderId="39" xfId="21" applyNumberFormat="1" applyFont="1" applyFill="1" applyBorder="1" applyAlignment="1" applyProtection="1">
      <alignment horizontal="center"/>
    </xf>
    <xf numFmtId="197" fontId="167" fillId="5" borderId="37" xfId="21" applyNumberFormat="1" applyFont="1" applyFill="1" applyBorder="1" applyAlignment="1" applyProtection="1">
      <alignment horizontal="center"/>
    </xf>
    <xf numFmtId="0" fontId="80" fillId="0" borderId="0" xfId="21" applyFont="1" applyBorder="1" applyAlignment="1" applyProtection="1">
      <alignment shrinkToFit="1"/>
      <protection hidden="1"/>
    </xf>
    <xf numFmtId="0" fontId="97" fillId="5" borderId="185" xfId="21" applyFont="1" applyFill="1" applyBorder="1" applyAlignment="1" applyProtection="1">
      <alignment vertical="center" shrinkToFit="1"/>
    </xf>
    <xf numFmtId="0" fontId="97" fillId="5" borderId="29" xfId="21" applyFont="1" applyFill="1" applyBorder="1" applyAlignment="1" applyProtection="1">
      <alignment vertical="center" shrinkToFit="1"/>
    </xf>
    <xf numFmtId="0" fontId="97" fillId="5" borderId="46" xfId="21" applyFont="1" applyFill="1" applyBorder="1" applyAlignment="1" applyProtection="1">
      <alignment vertical="center" shrinkToFit="1"/>
    </xf>
    <xf numFmtId="0" fontId="97" fillId="5" borderId="185" xfId="21" quotePrefix="1" applyFont="1" applyFill="1" applyBorder="1" applyAlignment="1" applyProtection="1">
      <alignment vertical="center" shrinkToFit="1"/>
    </xf>
    <xf numFmtId="0" fontId="97" fillId="5" borderId="29" xfId="21" quotePrefix="1" applyFont="1" applyFill="1" applyBorder="1" applyAlignment="1" applyProtection="1">
      <alignment vertical="center" shrinkToFit="1"/>
    </xf>
    <xf numFmtId="0" fontId="97" fillId="5" borderId="46" xfId="21" quotePrefix="1" applyFont="1" applyFill="1" applyBorder="1" applyAlignment="1" applyProtection="1">
      <alignment vertical="center" shrinkToFit="1"/>
    </xf>
    <xf numFmtId="0" fontId="97" fillId="4" borderId="165" xfId="21" applyFont="1" applyFill="1" applyBorder="1" applyAlignment="1" applyProtection="1">
      <alignment horizontal="center" vertical="center" shrinkToFit="1"/>
      <protection locked="0"/>
    </xf>
    <xf numFmtId="0" fontId="97" fillId="4" borderId="186" xfId="21" applyFont="1" applyFill="1" applyBorder="1" applyAlignment="1" applyProtection="1">
      <alignment horizontal="center" vertical="center" shrinkToFit="1"/>
      <protection locked="0"/>
    </xf>
    <xf numFmtId="0" fontId="97" fillId="0" borderId="31" xfId="21" applyNumberFormat="1" applyFont="1" applyFill="1" applyBorder="1" applyAlignment="1" applyProtection="1">
      <alignment horizontal="left" shrinkToFit="1"/>
      <protection hidden="1"/>
    </xf>
    <xf numFmtId="0" fontId="97" fillId="0" borderId="29" xfId="21" applyNumberFormat="1" applyFont="1" applyFill="1" applyBorder="1" applyAlignment="1" applyProtection="1">
      <alignment shrinkToFit="1"/>
      <protection hidden="1"/>
    </xf>
    <xf numFmtId="0" fontId="97" fillId="0" borderId="9" xfId="21" applyNumberFormat="1" applyFont="1" applyFill="1" applyBorder="1" applyAlignment="1" applyProtection="1">
      <alignment horizontal="left" shrinkToFit="1"/>
      <protection hidden="1"/>
    </xf>
    <xf numFmtId="0" fontId="97" fillId="0" borderId="33" xfId="21" applyNumberFormat="1" applyFont="1" applyFill="1" applyBorder="1" applyAlignment="1" applyProtection="1">
      <alignment horizontal="left" shrinkToFit="1"/>
      <protection hidden="1"/>
    </xf>
    <xf numFmtId="15" fontId="97" fillId="4" borderId="29" xfId="21" applyNumberFormat="1" applyFont="1" applyFill="1" applyBorder="1" applyAlignment="1" applyProtection="1">
      <alignment horizontal="center" shrinkToFit="1"/>
      <protection hidden="1"/>
    </xf>
    <xf numFmtId="15" fontId="97" fillId="4" borderId="46" xfId="21" applyNumberFormat="1" applyFont="1" applyFill="1" applyBorder="1" applyAlignment="1" applyProtection="1">
      <alignment horizontal="center" shrinkToFit="1"/>
      <protection hidden="1"/>
    </xf>
    <xf numFmtId="20" fontId="97" fillId="4" borderId="165" xfId="21" applyNumberFormat="1" applyFont="1" applyFill="1" applyBorder="1" applyAlignment="1" applyProtection="1">
      <alignment horizontal="center" shrinkToFit="1"/>
      <protection hidden="1"/>
    </xf>
    <xf numFmtId="15" fontId="97" fillId="4" borderId="283" xfId="21" applyNumberFormat="1" applyFont="1" applyFill="1" applyBorder="1" applyAlignment="1" applyProtection="1">
      <alignment horizontal="center"/>
      <protection hidden="1"/>
    </xf>
    <xf numFmtId="15" fontId="97" fillId="4" borderId="46" xfId="21" applyNumberFormat="1" applyFont="1" applyFill="1" applyBorder="1" applyAlignment="1" applyProtection="1">
      <alignment horizontal="center"/>
      <protection hidden="1"/>
    </xf>
    <xf numFmtId="0" fontId="97" fillId="0" borderId="32" xfId="21" applyNumberFormat="1" applyFont="1" applyFill="1" applyBorder="1" applyAlignment="1" applyProtection="1">
      <alignment horizontal="left"/>
    </xf>
    <xf numFmtId="0" fontId="97" fillId="0" borderId="9" xfId="21" applyNumberFormat="1" applyFont="1" applyFill="1" applyBorder="1" applyAlignment="1" applyProtection="1">
      <alignment horizontal="left"/>
    </xf>
    <xf numFmtId="0" fontId="97" fillId="5" borderId="165" xfId="21" applyFont="1" applyFill="1" applyBorder="1" applyAlignment="1" applyProtection="1">
      <alignment horizontal="center" vertical="center" wrapText="1"/>
    </xf>
    <xf numFmtId="0" fontId="97" fillId="5" borderId="186" xfId="21" applyFont="1" applyFill="1" applyBorder="1" applyAlignment="1" applyProtection="1">
      <alignment horizontal="center" vertical="center" wrapText="1"/>
    </xf>
    <xf numFmtId="0" fontId="97" fillId="5" borderId="185" xfId="21" applyFont="1" applyFill="1" applyBorder="1" applyAlignment="1" applyProtection="1">
      <alignment horizontal="center" vertical="center" wrapText="1"/>
    </xf>
    <xf numFmtId="0" fontId="97" fillId="0" borderId="29" xfId="21" applyNumberFormat="1" applyFont="1" applyFill="1" applyBorder="1" applyAlignment="1" applyProtection="1">
      <alignment horizontal="left" shrinkToFit="1"/>
      <protection hidden="1"/>
    </xf>
    <xf numFmtId="0" fontId="274" fillId="0" borderId="280" xfId="21" applyFont="1" applyBorder="1" applyAlignment="1" applyProtection="1">
      <alignment horizontal="center" vertical="top"/>
    </xf>
    <xf numFmtId="0" fontId="274" fillId="0" borderId="31" xfId="21" applyFont="1" applyBorder="1" applyAlignment="1" applyProtection="1">
      <alignment horizontal="center" vertical="top"/>
    </xf>
    <xf numFmtId="0" fontId="274" fillId="0" borderId="33" xfId="21" applyFont="1" applyBorder="1" applyAlignment="1" applyProtection="1">
      <alignment horizontal="center" vertical="top"/>
    </xf>
    <xf numFmtId="0" fontId="79" fillId="4" borderId="282" xfId="21" applyNumberFormat="1" applyFont="1" applyFill="1" applyBorder="1" applyAlignment="1" applyProtection="1">
      <alignment horizontal="center" vertical="center"/>
      <protection locked="0"/>
    </xf>
    <xf numFmtId="0" fontId="79" fillId="4" borderId="281" xfId="21" applyNumberFormat="1" applyFont="1" applyFill="1" applyBorder="1" applyAlignment="1" applyProtection="1">
      <alignment horizontal="center" vertical="center"/>
      <protection locked="0"/>
    </xf>
    <xf numFmtId="0" fontId="79" fillId="4" borderId="280" xfId="21" applyNumberFormat="1" applyFont="1" applyFill="1" applyBorder="1" applyAlignment="1" applyProtection="1">
      <alignment horizontal="center" vertical="center"/>
      <protection locked="0"/>
    </xf>
    <xf numFmtId="0" fontId="79" fillId="4" borderId="7" xfId="21" applyNumberFormat="1" applyFont="1" applyFill="1" applyBorder="1" applyAlignment="1" applyProtection="1">
      <alignment horizontal="center" vertical="center"/>
      <protection locked="0"/>
    </xf>
    <xf numFmtId="0" fontId="79" fillId="4" borderId="0" xfId="21" applyNumberFormat="1" applyFont="1" applyFill="1" applyBorder="1" applyAlignment="1" applyProtection="1">
      <alignment horizontal="center" vertical="center"/>
      <protection locked="0"/>
    </xf>
    <xf numFmtId="0" fontId="79" fillId="4" borderId="31" xfId="21" applyNumberFormat="1" applyFont="1" applyFill="1" applyBorder="1" applyAlignment="1" applyProtection="1">
      <alignment horizontal="center" vertical="center"/>
      <protection locked="0"/>
    </xf>
    <xf numFmtId="0" fontId="79" fillId="4" borderId="32" xfId="21" applyNumberFormat="1" applyFont="1" applyFill="1" applyBorder="1" applyAlignment="1" applyProtection="1">
      <alignment horizontal="center" vertical="center"/>
      <protection locked="0"/>
    </xf>
    <xf numFmtId="0" fontId="79" fillId="4" borderId="9" xfId="21" applyNumberFormat="1" applyFont="1" applyFill="1" applyBorder="1" applyAlignment="1" applyProtection="1">
      <alignment horizontal="center" vertical="center"/>
      <protection locked="0"/>
    </xf>
    <xf numFmtId="0" fontId="79" fillId="4" borderId="33" xfId="21" applyNumberFormat="1" applyFont="1" applyFill="1" applyBorder="1" applyAlignment="1" applyProtection="1">
      <alignment horizontal="center" vertical="center"/>
      <protection locked="0"/>
    </xf>
    <xf numFmtId="0" fontId="76" fillId="4" borderId="185" xfId="21" applyNumberFormat="1" applyFont="1" applyFill="1" applyBorder="1" applyAlignment="1" applyProtection="1">
      <alignment horizontal="center" vertical="center"/>
      <protection locked="0"/>
    </xf>
    <xf numFmtId="0" fontId="76" fillId="4" borderId="283" xfId="21" applyNumberFormat="1" applyFont="1" applyFill="1" applyBorder="1" applyAlignment="1" applyProtection="1">
      <alignment horizontal="center" vertical="center"/>
      <protection locked="0"/>
    </xf>
    <xf numFmtId="0" fontId="76" fillId="4" borderId="186" xfId="21" applyNumberFormat="1" applyFont="1" applyFill="1" applyBorder="1" applyAlignment="1" applyProtection="1">
      <alignment horizontal="center" vertical="center"/>
      <protection locked="0"/>
    </xf>
    <xf numFmtId="0" fontId="97" fillId="0" borderId="0" xfId="21" applyFont="1" applyBorder="1" applyAlignment="1" applyProtection="1">
      <alignment horizontal="center" shrinkToFit="1"/>
      <protection hidden="1"/>
    </xf>
    <xf numFmtId="0" fontId="79" fillId="0" borderId="9" xfId="21" applyFont="1" applyBorder="1" applyAlignment="1" applyProtection="1">
      <alignment horizontal="center" vertical="center" shrinkToFit="1"/>
    </xf>
    <xf numFmtId="0" fontId="79" fillId="0" borderId="9" xfId="21" applyFont="1" applyBorder="1" applyAlignment="1" applyProtection="1">
      <alignment horizontal="center" vertical="center" shrinkToFit="1"/>
      <protection hidden="1"/>
    </xf>
    <xf numFmtId="0" fontId="76" fillId="4" borderId="65" xfId="21" applyNumberFormat="1" applyFont="1" applyFill="1" applyBorder="1" applyAlignment="1" applyProtection="1">
      <alignment vertical="top"/>
      <protection locked="0"/>
    </xf>
    <xf numFmtId="0" fontId="76" fillId="4" borderId="44" xfId="21" applyNumberFormat="1" applyFont="1" applyFill="1" applyBorder="1" applyAlignment="1" applyProtection="1">
      <alignment vertical="top"/>
      <protection locked="0"/>
    </xf>
    <xf numFmtId="0" fontId="76" fillId="4" borderId="170" xfId="21" applyNumberFormat="1" applyFont="1" applyFill="1" applyBorder="1" applyAlignment="1" applyProtection="1">
      <alignment vertical="top"/>
      <protection locked="0"/>
    </xf>
    <xf numFmtId="0" fontId="76" fillId="4" borderId="43" xfId="21" applyNumberFormat="1" applyFont="1" applyFill="1" applyBorder="1" applyAlignment="1" applyProtection="1">
      <alignment vertical="top"/>
      <protection locked="0"/>
    </xf>
    <xf numFmtId="0" fontId="76" fillId="4" borderId="68" xfId="21" applyNumberFormat="1" applyFont="1" applyFill="1" applyBorder="1" applyAlignment="1" applyProtection="1">
      <alignment vertical="top"/>
      <protection locked="0"/>
    </xf>
    <xf numFmtId="0" fontId="76" fillId="4" borderId="21" xfId="21" applyNumberFormat="1" applyFont="1" applyFill="1" applyBorder="1" applyAlignment="1" applyProtection="1">
      <alignment vertical="top"/>
      <protection locked="0"/>
    </xf>
    <xf numFmtId="0" fontId="76" fillId="4" borderId="69" xfId="21" applyNumberFormat="1" applyFont="1" applyFill="1" applyBorder="1" applyAlignment="1" applyProtection="1">
      <alignment vertical="top"/>
      <protection locked="0"/>
    </xf>
    <xf numFmtId="0" fontId="76" fillId="4" borderId="39" xfId="21" applyNumberFormat="1" applyFont="1" applyFill="1" applyBorder="1" applyAlignment="1" applyProtection="1">
      <alignment vertical="top"/>
      <protection locked="0"/>
    </xf>
    <xf numFmtId="0" fontId="76" fillId="4" borderId="66" xfId="21" applyNumberFormat="1" applyFont="1" applyFill="1" applyBorder="1" applyAlignment="1" applyProtection="1">
      <alignment vertical="top"/>
      <protection locked="0"/>
    </xf>
    <xf numFmtId="0" fontId="76" fillId="4" borderId="62" xfId="21" applyNumberFormat="1" applyFont="1" applyFill="1" applyBorder="1" applyAlignment="1" applyProtection="1">
      <alignment vertical="top"/>
      <protection locked="0"/>
    </xf>
    <xf numFmtId="0" fontId="209" fillId="0" borderId="187" xfId="21" applyFont="1" applyBorder="1" applyAlignment="1" applyProtection="1">
      <alignment horizontal="left" vertical="top" wrapText="1"/>
    </xf>
    <xf numFmtId="0" fontId="209" fillId="0" borderId="188" xfId="21" applyFont="1" applyBorder="1" applyAlignment="1" applyProtection="1">
      <alignment horizontal="left" vertical="top" wrapText="1"/>
    </xf>
    <xf numFmtId="0" fontId="209" fillId="0" borderId="281" xfId="21" applyFont="1" applyBorder="1" applyAlignment="1" applyProtection="1">
      <alignment horizontal="left" vertical="top" wrapText="1"/>
    </xf>
    <xf numFmtId="0" fontId="209" fillId="0" borderId="7" xfId="21" applyFont="1" applyBorder="1" applyAlignment="1" applyProtection="1">
      <alignment horizontal="left" vertical="top" wrapText="1"/>
    </xf>
    <xf numFmtId="0" fontId="209" fillId="0" borderId="0" xfId="21" applyFont="1" applyBorder="1" applyAlignment="1" applyProtection="1">
      <alignment horizontal="left" vertical="top" wrapText="1"/>
    </xf>
    <xf numFmtId="0" fontId="209" fillId="0" borderId="32" xfId="21" applyFont="1" applyBorder="1" applyAlignment="1" applyProtection="1">
      <alignment horizontal="left" vertical="top" wrapText="1"/>
    </xf>
    <xf numFmtId="0" fontId="209" fillId="0" borderId="9" xfId="21" applyFont="1" applyBorder="1" applyAlignment="1" applyProtection="1">
      <alignment horizontal="left" vertical="top" wrapText="1"/>
    </xf>
    <xf numFmtId="0" fontId="271" fillId="4" borderId="0" xfId="21" applyFont="1" applyFill="1" applyBorder="1" applyAlignment="1" applyProtection="1">
      <alignment horizontal="left" vertical="center"/>
      <protection locked="0"/>
    </xf>
    <xf numFmtId="0" fontId="271" fillId="4" borderId="31" xfId="21" applyFont="1" applyFill="1" applyBorder="1" applyAlignment="1" applyProtection="1">
      <alignment horizontal="left" vertical="center"/>
      <protection locked="0"/>
    </xf>
    <xf numFmtId="205" fontId="79" fillId="0" borderId="281" xfId="21" applyNumberFormat="1" applyFont="1" applyBorder="1" applyAlignment="1" applyProtection="1">
      <alignment vertical="center"/>
    </xf>
    <xf numFmtId="49" fontId="271" fillId="4" borderId="25" xfId="21" applyNumberFormat="1" applyFont="1" applyFill="1" applyBorder="1" applyAlignment="1" applyProtection="1">
      <alignment horizontal="right"/>
      <protection locked="0"/>
    </xf>
    <xf numFmtId="49" fontId="271" fillId="4" borderId="26" xfId="21" applyNumberFormat="1" applyFont="1" applyFill="1" applyBorder="1" applyAlignment="1" applyProtection="1">
      <alignment horizontal="right"/>
      <protection locked="0"/>
    </xf>
    <xf numFmtId="205" fontId="79" fillId="0" borderId="0" xfId="21" applyNumberFormat="1" applyFont="1" applyBorder="1" applyAlignment="1" applyProtection="1">
      <alignment vertical="center"/>
    </xf>
    <xf numFmtId="205" fontId="79" fillId="0" borderId="9" xfId="21" applyNumberFormat="1" applyFont="1" applyBorder="1" applyAlignment="1" applyProtection="1">
      <alignment vertical="center"/>
    </xf>
    <xf numFmtId="0" fontId="275" fillId="31" borderId="0" xfId="21" applyFont="1" applyFill="1" applyBorder="1" applyAlignment="1" applyProtection="1">
      <alignment horizontal="center" vertical="center"/>
    </xf>
    <xf numFmtId="205" fontId="97" fillId="0" borderId="0" xfId="21" applyNumberFormat="1" applyFont="1" applyBorder="1" applyProtection="1"/>
    <xf numFmtId="0" fontId="83" fillId="0" borderId="0" xfId="21" applyFont="1" applyBorder="1" applyAlignment="1" applyProtection="1">
      <alignment horizontal="left" shrinkToFit="1"/>
      <protection hidden="1"/>
    </xf>
    <xf numFmtId="199" fontId="97" fillId="0" borderId="0" xfId="21" applyNumberFormat="1" applyFont="1" applyBorder="1" applyAlignment="1" applyProtection="1">
      <alignment vertical="center"/>
    </xf>
    <xf numFmtId="205" fontId="79" fillId="0" borderId="7" xfId="21" applyNumberFormat="1" applyFont="1" applyBorder="1" applyAlignment="1" applyProtection="1">
      <alignment vertical="center"/>
    </xf>
    <xf numFmtId="15" fontId="83" fillId="0" borderId="0" xfId="21" applyNumberFormat="1" applyFont="1" applyBorder="1" applyAlignment="1" applyProtection="1">
      <alignment horizontal="left" vertical="center" shrinkToFit="1"/>
      <protection hidden="1"/>
    </xf>
    <xf numFmtId="0" fontId="79" fillId="0" borderId="0" xfId="21" applyFont="1" applyFill="1" applyBorder="1" applyAlignment="1" applyProtection="1">
      <alignment horizontal="left" vertical="top" wrapText="1" indent="1"/>
    </xf>
    <xf numFmtId="206" fontId="83" fillId="21" borderId="30" xfId="21" applyNumberFormat="1" applyFont="1" applyFill="1" applyBorder="1" applyProtection="1"/>
    <xf numFmtId="206" fontId="83" fillId="21" borderId="29" xfId="21" applyNumberFormat="1" applyFont="1" applyFill="1" applyBorder="1" applyProtection="1"/>
    <xf numFmtId="206" fontId="83" fillId="21" borderId="283" xfId="21" applyNumberFormat="1" applyFont="1" applyFill="1" applyBorder="1" applyProtection="1"/>
    <xf numFmtId="206" fontId="83" fillId="21" borderId="28" xfId="21" applyNumberFormat="1" applyFont="1" applyFill="1" applyBorder="1" applyProtection="1"/>
    <xf numFmtId="205" fontId="97" fillId="0" borderId="0" xfId="21" applyNumberFormat="1" applyFont="1" applyBorder="1" applyAlignment="1" applyProtection="1">
      <alignment horizontal="center"/>
    </xf>
    <xf numFmtId="0" fontId="83" fillId="0" borderId="0" xfId="21" applyNumberFormat="1" applyFont="1" applyBorder="1" applyAlignment="1" applyProtection="1">
      <alignment horizontal="left" vertical="center" shrinkToFit="1"/>
      <protection hidden="1"/>
    </xf>
    <xf numFmtId="0" fontId="271" fillId="4" borderId="281" xfId="21" applyFont="1" applyFill="1" applyBorder="1" applyAlignment="1" applyProtection="1">
      <alignment vertical="center"/>
      <protection locked="0"/>
    </xf>
    <xf numFmtId="0" fontId="271" fillId="4" borderId="280" xfId="21" applyFont="1" applyFill="1" applyBorder="1" applyAlignment="1" applyProtection="1">
      <alignment vertical="center"/>
      <protection locked="0"/>
    </xf>
    <xf numFmtId="0" fontId="271" fillId="4" borderId="0" xfId="21" applyFont="1" applyFill="1" applyBorder="1" applyAlignment="1" applyProtection="1">
      <alignment vertical="center"/>
      <protection locked="0"/>
    </xf>
    <xf numFmtId="0" fontId="271" fillId="4" borderId="31" xfId="21" applyFont="1" applyFill="1" applyBorder="1" applyAlignment="1" applyProtection="1">
      <alignment vertical="center"/>
      <protection locked="0"/>
    </xf>
    <xf numFmtId="0" fontId="79" fillId="0" borderId="0" xfId="21" applyNumberFormat="1" applyFont="1" applyBorder="1" applyAlignment="1" applyProtection="1">
      <alignment horizontal="left" vertical="top" wrapText="1"/>
      <protection hidden="1"/>
    </xf>
    <xf numFmtId="0" fontId="271" fillId="4" borderId="281" xfId="21" applyFont="1" applyFill="1" applyBorder="1" applyAlignment="1" applyProtection="1">
      <alignment horizontal="left" vertical="center"/>
      <protection locked="0"/>
    </xf>
    <xf numFmtId="0" fontId="271" fillId="4" borderId="280" xfId="21" applyFont="1" applyFill="1" applyBorder="1" applyAlignment="1" applyProtection="1">
      <alignment horizontal="left" vertical="center"/>
      <protection locked="0"/>
    </xf>
    <xf numFmtId="49" fontId="271" fillId="4" borderId="27" xfId="21" applyNumberFormat="1" applyFont="1" applyFill="1" applyBorder="1" applyAlignment="1" applyProtection="1">
      <alignment horizontal="right"/>
      <protection locked="0"/>
    </xf>
    <xf numFmtId="205" fontId="79" fillId="0" borderId="32" xfId="21" applyNumberFormat="1" applyFont="1" applyBorder="1" applyAlignment="1" applyProtection="1">
      <alignment vertical="center"/>
    </xf>
    <xf numFmtId="0" fontId="271" fillId="4" borderId="9" xfId="21" applyNumberFormat="1" applyFont="1" applyFill="1" applyBorder="1" applyAlignment="1" applyProtection="1">
      <alignment horizontal="left" vertical="center"/>
      <protection locked="0"/>
    </xf>
    <xf numFmtId="0" fontId="271" fillId="4" borderId="33" xfId="21" applyNumberFormat="1" applyFont="1" applyFill="1" applyBorder="1" applyAlignment="1" applyProtection="1">
      <alignment horizontal="left" vertical="center"/>
      <protection locked="0"/>
    </xf>
    <xf numFmtId="0" fontId="79" fillId="21" borderId="1" xfId="21" applyFont="1" applyFill="1" applyBorder="1" applyAlignment="1" applyProtection="1">
      <alignment horizontal="center" wrapText="1"/>
    </xf>
    <xf numFmtId="0" fontId="271" fillId="4" borderId="0" xfId="21" applyNumberFormat="1" applyFont="1" applyFill="1" applyBorder="1" applyAlignment="1" applyProtection="1">
      <alignment horizontal="left" vertical="center"/>
      <protection locked="0"/>
    </xf>
    <xf numFmtId="0" fontId="271" fillId="4" borderId="31" xfId="21" applyNumberFormat="1" applyFont="1" applyFill="1" applyBorder="1" applyAlignment="1" applyProtection="1">
      <alignment horizontal="left" vertical="center"/>
      <protection locked="0"/>
    </xf>
    <xf numFmtId="0" fontId="271" fillId="4" borderId="9" xfId="21" applyFont="1" applyFill="1" applyBorder="1" applyAlignment="1" applyProtection="1">
      <alignment vertical="center"/>
      <protection locked="0"/>
    </xf>
    <xf numFmtId="0" fontId="271" fillId="4" borderId="33" xfId="21" applyFont="1" applyFill="1" applyBorder="1" applyAlignment="1" applyProtection="1">
      <alignment vertical="center"/>
      <protection locked="0"/>
    </xf>
    <xf numFmtId="0" fontId="271" fillId="4" borderId="19" xfId="21" applyFont="1" applyFill="1" applyBorder="1" applyAlignment="1" applyProtection="1">
      <alignment horizontal="left" vertical="center"/>
      <protection locked="0"/>
    </xf>
    <xf numFmtId="0" fontId="271" fillId="4" borderId="18" xfId="21" applyFont="1" applyFill="1" applyBorder="1" applyAlignment="1" applyProtection="1">
      <alignment horizontal="left" vertical="center"/>
      <protection locked="0"/>
    </xf>
    <xf numFmtId="49" fontId="271" fillId="4" borderId="68" xfId="21" applyNumberFormat="1" applyFont="1" applyFill="1" applyBorder="1" applyAlignment="1" applyProtection="1">
      <alignment horizontal="right"/>
      <protection locked="0"/>
    </xf>
    <xf numFmtId="49" fontId="271" fillId="4" borderId="69" xfId="21" applyNumberFormat="1" applyFont="1" applyFill="1" applyBorder="1" applyAlignment="1" applyProtection="1">
      <alignment horizontal="right"/>
      <protection locked="0"/>
    </xf>
    <xf numFmtId="0" fontId="271" fillId="4" borderId="68" xfId="21" applyFont="1" applyFill="1" applyBorder="1" applyAlignment="1" applyProtection="1">
      <protection locked="0"/>
    </xf>
    <xf numFmtId="0" fontId="271" fillId="4" borderId="69" xfId="21" applyFont="1" applyFill="1" applyBorder="1" applyAlignment="1" applyProtection="1">
      <protection locked="0"/>
    </xf>
    <xf numFmtId="0" fontId="271" fillId="4" borderId="68" xfId="21" applyFont="1" applyFill="1" applyBorder="1" applyProtection="1">
      <protection locked="0"/>
    </xf>
    <xf numFmtId="0" fontId="271" fillId="4" borderId="69" xfId="21" applyFont="1" applyFill="1" applyBorder="1" applyProtection="1">
      <protection locked="0"/>
    </xf>
    <xf numFmtId="0" fontId="79" fillId="21" borderId="232" xfId="21" applyFont="1" applyFill="1" applyBorder="1" applyAlignment="1" applyProtection="1">
      <alignment horizontal="center"/>
    </xf>
    <xf numFmtId="0" fontId="79" fillId="21" borderId="227" xfId="21" applyFont="1" applyFill="1" applyBorder="1" applyAlignment="1" applyProtection="1">
      <alignment horizontal="center"/>
    </xf>
    <xf numFmtId="0" fontId="271" fillId="4" borderId="65" xfId="21" applyFont="1" applyFill="1" applyBorder="1" applyAlignment="1" applyProtection="1">
      <protection locked="0"/>
    </xf>
    <xf numFmtId="0" fontId="271" fillId="4" borderId="43" xfId="21" applyFont="1" applyFill="1" applyBorder="1" applyAlignment="1" applyProtection="1">
      <protection locked="0"/>
    </xf>
    <xf numFmtId="49" fontId="271" fillId="4" borderId="65" xfId="21" applyNumberFormat="1" applyFont="1" applyFill="1" applyBorder="1" applyAlignment="1" applyProtection="1">
      <alignment horizontal="right"/>
      <protection locked="0"/>
    </xf>
    <xf numFmtId="49" fontId="271" fillId="4" borderId="43" xfId="21" applyNumberFormat="1" applyFont="1" applyFill="1" applyBorder="1" applyAlignment="1" applyProtection="1">
      <alignment horizontal="right"/>
      <protection locked="0"/>
    </xf>
    <xf numFmtId="49" fontId="271" fillId="4" borderId="39" xfId="21" applyNumberFormat="1" applyFont="1" applyFill="1" applyBorder="1" applyAlignment="1" applyProtection="1">
      <alignment horizontal="right"/>
      <protection locked="0"/>
    </xf>
    <xf numFmtId="49" fontId="271" fillId="4" borderId="62" xfId="21" applyNumberFormat="1" applyFont="1" applyFill="1" applyBorder="1" applyAlignment="1" applyProtection="1">
      <alignment horizontal="right"/>
      <protection locked="0"/>
    </xf>
    <xf numFmtId="0" fontId="271" fillId="4" borderId="39" xfId="21" applyFont="1" applyFill="1" applyBorder="1" applyAlignment="1" applyProtection="1">
      <protection locked="0"/>
    </xf>
    <xf numFmtId="0" fontId="271" fillId="4" borderId="62" xfId="21" applyFont="1" applyFill="1" applyBorder="1" applyAlignment="1" applyProtection="1">
      <protection locked="0"/>
    </xf>
    <xf numFmtId="200" fontId="273" fillId="4" borderId="68" xfId="21" applyNumberFormat="1" applyFont="1" applyFill="1" applyBorder="1" applyAlignment="1" applyProtection="1">
      <alignment horizontal="left" shrinkToFit="1"/>
      <protection locked="0"/>
    </xf>
    <xf numFmtId="200" fontId="273" fillId="4" borderId="26" xfId="21" applyNumberFormat="1" applyFont="1" applyFill="1" applyBorder="1" applyAlignment="1" applyProtection="1">
      <alignment horizontal="left" shrinkToFit="1"/>
      <protection locked="0"/>
    </xf>
    <xf numFmtId="200" fontId="273" fillId="4" borderId="69" xfId="21" applyNumberFormat="1" applyFont="1" applyFill="1" applyBorder="1" applyAlignment="1" applyProtection="1">
      <alignment horizontal="left" shrinkToFit="1"/>
      <protection locked="0"/>
    </xf>
    <xf numFmtId="0" fontId="97" fillId="0" borderId="0" xfId="21" applyNumberFormat="1" applyFont="1" applyBorder="1" applyAlignment="1" applyProtection="1">
      <alignment horizontal="center" vertical="top" shrinkToFit="1"/>
      <protection hidden="1"/>
    </xf>
    <xf numFmtId="0" fontId="274" fillId="0" borderId="187" xfId="21" applyFont="1" applyBorder="1" applyAlignment="1" applyProtection="1">
      <alignment horizontal="left" vertical="top" wrapText="1"/>
    </xf>
    <xf numFmtId="0" fontId="274" fillId="0" borderId="188" xfId="21" applyFont="1" applyBorder="1" applyAlignment="1" applyProtection="1">
      <alignment horizontal="left" vertical="top" wrapText="1"/>
    </xf>
    <xf numFmtId="0" fontId="274" fillId="0" borderId="7" xfId="21" applyFont="1" applyBorder="1" applyAlignment="1" applyProtection="1">
      <alignment horizontal="left" vertical="top" wrapText="1"/>
    </xf>
    <xf numFmtId="0" fontId="274" fillId="0" borderId="0" xfId="21" applyFont="1" applyBorder="1" applyAlignment="1" applyProtection="1">
      <alignment horizontal="left" vertical="top" wrapText="1"/>
    </xf>
    <xf numFmtId="0" fontId="274" fillId="0" borderId="32" xfId="21" applyFont="1" applyBorder="1" applyAlignment="1" applyProtection="1">
      <alignment horizontal="left" vertical="top" wrapText="1"/>
    </xf>
    <xf numFmtId="0" fontId="274" fillId="0" borderId="9" xfId="21" applyFont="1" applyBorder="1" applyAlignment="1" applyProtection="1">
      <alignment horizontal="left" vertical="top" wrapText="1"/>
    </xf>
    <xf numFmtId="0" fontId="79" fillId="0" borderId="0" xfId="21" applyFont="1" applyBorder="1" applyAlignment="1" applyProtection="1">
      <alignment horizontal="center" vertical="center" shrinkToFit="1"/>
    </xf>
    <xf numFmtId="0" fontId="79" fillId="0" borderId="0" xfId="21" applyFont="1" applyBorder="1" applyAlignment="1" applyProtection="1">
      <alignment horizontal="center" vertical="center" shrinkToFit="1"/>
      <protection hidden="1"/>
    </xf>
    <xf numFmtId="0" fontId="97" fillId="0" borderId="280" xfId="21" applyFont="1" applyBorder="1" applyAlignment="1" applyProtection="1">
      <alignment horizontal="center"/>
    </xf>
    <xf numFmtId="0" fontId="97" fillId="0" borderId="31" xfId="21" applyFont="1" applyBorder="1" applyAlignment="1" applyProtection="1">
      <alignment horizontal="center"/>
    </xf>
    <xf numFmtId="0" fontId="97" fillId="0" borderId="33" xfId="21" applyFont="1" applyBorder="1" applyAlignment="1" applyProtection="1">
      <alignment horizontal="center"/>
    </xf>
    <xf numFmtId="200" fontId="97" fillId="21" borderId="1" xfId="21" applyNumberFormat="1" applyFont="1" applyFill="1" applyBorder="1" applyAlignment="1" applyProtection="1">
      <alignment horizontal="center" vertical="center"/>
    </xf>
    <xf numFmtId="200" fontId="273" fillId="4" borderId="27" xfId="21" applyNumberFormat="1" applyFont="1" applyFill="1" applyBorder="1" applyAlignment="1" applyProtection="1">
      <alignment horizontal="left" shrinkToFit="1"/>
      <protection locked="0"/>
    </xf>
    <xf numFmtId="200" fontId="273" fillId="4" borderId="26" xfId="21" applyNumberFormat="1" applyFont="1" applyFill="1" applyBorder="1" applyAlignment="1" applyProtection="1">
      <alignment horizontal="center" shrinkToFit="1"/>
      <protection locked="0"/>
    </xf>
    <xf numFmtId="200" fontId="273" fillId="0" borderId="32" xfId="21" applyNumberFormat="1" applyFont="1" applyBorder="1" applyAlignment="1" applyProtection="1">
      <alignment horizontal="center"/>
    </xf>
    <xf numFmtId="200" fontId="273" fillId="0" borderId="33" xfId="21" applyNumberFormat="1" applyFont="1" applyBorder="1" applyAlignment="1" applyProtection="1">
      <alignment horizontal="center"/>
    </xf>
    <xf numFmtId="200" fontId="273" fillId="4" borderId="25" xfId="21" applyNumberFormat="1" applyFont="1" applyFill="1" applyBorder="1" applyAlignment="1" applyProtection="1">
      <alignment horizontal="left" shrinkToFit="1"/>
      <protection locked="0"/>
    </xf>
    <xf numFmtId="200" fontId="273" fillId="0" borderId="0" xfId="21" applyNumberFormat="1" applyFont="1" applyBorder="1" applyAlignment="1" applyProtection="1">
      <alignment horizontal="center"/>
    </xf>
    <xf numFmtId="0" fontId="79" fillId="0" borderId="31" xfId="21" applyFont="1" applyBorder="1" applyProtection="1"/>
    <xf numFmtId="0" fontId="97" fillId="0" borderId="0" xfId="21" applyFont="1" applyBorder="1" applyAlignment="1" applyProtection="1">
      <alignment horizontal="center"/>
    </xf>
    <xf numFmtId="200" fontId="273" fillId="0" borderId="31" xfId="21" applyNumberFormat="1" applyFont="1" applyBorder="1" applyAlignment="1" applyProtection="1">
      <alignment horizontal="center"/>
    </xf>
    <xf numFmtId="0" fontId="273" fillId="0" borderId="0" xfId="21" applyNumberFormat="1" applyFont="1" applyBorder="1" applyAlignment="1" applyProtection="1">
      <alignment horizontal="center"/>
    </xf>
    <xf numFmtId="0" fontId="273" fillId="0" borderId="31" xfId="21" applyNumberFormat="1" applyFont="1" applyBorder="1" applyAlignment="1" applyProtection="1">
      <alignment horizontal="center"/>
    </xf>
    <xf numFmtId="200" fontId="97" fillId="21" borderId="178" xfId="21" applyNumberFormat="1" applyFont="1" applyFill="1" applyBorder="1" applyAlignment="1" applyProtection="1">
      <alignment horizontal="center" vertical="center" wrapText="1"/>
    </xf>
    <xf numFmtId="200" fontId="97" fillId="21" borderId="165" xfId="21" applyNumberFormat="1" applyFont="1" applyFill="1" applyBorder="1" applyAlignment="1" applyProtection="1">
      <alignment horizontal="center" vertical="center" wrapText="1"/>
    </xf>
    <xf numFmtId="200" fontId="97" fillId="21" borderId="179" xfId="21" applyNumberFormat="1" applyFont="1" applyFill="1" applyBorder="1" applyAlignment="1" applyProtection="1">
      <alignment horizontal="center" vertical="center" wrapText="1"/>
    </xf>
    <xf numFmtId="199" fontId="97" fillId="0" borderId="0" xfId="21" applyNumberFormat="1" applyFont="1" applyBorder="1" applyAlignment="1" applyProtection="1">
      <alignment horizontal="left"/>
    </xf>
    <xf numFmtId="197" fontId="97" fillId="0" borderId="0" xfId="21" applyNumberFormat="1" applyFont="1" applyBorder="1" applyAlignment="1" applyProtection="1">
      <alignment horizontal="left"/>
    </xf>
    <xf numFmtId="0" fontId="80" fillId="0" borderId="0" xfId="21" applyFont="1" applyBorder="1" applyAlignment="1" applyProtection="1">
      <alignment horizontal="left"/>
      <protection hidden="1"/>
    </xf>
    <xf numFmtId="15" fontId="83" fillId="0" borderId="0" xfId="21" applyNumberFormat="1" applyFont="1" applyBorder="1" applyAlignment="1" applyProtection="1">
      <alignment horizontal="left"/>
      <protection hidden="1"/>
    </xf>
    <xf numFmtId="0" fontId="83" fillId="0" borderId="0" xfId="21" applyFont="1" applyBorder="1" applyAlignment="1" applyProtection="1">
      <alignment horizontal="left"/>
      <protection hidden="1"/>
    </xf>
    <xf numFmtId="0" fontId="79" fillId="0" borderId="0" xfId="21" applyFont="1" applyBorder="1" applyAlignment="1" applyProtection="1">
      <alignment horizontal="left" vertical="top" wrapText="1" shrinkToFit="1"/>
      <protection hidden="1"/>
    </xf>
    <xf numFmtId="0" fontId="79" fillId="0" borderId="9" xfId="21" applyFont="1" applyBorder="1" applyAlignment="1" applyProtection="1">
      <alignment horizontal="left" vertical="top" wrapText="1" shrinkToFit="1"/>
      <protection hidden="1"/>
    </xf>
    <xf numFmtId="0" fontId="286" fillId="0" borderId="0" xfId="21" applyFont="1" applyBorder="1" applyAlignment="1" applyProtection="1">
      <alignment horizontal="left"/>
    </xf>
    <xf numFmtId="0" fontId="97" fillId="0" borderId="0" xfId="21" applyFont="1" applyBorder="1" applyAlignment="1" applyProtection="1">
      <alignment horizontal="left"/>
    </xf>
    <xf numFmtId="0" fontId="97" fillId="0" borderId="0" xfId="21" applyFont="1" applyBorder="1" applyAlignment="1" applyProtection="1">
      <alignment horizontal="center" vertical="center" shrinkToFit="1"/>
      <protection hidden="1"/>
    </xf>
    <xf numFmtId="0" fontId="97" fillId="0" borderId="0" xfId="21" applyFont="1" applyBorder="1" applyAlignment="1" applyProtection="1">
      <alignment horizontal="center" shrinkToFit="1"/>
    </xf>
    <xf numFmtId="0" fontId="274" fillId="0" borderId="284" xfId="21" applyFont="1" applyBorder="1" applyAlignment="1" applyProtection="1">
      <alignment horizontal="center" vertical="top"/>
    </xf>
    <xf numFmtId="0" fontId="274" fillId="0" borderId="0" xfId="21" applyFont="1" applyBorder="1" applyAlignment="1" applyProtection="1">
      <alignment horizontal="center" vertical="top"/>
    </xf>
    <xf numFmtId="0" fontId="274" fillId="0" borderId="9" xfId="21" applyFont="1" applyBorder="1" applyAlignment="1" applyProtection="1">
      <alignment horizontal="center" vertical="top"/>
    </xf>
    <xf numFmtId="0" fontId="79" fillId="4" borderId="39" xfId="21" applyFont="1" applyFill="1" applyBorder="1" applyAlignment="1" applyProtection="1">
      <alignment horizontal="left" shrinkToFit="1"/>
      <protection locked="0"/>
    </xf>
    <xf numFmtId="0" fontId="79" fillId="4" borderId="66" xfId="21" applyFont="1" applyFill="1" applyBorder="1" applyAlignment="1" applyProtection="1">
      <alignment horizontal="left" shrinkToFit="1"/>
      <protection locked="0"/>
    </xf>
    <xf numFmtId="0" fontId="79" fillId="4" borderId="62" xfId="21" applyFont="1" applyFill="1" applyBorder="1" applyAlignment="1" applyProtection="1">
      <alignment horizontal="left" shrinkToFit="1"/>
      <protection locked="0"/>
    </xf>
    <xf numFmtId="0" fontId="79" fillId="4" borderId="26" xfId="21" applyFont="1" applyFill="1" applyBorder="1" applyAlignment="1" applyProtection="1">
      <alignment horizontal="left" shrinkToFit="1"/>
      <protection locked="0"/>
    </xf>
    <xf numFmtId="0" fontId="79" fillId="21" borderId="181" xfId="21" applyFont="1" applyFill="1" applyBorder="1" applyAlignment="1" applyProtection="1">
      <alignment horizontal="center" vertical="center"/>
    </xf>
    <xf numFmtId="0" fontId="79" fillId="21" borderId="65" xfId="21" applyFont="1" applyFill="1" applyBorder="1" applyAlignment="1" applyProtection="1">
      <alignment horizontal="center" vertical="center" wrapText="1"/>
    </xf>
    <xf numFmtId="0" fontId="79" fillId="21" borderId="43" xfId="21" applyFont="1" applyFill="1" applyBorder="1" applyAlignment="1" applyProtection="1">
      <alignment horizontal="center" vertical="center"/>
    </xf>
    <xf numFmtId="0" fontId="79" fillId="4" borderId="27" xfId="21" applyFont="1" applyFill="1" applyBorder="1" applyAlignment="1" applyProtection="1">
      <alignment horizontal="left" shrinkToFit="1"/>
      <protection locked="0"/>
    </xf>
    <xf numFmtId="0" fontId="79" fillId="21" borderId="27" xfId="21" applyFont="1" applyFill="1" applyBorder="1" applyAlignment="1" applyProtection="1">
      <alignment horizontal="center" vertical="center" wrapText="1"/>
    </xf>
    <xf numFmtId="0" fontId="79" fillId="21" borderId="27" xfId="21" applyFont="1" applyFill="1" applyBorder="1" applyAlignment="1" applyProtection="1">
      <alignment horizontal="center" vertical="center"/>
    </xf>
    <xf numFmtId="15" fontId="80" fillId="0" borderId="0" xfId="21" applyNumberFormat="1" applyFont="1" applyBorder="1" applyAlignment="1" applyProtection="1">
      <alignment horizontal="left" shrinkToFit="1"/>
      <protection hidden="1"/>
    </xf>
    <xf numFmtId="0" fontId="97" fillId="0" borderId="0" xfId="21" applyFont="1" applyAlignment="1" applyProtection="1">
      <alignment horizontal="left" vertical="top" wrapText="1" shrinkToFit="1"/>
      <protection hidden="1"/>
    </xf>
    <xf numFmtId="0" fontId="80" fillId="0" borderId="0" xfId="21" applyNumberFormat="1" applyFont="1" applyBorder="1" applyAlignment="1" applyProtection="1">
      <alignment horizontal="left" shrinkToFit="1"/>
      <protection hidden="1"/>
    </xf>
    <xf numFmtId="0" fontId="97" fillId="0" borderId="0" xfId="21" applyFont="1" applyFill="1" applyBorder="1" applyAlignment="1" applyProtection="1">
      <alignment horizontal="center"/>
      <protection hidden="1"/>
    </xf>
    <xf numFmtId="197" fontId="97" fillId="0" borderId="26" xfId="21" applyNumberFormat="1" applyFont="1" applyBorder="1" applyAlignment="1" applyProtection="1">
      <alignment horizontal="left"/>
    </xf>
    <xf numFmtId="197" fontId="97" fillId="0" borderId="88" xfId="21" applyNumberFormat="1" applyFont="1" applyBorder="1" applyAlignment="1" applyProtection="1">
      <alignment horizontal="left"/>
    </xf>
    <xf numFmtId="178" fontId="97" fillId="4" borderId="69" xfId="21" applyNumberFormat="1" applyFont="1" applyFill="1" applyBorder="1" applyAlignment="1" applyProtection="1">
      <alignment horizontal="center"/>
      <protection locked="0"/>
    </xf>
    <xf numFmtId="178" fontId="97" fillId="4" borderId="26" xfId="21" applyNumberFormat="1" applyFont="1" applyFill="1" applyBorder="1" applyAlignment="1" applyProtection="1">
      <alignment horizontal="center"/>
      <protection locked="0"/>
    </xf>
    <xf numFmtId="178" fontId="97" fillId="0" borderId="69" xfId="21" applyNumberFormat="1" applyFont="1" applyFill="1" applyBorder="1" applyAlignment="1" applyProtection="1">
      <alignment horizontal="center"/>
      <protection hidden="1"/>
    </xf>
    <xf numFmtId="178" fontId="97" fillId="0" borderId="26" xfId="21" applyNumberFormat="1" applyFont="1" applyFill="1" applyBorder="1" applyAlignment="1" applyProtection="1">
      <alignment horizontal="center"/>
      <protection hidden="1"/>
    </xf>
    <xf numFmtId="197" fontId="97" fillId="0" borderId="25" xfId="21" applyNumberFormat="1" applyFont="1" applyBorder="1" applyAlignment="1" applyProtection="1">
      <alignment horizontal="left"/>
    </xf>
    <xf numFmtId="197" fontId="97" fillId="0" borderId="41" xfId="21" applyNumberFormat="1" applyFont="1" applyBorder="1" applyAlignment="1" applyProtection="1">
      <alignment horizontal="left"/>
    </xf>
    <xf numFmtId="172" fontId="97" fillId="0" borderId="35" xfId="21" applyNumberFormat="1" applyFont="1" applyBorder="1" applyAlignment="1" applyProtection="1">
      <alignment horizontal="center"/>
      <protection hidden="1"/>
    </xf>
    <xf numFmtId="172" fontId="97" fillId="0" borderId="25" xfId="21" applyNumberFormat="1" applyFont="1" applyBorder="1" applyAlignment="1" applyProtection="1">
      <alignment horizontal="center"/>
      <protection hidden="1"/>
    </xf>
    <xf numFmtId="197" fontId="97" fillId="0" borderId="26" xfId="21" applyNumberFormat="1" applyFont="1" applyBorder="1" applyAlignment="1" applyProtection="1">
      <alignment horizontal="left" shrinkToFit="1"/>
    </xf>
    <xf numFmtId="197" fontId="97" fillId="0" borderId="88" xfId="21" applyNumberFormat="1" applyFont="1" applyBorder="1" applyAlignment="1" applyProtection="1">
      <alignment horizontal="left" shrinkToFit="1"/>
    </xf>
    <xf numFmtId="185" fontId="97" fillId="4" borderId="69" xfId="21" applyNumberFormat="1" applyFont="1" applyFill="1" applyBorder="1" applyAlignment="1" applyProtection="1">
      <alignment horizontal="center"/>
      <protection locked="0"/>
    </xf>
    <xf numFmtId="185" fontId="97" fillId="4" borderId="26" xfId="21" applyNumberFormat="1" applyFont="1" applyFill="1" applyBorder="1" applyAlignment="1" applyProtection="1">
      <alignment horizontal="center"/>
      <protection locked="0"/>
    </xf>
    <xf numFmtId="197" fontId="97" fillId="0" borderId="85" xfId="21" applyNumberFormat="1" applyFont="1" applyBorder="1" applyAlignment="1" applyProtection="1">
      <alignment horizontal="left" shrinkToFit="1"/>
    </xf>
    <xf numFmtId="197" fontId="97" fillId="0" borderId="58" xfId="21" applyNumberFormat="1" applyFont="1" applyBorder="1" applyAlignment="1" applyProtection="1">
      <alignment horizontal="left" shrinkToFit="1"/>
    </xf>
    <xf numFmtId="178" fontId="97" fillId="0" borderId="90" xfId="21" applyNumberFormat="1" applyFont="1" applyBorder="1" applyAlignment="1" applyProtection="1">
      <alignment horizontal="center"/>
      <protection hidden="1"/>
    </xf>
    <xf numFmtId="178" fontId="97" fillId="0" borderId="85" xfId="21" applyNumberFormat="1" applyFont="1" applyBorder="1" applyAlignment="1" applyProtection="1">
      <alignment horizontal="center"/>
      <protection hidden="1"/>
    </xf>
    <xf numFmtId="197" fontId="97" fillId="0" borderId="27" xfId="21" applyNumberFormat="1" applyFont="1" applyBorder="1" applyAlignment="1" applyProtection="1">
      <alignment horizontal="left"/>
    </xf>
    <xf numFmtId="197" fontId="97" fillId="0" borderId="98" xfId="21" applyNumberFormat="1" applyFont="1" applyBorder="1" applyAlignment="1" applyProtection="1">
      <alignment horizontal="left"/>
    </xf>
    <xf numFmtId="178" fontId="97" fillId="0" borderId="43" xfId="21" applyNumberFormat="1" applyFont="1" applyBorder="1" applyAlignment="1" applyProtection="1">
      <alignment horizontal="center"/>
      <protection hidden="1"/>
    </xf>
    <xf numFmtId="178" fontId="97" fillId="0" borderId="27" xfId="21" applyNumberFormat="1" applyFont="1" applyBorder="1" applyAlignment="1" applyProtection="1">
      <alignment horizontal="center"/>
      <protection hidden="1"/>
    </xf>
    <xf numFmtId="0" fontId="97" fillId="0" borderId="9" xfId="21" applyFont="1" applyBorder="1" applyAlignment="1" applyProtection="1">
      <alignment horizontal="center"/>
    </xf>
    <xf numFmtId="0" fontId="97" fillId="0" borderId="9" xfId="21" applyFont="1" applyBorder="1" applyAlignment="1" applyProtection="1">
      <alignment horizontal="center" shrinkToFit="1"/>
      <protection hidden="1"/>
    </xf>
    <xf numFmtId="0" fontId="97" fillId="0" borderId="0" xfId="21" applyFont="1" applyBorder="1" applyAlignment="1" applyProtection="1">
      <alignment horizontal="center" vertical="center"/>
      <protection hidden="1"/>
    </xf>
    <xf numFmtId="197" fontId="97" fillId="0" borderId="39" xfId="21" applyNumberFormat="1" applyFont="1" applyBorder="1" applyAlignment="1" applyProtection="1">
      <alignment shrinkToFit="1"/>
    </xf>
    <xf numFmtId="197" fontId="97" fillId="0" borderId="66" xfId="21" applyNumberFormat="1" applyFont="1" applyBorder="1" applyAlignment="1" applyProtection="1">
      <alignment shrinkToFit="1"/>
    </xf>
    <xf numFmtId="197" fontId="97" fillId="0" borderId="37" xfId="21" applyNumberFormat="1" applyFont="1" applyBorder="1" applyAlignment="1" applyProtection="1">
      <alignment shrinkToFit="1"/>
    </xf>
    <xf numFmtId="178" fontId="97" fillId="0" borderId="62" xfId="21" applyNumberFormat="1" applyFont="1" applyBorder="1" applyAlignment="1" applyProtection="1">
      <alignment horizontal="center"/>
      <protection hidden="1"/>
    </xf>
    <xf numFmtId="178" fontId="97" fillId="0" borderId="25" xfId="21" applyNumberFormat="1" applyFont="1" applyBorder="1" applyAlignment="1" applyProtection="1">
      <alignment horizontal="center"/>
      <protection hidden="1"/>
    </xf>
    <xf numFmtId="197" fontId="97" fillId="0" borderId="27" xfId="21" applyNumberFormat="1" applyFont="1" applyBorder="1" applyAlignment="1" applyProtection="1">
      <alignment horizontal="left" shrinkToFit="1"/>
    </xf>
    <xf numFmtId="197" fontId="97" fillId="0" borderId="98" xfId="21" applyNumberFormat="1" applyFont="1" applyBorder="1" applyAlignment="1" applyProtection="1">
      <alignment horizontal="left" shrinkToFit="1"/>
    </xf>
    <xf numFmtId="178" fontId="97" fillId="4" borderId="43" xfId="21" applyNumberFormat="1" applyFont="1" applyFill="1" applyBorder="1" applyAlignment="1" applyProtection="1">
      <alignment horizontal="center"/>
      <protection locked="0"/>
    </xf>
    <xf numFmtId="178" fontId="97" fillId="4" borderId="27" xfId="21" applyNumberFormat="1" applyFont="1" applyFill="1" applyBorder="1" applyAlignment="1" applyProtection="1">
      <alignment horizontal="center"/>
      <protection locked="0"/>
    </xf>
    <xf numFmtId="197" fontId="97" fillId="0" borderId="68" xfId="21" applyNumberFormat="1" applyFont="1" applyFill="1" applyBorder="1" applyAlignment="1" applyProtection="1">
      <alignment horizontal="left" vertical="center" shrinkToFit="1"/>
    </xf>
    <xf numFmtId="197" fontId="97" fillId="0" borderId="21" xfId="21" applyNumberFormat="1" applyFont="1" applyFill="1" applyBorder="1" applyAlignment="1" applyProtection="1">
      <alignment horizontal="left" vertical="center" shrinkToFit="1"/>
    </xf>
    <xf numFmtId="197" fontId="97" fillId="0" borderId="20" xfId="21" applyNumberFormat="1" applyFont="1" applyFill="1" applyBorder="1" applyAlignment="1" applyProtection="1">
      <alignment horizontal="left" vertical="center" shrinkToFit="1"/>
    </xf>
    <xf numFmtId="0" fontId="97" fillId="4" borderId="22" xfId="21" applyFont="1" applyFill="1" applyBorder="1" applyAlignment="1" applyProtection="1">
      <alignment horizontal="center" vertical="center" shrinkToFit="1"/>
      <protection locked="0"/>
    </xf>
    <xf numFmtId="0" fontId="97" fillId="4" borderId="69" xfId="21" applyFont="1" applyFill="1" applyBorder="1" applyAlignment="1" applyProtection="1">
      <alignment horizontal="center" vertical="center" shrinkToFit="1"/>
      <protection locked="0"/>
    </xf>
    <xf numFmtId="197" fontId="97" fillId="0" borderId="26" xfId="21" applyNumberFormat="1" applyFont="1" applyFill="1" applyBorder="1" applyAlignment="1" applyProtection="1">
      <alignment horizontal="left" vertical="center" shrinkToFit="1"/>
    </xf>
    <xf numFmtId="197" fontId="97" fillId="0" borderId="88" xfId="21" applyNumberFormat="1" applyFont="1" applyFill="1" applyBorder="1" applyAlignment="1" applyProtection="1">
      <alignment horizontal="left" vertical="center" shrinkToFit="1"/>
    </xf>
    <xf numFmtId="197" fontId="97" fillId="0" borderId="85" xfId="21" applyNumberFormat="1" applyFont="1" applyFill="1" applyBorder="1" applyAlignment="1" applyProtection="1">
      <alignment horizontal="left" vertical="center" shrinkToFit="1"/>
    </xf>
    <xf numFmtId="197" fontId="97" fillId="0" borderId="58" xfId="21" applyNumberFormat="1" applyFont="1" applyFill="1" applyBorder="1" applyAlignment="1" applyProtection="1">
      <alignment horizontal="left" vertical="center" shrinkToFit="1"/>
    </xf>
    <xf numFmtId="0" fontId="97" fillId="4" borderId="15" xfId="21" applyFont="1" applyFill="1" applyBorder="1" applyAlignment="1" applyProtection="1">
      <alignment horizontal="left" vertical="top" shrinkToFit="1"/>
      <protection locked="0"/>
    </xf>
    <xf numFmtId="0" fontId="97" fillId="4" borderId="90" xfId="21" applyFont="1" applyFill="1" applyBorder="1" applyAlignment="1" applyProtection="1">
      <alignment horizontal="left" vertical="top" shrinkToFit="1"/>
      <protection locked="0"/>
    </xf>
    <xf numFmtId="0" fontId="97" fillId="4" borderId="9" xfId="21" applyFont="1" applyFill="1" applyBorder="1" applyAlignment="1" applyProtection="1">
      <alignment horizontal="left" vertical="top" shrinkToFit="1"/>
      <protection locked="0"/>
    </xf>
    <xf numFmtId="0" fontId="97" fillId="4" borderId="33" xfId="21" applyFont="1" applyFill="1" applyBorder="1" applyAlignment="1" applyProtection="1">
      <alignment horizontal="left" vertical="top" shrinkToFit="1"/>
      <protection locked="0"/>
    </xf>
    <xf numFmtId="178" fontId="97" fillId="4" borderId="69" xfId="21" applyNumberFormat="1" applyFont="1" applyFill="1" applyBorder="1" applyAlignment="1" applyProtection="1">
      <alignment horizontal="center" vertical="center" shrinkToFit="1"/>
      <protection locked="0"/>
    </xf>
    <xf numFmtId="178" fontId="97" fillId="4" borderId="26" xfId="21" applyNumberFormat="1" applyFont="1" applyFill="1" applyBorder="1" applyAlignment="1" applyProtection="1">
      <alignment horizontal="center" vertical="center" shrinkToFit="1"/>
      <protection locked="0"/>
    </xf>
    <xf numFmtId="197" fontId="97" fillId="0" borderId="2" xfId="21" applyNumberFormat="1" applyFont="1" applyFill="1" applyBorder="1" applyAlignment="1" applyProtection="1">
      <alignment horizontal="left" vertical="center" shrinkToFit="1"/>
    </xf>
    <xf numFmtId="197" fontId="97" fillId="0" borderId="91" xfId="21" applyNumberFormat="1" applyFont="1" applyFill="1" applyBorder="1" applyAlignment="1" applyProtection="1">
      <alignment horizontal="left" vertical="center" shrinkToFit="1"/>
    </xf>
    <xf numFmtId="197" fontId="97" fillId="0" borderId="25" xfId="21" applyNumberFormat="1" applyFont="1" applyFill="1" applyBorder="1" applyAlignment="1" applyProtection="1">
      <alignment horizontal="left" vertical="center" shrinkToFit="1"/>
    </xf>
    <xf numFmtId="197" fontId="97" fillId="0" borderId="41" xfId="21" applyNumberFormat="1" applyFont="1" applyFill="1" applyBorder="1" applyAlignment="1" applyProtection="1">
      <alignment horizontal="left" vertical="center" shrinkToFit="1"/>
    </xf>
    <xf numFmtId="178" fontId="97" fillId="4" borderId="62" xfId="21" applyNumberFormat="1" applyFont="1" applyFill="1" applyBorder="1" applyAlignment="1" applyProtection="1">
      <alignment horizontal="left" vertical="top" shrinkToFit="1"/>
      <protection locked="0"/>
    </xf>
    <xf numFmtId="178" fontId="97" fillId="4" borderId="25" xfId="21" applyNumberFormat="1" applyFont="1" applyFill="1" applyBorder="1" applyAlignment="1" applyProtection="1">
      <alignment horizontal="left" vertical="top" shrinkToFit="1"/>
      <protection locked="0"/>
    </xf>
    <xf numFmtId="15" fontId="97" fillId="4" borderId="22" xfId="21" applyNumberFormat="1" applyFont="1" applyFill="1" applyBorder="1" applyAlignment="1" applyProtection="1">
      <alignment horizontal="center" vertical="center" shrinkToFit="1"/>
      <protection locked="0"/>
    </xf>
    <xf numFmtId="15" fontId="97" fillId="4" borderId="69" xfId="21" applyNumberFormat="1" applyFont="1" applyFill="1" applyBorder="1" applyAlignment="1" applyProtection="1">
      <alignment horizontal="center" vertical="center" shrinkToFit="1"/>
      <protection locked="0"/>
    </xf>
    <xf numFmtId="197" fontId="97" fillId="0" borderId="27" xfId="21" applyNumberFormat="1" applyFont="1" applyFill="1" applyBorder="1" applyAlignment="1" applyProtection="1">
      <alignment horizontal="left" vertical="center" shrinkToFit="1"/>
    </xf>
    <xf numFmtId="197" fontId="97" fillId="0" borderId="98" xfId="21" applyNumberFormat="1" applyFont="1" applyFill="1" applyBorder="1" applyAlignment="1" applyProtection="1">
      <alignment horizontal="left" vertical="center" shrinkToFit="1"/>
    </xf>
    <xf numFmtId="0" fontId="97" fillId="0" borderId="43" xfId="21" applyFont="1" applyFill="1" applyBorder="1" applyAlignment="1" applyProtection="1">
      <alignment horizontal="center" vertical="center" shrinkToFit="1"/>
      <protection hidden="1"/>
    </xf>
    <xf numFmtId="0" fontId="97" fillId="0" borderId="27" xfId="21" applyFont="1" applyFill="1" applyBorder="1" applyAlignment="1" applyProtection="1">
      <alignment horizontal="center" vertical="center" shrinkToFit="1"/>
      <protection hidden="1"/>
    </xf>
    <xf numFmtId="172" fontId="97" fillId="4" borderId="43" xfId="21" applyNumberFormat="1" applyFont="1" applyFill="1" applyBorder="1" applyAlignment="1" applyProtection="1">
      <alignment horizontal="center" vertical="center" shrinkToFit="1"/>
      <protection locked="0"/>
    </xf>
    <xf numFmtId="172" fontId="97" fillId="4" borderId="27" xfId="21" applyNumberFormat="1" applyFont="1" applyFill="1" applyBorder="1" applyAlignment="1" applyProtection="1">
      <alignment horizontal="center" vertical="center" shrinkToFit="1"/>
      <protection locked="0"/>
    </xf>
    <xf numFmtId="0" fontId="97" fillId="4" borderId="26" xfId="21" applyFont="1" applyFill="1" applyBorder="1" applyAlignment="1" applyProtection="1">
      <alignment horizontal="center" vertical="center" shrinkToFit="1"/>
      <protection locked="0"/>
    </xf>
    <xf numFmtId="2" fontId="97" fillId="4" borderId="69" xfId="21" applyNumberFormat="1" applyFont="1" applyFill="1" applyBorder="1" applyAlignment="1" applyProtection="1">
      <alignment horizontal="center" vertical="center" shrinkToFit="1"/>
      <protection locked="0"/>
    </xf>
    <xf numFmtId="2" fontId="97" fillId="4" borderId="26" xfId="21" applyNumberFormat="1" applyFont="1" applyFill="1" applyBorder="1" applyAlignment="1" applyProtection="1">
      <alignment horizontal="center" vertical="center" shrinkToFit="1"/>
      <protection locked="0"/>
    </xf>
    <xf numFmtId="0" fontId="274" fillId="21" borderId="32" xfId="21" applyNumberFormat="1" applyFont="1" applyFill="1" applyBorder="1" applyAlignment="1" applyProtection="1">
      <alignment horizontal="left"/>
    </xf>
    <xf numFmtId="0" fontId="274" fillId="21" borderId="9" xfId="21" applyNumberFormat="1" applyFont="1" applyFill="1" applyBorder="1" applyAlignment="1" applyProtection="1">
      <alignment horizontal="left"/>
    </xf>
    <xf numFmtId="0" fontId="97" fillId="21" borderId="9" xfId="21" applyFont="1" applyFill="1" applyBorder="1" applyAlignment="1" applyProtection="1">
      <alignment horizontal="left" shrinkToFit="1"/>
      <protection hidden="1"/>
    </xf>
    <xf numFmtId="197" fontId="97" fillId="21" borderId="9" xfId="21" applyNumberFormat="1" applyFont="1" applyFill="1" applyBorder="1" applyAlignment="1" applyProtection="1">
      <alignment horizontal="left"/>
    </xf>
    <xf numFmtId="0" fontId="80" fillId="21" borderId="9" xfId="21" applyFont="1" applyFill="1" applyBorder="1" applyAlignment="1" applyProtection="1">
      <alignment horizontal="left" shrinkToFit="1"/>
      <protection hidden="1"/>
    </xf>
    <xf numFmtId="0" fontId="80" fillId="21" borderId="33" xfId="21" applyFont="1" applyFill="1" applyBorder="1" applyAlignment="1" applyProtection="1">
      <alignment horizontal="left" shrinkToFit="1"/>
      <protection hidden="1"/>
    </xf>
    <xf numFmtId="0" fontId="281" fillId="21" borderId="178" xfId="21" applyFont="1" applyFill="1" applyBorder="1" applyAlignment="1" applyProtection="1">
      <alignment horizontal="center" vertical="center"/>
    </xf>
    <xf numFmtId="0" fontId="281" fillId="21" borderId="29" xfId="21" applyFont="1" applyFill="1" applyBorder="1" applyAlignment="1" applyProtection="1">
      <alignment horizontal="center" vertical="center"/>
    </xf>
    <xf numFmtId="0" fontId="281" fillId="21" borderId="179" xfId="21" applyFont="1" applyFill="1" applyBorder="1" applyAlignment="1" applyProtection="1">
      <alignment horizontal="center" vertical="center"/>
    </xf>
    <xf numFmtId="199" fontId="97" fillId="21" borderId="193" xfId="21" applyNumberFormat="1" applyFont="1" applyFill="1" applyBorder="1" applyAlignment="1" applyProtection="1">
      <alignment horizontal="left"/>
    </xf>
    <xf numFmtId="0" fontId="79" fillId="21" borderId="188" xfId="21" applyFont="1" applyFill="1" applyBorder="1" applyProtection="1"/>
    <xf numFmtId="0" fontId="80" fillId="21" borderId="188" xfId="21" applyFont="1" applyFill="1" applyBorder="1" applyAlignment="1" applyProtection="1">
      <alignment horizontal="left" shrinkToFit="1"/>
      <protection hidden="1"/>
    </xf>
    <xf numFmtId="197" fontId="97" fillId="21" borderId="188" xfId="21" applyNumberFormat="1" applyFont="1" applyFill="1" applyBorder="1" applyAlignment="1" applyProtection="1">
      <alignment horizontal="left"/>
    </xf>
    <xf numFmtId="0" fontId="80" fillId="21" borderId="188" xfId="21" applyNumberFormat="1" applyFont="1" applyFill="1" applyBorder="1" applyAlignment="1" applyProtection="1">
      <alignment horizontal="left" shrinkToFit="1"/>
      <protection hidden="1"/>
    </xf>
    <xf numFmtId="0" fontId="80" fillId="21" borderId="192" xfId="21" applyNumberFormat="1" applyFont="1" applyFill="1" applyBorder="1" applyAlignment="1" applyProtection="1">
      <alignment horizontal="left" shrinkToFit="1"/>
      <protection hidden="1"/>
    </xf>
    <xf numFmtId="199" fontId="97" fillId="21" borderId="7" xfId="21" applyNumberFormat="1" applyFont="1" applyFill="1" applyBorder="1" applyAlignment="1" applyProtection="1">
      <alignment horizontal="left"/>
    </xf>
    <xf numFmtId="199" fontId="97" fillId="21" borderId="0" xfId="21" applyNumberFormat="1" applyFont="1" applyFill="1" applyBorder="1" applyAlignment="1" applyProtection="1">
      <alignment horizontal="left"/>
    </xf>
    <xf numFmtId="0" fontId="80" fillId="21" borderId="0" xfId="21" applyFont="1" applyFill="1" applyBorder="1" applyAlignment="1" applyProtection="1">
      <alignment horizontal="left" shrinkToFit="1"/>
      <protection hidden="1"/>
    </xf>
    <xf numFmtId="197" fontId="97" fillId="21" borderId="0" xfId="21" applyNumberFormat="1" applyFont="1" applyFill="1" applyBorder="1" applyAlignment="1" applyProtection="1">
      <alignment horizontal="left"/>
    </xf>
    <xf numFmtId="15" fontId="80" fillId="21" borderId="0" xfId="21" applyNumberFormat="1" applyFont="1" applyFill="1" applyBorder="1" applyAlignment="1" applyProtection="1">
      <alignment horizontal="left" shrinkToFit="1"/>
      <protection hidden="1"/>
    </xf>
    <xf numFmtId="15" fontId="80" fillId="21" borderId="31" xfId="21" applyNumberFormat="1" applyFont="1" applyFill="1" applyBorder="1" applyAlignment="1" applyProtection="1">
      <alignment horizontal="left" shrinkToFit="1"/>
      <protection hidden="1"/>
    </xf>
    <xf numFmtId="0" fontId="274" fillId="0" borderId="284" xfId="21" applyFont="1" applyBorder="1" applyAlignment="1" applyProtection="1">
      <alignment horizontal="right" vertical="top"/>
    </xf>
    <xf numFmtId="0" fontId="274" fillId="0" borderId="280" xfId="21" applyFont="1" applyBorder="1" applyAlignment="1" applyProtection="1">
      <alignment horizontal="right" vertical="top"/>
    </xf>
    <xf numFmtId="0" fontId="274" fillId="0" borderId="0" xfId="21" applyFont="1" applyBorder="1" applyAlignment="1" applyProtection="1">
      <alignment horizontal="right" vertical="top"/>
    </xf>
    <xf numFmtId="0" fontId="274" fillId="0" borderId="31" xfId="21" applyFont="1" applyBorder="1" applyAlignment="1" applyProtection="1">
      <alignment horizontal="right" vertical="top"/>
    </xf>
    <xf numFmtId="0" fontId="274" fillId="0" borderId="9" xfId="21" applyFont="1" applyBorder="1" applyAlignment="1" applyProtection="1">
      <alignment horizontal="right" vertical="top"/>
    </xf>
    <xf numFmtId="0" fontId="274" fillId="0" borderId="33" xfId="21" applyFont="1" applyBorder="1" applyAlignment="1" applyProtection="1">
      <alignment horizontal="right" vertical="top"/>
    </xf>
    <xf numFmtId="0" fontId="41" fillId="3" borderId="9" xfId="40" applyFont="1" applyFill="1" applyBorder="1" applyAlignment="1" applyProtection="1">
      <alignment horizontal="center" shrinkToFit="1"/>
      <protection hidden="1"/>
    </xf>
    <xf numFmtId="0" fontId="64" fillId="5" borderId="188" xfId="40" applyFont="1" applyFill="1" applyBorder="1" applyAlignment="1" applyProtection="1">
      <alignment horizontal="center" vertical="justify" wrapText="1" shrinkToFit="1"/>
      <protection hidden="1"/>
    </xf>
    <xf numFmtId="0" fontId="64" fillId="5" borderId="0" xfId="40" applyFont="1" applyFill="1" applyBorder="1" applyAlignment="1" applyProtection="1">
      <alignment horizontal="center" vertical="justify" wrapText="1" shrinkToFit="1"/>
      <protection hidden="1"/>
    </xf>
    <xf numFmtId="0" fontId="64" fillId="5" borderId="188" xfId="40" applyFont="1" applyFill="1" applyBorder="1" applyAlignment="1" applyProtection="1">
      <alignment horizontal="center" vertical="justify" wrapText="1"/>
      <protection hidden="1"/>
    </xf>
    <xf numFmtId="0" fontId="64" fillId="5" borderId="0" xfId="40" applyFont="1" applyFill="1" applyBorder="1" applyAlignment="1" applyProtection="1">
      <alignment horizontal="center" vertical="justify" wrapText="1"/>
      <protection hidden="1"/>
    </xf>
    <xf numFmtId="0" fontId="41" fillId="0" borderId="9" xfId="40" applyFont="1" applyBorder="1" applyAlignment="1" applyProtection="1">
      <alignment horizontal="center" shrinkToFit="1"/>
      <protection hidden="1"/>
    </xf>
    <xf numFmtId="0" fontId="76" fillId="4" borderId="0" xfId="40" applyFont="1" applyFill="1" applyAlignment="1" applyProtection="1">
      <alignment horizontal="left" vertical="top" wrapText="1"/>
      <protection locked="0"/>
    </xf>
    <xf numFmtId="0" fontId="34" fillId="4" borderId="0" xfId="40" applyFont="1" applyFill="1" applyAlignment="1" applyProtection="1">
      <alignment horizontal="left" vertical="top" wrapText="1"/>
      <protection locked="0"/>
    </xf>
    <xf numFmtId="0" fontId="64" fillId="4" borderId="0" xfId="40" applyFont="1" applyFill="1" applyAlignment="1" applyProtection="1">
      <alignment horizontal="left" vertical="top" wrapText="1"/>
      <protection locked="0"/>
    </xf>
    <xf numFmtId="0" fontId="41" fillId="4" borderId="22" xfId="40" applyFont="1" applyFill="1" applyBorder="1" applyAlignment="1" applyProtection="1">
      <alignment horizontal="center" vertical="center" shrinkToFit="1"/>
      <protection locked="0"/>
    </xf>
    <xf numFmtId="0" fontId="41" fillId="4" borderId="20" xfId="40" applyFont="1" applyFill="1" applyBorder="1" applyAlignment="1" applyProtection="1">
      <alignment horizontal="center" vertical="center" shrinkToFit="1"/>
      <protection locked="0"/>
    </xf>
    <xf numFmtId="0" fontId="41" fillId="4" borderId="10" xfId="40" applyFont="1" applyFill="1" applyBorder="1" applyAlignment="1" applyProtection="1">
      <alignment vertical="center" shrinkToFit="1"/>
      <protection locked="0"/>
    </xf>
    <xf numFmtId="0" fontId="41" fillId="4" borderId="10" xfId="40" applyFont="1" applyFill="1" applyBorder="1" applyAlignment="1" applyProtection="1">
      <alignment horizontal="center" vertical="center" shrinkToFit="1"/>
      <protection locked="0"/>
    </xf>
    <xf numFmtId="0" fontId="13" fillId="4" borderId="10" xfId="40" applyFont="1" applyFill="1" applyBorder="1" applyAlignment="1" applyProtection="1">
      <alignment vertical="center" shrinkToFit="1"/>
      <protection locked="0"/>
    </xf>
    <xf numFmtId="0" fontId="79" fillId="4" borderId="0" xfId="40" applyFont="1" applyFill="1" applyAlignment="1" applyProtection="1">
      <alignment horizontal="justify" vertical="justify" wrapText="1"/>
      <protection locked="0"/>
    </xf>
    <xf numFmtId="0" fontId="41" fillId="4" borderId="0" xfId="40" applyFont="1" applyFill="1" applyAlignment="1" applyProtection="1">
      <alignment horizontal="justify" vertical="justify" wrapText="1"/>
      <protection locked="0"/>
    </xf>
    <xf numFmtId="0" fontId="64" fillId="18" borderId="10" xfId="40" applyFont="1" applyFill="1" applyBorder="1" applyAlignment="1" applyProtection="1">
      <alignment horizontal="center" vertical="center" wrapText="1"/>
      <protection hidden="1"/>
    </xf>
    <xf numFmtId="0" fontId="41" fillId="18" borderId="10" xfId="40" applyFont="1" applyFill="1" applyBorder="1" applyAlignment="1" applyProtection="1">
      <alignment horizontal="center" vertical="center" wrapText="1"/>
      <protection hidden="1"/>
    </xf>
    <xf numFmtId="0" fontId="3" fillId="4" borderId="10" xfId="40" applyFont="1" applyFill="1" applyBorder="1" applyAlignment="1" applyProtection="1">
      <alignment horizontal="center" vertical="center" shrinkToFit="1"/>
      <protection locked="0"/>
    </xf>
    <xf numFmtId="0" fontId="2" fillId="4" borderId="10" xfId="40" applyFont="1" applyFill="1" applyBorder="1" applyAlignment="1" applyProtection="1">
      <alignment horizontal="center" vertical="center" shrinkToFit="1"/>
      <protection locked="0"/>
    </xf>
    <xf numFmtId="0" fontId="64" fillId="18" borderId="22" xfId="40" applyFont="1" applyFill="1" applyBorder="1" applyAlignment="1" applyProtection="1">
      <alignment horizontal="center" vertical="center"/>
      <protection hidden="1"/>
    </xf>
    <xf numFmtId="0" fontId="41" fillId="18" borderId="21" xfId="40" applyFont="1" applyFill="1" applyBorder="1" applyAlignment="1" applyProtection="1">
      <alignment horizontal="center" vertical="center"/>
      <protection hidden="1"/>
    </xf>
    <xf numFmtId="0" fontId="41" fillId="18" borderId="20" xfId="40" applyFont="1" applyFill="1" applyBorder="1" applyAlignment="1" applyProtection="1">
      <alignment horizontal="center" vertical="center"/>
      <protection hidden="1"/>
    </xf>
    <xf numFmtId="0" fontId="64" fillId="18" borderId="10" xfId="40" applyFont="1" applyFill="1" applyBorder="1" applyAlignment="1" applyProtection="1">
      <alignment horizontal="center" vertical="center"/>
      <protection hidden="1"/>
    </xf>
    <xf numFmtId="0" fontId="41" fillId="0" borderId="10" xfId="40" applyFont="1" applyBorder="1" applyAlignment="1" applyProtection="1">
      <alignment horizontal="center" vertical="center"/>
      <protection hidden="1"/>
    </xf>
    <xf numFmtId="0" fontId="64" fillId="18" borderId="20" xfId="40" applyFont="1" applyFill="1" applyBorder="1" applyAlignment="1" applyProtection="1">
      <alignment horizontal="center" vertical="center"/>
      <protection hidden="1"/>
    </xf>
    <xf numFmtId="0" fontId="7" fillId="4" borderId="22" xfId="40" applyFont="1" applyFill="1" applyBorder="1" applyAlignment="1" applyProtection="1">
      <alignment horizontal="center" vertical="center" shrinkToFit="1"/>
      <protection locked="0"/>
    </xf>
    <xf numFmtId="0" fontId="41" fillId="4" borderId="15" xfId="40" applyFont="1" applyFill="1" applyBorder="1" applyAlignment="1" applyProtection="1">
      <alignment horizontal="center"/>
      <protection locked="0"/>
    </xf>
    <xf numFmtId="0" fontId="41" fillId="3" borderId="16" xfId="40" applyFont="1" applyFill="1" applyBorder="1" applyAlignment="1" applyProtection="1">
      <alignment horizontal="center" vertical="justify"/>
      <protection hidden="1"/>
    </xf>
    <xf numFmtId="0" fontId="41" fillId="3" borderId="15" xfId="40" applyFont="1" applyFill="1" applyBorder="1" applyAlignment="1" applyProtection="1">
      <alignment horizontal="center" vertical="justify"/>
      <protection hidden="1"/>
    </xf>
    <xf numFmtId="0" fontId="41" fillId="3" borderId="17" xfId="40" applyFont="1" applyFill="1" applyBorder="1" applyAlignment="1" applyProtection="1">
      <alignment horizontal="center" vertical="justify"/>
      <protection hidden="1"/>
    </xf>
    <xf numFmtId="0" fontId="41" fillId="3" borderId="19" xfId="40" applyFont="1" applyFill="1" applyBorder="1" applyAlignment="1" applyProtection="1">
      <alignment horizontal="center" vertical="justify"/>
      <protection hidden="1"/>
    </xf>
    <xf numFmtId="0" fontId="41" fillId="3" borderId="0" xfId="40" applyFont="1" applyFill="1" applyBorder="1" applyAlignment="1" applyProtection="1">
      <alignment horizontal="center" vertical="justify"/>
      <protection hidden="1"/>
    </xf>
    <xf numFmtId="0" fontId="41" fillId="3" borderId="18" xfId="40" applyFont="1" applyFill="1" applyBorder="1" applyAlignment="1" applyProtection="1">
      <alignment horizontal="center" vertical="justify"/>
      <protection hidden="1"/>
    </xf>
    <xf numFmtId="0" fontId="41" fillId="3" borderId="61" xfId="40" applyFont="1" applyFill="1" applyBorder="1" applyAlignment="1" applyProtection="1">
      <alignment horizontal="center" vertical="justify"/>
      <protection hidden="1"/>
    </xf>
    <xf numFmtId="0" fontId="41" fillId="3" borderId="13" xfId="40" applyFont="1" applyFill="1" applyBorder="1" applyAlignment="1" applyProtection="1">
      <alignment horizontal="center" vertical="justify"/>
      <protection hidden="1"/>
    </xf>
    <xf numFmtId="0" fontId="41" fillId="3" borderId="59" xfId="40" applyFont="1" applyFill="1" applyBorder="1" applyAlignment="1" applyProtection="1">
      <alignment horizontal="center" vertical="justify"/>
      <protection hidden="1"/>
    </xf>
    <xf numFmtId="0" fontId="41" fillId="3" borderId="16" xfId="40" applyFont="1" applyFill="1" applyBorder="1" applyAlignment="1" applyProtection="1">
      <alignment horizontal="center"/>
      <protection hidden="1"/>
    </xf>
    <xf numFmtId="0" fontId="41" fillId="3" borderId="15" xfId="40" applyFont="1" applyFill="1" applyBorder="1" applyAlignment="1" applyProtection="1">
      <alignment horizontal="center"/>
      <protection hidden="1"/>
    </xf>
    <xf numFmtId="0" fontId="41" fillId="3" borderId="17" xfId="40" applyFont="1" applyFill="1" applyBorder="1" applyAlignment="1" applyProtection="1">
      <alignment horizontal="center"/>
      <protection hidden="1"/>
    </xf>
    <xf numFmtId="0" fontId="41" fillId="3" borderId="19" xfId="40" applyFont="1" applyFill="1" applyBorder="1" applyAlignment="1" applyProtection="1">
      <alignment horizontal="center"/>
      <protection hidden="1"/>
    </xf>
    <xf numFmtId="0" fontId="41" fillId="3" borderId="0" xfId="40" applyFont="1" applyFill="1" applyBorder="1" applyAlignment="1" applyProtection="1">
      <alignment horizontal="center"/>
      <protection hidden="1"/>
    </xf>
    <xf numFmtId="0" fontId="41" fillId="3" borderId="18" xfId="40" applyFont="1" applyFill="1" applyBorder="1" applyAlignment="1" applyProtection="1">
      <alignment horizontal="center"/>
      <protection hidden="1"/>
    </xf>
    <xf numFmtId="0" fontId="41" fillId="3" borderId="61" xfId="40" applyFont="1" applyFill="1" applyBorder="1" applyAlignment="1" applyProtection="1">
      <alignment horizontal="center"/>
      <protection hidden="1"/>
    </xf>
    <xf numFmtId="0" fontId="41" fillId="3" borderId="13" xfId="40" applyFont="1" applyFill="1" applyBorder="1" applyAlignment="1" applyProtection="1">
      <alignment horizontal="center"/>
      <protection hidden="1"/>
    </xf>
    <xf numFmtId="0" fontId="41" fillId="3" borderId="59" xfId="40" applyFont="1" applyFill="1" applyBorder="1" applyAlignment="1" applyProtection="1">
      <alignment horizontal="center"/>
      <protection hidden="1"/>
    </xf>
    <xf numFmtId="0" fontId="38" fillId="4" borderId="22" xfId="40" applyFont="1" applyFill="1" applyBorder="1" applyAlignment="1" applyProtection="1">
      <alignment shrinkToFit="1"/>
      <protection locked="0"/>
    </xf>
    <xf numFmtId="0" fontId="38" fillId="4" borderId="21" xfId="40" applyFont="1" applyFill="1" applyBorder="1" applyAlignment="1" applyProtection="1">
      <alignment shrinkToFit="1"/>
      <protection locked="0"/>
    </xf>
    <xf numFmtId="0" fontId="38" fillId="4" borderId="20" xfId="40" applyFont="1" applyFill="1" applyBorder="1" applyAlignment="1" applyProtection="1">
      <alignment shrinkToFit="1"/>
      <protection locked="0"/>
    </xf>
    <xf numFmtId="0" fontId="62" fillId="0" borderId="0" xfId="40" applyAlignment="1" applyProtection="1">
      <alignment wrapText="1"/>
      <protection hidden="1"/>
    </xf>
    <xf numFmtId="0" fontId="76" fillId="4" borderId="22" xfId="40" applyFont="1" applyFill="1" applyBorder="1" applyAlignment="1" applyProtection="1">
      <alignment shrinkToFit="1"/>
      <protection locked="0"/>
    </xf>
    <xf numFmtId="0" fontId="76" fillId="4" borderId="21" xfId="40" applyFont="1" applyFill="1" applyBorder="1" applyAlignment="1" applyProtection="1">
      <alignment shrinkToFit="1"/>
      <protection locked="0"/>
    </xf>
    <xf numFmtId="0" fontId="76" fillId="4" borderId="20" xfId="40" applyFont="1" applyFill="1" applyBorder="1" applyAlignment="1" applyProtection="1">
      <alignment shrinkToFit="1"/>
      <protection locked="0"/>
    </xf>
    <xf numFmtId="0" fontId="43" fillId="3" borderId="0" xfId="40" applyFont="1" applyFill="1" applyBorder="1" applyAlignment="1" applyProtection="1">
      <alignment horizontal="center" wrapText="1"/>
      <protection hidden="1"/>
    </xf>
    <xf numFmtId="0" fontId="43" fillId="3" borderId="9" xfId="40" applyFont="1" applyFill="1" applyBorder="1" applyAlignment="1" applyProtection="1">
      <alignment horizontal="center" wrapText="1"/>
      <protection hidden="1"/>
    </xf>
    <xf numFmtId="0" fontId="64" fillId="5" borderId="188" xfId="40" applyFont="1" applyFill="1" applyBorder="1" applyAlignment="1" applyProtection="1">
      <alignment horizontal="center" vertical="justify"/>
      <protection hidden="1"/>
    </xf>
    <xf numFmtId="0" fontId="64" fillId="5" borderId="0" xfId="40" applyFont="1" applyFill="1" applyBorder="1" applyAlignment="1" applyProtection="1">
      <alignment horizontal="center" vertical="justify"/>
      <protection hidden="1"/>
    </xf>
    <xf numFmtId="178" fontId="64" fillId="31" borderId="128" xfId="40" applyNumberFormat="1" applyFont="1" applyFill="1" applyBorder="1" applyAlignment="1" applyProtection="1">
      <alignment horizontal="right" vertical="center" shrinkToFit="1"/>
      <protection hidden="1"/>
    </xf>
    <xf numFmtId="178" fontId="64" fillId="31" borderId="28" xfId="40" applyNumberFormat="1" applyFont="1" applyFill="1" applyBorder="1" applyAlignment="1" applyProtection="1">
      <alignment horizontal="right" vertical="center" shrinkToFit="1"/>
      <protection hidden="1"/>
    </xf>
    <xf numFmtId="0" fontId="126" fillId="5" borderId="30" xfId="40" applyNumberFormat="1" applyFont="1" applyFill="1" applyBorder="1" applyAlignment="1" applyProtection="1">
      <alignment horizontal="center"/>
      <protection hidden="1"/>
    </xf>
    <xf numFmtId="0" fontId="126" fillId="5" borderId="28" xfId="40" applyNumberFormat="1" applyFont="1" applyFill="1" applyBorder="1" applyAlignment="1" applyProtection="1">
      <alignment horizontal="center"/>
      <protection hidden="1"/>
    </xf>
    <xf numFmtId="211" fontId="62" fillId="0" borderId="25" xfId="40" applyNumberFormat="1" applyFill="1" applyBorder="1" applyAlignment="1" applyProtection="1">
      <alignment horizontal="left" shrinkToFit="1"/>
      <protection hidden="1"/>
    </xf>
    <xf numFmtId="178" fontId="87" fillId="4" borderId="10" xfId="26" applyNumberFormat="1" applyFont="1" applyFill="1" applyBorder="1" applyAlignment="1" applyProtection="1">
      <alignment horizontal="center" shrinkToFit="1"/>
      <protection locked="0"/>
    </xf>
    <xf numFmtId="178" fontId="86" fillId="4" borderId="10" xfId="0" applyNumberFormat="1" applyFont="1" applyFill="1" applyBorder="1" applyAlignment="1" applyProtection="1">
      <alignment horizontal="center" shrinkToFit="1"/>
      <protection locked="0"/>
    </xf>
    <xf numFmtId="166" fontId="76" fillId="3" borderId="9" xfId="0" applyFont="1" applyFill="1" applyBorder="1" applyAlignment="1" applyProtection="1">
      <alignment horizontal="center" vertical="center" shrinkToFit="1"/>
      <protection hidden="1"/>
    </xf>
    <xf numFmtId="166" fontId="74" fillId="5" borderId="284" xfId="0" applyFont="1" applyFill="1" applyBorder="1" applyAlignment="1" applyProtection="1">
      <alignment horizontal="center" vertical="center" shrinkToFit="1"/>
      <protection hidden="1"/>
    </xf>
    <xf numFmtId="166" fontId="79" fillId="4" borderId="10" xfId="0" applyFont="1" applyFill="1" applyBorder="1" applyAlignment="1" applyProtection="1">
      <alignment horizontal="left" shrinkToFit="1"/>
      <protection locked="0"/>
    </xf>
    <xf numFmtId="166" fontId="65" fillId="4" borderId="10" xfId="0" applyFont="1" applyFill="1" applyBorder="1" applyAlignment="1" applyProtection="1">
      <alignment horizontal="left" shrinkToFit="1"/>
      <protection locked="0"/>
    </xf>
    <xf numFmtId="178" fontId="86" fillId="4" borderId="10" xfId="26" applyNumberFormat="1" applyFont="1" applyFill="1" applyBorder="1" applyAlignment="1" applyProtection="1">
      <alignment horizontal="center" shrinkToFit="1"/>
      <protection locked="0"/>
    </xf>
    <xf numFmtId="166" fontId="79" fillId="4" borderId="10" xfId="0" applyFont="1" applyFill="1" applyBorder="1" applyAlignment="1" applyProtection="1">
      <alignment horizontal="center" shrinkToFit="1"/>
      <protection locked="0"/>
    </xf>
    <xf numFmtId="166" fontId="0" fillId="4" borderId="10" xfId="0" applyFill="1" applyBorder="1" applyAlignment="1" applyProtection="1">
      <alignment horizontal="center" shrinkToFit="1"/>
      <protection locked="0"/>
    </xf>
    <xf numFmtId="178" fontId="67" fillId="8" borderId="10" xfId="26" applyNumberFormat="1" applyFont="1" applyFill="1" applyBorder="1" applyAlignment="1" applyProtection="1">
      <alignment horizontal="center" shrinkToFit="1"/>
      <protection hidden="1"/>
    </xf>
    <xf numFmtId="178" fontId="66" fillId="8" borderId="10" xfId="0" applyNumberFormat="1" applyFont="1" applyFill="1" applyBorder="1" applyAlignment="1" applyProtection="1">
      <alignment horizontal="center" shrinkToFit="1"/>
      <protection hidden="1"/>
    </xf>
    <xf numFmtId="166" fontId="74" fillId="5" borderId="8" xfId="0" applyFont="1" applyFill="1" applyBorder="1" applyAlignment="1" applyProtection="1">
      <alignment horizontal="center" vertical="center"/>
      <protection hidden="1"/>
    </xf>
    <xf numFmtId="166" fontId="0" fillId="0" borderId="8" xfId="0" applyBorder="1" applyAlignment="1" applyProtection="1">
      <alignment horizontal="center" vertical="center"/>
      <protection hidden="1"/>
    </xf>
    <xf numFmtId="166" fontId="79" fillId="4" borderId="22" xfId="0" applyFont="1" applyFill="1" applyBorder="1" applyAlignment="1" applyProtection="1">
      <alignment shrinkToFit="1"/>
      <protection locked="0"/>
    </xf>
    <xf numFmtId="166" fontId="79" fillId="4" borderId="21" xfId="0" applyFont="1" applyFill="1" applyBorder="1" applyAlignment="1" applyProtection="1">
      <alignment shrinkToFit="1"/>
      <protection locked="0"/>
    </xf>
    <xf numFmtId="166" fontId="79" fillId="4" borderId="20" xfId="0" applyFont="1" applyFill="1" applyBorder="1" applyAlignment="1" applyProtection="1">
      <alignment shrinkToFit="1"/>
      <protection locked="0"/>
    </xf>
    <xf numFmtId="166" fontId="74" fillId="5" borderId="188" xfId="0" applyFont="1" applyFill="1" applyBorder="1" applyAlignment="1" applyProtection="1">
      <alignment horizontal="center" vertical="center" shrinkToFit="1"/>
      <protection hidden="1"/>
    </xf>
    <xf numFmtId="166" fontId="76" fillId="0" borderId="0" xfId="26" applyNumberFormat="1" applyFont="1" applyFill="1" applyBorder="1" applyAlignment="1" applyProtection="1">
      <alignment horizontal="left" vertical="center" wrapText="1"/>
      <protection hidden="1"/>
    </xf>
    <xf numFmtId="15" fontId="83" fillId="0" borderId="98" xfId="0" applyNumberFormat="1" applyFont="1" applyBorder="1" applyAlignment="1" applyProtection="1">
      <alignment horizontal="right" vertical="center" wrapText="1"/>
      <protection hidden="1"/>
    </xf>
    <xf numFmtId="166" fontId="0" fillId="0" borderId="75" xfId="0" applyFont="1" applyBorder="1" applyAlignment="1" applyProtection="1">
      <alignment horizontal="right" vertical="center" wrapText="1"/>
      <protection hidden="1"/>
    </xf>
    <xf numFmtId="166" fontId="0" fillId="0" borderId="40" xfId="0" applyFont="1" applyBorder="1" applyAlignment="1" applyProtection="1">
      <alignment horizontal="right" vertical="center" wrapText="1"/>
      <protection hidden="1"/>
    </xf>
    <xf numFmtId="166" fontId="83" fillId="0" borderId="88" xfId="0" applyFont="1" applyBorder="1" applyAlignment="1" applyProtection="1">
      <alignment horizontal="right" vertical="center" wrapText="1"/>
      <protection hidden="1"/>
    </xf>
    <xf numFmtId="166" fontId="0" fillId="0" borderId="10" xfId="0" applyFont="1" applyBorder="1" applyAlignment="1" applyProtection="1">
      <alignment horizontal="right" vertical="center" wrapText="1"/>
      <protection hidden="1"/>
    </xf>
    <xf numFmtId="166" fontId="0" fillId="0" borderId="42" xfId="0" applyFont="1" applyBorder="1" applyAlignment="1" applyProtection="1">
      <alignment horizontal="right" vertical="center" wrapText="1"/>
      <protection hidden="1"/>
    </xf>
    <xf numFmtId="166" fontId="74" fillId="0" borderId="0" xfId="26" applyNumberFormat="1" applyFont="1" applyFill="1" applyBorder="1" applyAlignment="1" applyProtection="1">
      <alignment horizontal="center" vertical="center"/>
      <protection hidden="1"/>
    </xf>
    <xf numFmtId="166" fontId="84" fillId="0" borderId="0" xfId="0" applyFont="1" applyBorder="1" applyAlignment="1" applyProtection="1">
      <alignment horizontal="center" vertical="center"/>
      <protection hidden="1"/>
    </xf>
    <xf numFmtId="166" fontId="74" fillId="0" borderId="19" xfId="26" applyNumberFormat="1" applyFont="1" applyFill="1" applyBorder="1" applyAlignment="1" applyProtection="1">
      <alignment horizontal="center" vertical="center"/>
      <protection hidden="1"/>
    </xf>
    <xf numFmtId="166" fontId="74" fillId="0" borderId="29" xfId="0" applyFont="1" applyBorder="1" applyAlignment="1" applyProtection="1">
      <alignment horizontal="center" vertical="center" shrinkToFit="1"/>
      <protection hidden="1"/>
    </xf>
    <xf numFmtId="166" fontId="74" fillId="0" borderId="28" xfId="0" applyFont="1" applyBorder="1" applyAlignment="1" applyProtection="1">
      <alignment horizontal="center" vertical="center" shrinkToFit="1"/>
      <protection hidden="1"/>
    </xf>
    <xf numFmtId="166" fontId="74" fillId="0" borderId="0" xfId="0" applyFont="1" applyBorder="1" applyAlignment="1" applyProtection="1">
      <alignment horizontal="center" vertical="center"/>
      <protection hidden="1"/>
    </xf>
    <xf numFmtId="166" fontId="74" fillId="0" borderId="18" xfId="0" applyFont="1" applyBorder="1" applyAlignment="1" applyProtection="1">
      <alignment horizontal="center" vertical="center"/>
      <protection hidden="1"/>
    </xf>
    <xf numFmtId="166" fontId="83" fillId="0" borderId="41" xfId="0" applyFont="1" applyBorder="1" applyAlignment="1" applyProtection="1">
      <alignment horizontal="right" vertical="center" wrapText="1"/>
      <protection hidden="1"/>
    </xf>
    <xf numFmtId="166" fontId="0" fillId="0" borderId="36" xfId="0" applyFont="1" applyBorder="1" applyAlignment="1" applyProtection="1">
      <alignment horizontal="right" vertical="center" wrapText="1"/>
      <protection hidden="1"/>
    </xf>
    <xf numFmtId="166" fontId="0" fillId="0" borderId="35" xfId="0" applyFont="1" applyBorder="1" applyAlignment="1" applyProtection="1">
      <alignment horizontal="right" vertical="center" wrapText="1"/>
      <protection hidden="1"/>
    </xf>
    <xf numFmtId="166" fontId="88" fillId="0" borderId="0" xfId="0" applyFont="1" applyBorder="1" applyAlignment="1" applyProtection="1">
      <alignment horizontal="center" vertical="center"/>
      <protection hidden="1"/>
    </xf>
    <xf numFmtId="166" fontId="79" fillId="4" borderId="10" xfId="0" applyFont="1" applyFill="1" applyBorder="1" applyAlignment="1" applyProtection="1">
      <alignment shrinkToFit="1"/>
      <protection locked="0"/>
    </xf>
    <xf numFmtId="166" fontId="65" fillId="4" borderId="10" xfId="0" applyFont="1" applyFill="1" applyBorder="1" applyAlignment="1" applyProtection="1">
      <alignment shrinkToFit="1"/>
      <protection locked="0"/>
    </xf>
    <xf numFmtId="166" fontId="79" fillId="4" borderId="10" xfId="26" applyNumberFormat="1" applyFont="1" applyFill="1" applyBorder="1" applyAlignment="1" applyProtection="1">
      <alignment shrinkToFit="1"/>
      <protection locked="0"/>
    </xf>
    <xf numFmtId="166" fontId="0" fillId="0" borderId="9" xfId="0" applyBorder="1" applyAlignment="1" applyProtection="1">
      <alignment horizontal="center" vertical="center" shrinkToFit="1"/>
      <protection hidden="1"/>
    </xf>
    <xf numFmtId="0" fontId="74" fillId="5" borderId="0" xfId="21" applyFont="1" applyFill="1" applyBorder="1" applyAlignment="1" applyProtection="1">
      <alignment vertical="center" shrinkToFit="1"/>
      <protection hidden="1"/>
    </xf>
    <xf numFmtId="166" fontId="0" fillId="5" borderId="0" xfId="0" applyFill="1" applyAlignment="1" applyProtection="1">
      <alignment vertical="center" shrinkToFit="1"/>
      <protection hidden="1"/>
    </xf>
    <xf numFmtId="211" fontId="76" fillId="0" borderId="0" xfId="27" applyNumberFormat="1" applyFont="1" applyFill="1" applyAlignment="1" applyProtection="1">
      <alignment horizontal="left" shrinkToFit="1"/>
      <protection hidden="1"/>
    </xf>
    <xf numFmtId="166" fontId="76" fillId="3" borderId="0" xfId="27" applyNumberFormat="1" applyFont="1" applyFill="1" applyAlignment="1" applyProtection="1">
      <alignment horizontal="left" shrinkToFit="1"/>
      <protection hidden="1"/>
    </xf>
    <xf numFmtId="0" fontId="74" fillId="3" borderId="0" xfId="21" applyFont="1" applyFill="1" applyBorder="1" applyAlignment="1" applyProtection="1">
      <alignment horizontal="left" vertical="center" shrinkToFit="1"/>
      <protection hidden="1"/>
    </xf>
    <xf numFmtId="15" fontId="76" fillId="3" borderId="0" xfId="27" applyNumberFormat="1" applyFont="1" applyFill="1" applyAlignment="1" applyProtection="1">
      <alignment horizontal="left" shrinkToFit="1"/>
      <protection hidden="1"/>
    </xf>
    <xf numFmtId="166" fontId="76" fillId="0" borderId="0" xfId="27" applyNumberFormat="1" applyFont="1" applyFill="1" applyAlignment="1" applyProtection="1">
      <alignment horizontal="left" shrinkToFit="1"/>
      <protection hidden="1"/>
    </xf>
    <xf numFmtId="1" fontId="76" fillId="0" borderId="0" xfId="27" applyNumberFormat="1" applyFont="1" applyFill="1" applyAlignment="1" applyProtection="1">
      <alignment horizontal="left" shrinkToFit="1"/>
      <protection hidden="1"/>
    </xf>
    <xf numFmtId="166" fontId="76" fillId="0" borderId="0" xfId="0" applyFont="1" applyAlignment="1" applyProtection="1">
      <alignment horizontal="left" shrinkToFit="1"/>
      <protection hidden="1"/>
    </xf>
    <xf numFmtId="166" fontId="76" fillId="0" borderId="15" xfId="27" applyNumberFormat="1" applyFont="1" applyFill="1" applyBorder="1" applyAlignment="1" applyProtection="1">
      <alignment horizontal="center" wrapText="1"/>
      <protection hidden="1"/>
    </xf>
    <xf numFmtId="166" fontId="0" fillId="0" borderId="15" xfId="0" applyFill="1" applyBorder="1" applyAlignment="1" applyProtection="1">
      <alignment horizontal="center" wrapText="1"/>
      <protection hidden="1"/>
    </xf>
    <xf numFmtId="166" fontId="74" fillId="0" borderId="13" xfId="27" applyNumberFormat="1" applyFont="1" applyFill="1" applyBorder="1" applyAlignment="1" applyProtection="1">
      <alignment horizontal="center" wrapText="1"/>
      <protection hidden="1"/>
    </xf>
    <xf numFmtId="166" fontId="98" fillId="0" borderId="13" xfId="0" applyFont="1" applyBorder="1" applyAlignment="1" applyProtection="1">
      <alignment horizontal="center" wrapText="1"/>
      <protection hidden="1"/>
    </xf>
    <xf numFmtId="166" fontId="76" fillId="0" borderId="0" xfId="27" applyNumberFormat="1" applyFont="1" applyFill="1" applyBorder="1" applyProtection="1">
      <protection hidden="1"/>
    </xf>
    <xf numFmtId="166" fontId="76" fillId="0" borderId="0" xfId="27" applyNumberFormat="1" applyFont="1" applyFill="1" applyBorder="1" applyAlignment="1" applyProtection="1">
      <alignment horizontal="left" shrinkToFit="1"/>
      <protection hidden="1"/>
    </xf>
    <xf numFmtId="166" fontId="76" fillId="0" borderId="0" xfId="27" applyNumberFormat="1" applyFont="1" applyFill="1" applyBorder="1" applyAlignment="1" applyProtection="1">
      <alignment shrinkToFit="1"/>
      <protection hidden="1"/>
    </xf>
    <xf numFmtId="166" fontId="74" fillId="0" borderId="13" xfId="27" applyNumberFormat="1" applyFont="1" applyFill="1" applyBorder="1" applyAlignment="1" applyProtection="1">
      <alignment horizontal="right" vertical="top" wrapText="1"/>
      <protection hidden="1"/>
    </xf>
    <xf numFmtId="166" fontId="98" fillId="0" borderId="13" xfId="0" applyFont="1" applyBorder="1" applyAlignment="1" applyProtection="1">
      <alignment horizontal="right" vertical="top" wrapText="1"/>
      <protection hidden="1"/>
    </xf>
    <xf numFmtId="180" fontId="101" fillId="0" borderId="13" xfId="0" applyNumberFormat="1" applyFont="1" applyBorder="1" applyAlignment="1" applyProtection="1">
      <alignment horizontal="center" vertical="top"/>
      <protection hidden="1"/>
    </xf>
    <xf numFmtId="166" fontId="0" fillId="0" borderId="13" xfId="0" applyBorder="1" applyAlignment="1" applyProtection="1">
      <alignment vertical="top"/>
      <protection hidden="1"/>
    </xf>
    <xf numFmtId="166" fontId="97" fillId="4" borderId="0" xfId="27" applyNumberFormat="1" applyFont="1" applyFill="1" applyBorder="1" applyAlignment="1" applyProtection="1">
      <alignment shrinkToFit="1"/>
      <protection locked="0"/>
    </xf>
    <xf numFmtId="166" fontId="97" fillId="4" borderId="0" xfId="27" applyNumberFormat="1" applyFont="1" applyFill="1" applyBorder="1" applyAlignment="1" applyProtection="1">
      <alignment horizontal="left" shrinkToFit="1"/>
      <protection locked="0"/>
    </xf>
    <xf numFmtId="166" fontId="74" fillId="5" borderId="0" xfId="27" applyNumberFormat="1" applyFont="1" applyFill="1" applyBorder="1" applyAlignment="1" applyProtection="1">
      <alignment horizontal="center"/>
      <protection hidden="1"/>
    </xf>
    <xf numFmtId="166" fontId="74" fillId="5" borderId="0" xfId="0" applyFont="1" applyFill="1" applyAlignment="1" applyProtection="1">
      <alignment horizontal="center"/>
      <protection hidden="1"/>
    </xf>
    <xf numFmtId="166" fontId="74" fillId="0" borderId="15" xfId="27" applyNumberFormat="1" applyFont="1" applyFill="1" applyBorder="1" applyAlignment="1" applyProtection="1">
      <alignment horizontal="center" wrapText="1"/>
      <protection hidden="1"/>
    </xf>
    <xf numFmtId="166" fontId="98" fillId="0" borderId="15" xfId="0" applyFont="1" applyFill="1" applyBorder="1" applyAlignment="1" applyProtection="1">
      <alignment horizontal="center" wrapText="1"/>
      <protection hidden="1"/>
    </xf>
    <xf numFmtId="166" fontId="97" fillId="0" borderId="0" xfId="27" applyNumberFormat="1" applyFont="1" applyFill="1" applyBorder="1" applyProtection="1">
      <protection hidden="1"/>
    </xf>
    <xf numFmtId="166" fontId="74" fillId="5" borderId="223" xfId="27" applyNumberFormat="1" applyFont="1" applyFill="1" applyBorder="1" applyAlignment="1" applyProtection="1">
      <alignment horizontal="center" vertical="center" wrapText="1"/>
      <protection hidden="1"/>
    </xf>
    <xf numFmtId="166" fontId="74" fillId="5" borderId="0" xfId="27" applyNumberFormat="1" applyFont="1" applyFill="1" applyBorder="1" applyAlignment="1" applyProtection="1">
      <alignment horizontal="center" vertical="center" wrapText="1"/>
      <protection hidden="1"/>
    </xf>
    <xf numFmtId="166" fontId="74" fillId="5" borderId="223" xfId="27" applyNumberFormat="1" applyFont="1" applyFill="1" applyBorder="1" applyAlignment="1" applyProtection="1">
      <alignment horizontal="center" shrinkToFit="1"/>
      <protection hidden="1"/>
    </xf>
    <xf numFmtId="166" fontId="76" fillId="0" borderId="0" xfId="27" applyNumberFormat="1" applyFont="1" applyFill="1" applyBorder="1" applyAlignment="1" applyProtection="1">
      <alignment horizontal="center" shrinkToFit="1"/>
      <protection hidden="1"/>
    </xf>
    <xf numFmtId="166" fontId="76" fillId="0" borderId="9" xfId="27" applyNumberFormat="1" applyFont="1" applyFill="1" applyBorder="1" applyAlignment="1" applyProtection="1">
      <alignment horizontal="center" shrinkToFit="1"/>
      <protection hidden="1"/>
    </xf>
    <xf numFmtId="0" fontId="67" fillId="5" borderId="8" xfId="0" applyNumberFormat="1" applyFont="1" applyFill="1" applyBorder="1" applyAlignment="1" applyProtection="1">
      <alignment horizontal="center" vertical="center"/>
      <protection hidden="1"/>
    </xf>
    <xf numFmtId="0" fontId="66" fillId="0" borderId="8" xfId="0" applyNumberFormat="1" applyFont="1" applyBorder="1" applyAlignment="1" applyProtection="1">
      <alignment horizontal="center" vertical="center"/>
      <protection hidden="1"/>
    </xf>
    <xf numFmtId="0" fontId="66" fillId="4" borderId="22" xfId="0" applyNumberFormat="1" applyFont="1" applyFill="1" applyBorder="1" applyAlignment="1" applyProtection="1">
      <alignment shrinkToFit="1"/>
      <protection locked="0"/>
    </xf>
    <xf numFmtId="0" fontId="66" fillId="4" borderId="21" xfId="0" applyNumberFormat="1" applyFont="1" applyFill="1" applyBorder="1" applyAlignment="1" applyProtection="1">
      <alignment shrinkToFit="1"/>
      <protection locked="0"/>
    </xf>
    <xf numFmtId="0" fontId="66" fillId="4" borderId="20" xfId="0" applyNumberFormat="1" applyFont="1" applyFill="1" applyBorder="1" applyAlignment="1" applyProtection="1">
      <alignment shrinkToFit="1"/>
      <protection locked="0"/>
    </xf>
    <xf numFmtId="0" fontId="66" fillId="3" borderId="9" xfId="0" applyNumberFormat="1" applyFont="1" applyFill="1" applyBorder="1" applyAlignment="1" applyProtection="1">
      <alignment horizontal="center" vertical="center" shrinkToFit="1"/>
      <protection hidden="1"/>
    </xf>
    <xf numFmtId="0" fontId="66" fillId="0" borderId="9" xfId="0" applyNumberFormat="1" applyFont="1" applyBorder="1" applyAlignment="1" applyProtection="1">
      <alignment horizontal="center" vertical="center" shrinkToFit="1"/>
      <protection hidden="1"/>
    </xf>
    <xf numFmtId="0" fontId="66" fillId="4" borderId="10" xfId="0" applyNumberFormat="1" applyFont="1" applyFill="1" applyBorder="1" applyAlignment="1" applyProtection="1">
      <alignment horizontal="left" shrinkToFit="1"/>
      <protection locked="0"/>
    </xf>
    <xf numFmtId="15" fontId="66" fillId="4" borderId="10" xfId="26" applyNumberFormat="1" applyFont="1" applyFill="1" applyBorder="1" applyAlignment="1" applyProtection="1">
      <alignment horizontal="center" shrinkToFit="1"/>
      <protection locked="0"/>
    </xf>
    <xf numFmtId="15" fontId="66" fillId="4" borderId="10" xfId="0" applyNumberFormat="1" applyFont="1" applyFill="1" applyBorder="1" applyAlignment="1" applyProtection="1">
      <alignment horizontal="center" shrinkToFit="1"/>
      <protection locked="0"/>
    </xf>
    <xf numFmtId="178" fontId="67" fillId="4" borderId="10" xfId="26" applyNumberFormat="1" applyFont="1" applyFill="1" applyBorder="1" applyAlignment="1" applyProtection="1">
      <alignment horizontal="center" shrinkToFit="1"/>
      <protection locked="0"/>
    </xf>
    <xf numFmtId="178" fontId="66" fillId="4" borderId="10" xfId="0" applyNumberFormat="1" applyFont="1" applyFill="1" applyBorder="1" applyAlignment="1" applyProtection="1">
      <alignment horizontal="center" shrinkToFit="1"/>
      <protection locked="0"/>
    </xf>
    <xf numFmtId="0" fontId="66" fillId="4" borderId="10" xfId="0" applyNumberFormat="1" applyFont="1" applyFill="1" applyBorder="1" applyAlignment="1" applyProtection="1">
      <alignment horizontal="center" shrinkToFit="1"/>
      <protection locked="0"/>
    </xf>
    <xf numFmtId="178" fontId="120" fillId="29" borderId="10" xfId="26" applyNumberFormat="1" applyFont="1" applyFill="1" applyBorder="1" applyAlignment="1" applyProtection="1">
      <alignment horizontal="center"/>
      <protection hidden="1"/>
    </xf>
    <xf numFmtId="178" fontId="153" fillId="29" borderId="10" xfId="0" applyNumberFormat="1" applyFont="1" applyFill="1" applyBorder="1" applyAlignment="1" applyProtection="1">
      <alignment horizontal="center"/>
      <protection hidden="1"/>
    </xf>
    <xf numFmtId="0" fontId="67" fillId="0" borderId="16" xfId="0" applyNumberFormat="1" applyFont="1" applyBorder="1" applyAlignment="1" applyProtection="1">
      <alignment shrinkToFit="1"/>
      <protection hidden="1"/>
    </xf>
    <xf numFmtId="0" fontId="67" fillId="0" borderId="15" xfId="0" applyNumberFormat="1" applyFont="1" applyBorder="1" applyAlignment="1" applyProtection="1">
      <alignment shrinkToFit="1"/>
      <protection hidden="1"/>
    </xf>
    <xf numFmtId="0" fontId="67" fillId="5" borderId="188" xfId="0" applyNumberFormat="1" applyFont="1" applyFill="1" applyBorder="1" applyAlignment="1" applyProtection="1">
      <alignment horizontal="center" vertical="center" shrinkToFit="1"/>
      <protection hidden="1"/>
    </xf>
    <xf numFmtId="0" fontId="66" fillId="4" borderId="10" xfId="0" applyNumberFormat="1" applyFont="1" applyFill="1" applyBorder="1" applyAlignment="1" applyProtection="1">
      <alignment shrinkToFit="1"/>
      <protection locked="0"/>
    </xf>
    <xf numFmtId="0" fontId="67" fillId="5" borderId="10" xfId="26" applyNumberFormat="1" applyFont="1" applyFill="1" applyBorder="1" applyAlignment="1" applyProtection="1">
      <alignment horizontal="center" vertical="center"/>
      <protection hidden="1"/>
    </xf>
    <xf numFmtId="0" fontId="66" fillId="4" borderId="10" xfId="26" applyNumberFormat="1" applyFont="1" applyFill="1" applyBorder="1" applyAlignment="1" applyProtection="1">
      <alignment shrinkToFit="1"/>
      <protection locked="0"/>
    </xf>
    <xf numFmtId="0" fontId="67" fillId="5" borderId="0" xfId="21" applyNumberFormat="1" applyFont="1" applyFill="1" applyBorder="1" applyAlignment="1" applyProtection="1">
      <alignment horizontal="left" vertical="center"/>
      <protection hidden="1"/>
    </xf>
    <xf numFmtId="0" fontId="67" fillId="6" borderId="0" xfId="21" applyNumberFormat="1" applyFont="1" applyFill="1" applyBorder="1" applyAlignment="1" applyProtection="1">
      <alignment horizontal="left" vertical="center" shrinkToFit="1"/>
      <protection hidden="1"/>
    </xf>
    <xf numFmtId="0" fontId="66" fillId="6" borderId="0" xfId="21" applyNumberFormat="1" applyFont="1" applyFill="1" applyBorder="1" applyAlignment="1" applyProtection="1">
      <alignment horizontal="left" vertical="center" shrinkToFit="1"/>
      <protection hidden="1"/>
    </xf>
    <xf numFmtId="15" fontId="66" fillId="6" borderId="0" xfId="21" applyNumberFormat="1" applyFont="1" applyFill="1" applyBorder="1" applyAlignment="1" applyProtection="1">
      <alignment horizontal="left" vertical="center" shrinkToFit="1"/>
      <protection hidden="1"/>
    </xf>
    <xf numFmtId="211" fontId="66" fillId="6" borderId="0" xfId="21" applyNumberFormat="1" applyFont="1" applyFill="1" applyBorder="1" applyAlignment="1" applyProtection="1">
      <alignment horizontal="left" vertical="center" shrinkToFit="1"/>
      <protection hidden="1"/>
    </xf>
    <xf numFmtId="0" fontId="156" fillId="31" borderId="24" xfId="45" applyNumberFormat="1" applyFont="1" applyFill="1" applyBorder="1" applyAlignment="1" applyProtection="1">
      <alignment horizontal="center"/>
      <protection hidden="1"/>
    </xf>
    <xf numFmtId="0" fontId="156" fillId="31" borderId="23" xfId="45" applyNumberFormat="1" applyFont="1" applyFill="1" applyBorder="1" applyAlignment="1" applyProtection="1">
      <alignment horizontal="center"/>
      <protection hidden="1"/>
    </xf>
    <xf numFmtId="0" fontId="156" fillId="31" borderId="2" xfId="45" applyNumberFormat="1" applyFont="1" applyFill="1" applyBorder="1" applyAlignment="1" applyProtection="1">
      <alignment horizontal="center"/>
      <protection hidden="1"/>
    </xf>
    <xf numFmtId="0" fontId="151" fillId="31" borderId="24" xfId="45" applyNumberFormat="1" applyFont="1" applyFill="1" applyBorder="1" applyAlignment="1" applyProtection="1">
      <alignment horizontal="center"/>
      <protection hidden="1"/>
    </xf>
    <xf numFmtId="0" fontId="151" fillId="31" borderId="23" xfId="45" applyNumberFormat="1" applyFont="1" applyFill="1" applyBorder="1" applyAlignment="1" applyProtection="1">
      <alignment horizontal="center"/>
      <protection hidden="1"/>
    </xf>
    <xf numFmtId="0" fontId="151" fillId="31" borderId="2" xfId="45" applyNumberFormat="1" applyFont="1" applyFill="1" applyBorder="1" applyAlignment="1" applyProtection="1">
      <alignment horizontal="center"/>
      <protection hidden="1"/>
    </xf>
    <xf numFmtId="0" fontId="147" fillId="31" borderId="24" xfId="45" applyNumberFormat="1" applyFont="1" applyFill="1" applyBorder="1" applyAlignment="1" applyProtection="1">
      <alignment horizontal="center" vertical="center" wrapText="1"/>
      <protection hidden="1"/>
    </xf>
    <xf numFmtId="0" fontId="147" fillId="31" borderId="23" xfId="45" applyNumberFormat="1" applyFont="1" applyFill="1" applyBorder="1" applyAlignment="1" applyProtection="1">
      <alignment horizontal="center" vertical="center" wrapText="1"/>
      <protection hidden="1"/>
    </xf>
    <xf numFmtId="0" fontId="147" fillId="31" borderId="2" xfId="45" applyNumberFormat="1" applyFont="1" applyFill="1" applyBorder="1" applyAlignment="1" applyProtection="1">
      <alignment horizontal="center" vertical="center" wrapText="1"/>
      <protection hidden="1"/>
    </xf>
    <xf numFmtId="0" fontId="151" fillId="31" borderId="11" xfId="45" applyNumberFormat="1" applyFont="1" applyFill="1" applyBorder="1" applyAlignment="1" applyProtection="1">
      <alignment horizontal="center" vertical="center"/>
      <protection hidden="1"/>
    </xf>
    <xf numFmtId="0" fontId="151" fillId="31" borderId="8" xfId="45" applyNumberFormat="1" applyFont="1" applyFill="1" applyBorder="1" applyAlignment="1" applyProtection="1">
      <alignment horizontal="center" vertical="center"/>
      <protection hidden="1"/>
    </xf>
    <xf numFmtId="0" fontId="151" fillId="31" borderId="34" xfId="45" applyNumberFormat="1" applyFont="1" applyFill="1" applyBorder="1" applyAlignment="1" applyProtection="1">
      <alignment horizontal="center" vertical="center"/>
      <protection hidden="1"/>
    </xf>
    <xf numFmtId="0" fontId="151" fillId="31" borderId="7" xfId="45" applyNumberFormat="1" applyFont="1" applyFill="1" applyBorder="1" applyAlignment="1" applyProtection="1">
      <alignment horizontal="center" vertical="center"/>
      <protection hidden="1"/>
    </xf>
    <xf numFmtId="0" fontId="151" fillId="31" borderId="0" xfId="45" applyNumberFormat="1" applyFont="1" applyFill="1" applyBorder="1" applyAlignment="1" applyProtection="1">
      <alignment horizontal="center" vertical="center"/>
      <protection hidden="1"/>
    </xf>
    <xf numFmtId="0" fontId="151" fillId="31" borderId="11" xfId="45" applyNumberFormat="1" applyFont="1" applyFill="1" applyBorder="1" applyAlignment="1" applyProtection="1">
      <alignment horizontal="center" vertical="center" shrinkToFit="1"/>
      <protection hidden="1"/>
    </xf>
    <xf numFmtId="0" fontId="151" fillId="31" borderId="34" xfId="45" applyNumberFormat="1" applyFont="1" applyFill="1" applyBorder="1" applyAlignment="1" applyProtection="1">
      <alignment horizontal="center" vertical="center" shrinkToFit="1"/>
      <protection hidden="1"/>
    </xf>
    <xf numFmtId="0" fontId="151" fillId="31" borderId="7" xfId="45" applyNumberFormat="1" applyFont="1" applyFill="1" applyBorder="1" applyAlignment="1" applyProtection="1">
      <alignment horizontal="center" vertical="center" shrinkToFit="1"/>
      <protection hidden="1"/>
    </xf>
    <xf numFmtId="0" fontId="151" fillId="31" borderId="31" xfId="45" applyNumberFormat="1" applyFont="1" applyFill="1" applyBorder="1" applyAlignment="1" applyProtection="1">
      <alignment horizontal="center" vertical="center" shrinkToFit="1"/>
      <protection hidden="1"/>
    </xf>
    <xf numFmtId="178" fontId="146" fillId="0" borderId="88" xfId="46" applyNumberFormat="1" applyFont="1" applyFill="1" applyBorder="1" applyAlignment="1" applyProtection="1">
      <alignment horizontal="center" vertical="center" shrinkToFit="1"/>
      <protection hidden="1"/>
    </xf>
    <xf numFmtId="178" fontId="146" fillId="0" borderId="42" xfId="46" applyNumberFormat="1" applyFont="1" applyFill="1" applyBorder="1" applyAlignment="1" applyProtection="1">
      <alignment horizontal="center" vertical="center" shrinkToFit="1"/>
      <protection hidden="1"/>
    </xf>
    <xf numFmtId="178" fontId="146" fillId="0" borderId="41" xfId="46" applyNumberFormat="1" applyFont="1" applyFill="1" applyBorder="1" applyAlignment="1" applyProtection="1">
      <alignment horizontal="center" vertical="center" shrinkToFit="1"/>
      <protection hidden="1"/>
    </xf>
    <xf numFmtId="178" fontId="146" fillId="0" borderId="35" xfId="46" applyNumberFormat="1" applyFont="1" applyFill="1" applyBorder="1" applyAlignment="1" applyProtection="1">
      <alignment horizontal="center" vertical="center" shrinkToFit="1"/>
      <protection hidden="1"/>
    </xf>
    <xf numFmtId="178" fontId="146" fillId="0" borderId="20" xfId="46" applyNumberFormat="1" applyFont="1" applyFill="1" applyBorder="1" applyAlignment="1" applyProtection="1">
      <alignment horizontal="center" vertical="center" shrinkToFit="1"/>
      <protection hidden="1"/>
    </xf>
    <xf numFmtId="178" fontId="146" fillId="0" borderId="37" xfId="46" applyNumberFormat="1" applyFont="1" applyFill="1" applyBorder="1" applyAlignment="1" applyProtection="1">
      <alignment horizontal="center" vertical="center" shrinkToFit="1"/>
      <protection hidden="1"/>
    </xf>
    <xf numFmtId="0" fontId="151" fillId="19" borderId="88" xfId="45" applyNumberFormat="1" applyFont="1" applyFill="1" applyBorder="1" applyAlignment="1" applyProtection="1">
      <alignment vertical="center" shrinkToFit="1"/>
      <protection locked="0"/>
    </xf>
    <xf numFmtId="0" fontId="151" fillId="19" borderId="42" xfId="45" applyNumberFormat="1" applyFont="1" applyFill="1" applyBorder="1" applyAlignment="1" applyProtection="1">
      <alignment vertical="center" shrinkToFit="1"/>
      <protection locked="0"/>
    </xf>
    <xf numFmtId="209" fontId="67" fillId="29" borderId="30" xfId="46" applyNumberFormat="1" applyFont="1" applyFill="1" applyBorder="1" applyAlignment="1" applyProtection="1">
      <alignment horizontal="center" vertical="center"/>
      <protection hidden="1"/>
    </xf>
    <xf numFmtId="209" fontId="67" fillId="29" borderId="28" xfId="46" applyNumberFormat="1" applyFont="1" applyFill="1" applyBorder="1" applyAlignment="1" applyProtection="1">
      <alignment horizontal="center" vertical="center"/>
      <protection hidden="1"/>
    </xf>
    <xf numFmtId="0" fontId="77" fillId="0" borderId="8" xfId="45" applyNumberFormat="1" applyFont="1" applyFill="1" applyBorder="1" applyAlignment="1" applyProtection="1">
      <alignment horizontal="center" vertical="center"/>
      <protection hidden="1"/>
    </xf>
    <xf numFmtId="209" fontId="87" fillId="3" borderId="89" xfId="46" applyNumberFormat="1" applyFont="1" applyFill="1" applyBorder="1" applyAlignment="1" applyProtection="1">
      <alignment horizontal="center" vertical="center"/>
      <protection hidden="1"/>
    </xf>
    <xf numFmtId="209" fontId="87" fillId="3" borderId="90" xfId="46" applyNumberFormat="1" applyFont="1" applyFill="1" applyBorder="1" applyAlignment="1" applyProtection="1">
      <alignment horizontal="center" vertical="center"/>
      <protection hidden="1"/>
    </xf>
    <xf numFmtId="209" fontId="147" fillId="3" borderId="65" xfId="46" applyNumberFormat="1" applyFont="1" applyFill="1" applyBorder="1" applyAlignment="1" applyProtection="1">
      <alignment horizontal="center" vertical="center"/>
      <protection hidden="1"/>
    </xf>
    <xf numFmtId="209" fontId="147" fillId="3" borderId="43" xfId="46" applyNumberFormat="1" applyFont="1" applyFill="1" applyBorder="1" applyAlignment="1" applyProtection="1">
      <alignment horizontal="center" vertical="center"/>
      <protection hidden="1"/>
    </xf>
    <xf numFmtId="209" fontId="147" fillId="3" borderId="68" xfId="46" applyNumberFormat="1" applyFont="1" applyFill="1" applyBorder="1" applyAlignment="1" applyProtection="1">
      <alignment horizontal="center" vertical="center"/>
      <protection hidden="1"/>
    </xf>
    <xf numFmtId="209" fontId="147" fillId="3" borderId="69" xfId="46" applyNumberFormat="1" applyFont="1" applyFill="1" applyBorder="1" applyAlignment="1" applyProtection="1">
      <alignment horizontal="center" vertical="center"/>
      <protection hidden="1"/>
    </xf>
    <xf numFmtId="166" fontId="66" fillId="4" borderId="22" xfId="0" applyFont="1" applyFill="1" applyBorder="1" applyAlignment="1" applyProtection="1">
      <alignment vertical="center" shrinkToFit="1"/>
      <protection locked="0"/>
    </xf>
    <xf numFmtId="166" fontId="66" fillId="4" borderId="21" xfId="0" applyFont="1" applyFill="1" applyBorder="1" applyAlignment="1" applyProtection="1">
      <alignment vertical="center" shrinkToFit="1"/>
      <protection locked="0"/>
    </xf>
    <xf numFmtId="166" fontId="66" fillId="4" borderId="20" xfId="0" applyFont="1" applyFill="1" applyBorder="1" applyAlignment="1" applyProtection="1">
      <alignment vertical="center" shrinkToFit="1"/>
      <protection locked="0"/>
    </xf>
    <xf numFmtId="0" fontId="151" fillId="19" borderId="41" xfId="45" applyNumberFormat="1" applyFont="1" applyFill="1" applyBorder="1" applyAlignment="1" applyProtection="1">
      <alignment vertical="center" shrinkToFit="1"/>
      <protection locked="0"/>
    </xf>
    <xf numFmtId="0" fontId="151" fillId="19" borderId="35" xfId="45" applyNumberFormat="1" applyFont="1" applyFill="1" applyBorder="1" applyAlignment="1" applyProtection="1">
      <alignment vertical="center" shrinkToFit="1"/>
      <protection locked="0"/>
    </xf>
    <xf numFmtId="0" fontId="151" fillId="31" borderId="31" xfId="45" applyNumberFormat="1" applyFont="1" applyFill="1" applyBorder="1" applyAlignment="1" applyProtection="1">
      <alignment horizontal="center" vertical="center"/>
      <protection hidden="1"/>
    </xf>
    <xf numFmtId="0" fontId="151" fillId="31" borderId="11" xfId="45" applyNumberFormat="1" applyFont="1" applyFill="1" applyBorder="1" applyAlignment="1" applyProtection="1">
      <alignment horizontal="center" shrinkToFit="1"/>
      <protection hidden="1"/>
    </xf>
    <xf numFmtId="0" fontId="151" fillId="31" borderId="34" xfId="45" applyNumberFormat="1" applyFont="1" applyFill="1" applyBorder="1" applyAlignment="1" applyProtection="1">
      <alignment horizontal="center" shrinkToFit="1"/>
      <protection hidden="1"/>
    </xf>
    <xf numFmtId="0" fontId="151" fillId="31" borderId="32" xfId="45" applyNumberFormat="1" applyFont="1" applyFill="1" applyBorder="1" applyAlignment="1" applyProtection="1">
      <alignment horizontal="center" shrinkToFit="1"/>
      <protection hidden="1"/>
    </xf>
    <xf numFmtId="0" fontId="151" fillId="31" borderId="33" xfId="45" applyNumberFormat="1" applyFont="1" applyFill="1" applyBorder="1" applyAlignment="1" applyProtection="1">
      <alignment horizontal="center" shrinkToFit="1"/>
      <protection hidden="1"/>
    </xf>
    <xf numFmtId="0" fontId="148" fillId="31" borderId="39" xfId="45" applyNumberFormat="1" applyFont="1" applyFill="1" applyBorder="1" applyAlignment="1" applyProtection="1">
      <alignment horizontal="center" vertical="center" shrinkToFit="1"/>
      <protection hidden="1"/>
    </xf>
    <xf numFmtId="0" fontId="148" fillId="31" borderId="62" xfId="45" applyNumberFormat="1" applyFont="1" applyFill="1" applyBorder="1" applyAlignment="1" applyProtection="1">
      <alignment horizontal="center" vertical="center" shrinkToFit="1"/>
      <protection hidden="1"/>
    </xf>
    <xf numFmtId="0" fontId="147" fillId="31" borderId="60" xfId="45" applyNumberFormat="1" applyFont="1" applyFill="1" applyBorder="1" applyAlignment="1" applyProtection="1">
      <alignment horizontal="center" vertical="center" shrinkToFit="1"/>
      <protection hidden="1"/>
    </xf>
    <xf numFmtId="0" fontId="147" fillId="31" borderId="40" xfId="45" applyNumberFormat="1" applyFont="1" applyFill="1" applyBorder="1" applyAlignment="1" applyProtection="1">
      <alignment horizontal="center" vertical="center" shrinkToFit="1"/>
      <protection hidden="1"/>
    </xf>
    <xf numFmtId="178" fontId="146" fillId="0" borderId="59" xfId="46" applyNumberFormat="1" applyFont="1" applyFill="1" applyBorder="1" applyAlignment="1" applyProtection="1">
      <alignment horizontal="center" vertical="center" shrinkToFit="1"/>
      <protection hidden="1"/>
    </xf>
    <xf numFmtId="178" fontId="146" fillId="0" borderId="73" xfId="46" applyNumberFormat="1" applyFont="1" applyFill="1" applyBorder="1" applyAlignment="1" applyProtection="1">
      <alignment horizontal="center" vertical="center" shrinkToFit="1"/>
      <protection hidden="1"/>
    </xf>
    <xf numFmtId="0" fontId="151" fillId="19" borderId="72" xfId="45" applyNumberFormat="1" applyFont="1" applyFill="1" applyBorder="1" applyAlignment="1" applyProtection="1">
      <alignment vertical="center" shrinkToFit="1"/>
      <protection locked="0"/>
    </xf>
    <xf numFmtId="0" fontId="151" fillId="19" borderId="73" xfId="45" applyNumberFormat="1" applyFont="1" applyFill="1" applyBorder="1" applyAlignment="1" applyProtection="1">
      <alignment vertical="center" shrinkToFit="1"/>
      <protection locked="0"/>
    </xf>
    <xf numFmtId="0" fontId="147" fillId="31" borderId="98" xfId="45" applyNumberFormat="1" applyFont="1" applyFill="1" applyBorder="1" applyAlignment="1" applyProtection="1">
      <alignment horizontal="center" vertical="center" shrinkToFit="1"/>
      <protection hidden="1"/>
    </xf>
    <xf numFmtId="178" fontId="146" fillId="0" borderId="72" xfId="46" applyNumberFormat="1" applyFont="1" applyFill="1" applyBorder="1" applyAlignment="1" applyProtection="1">
      <alignment horizontal="center" vertical="center" shrinkToFit="1"/>
      <protection hidden="1"/>
    </xf>
    <xf numFmtId="0" fontId="62" fillId="19" borderId="70" xfId="40" applyFont="1" applyFill="1" applyBorder="1" applyAlignment="1" applyProtection="1">
      <alignment horizontal="left" vertical="center"/>
      <protection locked="0"/>
    </xf>
    <xf numFmtId="0" fontId="62" fillId="19" borderId="13" xfId="40" applyFont="1" applyFill="1" applyBorder="1" applyAlignment="1" applyProtection="1">
      <alignment horizontal="left" vertical="center"/>
      <protection locked="0"/>
    </xf>
    <xf numFmtId="0" fontId="62" fillId="19" borderId="71" xfId="40" applyFont="1" applyFill="1" applyBorder="1" applyAlignment="1" applyProtection="1">
      <alignment horizontal="left" vertical="center"/>
      <protection locked="0"/>
    </xf>
    <xf numFmtId="0" fontId="23" fillId="19" borderId="39" xfId="40" applyFont="1" applyFill="1" applyBorder="1" applyAlignment="1" applyProtection="1">
      <alignment horizontal="left" vertical="center"/>
      <protection locked="0"/>
    </xf>
    <xf numFmtId="0" fontId="62" fillId="19" borderId="66" xfId="40" applyFont="1" applyFill="1" applyBorder="1" applyAlignment="1" applyProtection="1">
      <alignment horizontal="left" vertical="center"/>
      <protection locked="0"/>
    </xf>
    <xf numFmtId="0" fontId="62" fillId="19" borderId="62" xfId="40" applyFont="1" applyFill="1" applyBorder="1" applyAlignment="1" applyProtection="1">
      <alignment horizontal="left" vertical="center"/>
      <protection locked="0"/>
    </xf>
    <xf numFmtId="0" fontId="23" fillId="19" borderId="70" xfId="40" applyFont="1" applyFill="1" applyBorder="1" applyAlignment="1" applyProtection="1">
      <alignment horizontal="left" vertical="center"/>
      <protection locked="0"/>
    </xf>
    <xf numFmtId="0" fontId="220" fillId="0" borderId="0" xfId="40" applyFont="1" applyAlignment="1" applyProtection="1">
      <alignment horizontal="center"/>
      <protection hidden="1"/>
    </xf>
    <xf numFmtId="0" fontId="64" fillId="21" borderId="0" xfId="40" applyFont="1" applyFill="1" applyAlignment="1" applyProtection="1">
      <alignment horizontal="center"/>
      <protection hidden="1"/>
    </xf>
    <xf numFmtId="0" fontId="62" fillId="3" borderId="9" xfId="40" applyFill="1" applyBorder="1" applyAlignment="1" applyProtection="1">
      <alignment horizontal="center" shrinkToFit="1"/>
      <protection hidden="1"/>
    </xf>
    <xf numFmtId="0" fontId="64" fillId="21" borderId="8" xfId="40" applyFont="1" applyFill="1" applyBorder="1" applyAlignment="1" applyProtection="1">
      <alignment horizontal="center" shrinkToFit="1"/>
      <protection hidden="1"/>
    </xf>
    <xf numFmtId="0" fontId="62" fillId="0" borderId="27" xfId="40" applyBorder="1" applyProtection="1">
      <protection hidden="1"/>
    </xf>
    <xf numFmtId="0" fontId="62" fillId="0" borderId="26" xfId="40" applyBorder="1" applyProtection="1">
      <protection hidden="1"/>
    </xf>
    <xf numFmtId="0" fontId="36" fillId="0" borderId="26" xfId="40" applyFont="1" applyBorder="1" applyProtection="1">
      <protection hidden="1"/>
    </xf>
    <xf numFmtId="0" fontId="5" fillId="4" borderId="22" xfId="40" applyFont="1" applyFill="1" applyBorder="1" applyAlignment="1" applyProtection="1">
      <alignment vertical="center" shrinkToFit="1"/>
      <protection locked="0"/>
    </xf>
    <xf numFmtId="0" fontId="62" fillId="4" borderId="21" xfId="40" applyFont="1" applyFill="1" applyBorder="1" applyAlignment="1" applyProtection="1">
      <alignment vertical="center" shrinkToFit="1"/>
      <protection locked="0"/>
    </xf>
    <xf numFmtId="0" fontId="62" fillId="4" borderId="20" xfId="40" applyFont="1" applyFill="1" applyBorder="1" applyAlignment="1" applyProtection="1">
      <alignment vertical="center" shrinkToFit="1"/>
      <protection locked="0"/>
    </xf>
    <xf numFmtId="0" fontId="62" fillId="4" borderId="22" xfId="40" applyFont="1" applyFill="1" applyBorder="1" applyAlignment="1" applyProtection="1">
      <alignment vertical="center" shrinkToFit="1"/>
      <protection locked="0"/>
    </xf>
    <xf numFmtId="0" fontId="64" fillId="31" borderId="30" xfId="40" applyFont="1" applyFill="1" applyBorder="1" applyAlignment="1" applyProtection="1">
      <alignment horizontal="center"/>
      <protection hidden="1"/>
    </xf>
    <xf numFmtId="0" fontId="64" fillId="31" borderId="29" xfId="40" applyFont="1" applyFill="1" applyBorder="1" applyAlignment="1" applyProtection="1">
      <alignment horizontal="center"/>
      <protection hidden="1"/>
    </xf>
    <xf numFmtId="0" fontId="64" fillId="31" borderId="28" xfId="40" applyFont="1" applyFill="1" applyBorder="1" applyAlignment="1" applyProtection="1">
      <alignment horizontal="center"/>
      <protection hidden="1"/>
    </xf>
    <xf numFmtId="0" fontId="64" fillId="31" borderId="1" xfId="40" applyFont="1" applyFill="1" applyBorder="1" applyAlignment="1" applyProtection="1">
      <alignment horizontal="center"/>
      <protection hidden="1"/>
    </xf>
    <xf numFmtId="0" fontId="64" fillId="31" borderId="181" xfId="40" applyFont="1" applyFill="1" applyBorder="1" applyAlignment="1" applyProtection="1">
      <alignment horizontal="center"/>
      <protection hidden="1"/>
    </xf>
    <xf numFmtId="0" fontId="62" fillId="31" borderId="185" xfId="40" applyFill="1" applyBorder="1" applyAlignment="1" applyProtection="1">
      <alignment horizontal="center"/>
      <protection hidden="1"/>
    </xf>
    <xf numFmtId="0" fontId="64" fillId="31" borderId="186" xfId="40" applyFont="1" applyFill="1" applyBorder="1" applyAlignment="1" applyProtection="1">
      <alignment horizontal="right"/>
      <protection hidden="1"/>
    </xf>
    <xf numFmtId="0" fontId="62" fillId="31" borderId="181" xfId="40" applyFill="1" applyBorder="1" applyAlignment="1" applyProtection="1">
      <alignment horizontal="right"/>
      <protection hidden="1"/>
    </xf>
    <xf numFmtId="0" fontId="62" fillId="31" borderId="181" xfId="40" applyFill="1" applyBorder="1" applyAlignment="1" applyProtection="1">
      <alignment horizontal="center"/>
      <protection hidden="1"/>
    </xf>
    <xf numFmtId="0" fontId="220" fillId="3" borderId="0" xfId="40" applyFont="1" applyFill="1" applyBorder="1" applyAlignment="1" applyProtection="1">
      <alignment horizontal="center" vertical="top" wrapText="1"/>
      <protection hidden="1"/>
    </xf>
    <xf numFmtId="0" fontId="62" fillId="4" borderId="68" xfId="40" applyFill="1" applyBorder="1" applyProtection="1">
      <protection locked="0"/>
    </xf>
    <xf numFmtId="0" fontId="62" fillId="4" borderId="21" xfId="40" applyFill="1" applyBorder="1" applyProtection="1">
      <protection locked="0"/>
    </xf>
    <xf numFmtId="0" fontId="62" fillId="4" borderId="69" xfId="40" applyFill="1" applyBorder="1" applyProtection="1">
      <protection locked="0"/>
    </xf>
    <xf numFmtId="0" fontId="236" fillId="0" borderId="284" xfId="21" applyFont="1" applyBorder="1" applyAlignment="1" applyProtection="1">
      <alignment horizontal="center" vertical="top"/>
    </xf>
    <xf numFmtId="0" fontId="236" fillId="0" borderId="280" xfId="21" applyFont="1" applyBorder="1" applyAlignment="1" applyProtection="1">
      <alignment horizontal="center" vertical="top"/>
    </xf>
    <xf numFmtId="0" fontId="236" fillId="0" borderId="0" xfId="21" applyFont="1" applyBorder="1" applyAlignment="1" applyProtection="1">
      <alignment horizontal="center" vertical="top"/>
    </xf>
    <xf numFmtId="0" fontId="236" fillId="0" borderId="31" xfId="21" applyFont="1" applyBorder="1" applyAlignment="1" applyProtection="1">
      <alignment horizontal="center" vertical="top"/>
    </xf>
    <xf numFmtId="0" fontId="236" fillId="0" borderId="9" xfId="21" applyFont="1" applyBorder="1" applyAlignment="1" applyProtection="1">
      <alignment horizontal="center" vertical="top"/>
    </xf>
    <xf numFmtId="0" fontId="236" fillId="0" borderId="33" xfId="21" applyFont="1" applyBorder="1" applyAlignment="1" applyProtection="1">
      <alignment horizontal="center" vertical="top"/>
    </xf>
    <xf numFmtId="0" fontId="64" fillId="21" borderId="284" xfId="40" applyFont="1" applyFill="1" applyBorder="1" applyAlignment="1" applyProtection="1">
      <alignment horizontal="center" shrinkToFit="1"/>
      <protection hidden="1"/>
    </xf>
    <xf numFmtId="0" fontId="236" fillId="0" borderId="193" xfId="21" applyFont="1" applyBorder="1" applyAlignment="1" applyProtection="1">
      <alignment horizontal="left" vertical="top" wrapText="1"/>
    </xf>
    <xf numFmtId="0" fontId="236" fillId="0" borderId="188" xfId="21" applyFont="1" applyBorder="1" applyAlignment="1" applyProtection="1">
      <alignment horizontal="left" vertical="top" wrapText="1"/>
    </xf>
    <xf numFmtId="0" fontId="236" fillId="0" borderId="7" xfId="21" applyFont="1" applyBorder="1" applyAlignment="1" applyProtection="1">
      <alignment horizontal="left" vertical="top" wrapText="1"/>
    </xf>
    <xf numFmtId="0" fontId="236" fillId="0" borderId="0" xfId="21" applyFont="1" applyBorder="1" applyAlignment="1" applyProtection="1">
      <alignment horizontal="left" vertical="top" wrapText="1"/>
    </xf>
    <xf numFmtId="0" fontId="236" fillId="0" borderId="32" xfId="21" applyFont="1" applyBorder="1" applyAlignment="1" applyProtection="1">
      <alignment horizontal="left" vertical="top" wrapText="1"/>
    </xf>
    <xf numFmtId="0" fontId="236" fillId="0" borderId="9" xfId="21" applyFont="1" applyBorder="1" applyAlignment="1" applyProtection="1">
      <alignment horizontal="left" vertical="top" wrapText="1"/>
    </xf>
    <xf numFmtId="0" fontId="62" fillId="4" borderId="39" xfId="40" applyFill="1" applyBorder="1" applyProtection="1">
      <protection locked="0"/>
    </xf>
    <xf numFmtId="0" fontId="62" fillId="4" borderId="66" xfId="40" applyFill="1" applyBorder="1" applyProtection="1">
      <protection locked="0"/>
    </xf>
    <xf numFmtId="0" fontId="62" fillId="4" borderId="62" xfId="40" applyFill="1" applyBorder="1" applyProtection="1">
      <protection locked="0"/>
    </xf>
    <xf numFmtId="0" fontId="62" fillId="4" borderId="65" xfId="40" applyFill="1" applyBorder="1" applyProtection="1">
      <protection locked="0"/>
    </xf>
    <xf numFmtId="0" fontId="62" fillId="4" borderId="44" xfId="40" applyFill="1" applyBorder="1" applyProtection="1">
      <protection locked="0"/>
    </xf>
    <xf numFmtId="0" fontId="62" fillId="4" borderId="43" xfId="40" applyFill="1" applyBorder="1" applyProtection="1">
      <protection locked="0"/>
    </xf>
    <xf numFmtId="0" fontId="64" fillId="31" borderId="29" xfId="40" applyFont="1" applyFill="1" applyBorder="1" applyAlignment="1" applyProtection="1">
      <alignment horizontal="center" shrinkToFit="1"/>
      <protection hidden="1"/>
    </xf>
    <xf numFmtId="0" fontId="64" fillId="31" borderId="186" xfId="40" applyFont="1" applyFill="1" applyBorder="1" applyAlignment="1" applyProtection="1">
      <alignment horizontal="center" shrinkToFit="1"/>
      <protection hidden="1"/>
    </xf>
    <xf numFmtId="0" fontId="64" fillId="8" borderId="65" xfId="40" applyFont="1" applyFill="1" applyBorder="1" applyAlignment="1" applyProtection="1">
      <alignment shrinkToFit="1"/>
      <protection hidden="1"/>
    </xf>
    <xf numFmtId="0" fontId="64" fillId="8" borderId="43" xfId="40" applyFont="1" applyFill="1" applyBorder="1" applyAlignment="1" applyProtection="1">
      <alignment shrinkToFit="1"/>
      <protection hidden="1"/>
    </xf>
    <xf numFmtId="0" fontId="64" fillId="8" borderId="39" xfId="40" applyFont="1" applyFill="1" applyBorder="1" applyAlignment="1" applyProtection="1">
      <alignment shrinkToFit="1"/>
      <protection hidden="1"/>
    </xf>
    <xf numFmtId="0" fontId="64" fillId="8" borderId="62" xfId="40" applyFont="1" applyFill="1" applyBorder="1" applyAlignment="1" applyProtection="1">
      <alignment shrinkToFit="1"/>
      <protection hidden="1"/>
    </xf>
    <xf numFmtId="0" fontId="35" fillId="0" borderId="26" xfId="40" applyFont="1" applyBorder="1" applyProtection="1">
      <protection hidden="1"/>
    </xf>
    <xf numFmtId="0" fontId="64" fillId="21" borderId="188" xfId="40" applyFont="1" applyFill="1" applyBorder="1" applyAlignment="1" applyProtection="1">
      <alignment horizontal="center" shrinkToFit="1"/>
      <protection hidden="1"/>
    </xf>
    <xf numFmtId="2" fontId="64" fillId="31" borderId="181" xfId="40" applyNumberFormat="1" applyFont="1" applyFill="1" applyBorder="1" applyAlignment="1" applyProtection="1">
      <alignment horizontal="center"/>
      <protection hidden="1"/>
    </xf>
    <xf numFmtId="2" fontId="64" fillId="31" borderId="65" xfId="40" applyNumberFormat="1" applyFont="1" applyFill="1" applyBorder="1" applyAlignment="1" applyProtection="1">
      <alignment horizontal="center"/>
      <protection hidden="1"/>
    </xf>
    <xf numFmtId="0" fontId="62" fillId="31" borderId="43" xfId="40" applyFill="1" applyBorder="1" applyAlignment="1" applyProtection="1">
      <alignment horizontal="center"/>
      <protection hidden="1"/>
    </xf>
    <xf numFmtId="0" fontId="64" fillId="31" borderId="65" xfId="40" applyFont="1" applyFill="1" applyBorder="1" applyAlignment="1" applyProtection="1">
      <alignment horizontal="center"/>
      <protection hidden="1"/>
    </xf>
    <xf numFmtId="0" fontId="62" fillId="19" borderId="68" xfId="40" applyFont="1" applyFill="1" applyBorder="1" applyAlignment="1" applyProtection="1">
      <alignment horizontal="left" vertical="center"/>
      <protection locked="0"/>
    </xf>
    <xf numFmtId="0" fontId="62" fillId="19" borderId="21" xfId="40" applyFont="1" applyFill="1" applyBorder="1" applyAlignment="1" applyProtection="1">
      <alignment horizontal="left" vertical="center"/>
      <protection locked="0"/>
    </xf>
    <xf numFmtId="0" fontId="62" fillId="19" borderId="69" xfId="40" applyFont="1" applyFill="1" applyBorder="1" applyAlignment="1" applyProtection="1">
      <alignment horizontal="left" vertical="center"/>
      <protection locked="0"/>
    </xf>
    <xf numFmtId="0" fontId="23" fillId="19" borderId="68" xfId="40" applyFont="1" applyFill="1" applyBorder="1" applyAlignment="1" applyProtection="1">
      <alignment horizontal="left" vertical="center"/>
      <protection locked="0"/>
    </xf>
    <xf numFmtId="0" fontId="36" fillId="19" borderId="68" xfId="40" applyFont="1" applyFill="1" applyBorder="1" applyAlignment="1" applyProtection="1">
      <alignment horizontal="left" vertical="center"/>
      <protection locked="0"/>
    </xf>
    <xf numFmtId="0" fontId="12" fillId="19" borderId="89" xfId="40" applyFont="1" applyFill="1" applyBorder="1" applyAlignment="1" applyProtection="1">
      <alignment horizontal="left" vertical="center"/>
      <protection locked="0"/>
    </xf>
    <xf numFmtId="0" fontId="62" fillId="19" borderId="15" xfId="40" applyFont="1" applyFill="1" applyBorder="1" applyAlignment="1" applyProtection="1">
      <alignment horizontal="left" vertical="center"/>
      <protection locked="0"/>
    </xf>
    <xf numFmtId="0" fontId="62" fillId="19" borderId="90" xfId="40" applyFont="1" applyFill="1" applyBorder="1" applyAlignment="1" applyProtection="1">
      <alignment horizontal="left" vertical="center"/>
      <protection locked="0"/>
    </xf>
    <xf numFmtId="0" fontId="64" fillId="31" borderId="181" xfId="40" applyFont="1" applyFill="1" applyBorder="1" applyAlignment="1" applyProtection="1">
      <alignment horizontal="center" vertical="center"/>
      <protection hidden="1"/>
    </xf>
    <xf numFmtId="0" fontId="12" fillId="19" borderId="68" xfId="40" applyFont="1" applyFill="1" applyBorder="1" applyAlignment="1" applyProtection="1">
      <alignment horizontal="left" vertical="center"/>
      <protection locked="0"/>
    </xf>
    <xf numFmtId="0" fontId="36" fillId="0" borderId="25" xfId="40" applyFont="1" applyBorder="1" applyProtection="1">
      <protection hidden="1"/>
    </xf>
    <xf numFmtId="0" fontId="62" fillId="19" borderId="39" xfId="40" applyFont="1" applyFill="1" applyBorder="1" applyAlignment="1" applyProtection="1">
      <alignment horizontal="left" vertical="center"/>
      <protection locked="0"/>
    </xf>
    <xf numFmtId="0" fontId="64" fillId="31" borderId="30" xfId="40" applyFont="1" applyFill="1" applyBorder="1" applyAlignment="1" applyProtection="1">
      <alignment horizontal="center" vertical="center"/>
      <protection hidden="1"/>
    </xf>
    <xf numFmtId="0" fontId="64" fillId="31" borderId="29" xfId="40" applyFont="1" applyFill="1" applyBorder="1" applyAlignment="1" applyProtection="1">
      <alignment horizontal="center" vertical="center"/>
      <protection hidden="1"/>
    </xf>
    <xf numFmtId="0" fontId="64" fillId="31" borderId="28" xfId="40" applyFont="1" applyFill="1" applyBorder="1" applyAlignment="1" applyProtection="1">
      <alignment horizontal="center" vertical="center"/>
      <protection hidden="1"/>
    </xf>
    <xf numFmtId="0" fontId="62" fillId="19" borderId="89" xfId="40" applyFont="1" applyFill="1" applyBorder="1" applyAlignment="1" applyProtection="1">
      <alignment horizontal="left" vertical="center"/>
      <protection locked="0"/>
    </xf>
    <xf numFmtId="0" fontId="62" fillId="31" borderId="44" xfId="40" applyFill="1" applyBorder="1" applyAlignment="1" applyProtection="1">
      <alignment horizontal="center"/>
      <protection hidden="1"/>
    </xf>
    <xf numFmtId="0" fontId="64" fillId="31" borderId="44" xfId="40" applyFont="1" applyFill="1" applyBorder="1" applyAlignment="1" applyProtection="1">
      <alignment horizontal="right"/>
      <protection hidden="1"/>
    </xf>
    <xf numFmtId="0" fontId="62" fillId="31" borderId="43" xfId="40" applyFill="1" applyBorder="1" applyAlignment="1" applyProtection="1">
      <alignment horizontal="right"/>
      <protection hidden="1"/>
    </xf>
    <xf numFmtId="0" fontId="62" fillId="19" borderId="65" xfId="40" applyFont="1" applyFill="1" applyBorder="1" applyAlignment="1" applyProtection="1">
      <alignment horizontal="left" vertical="center"/>
      <protection locked="0"/>
    </xf>
    <xf numFmtId="0" fontId="62" fillId="19" borderId="44" xfId="40" applyFont="1" applyFill="1" applyBorder="1" applyAlignment="1" applyProtection="1">
      <alignment horizontal="left" vertical="center"/>
      <protection locked="0"/>
    </xf>
    <xf numFmtId="0" fontId="62" fillId="19" borderId="43" xfId="40" applyFont="1" applyFill="1" applyBorder="1" applyAlignment="1" applyProtection="1">
      <alignment horizontal="left" vertical="center"/>
      <protection locked="0"/>
    </xf>
    <xf numFmtId="0" fontId="64" fillId="31" borderId="2" xfId="40" applyFont="1" applyFill="1" applyBorder="1" applyAlignment="1" applyProtection="1">
      <alignment horizontal="center" vertical="center"/>
      <protection hidden="1"/>
    </xf>
    <xf numFmtId="0" fontId="43" fillId="19" borderId="68" xfId="40" applyFont="1" applyFill="1" applyBorder="1" applyAlignment="1" applyProtection="1">
      <alignment vertical="center"/>
      <protection locked="0"/>
    </xf>
    <xf numFmtId="0" fontId="43" fillId="19" borderId="21" xfId="40" applyFont="1" applyFill="1" applyBorder="1" applyAlignment="1" applyProtection="1">
      <alignment vertical="center"/>
      <protection locked="0"/>
    </xf>
    <xf numFmtId="0" fontId="43" fillId="19" borderId="69" xfId="40" applyFont="1" applyFill="1" applyBorder="1" applyAlignment="1" applyProtection="1">
      <alignment vertical="center"/>
      <protection locked="0"/>
    </xf>
    <xf numFmtId="0" fontId="64" fillId="31" borderId="11" xfId="40" applyFont="1" applyFill="1" applyBorder="1" applyAlignment="1" applyProtection="1">
      <alignment horizontal="center"/>
      <protection hidden="1"/>
    </xf>
    <xf numFmtId="0" fontId="62" fillId="31" borderId="8" xfId="40" applyFill="1" applyBorder="1" applyAlignment="1" applyProtection="1">
      <alignment horizontal="center"/>
      <protection hidden="1"/>
    </xf>
    <xf numFmtId="0" fontId="64" fillId="31" borderId="8" xfId="40" applyFont="1" applyFill="1" applyBorder="1" applyAlignment="1" applyProtection="1">
      <alignment horizontal="right"/>
      <protection hidden="1"/>
    </xf>
    <xf numFmtId="0" fontId="62" fillId="31" borderId="34" xfId="40" applyFill="1" applyBorder="1" applyAlignment="1" applyProtection="1">
      <alignment horizontal="right"/>
      <protection hidden="1"/>
    </xf>
    <xf numFmtId="2" fontId="64" fillId="31" borderId="28" xfId="40" applyNumberFormat="1" applyFont="1" applyFill="1" applyBorder="1" applyAlignment="1" applyProtection="1">
      <alignment horizontal="center"/>
      <protection hidden="1"/>
    </xf>
    <xf numFmtId="190" fontId="86" fillId="4" borderId="22" xfId="50" applyFont="1" applyFill="1" applyBorder="1" applyAlignment="1" applyProtection="1">
      <alignment vertical="center"/>
      <protection locked="0"/>
    </xf>
    <xf numFmtId="190" fontId="86" fillId="4" borderId="21" xfId="50" applyFont="1" applyFill="1" applyBorder="1" applyAlignment="1" applyProtection="1">
      <alignment vertical="center"/>
      <protection locked="0"/>
    </xf>
    <xf numFmtId="190" fontId="86" fillId="4" borderId="20" xfId="50" applyFont="1" applyFill="1" applyBorder="1" applyAlignment="1" applyProtection="1">
      <alignment vertical="center"/>
      <protection locked="0"/>
    </xf>
    <xf numFmtId="190" fontId="86" fillId="4" borderId="21" xfId="50" applyFont="1" applyFill="1" applyBorder="1" applyAlignment="1" applyProtection="1">
      <alignment horizontal="right" vertical="center"/>
      <protection locked="0"/>
    </xf>
    <xf numFmtId="0" fontId="73" fillId="31" borderId="0" xfId="21" applyFont="1" applyFill="1" applyAlignment="1" applyProtection="1">
      <alignment horizontal="center" vertical="center"/>
      <protection hidden="1"/>
    </xf>
    <xf numFmtId="0" fontId="197" fillId="31" borderId="0" xfId="21" applyFont="1" applyFill="1" applyAlignment="1" applyProtection="1">
      <protection hidden="1"/>
    </xf>
    <xf numFmtId="0" fontId="86" fillId="4" borderId="21" xfId="64" applyFont="1" applyFill="1" applyBorder="1" applyProtection="1">
      <protection locked="0"/>
    </xf>
    <xf numFmtId="0" fontId="319" fillId="58" borderId="276" xfId="67" applyFont="1" applyFill="1" applyBorder="1" applyAlignment="1" applyProtection="1">
      <alignment horizontal="center" vertical="center" shrinkToFit="1"/>
      <protection hidden="1"/>
    </xf>
    <xf numFmtId="0" fontId="319" fillId="58" borderId="275" xfId="67" applyFont="1" applyFill="1" applyBorder="1" applyAlignment="1" applyProtection="1">
      <alignment horizontal="center" vertical="center" shrinkToFit="1"/>
      <protection hidden="1"/>
    </xf>
    <xf numFmtId="172" fontId="67" fillId="55" borderId="271" xfId="67" applyNumberFormat="1" applyFont="1" applyFill="1" applyBorder="1" applyAlignment="1" applyProtection="1">
      <alignment horizontal="center" vertical="center" shrinkToFit="1"/>
      <protection hidden="1"/>
    </xf>
    <xf numFmtId="172" fontId="67" fillId="55" borderId="269" xfId="67" applyNumberFormat="1" applyFont="1" applyFill="1" applyBorder="1" applyAlignment="1" applyProtection="1">
      <alignment horizontal="center" vertical="center" shrinkToFit="1"/>
      <protection hidden="1"/>
    </xf>
    <xf numFmtId="4" fontId="328" fillId="9" borderId="0" xfId="67" applyNumberFormat="1" applyFont="1" applyFill="1" applyBorder="1" applyAlignment="1" applyProtection="1">
      <alignment horizontal="center" vertical="center" shrinkToFit="1"/>
    </xf>
    <xf numFmtId="0" fontId="308" fillId="57" borderId="275" xfId="67" applyFont="1" applyFill="1" applyBorder="1"/>
    <xf numFmtId="172" fontId="66" fillId="51" borderId="235" xfId="67" applyNumberFormat="1" applyFont="1" applyFill="1" applyBorder="1" applyAlignment="1" applyProtection="1">
      <alignment horizontal="center" vertical="center" shrinkToFit="1"/>
      <protection hidden="1"/>
    </xf>
    <xf numFmtId="172" fontId="66" fillId="51" borderId="23" xfId="67" applyNumberFormat="1" applyFont="1" applyFill="1" applyBorder="1" applyAlignment="1" applyProtection="1">
      <alignment horizontal="center" vertical="center" shrinkToFit="1"/>
      <protection hidden="1"/>
    </xf>
    <xf numFmtId="172" fontId="66" fillId="51" borderId="2" xfId="67" applyNumberFormat="1" applyFont="1" applyFill="1" applyBorder="1" applyAlignment="1" applyProtection="1">
      <alignment horizontal="center" vertical="center" shrinkToFit="1"/>
      <protection hidden="1"/>
    </xf>
    <xf numFmtId="0" fontId="315" fillId="57" borderId="273" xfId="67" applyFont="1" applyFill="1" applyBorder="1" applyAlignment="1" applyProtection="1">
      <alignment horizontal="center" vertical="center" shrinkToFit="1"/>
      <protection hidden="1"/>
    </xf>
    <xf numFmtId="0" fontId="315" fillId="57" borderId="272" xfId="67" applyFont="1" applyFill="1" applyBorder="1" applyAlignment="1" applyProtection="1">
      <alignment horizontal="center" vertical="center" shrinkToFit="1"/>
      <protection hidden="1"/>
    </xf>
    <xf numFmtId="0" fontId="313" fillId="57" borderId="270" xfId="67" applyFont="1" applyFill="1" applyBorder="1" applyAlignment="1" applyProtection="1">
      <alignment horizontal="center" vertical="center" shrinkToFit="1"/>
      <protection hidden="1"/>
    </xf>
    <xf numFmtId="0" fontId="313" fillId="57" borderId="33" xfId="67" applyFont="1" applyFill="1" applyBorder="1" applyAlignment="1" applyProtection="1">
      <alignment horizontal="center" vertical="center" shrinkToFit="1"/>
      <protection hidden="1"/>
    </xf>
    <xf numFmtId="0" fontId="67" fillId="9" borderId="7" xfId="32" applyFont="1" applyFill="1" applyBorder="1" applyAlignment="1" applyProtection="1">
      <alignment horizontal="right" vertical="center" shrinkToFit="1"/>
      <protection hidden="1"/>
    </xf>
    <xf numFmtId="0" fontId="67" fillId="9" borderId="0" xfId="32" applyFont="1" applyFill="1" applyBorder="1" applyAlignment="1" applyProtection="1">
      <alignment horizontal="right" vertical="center" shrinkToFit="1"/>
      <protection hidden="1"/>
    </xf>
    <xf numFmtId="0" fontId="67" fillId="9" borderId="31" xfId="32" applyFont="1" applyFill="1" applyBorder="1" applyAlignment="1" applyProtection="1">
      <alignment horizontal="right" vertical="center" shrinkToFit="1"/>
      <protection hidden="1"/>
    </xf>
    <xf numFmtId="0" fontId="66" fillId="9" borderId="23" xfId="31" applyFont="1" applyFill="1" applyBorder="1" applyAlignment="1" applyProtection="1">
      <alignment horizontal="right" vertical="center" shrinkToFit="1"/>
      <protection hidden="1"/>
    </xf>
    <xf numFmtId="176" fontId="108" fillId="8" borderId="1" xfId="31" applyNumberFormat="1" applyFont="1" applyFill="1" applyBorder="1" applyAlignment="1" applyProtection="1">
      <alignment horizontal="center" vertical="center" shrinkToFit="1"/>
      <protection hidden="1"/>
    </xf>
    <xf numFmtId="0" fontId="106" fillId="13" borderId="185" xfId="32" applyFont="1" applyFill="1" applyBorder="1" applyAlignment="1" applyProtection="1">
      <alignment horizontal="center" vertical="center" shrinkToFit="1"/>
      <protection hidden="1"/>
    </xf>
    <xf numFmtId="0" fontId="106" fillId="13" borderId="29" xfId="32" applyFont="1" applyFill="1" applyBorder="1" applyAlignment="1" applyProtection="1">
      <alignment horizontal="center" vertical="center" shrinkToFit="1"/>
      <protection hidden="1"/>
    </xf>
    <xf numFmtId="0" fontId="106" fillId="13" borderId="186" xfId="32" applyFont="1" applyFill="1" applyBorder="1" applyAlignment="1" applyProtection="1">
      <alignment horizontal="center" vertical="center" shrinkToFit="1"/>
      <protection hidden="1"/>
    </xf>
    <xf numFmtId="0" fontId="111" fillId="9" borderId="32" xfId="32" applyFont="1" applyFill="1" applyBorder="1" applyAlignment="1" applyProtection="1">
      <alignment horizontal="center" vertical="center" shrinkToFit="1"/>
      <protection hidden="1"/>
    </xf>
    <xf numFmtId="0" fontId="111" fillId="9" borderId="9" xfId="32" applyFont="1" applyFill="1" applyBorder="1" applyAlignment="1" applyProtection="1">
      <alignment horizontal="center" vertical="center" shrinkToFit="1"/>
      <protection hidden="1"/>
    </xf>
    <xf numFmtId="0" fontId="111" fillId="9" borderId="33" xfId="32" applyFont="1" applyFill="1" applyBorder="1" applyAlignment="1" applyProtection="1">
      <alignment horizontal="center" vertical="center" shrinkToFit="1"/>
      <protection hidden="1"/>
    </xf>
    <xf numFmtId="0" fontId="103" fillId="12" borderId="30" xfId="32" applyFont="1" applyFill="1" applyBorder="1" applyAlignment="1" applyProtection="1">
      <alignment horizontal="center" vertical="center" shrinkToFit="1"/>
      <protection hidden="1"/>
    </xf>
    <xf numFmtId="0" fontId="103" fillId="12" borderId="29" xfId="32" applyFont="1" applyFill="1" applyBorder="1" applyAlignment="1" applyProtection="1">
      <alignment horizontal="center" vertical="center" shrinkToFit="1"/>
      <protection hidden="1"/>
    </xf>
    <xf numFmtId="0" fontId="103" fillId="12" borderId="28" xfId="32" applyFont="1" applyFill="1" applyBorder="1" applyAlignment="1" applyProtection="1">
      <alignment horizontal="center" vertical="center" shrinkToFit="1"/>
      <protection hidden="1"/>
    </xf>
    <xf numFmtId="0" fontId="87" fillId="11" borderId="1" xfId="32" applyFont="1" applyFill="1" applyBorder="1" applyAlignment="1" applyProtection="1">
      <alignment horizontal="center" vertical="center" wrapText="1" shrinkToFit="1"/>
      <protection hidden="1"/>
    </xf>
    <xf numFmtId="0" fontId="87" fillId="11" borderId="1" xfId="32" applyFont="1" applyFill="1" applyBorder="1" applyAlignment="1" applyProtection="1">
      <alignment horizontal="center" vertical="center" shrinkToFit="1"/>
      <protection hidden="1"/>
    </xf>
    <xf numFmtId="2" fontId="103" fillId="9" borderId="27" xfId="32" applyNumberFormat="1" applyFont="1" applyFill="1" applyBorder="1" applyAlignment="1" applyProtection="1">
      <alignment horizontal="center" vertical="center" shrinkToFit="1"/>
      <protection hidden="1"/>
    </xf>
    <xf numFmtId="2" fontId="103" fillId="9" borderId="26" xfId="32" applyNumberFormat="1" applyFont="1" applyFill="1" applyBorder="1" applyAlignment="1" applyProtection="1">
      <alignment horizontal="center" vertical="center" shrinkToFit="1"/>
      <protection hidden="1"/>
    </xf>
    <xf numFmtId="2" fontId="103" fillId="4" borderId="26" xfId="32" applyNumberFormat="1" applyFont="1" applyFill="1" applyBorder="1" applyAlignment="1" applyProtection="1">
      <alignment horizontal="center" vertical="center" shrinkToFit="1"/>
      <protection locked="0"/>
    </xf>
    <xf numFmtId="2" fontId="103" fillId="4" borderId="27" xfId="32" applyNumberFormat="1" applyFont="1" applyFill="1" applyBorder="1" applyAlignment="1" applyProtection="1">
      <alignment horizontal="center" vertical="center" shrinkToFit="1"/>
      <protection locked="0"/>
    </xf>
    <xf numFmtId="178" fontId="116" fillId="14" borderId="30" xfId="32" applyNumberFormat="1" applyFont="1" applyFill="1" applyBorder="1" applyAlignment="1" applyProtection="1">
      <alignment horizontal="center" vertical="center" shrinkToFit="1"/>
      <protection hidden="1"/>
    </xf>
    <xf numFmtId="178" fontId="116" fillId="14" borderId="28" xfId="32" applyNumberFormat="1" applyFont="1" applyFill="1" applyBorder="1" applyAlignment="1" applyProtection="1">
      <alignment horizontal="center" vertical="center" shrinkToFit="1"/>
      <protection hidden="1"/>
    </xf>
    <xf numFmtId="0" fontId="113" fillId="9" borderId="0" xfId="32" applyFont="1" applyFill="1" applyBorder="1" applyAlignment="1" applyProtection="1">
      <alignment horizontal="center" shrinkToFit="1"/>
      <protection hidden="1"/>
    </xf>
    <xf numFmtId="2" fontId="106" fillId="4" borderId="1" xfId="32" applyNumberFormat="1" applyFont="1" applyFill="1" applyBorder="1" applyAlignment="1" applyProtection="1">
      <alignment horizontal="center" vertical="center" shrinkToFit="1"/>
      <protection locked="0"/>
    </xf>
    <xf numFmtId="0" fontId="106" fillId="13" borderId="1" xfId="32" applyFont="1" applyFill="1" applyBorder="1" applyAlignment="1" applyProtection="1">
      <alignment horizontal="center" vertical="center" shrinkToFit="1"/>
      <protection hidden="1"/>
    </xf>
    <xf numFmtId="0" fontId="106" fillId="4" borderId="30" xfId="32" applyFont="1" applyFill="1" applyBorder="1" applyAlignment="1" applyProtection="1">
      <alignment horizontal="center" vertical="center" shrinkToFit="1"/>
      <protection locked="0"/>
    </xf>
    <xf numFmtId="0" fontId="106" fillId="4" borderId="29" xfId="32" applyFont="1" applyFill="1" applyBorder="1" applyAlignment="1" applyProtection="1">
      <alignment horizontal="center" vertical="center" shrinkToFit="1"/>
      <protection locked="0"/>
    </xf>
    <xf numFmtId="0" fontId="106" fillId="4" borderId="28" xfId="32" applyFont="1" applyFill="1" applyBorder="1" applyAlignment="1" applyProtection="1">
      <alignment horizontal="center" vertical="center" shrinkToFit="1"/>
      <protection locked="0"/>
    </xf>
    <xf numFmtId="176" fontId="108" fillId="8" borderId="1" xfId="3" applyNumberFormat="1" applyFont="1" applyFill="1" applyBorder="1" applyAlignment="1" applyProtection="1">
      <alignment horizontal="center" vertical="center" shrinkToFit="1"/>
      <protection hidden="1"/>
    </xf>
    <xf numFmtId="0" fontId="109" fillId="12" borderId="1" xfId="31" applyFont="1" applyFill="1" applyBorder="1" applyAlignment="1" applyProtection="1">
      <alignment horizontal="center" vertical="center" shrinkToFit="1"/>
      <protection hidden="1"/>
    </xf>
    <xf numFmtId="0" fontId="106" fillId="13" borderId="1" xfId="32" applyFont="1" applyFill="1" applyBorder="1" applyAlignment="1" applyProtection="1">
      <alignment horizontal="center" vertical="center" wrapText="1" shrinkToFit="1"/>
      <protection hidden="1"/>
    </xf>
    <xf numFmtId="176" fontId="108" fillId="8" borderId="29" xfId="31" applyNumberFormat="1" applyFont="1" applyFill="1" applyBorder="1" applyAlignment="1" applyProtection="1">
      <alignment horizontal="center" vertical="center" shrinkToFit="1"/>
      <protection hidden="1"/>
    </xf>
    <xf numFmtId="176" fontId="108" fillId="8" borderId="28" xfId="31" applyNumberFormat="1" applyFont="1" applyFill="1" applyBorder="1" applyAlignment="1" applyProtection="1">
      <alignment horizontal="center" vertical="center" shrinkToFit="1"/>
      <protection hidden="1"/>
    </xf>
    <xf numFmtId="2" fontId="108" fillId="8" borderId="29" xfId="3" applyNumberFormat="1" applyFont="1" applyFill="1" applyBorder="1" applyAlignment="1" applyProtection="1">
      <alignment horizontal="center" vertical="center" shrinkToFit="1"/>
      <protection hidden="1"/>
    </xf>
    <xf numFmtId="2" fontId="108" fillId="8" borderId="28" xfId="3" applyNumberFormat="1" applyFont="1" applyFill="1" applyBorder="1" applyAlignment="1" applyProtection="1">
      <alignment horizontal="center" vertical="center" shrinkToFit="1"/>
      <protection hidden="1"/>
    </xf>
    <xf numFmtId="2" fontId="108" fillId="8" borderId="1" xfId="32" applyNumberFormat="1" applyFont="1" applyFill="1" applyBorder="1" applyAlignment="1" applyProtection="1">
      <alignment horizontal="center" vertical="center" shrinkToFit="1"/>
      <protection hidden="1"/>
    </xf>
    <xf numFmtId="0" fontId="106" fillId="4" borderId="1" xfId="32" applyFont="1" applyFill="1" applyBorder="1" applyAlignment="1" applyProtection="1">
      <alignment horizontal="center" vertical="center" shrinkToFit="1"/>
      <protection locked="0"/>
    </xf>
    <xf numFmtId="2" fontId="108" fillId="8" borderId="1" xfId="3" applyNumberFormat="1" applyFont="1" applyFill="1" applyBorder="1" applyAlignment="1" applyProtection="1">
      <alignment horizontal="center" vertical="center" shrinkToFit="1"/>
      <protection hidden="1"/>
    </xf>
    <xf numFmtId="2" fontId="103" fillId="4" borderId="25" xfId="32" applyNumberFormat="1" applyFont="1" applyFill="1" applyBorder="1" applyAlignment="1" applyProtection="1">
      <alignment horizontal="center" vertical="center" shrinkToFit="1"/>
      <protection locked="0"/>
    </xf>
    <xf numFmtId="2" fontId="103" fillId="9" borderId="25" xfId="32" applyNumberFormat="1" applyFont="1" applyFill="1" applyBorder="1" applyAlignment="1" applyProtection="1">
      <alignment horizontal="center" vertical="center" shrinkToFit="1"/>
      <protection hidden="1"/>
    </xf>
    <xf numFmtId="0" fontId="66" fillId="9" borderId="7" xfId="31" applyFont="1" applyFill="1" applyBorder="1" applyAlignment="1" applyProtection="1">
      <alignment horizontal="right" vertical="center" shrinkToFit="1"/>
      <protection hidden="1"/>
    </xf>
    <xf numFmtId="0" fontId="66" fillId="9" borderId="31" xfId="31" applyFont="1" applyFill="1" applyBorder="1" applyAlignment="1" applyProtection="1">
      <alignment horizontal="right" vertical="center" shrinkToFit="1"/>
      <protection hidden="1"/>
    </xf>
    <xf numFmtId="0" fontId="222" fillId="9" borderId="187" xfId="32" applyFont="1" applyFill="1" applyBorder="1" applyAlignment="1" applyProtection="1">
      <alignment horizontal="center" vertical="center" shrinkToFit="1"/>
      <protection hidden="1"/>
    </xf>
    <xf numFmtId="0" fontId="222" fillId="9" borderId="188" xfId="32" applyFont="1" applyFill="1" applyBorder="1" applyAlignment="1" applyProtection="1">
      <alignment horizontal="center" vertical="center" shrinkToFit="1"/>
      <protection hidden="1"/>
    </xf>
    <xf numFmtId="0" fontId="119" fillId="15" borderId="11" xfId="32" applyFont="1" applyFill="1" applyBorder="1" applyAlignment="1" applyProtection="1">
      <alignment horizontal="center" vertical="center" shrinkToFit="1"/>
      <protection hidden="1"/>
    </xf>
    <xf numFmtId="0" fontId="119" fillId="15" borderId="8" xfId="32" applyFont="1" applyFill="1" applyBorder="1" applyAlignment="1" applyProtection="1">
      <alignment horizontal="center" vertical="center" shrinkToFit="1"/>
      <protection hidden="1"/>
    </xf>
    <xf numFmtId="0" fontId="119" fillId="15" borderId="32" xfId="32" applyFont="1" applyFill="1" applyBorder="1" applyAlignment="1" applyProtection="1">
      <alignment horizontal="center" vertical="center" shrinkToFit="1"/>
      <protection hidden="1"/>
    </xf>
    <xf numFmtId="0" fontId="119" fillId="15" borderId="9" xfId="32" applyFont="1" applyFill="1" applyBorder="1" applyAlignment="1" applyProtection="1">
      <alignment horizontal="center" vertical="center" shrinkToFit="1"/>
      <protection hidden="1"/>
    </xf>
    <xf numFmtId="0" fontId="186" fillId="15" borderId="8" xfId="32" applyFont="1" applyFill="1" applyBorder="1" applyAlignment="1" applyProtection="1">
      <alignment horizontal="center" shrinkToFit="1"/>
      <protection hidden="1"/>
    </xf>
    <xf numFmtId="0" fontId="186" fillId="15" borderId="34" xfId="32" applyFont="1" applyFill="1" applyBorder="1" applyAlignment="1" applyProtection="1">
      <alignment horizontal="center" shrinkToFit="1"/>
      <protection hidden="1"/>
    </xf>
    <xf numFmtId="0" fontId="186" fillId="15" borderId="9" xfId="32" applyFont="1" applyFill="1" applyBorder="1" applyAlignment="1" applyProtection="1">
      <alignment horizontal="center" shrinkToFit="1"/>
      <protection hidden="1"/>
    </xf>
    <xf numFmtId="0" fontId="186" fillId="15" borderId="33" xfId="32" applyFont="1" applyFill="1" applyBorder="1" applyAlignment="1" applyProtection="1">
      <alignment horizontal="center" shrinkToFit="1"/>
      <protection hidden="1"/>
    </xf>
    <xf numFmtId="0" fontId="67" fillId="9" borderId="29" xfId="32" applyFont="1" applyFill="1" applyBorder="1" applyAlignment="1" applyProtection="1">
      <alignment horizontal="center" vertical="center" shrinkToFit="1"/>
      <protection hidden="1"/>
    </xf>
    <xf numFmtId="2" fontId="106" fillId="4" borderId="30" xfId="32" applyNumberFormat="1" applyFont="1" applyFill="1" applyBorder="1" applyAlignment="1" applyProtection="1">
      <alignment horizontal="center" vertical="center" shrinkToFit="1"/>
      <protection locked="0"/>
    </xf>
    <xf numFmtId="2" fontId="106" fillId="4" borderId="28" xfId="32" applyNumberFormat="1" applyFont="1" applyFill="1" applyBorder="1" applyAlignment="1" applyProtection="1">
      <alignment horizontal="center" vertical="center" shrinkToFit="1"/>
      <protection locked="0"/>
    </xf>
    <xf numFmtId="0" fontId="106" fillId="13" borderId="11" xfId="32" applyFont="1" applyFill="1" applyBorder="1" applyAlignment="1" applyProtection="1">
      <alignment horizontal="center" vertical="center" shrinkToFit="1"/>
      <protection hidden="1"/>
    </xf>
    <xf numFmtId="0" fontId="106" fillId="13" borderId="8" xfId="32" applyFont="1" applyFill="1" applyBorder="1" applyAlignment="1" applyProtection="1">
      <alignment horizontal="center" vertical="center" shrinkToFit="1"/>
      <protection hidden="1"/>
    </xf>
    <xf numFmtId="0" fontId="106" fillId="13" borderId="34" xfId="32" applyFont="1" applyFill="1" applyBorder="1" applyAlignment="1" applyProtection="1">
      <alignment horizontal="center" vertical="center" shrinkToFit="1"/>
      <protection hidden="1"/>
    </xf>
    <xf numFmtId="0" fontId="106" fillId="13" borderId="30" xfId="32" applyFont="1" applyFill="1" applyBorder="1" applyAlignment="1" applyProtection="1">
      <alignment horizontal="center" vertical="center" shrinkToFit="1"/>
      <protection hidden="1"/>
    </xf>
    <xf numFmtId="0" fontId="106" fillId="13" borderId="28" xfId="32" applyFont="1" applyFill="1" applyBorder="1" applyAlignment="1" applyProtection="1">
      <alignment horizontal="center" vertical="center" shrinkToFit="1"/>
      <protection hidden="1"/>
    </xf>
    <xf numFmtId="167" fontId="108" fillId="8" borderId="30" xfId="32" applyNumberFormat="1" applyFont="1" applyFill="1" applyBorder="1" applyAlignment="1" applyProtection="1">
      <alignment horizontal="center" vertical="center" shrinkToFit="1"/>
      <protection hidden="1"/>
    </xf>
    <xf numFmtId="167" fontId="108" fillId="8" borderId="28" xfId="32" applyNumberFormat="1" applyFont="1" applyFill="1" applyBorder="1" applyAlignment="1" applyProtection="1">
      <alignment horizontal="center" vertical="center" shrinkToFit="1"/>
      <protection hidden="1"/>
    </xf>
    <xf numFmtId="0" fontId="72" fillId="11" borderId="0" xfId="21" applyFont="1" applyFill="1" applyBorder="1" applyAlignment="1" applyProtection="1">
      <alignment horizontal="center" vertical="center"/>
      <protection hidden="1"/>
    </xf>
    <xf numFmtId="0" fontId="72" fillId="11" borderId="8" xfId="21" applyFont="1" applyFill="1" applyBorder="1" applyAlignment="1" applyProtection="1">
      <alignment horizontal="center" vertical="center"/>
      <protection hidden="1"/>
    </xf>
    <xf numFmtId="0" fontId="72" fillId="11" borderId="34" xfId="21" applyFont="1" applyFill="1" applyBorder="1" applyAlignment="1" applyProtection="1">
      <alignment horizontal="center" vertical="center"/>
      <protection hidden="1"/>
    </xf>
    <xf numFmtId="0" fontId="138" fillId="23" borderId="50" xfId="44" applyFont="1" applyFill="1" applyBorder="1" applyAlignment="1" applyProtection="1">
      <alignment horizontal="right" vertical="center"/>
      <protection hidden="1"/>
    </xf>
    <xf numFmtId="0" fontId="138" fillId="23" borderId="49" xfId="44" applyFont="1" applyFill="1" applyBorder="1" applyAlignment="1" applyProtection="1">
      <alignment horizontal="right" vertical="center"/>
      <protection hidden="1"/>
    </xf>
    <xf numFmtId="0" fontId="138" fillId="23" borderId="56" xfId="21" applyFont="1" applyFill="1" applyBorder="1" applyAlignment="1" applyProtection="1">
      <alignment horizontal="center" vertical="center"/>
      <protection hidden="1"/>
    </xf>
    <xf numFmtId="0" fontId="138" fillId="23" borderId="55" xfId="21" applyFont="1" applyFill="1" applyBorder="1" applyAlignment="1" applyProtection="1">
      <alignment horizontal="center" vertical="center"/>
      <protection hidden="1"/>
    </xf>
    <xf numFmtId="178" fontId="138" fillId="17" borderId="56" xfId="21" applyNumberFormat="1" applyFont="1" applyFill="1" applyBorder="1" applyAlignment="1" applyProtection="1">
      <alignment horizontal="center" vertical="center"/>
      <protection hidden="1"/>
    </xf>
    <xf numFmtId="178" fontId="138" fillId="17" borderId="99" xfId="21" applyNumberFormat="1" applyFont="1" applyFill="1" applyBorder="1" applyAlignment="1" applyProtection="1">
      <alignment horizontal="center" vertical="center"/>
      <protection hidden="1"/>
    </xf>
    <xf numFmtId="182" fontId="75" fillId="11" borderId="2" xfId="29" applyNumberFormat="1" applyFont="1" applyFill="1" applyBorder="1" applyAlignment="1" applyProtection="1">
      <alignment horizontal="center" vertical="center"/>
      <protection hidden="1"/>
    </xf>
    <xf numFmtId="166" fontId="75" fillId="11" borderId="2" xfId="29" applyNumberFormat="1" applyFont="1" applyFill="1" applyBorder="1" applyAlignment="1" applyProtection="1">
      <alignment horizontal="center" vertical="center"/>
      <protection hidden="1"/>
    </xf>
    <xf numFmtId="178" fontId="139" fillId="11" borderId="7" xfId="44" applyNumberFormat="1" applyFont="1" applyFill="1" applyBorder="1" applyAlignment="1" applyProtection="1">
      <alignment horizontal="center" vertical="center"/>
      <protection hidden="1"/>
    </xf>
    <xf numFmtId="178" fontId="139" fillId="11" borderId="33" xfId="44" applyNumberFormat="1" applyFont="1" applyFill="1" applyBorder="1" applyAlignment="1" applyProtection="1">
      <alignment horizontal="center" vertical="center"/>
      <protection hidden="1"/>
    </xf>
    <xf numFmtId="0" fontId="139" fillId="22" borderId="0" xfId="44" applyFont="1" applyFill="1" applyBorder="1" applyAlignment="1" applyProtection="1">
      <alignment horizontal="center" vertical="center" textRotation="255"/>
      <protection hidden="1"/>
    </xf>
    <xf numFmtId="0" fontId="72" fillId="11" borderId="29" xfId="21" applyFont="1" applyFill="1" applyBorder="1" applyAlignment="1" applyProtection="1">
      <alignment horizontal="center" vertical="center"/>
      <protection hidden="1"/>
    </xf>
    <xf numFmtId="0" fontId="72" fillId="11" borderId="28" xfId="21" applyFont="1" applyFill="1" applyBorder="1" applyAlignment="1" applyProtection="1">
      <alignment horizontal="center" vertical="center"/>
      <protection hidden="1"/>
    </xf>
  </cellXfs>
  <cellStyles count="71">
    <cellStyle name="center" xfId="1" xr:uid="{00000000-0005-0000-0000-000000000000}"/>
    <cellStyle name="Comma 2" xfId="2" xr:uid="{00000000-0005-0000-0000-000001000000}"/>
    <cellStyle name="Comma_API-RD-DENS Conversion" xfId="3" xr:uid="{00000000-0005-0000-0000-000002000000}"/>
    <cellStyle name="Comma_SuperASTM" xfId="68" xr:uid="{00000000-0005-0000-0000-000003000000}"/>
    <cellStyle name="Comma0" xfId="4" xr:uid="{00000000-0005-0000-0000-000004000000}"/>
    <cellStyle name="Currency0" xfId="5" xr:uid="{00000000-0005-0000-0000-000005000000}"/>
    <cellStyle name="Date" xfId="6" xr:uid="{00000000-0005-0000-0000-000006000000}"/>
    <cellStyle name="density" xfId="7" xr:uid="{00000000-0005-0000-0000-000007000000}"/>
    <cellStyle name="Fixed" xfId="8" xr:uid="{00000000-0005-0000-0000-000008000000}"/>
    <cellStyle name="Heading1" xfId="9" xr:uid="{00000000-0005-0000-0000-000009000000}"/>
    <cellStyle name="Heading2" xfId="10" xr:uid="{00000000-0005-0000-0000-00000A000000}"/>
    <cellStyle name="Komma [0]_Summary (2)" xfId="11" xr:uid="{00000000-0005-0000-0000-00000B000000}"/>
    <cellStyle name="Komma 2" xfId="50" xr:uid="{00000000-0005-0000-0000-00000C000000}"/>
    <cellStyle name="Komma_Summary (2)" xfId="12" xr:uid="{00000000-0005-0000-0000-00000D000000}"/>
    <cellStyle name="Köprü" xfId="59" builtinId="8"/>
    <cellStyle name="liters" xfId="13" xr:uid="{00000000-0005-0000-0000-00000F000000}"/>
    <cellStyle name="Moneda 2" xfId="51" xr:uid="{00000000-0005-0000-0000-000010000000}"/>
    <cellStyle name="Normal" xfId="0" builtinId="0"/>
    <cellStyle name="Normal 10" xfId="14" xr:uid="{00000000-0005-0000-0000-000012000000}"/>
    <cellStyle name="Normal 11" xfId="15" xr:uid="{00000000-0005-0000-0000-000013000000}"/>
    <cellStyle name="Normal 11 2" xfId="16" xr:uid="{00000000-0005-0000-0000-000014000000}"/>
    <cellStyle name="Normal 11 2 2" xfId="17" xr:uid="{00000000-0005-0000-0000-000015000000}"/>
    <cellStyle name="Normal 11 2 2 2" xfId="18" xr:uid="{00000000-0005-0000-0000-000016000000}"/>
    <cellStyle name="Normal 11 2 2 2 2" xfId="19" xr:uid="{00000000-0005-0000-0000-000017000000}"/>
    <cellStyle name="Normal 11 2 2 2_Book1" xfId="62" xr:uid="{00000000-0005-0000-0000-000018000000}"/>
    <cellStyle name="Normal 11 2 2_Book1" xfId="61" xr:uid="{00000000-0005-0000-0000-000019000000}"/>
    <cellStyle name="Normal 11 2_Book1" xfId="60" xr:uid="{00000000-0005-0000-0000-00001A000000}"/>
    <cellStyle name="Normal 11 3" xfId="45" xr:uid="{00000000-0005-0000-0000-00001B000000}"/>
    <cellStyle name="Normal 12" xfId="20" xr:uid="{00000000-0005-0000-0000-00001C000000}"/>
    <cellStyle name="Normal 12 2" xfId="40" xr:uid="{00000000-0005-0000-0000-00001D000000}"/>
    <cellStyle name="Normal 12 3" xfId="47" xr:uid="{00000000-0005-0000-0000-00001E000000}"/>
    <cellStyle name="Normal 12_Book1" xfId="63" xr:uid="{00000000-0005-0000-0000-00001F000000}"/>
    <cellStyle name="Normal 13" xfId="41" xr:uid="{00000000-0005-0000-0000-000020000000}"/>
    <cellStyle name="Normal 13 2" xfId="42" xr:uid="{00000000-0005-0000-0000-000021000000}"/>
    <cellStyle name="Normal 13 3" xfId="43" xr:uid="{00000000-0005-0000-0000-000022000000}"/>
    <cellStyle name="Normal 14" xfId="46" xr:uid="{00000000-0005-0000-0000-000023000000}"/>
    <cellStyle name="Normal 15" xfId="48" xr:uid="{00000000-0005-0000-0000-000024000000}"/>
    <cellStyle name="Normal 16" xfId="70" xr:uid="{00000000-0005-0000-0000-000025000000}"/>
    <cellStyle name="Normal 2" xfId="21" xr:uid="{00000000-0005-0000-0000-000026000000}"/>
    <cellStyle name="Normal 2 2" xfId="22" xr:uid="{00000000-0005-0000-0000-000027000000}"/>
    <cellStyle name="Normal 3" xfId="23" xr:uid="{00000000-0005-0000-0000-000028000000}"/>
    <cellStyle name="Normal 3 2" xfId="64" xr:uid="{00000000-0005-0000-0000-000029000000}"/>
    <cellStyle name="Normal 3_Book1" xfId="65" xr:uid="{00000000-0005-0000-0000-00002A000000}"/>
    <cellStyle name="Normal 4" xfId="24" xr:uid="{00000000-0005-0000-0000-00002B000000}"/>
    <cellStyle name="Normal 5" xfId="25" xr:uid="{00000000-0005-0000-0000-00002C000000}"/>
    <cellStyle name="Normal 6" xfId="26" xr:uid="{00000000-0005-0000-0000-00002D000000}"/>
    <cellStyle name="Normal 6 2" xfId="27" xr:uid="{00000000-0005-0000-0000-00002E000000}"/>
    <cellStyle name="Normal 7" xfId="28" xr:uid="{00000000-0005-0000-0000-00002F000000}"/>
    <cellStyle name="Normal 8" xfId="29" xr:uid="{00000000-0005-0000-0000-000030000000}"/>
    <cellStyle name="Normal 9" xfId="30" xr:uid="{00000000-0005-0000-0000-000031000000}"/>
    <cellStyle name="Normal_Api_density" xfId="69" xr:uid="{00000000-0005-0000-0000-000033000000}"/>
    <cellStyle name="Normal_API-RD-DENS Conversion" xfId="31" xr:uid="{00000000-0005-0000-0000-000032000000}"/>
    <cellStyle name="Normal_SuperASTM" xfId="67" xr:uid="{00000000-0005-0000-0000-000034000000}"/>
    <cellStyle name="Normal_Ullage Load (6)" xfId="49" xr:uid="{00000000-0005-0000-0000-000035000000}"/>
    <cellStyle name="Normale_HEBEI PRINCESS" xfId="32" xr:uid="{00000000-0005-0000-0000-000036000000}"/>
    <cellStyle name="Normale_NODA STAR DISCH. F.O." xfId="33" xr:uid="{00000000-0005-0000-0000-000037000000}"/>
    <cellStyle name="Normalny_D - PROD  ZPN - An1" xfId="34" xr:uid="{00000000-0005-0000-0000-000038000000}"/>
    <cellStyle name="Normalny_L - NLS &amp; UAN - An1" xfId="44" xr:uid="{00000000-0005-0000-0000-000039000000}"/>
    <cellStyle name="Porcentaje 2" xfId="52" xr:uid="{00000000-0005-0000-0000-00003A000000}"/>
    <cellStyle name="Procent 2" xfId="53" xr:uid="{00000000-0005-0000-0000-00003B000000}"/>
    <cellStyle name="SenW" xfId="35" xr:uid="{00000000-0005-0000-0000-00003C000000}"/>
    <cellStyle name="Standaard 2" xfId="54" xr:uid="{00000000-0005-0000-0000-00003D000000}"/>
    <cellStyle name="Standaard_Summary (2)" xfId="36" xr:uid="{00000000-0005-0000-0000-00003E000000}"/>
    <cellStyle name="tonnen" xfId="37" xr:uid="{00000000-0005-0000-0000-00003F000000}"/>
    <cellStyle name="Valuta [0]_Summary (2)" xfId="38" xr:uid="{00000000-0005-0000-0000-000040000000}"/>
    <cellStyle name="Valuta 2" xfId="55" xr:uid="{00000000-0005-0000-0000-000041000000}"/>
    <cellStyle name="Valuta_Summary (2)" xfId="39" xr:uid="{00000000-0005-0000-0000-000042000000}"/>
    <cellStyle name="Yüzde" xfId="66" builtinId="5"/>
    <cellStyle name="Βασικό_54 B" xfId="56" xr:uid="{00000000-0005-0000-0000-000044000000}"/>
    <cellStyle name="Δεσμός_Working_WIRE" xfId="57" xr:uid="{00000000-0005-0000-0000-000045000000}"/>
    <cellStyle name="Διαχωριστικό χιλιάδων/υποδιαστολή_06.REPORT 6A" xfId="58" xr:uid="{00000000-0005-0000-0000-000046000000}"/>
  </cellStyles>
  <dxfs count="184">
    <dxf>
      <fill>
        <patternFill>
          <bgColor rgb="FFFF0000"/>
        </patternFill>
      </fill>
    </dxf>
    <dxf>
      <fill>
        <patternFill>
          <bgColor rgb="FFFF0000"/>
        </patternFill>
      </fill>
    </dxf>
    <dxf>
      <font>
        <b/>
        <i val="0"/>
      </font>
      <fill>
        <patternFill>
          <bgColor theme="5" tint="0.59996337778862885"/>
        </patternFill>
      </fill>
      <border>
        <top style="thin">
          <color auto="1"/>
        </top>
        <bottom style="thin">
          <color auto="1"/>
        </bottom>
        <vertical/>
        <horizontal/>
      </border>
    </dxf>
    <dxf>
      <fill>
        <patternFill patternType="none">
          <bgColor auto="1"/>
        </patternFill>
      </fill>
    </dxf>
    <dxf>
      <border>
        <left style="hair">
          <color auto="1"/>
        </left>
        <vertical/>
        <horizontal/>
      </border>
    </dxf>
    <dxf>
      <border>
        <right style="hair">
          <color auto="1"/>
        </right>
        <vertical/>
        <horizontal/>
      </border>
    </dxf>
    <dxf>
      <border>
        <left/>
        <right style="hair">
          <color auto="1"/>
        </right>
        <vertical/>
        <horizontal/>
      </border>
    </dxf>
    <dxf>
      <border>
        <left style="hair">
          <color auto="1"/>
        </left>
        <vertical/>
        <horizontal/>
      </border>
    </dxf>
    <dxf>
      <border>
        <top/>
        <vertical/>
        <horizontal/>
      </border>
    </dxf>
    <dxf>
      <border>
        <top style="thin">
          <color auto="1"/>
        </top>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right/>
      </border>
    </dxf>
    <dxf>
      <fill>
        <patternFill>
          <bgColor rgb="FFFF0000"/>
        </patternFill>
      </fill>
    </dxf>
    <dxf>
      <fill>
        <patternFill>
          <bgColor rgb="FFFFFF00"/>
        </patternFill>
      </fill>
    </dxf>
    <dxf>
      <font>
        <color rgb="FFFF0000"/>
      </font>
    </dxf>
    <dxf>
      <font>
        <color rgb="FFFF0000"/>
      </font>
    </dxf>
    <dxf>
      <border>
        <left/>
        <right/>
        <vertical/>
        <horizontal/>
      </border>
    </dxf>
    <dxf>
      <font>
        <color rgb="FFFF0000"/>
      </font>
    </dxf>
    <dxf>
      <border>
        <left/>
        <right/>
        <vertical/>
        <horizontal/>
      </border>
    </dxf>
    <dxf>
      <font>
        <color rgb="FFFF0000"/>
      </font>
    </dxf>
    <dxf>
      <fill>
        <gradientFill type="path" left="0.5" right="0.5" top="0.5" bottom="0.5">
          <stop position="0">
            <color rgb="FFFFFF00"/>
          </stop>
          <stop position="1">
            <color theme="3" tint="0.80001220740379042"/>
          </stop>
        </gradientFill>
      </fill>
    </dxf>
    <dxf>
      <fill>
        <patternFill>
          <bgColor theme="2"/>
        </patternFill>
      </fill>
    </dxf>
    <dxf>
      <font>
        <strike/>
        <color rgb="FFFF0000"/>
      </font>
    </dxf>
    <dxf>
      <fill>
        <patternFill patternType="none">
          <bgColor auto="1"/>
        </patternFill>
      </fill>
      <border>
        <right/>
        <top/>
        <bottom/>
        <vertical/>
        <horizontal/>
      </border>
    </dxf>
    <dxf>
      <fill>
        <patternFill patternType="none">
          <bgColor auto="1"/>
        </patternFill>
      </fill>
      <border>
        <right/>
        <top/>
        <bottom/>
        <vertical/>
        <horizontal/>
      </border>
    </dxf>
    <dxf>
      <fill>
        <patternFill patternType="none">
          <bgColor auto="1"/>
        </patternFill>
      </fill>
      <border>
        <right/>
        <top/>
        <bottom/>
        <vertical/>
        <horizontal/>
      </border>
    </dxf>
    <dxf>
      <fill>
        <patternFill patternType="none">
          <bgColor auto="1"/>
        </patternFill>
      </fill>
      <border>
        <right/>
        <top/>
        <bottom/>
        <vertical/>
        <horizontal/>
      </border>
    </dxf>
    <dxf>
      <fill>
        <patternFill patternType="none">
          <bgColor auto="1"/>
        </patternFill>
      </fill>
      <border>
        <right/>
        <top/>
        <bottom/>
        <vertical/>
        <horizontal/>
      </border>
    </dxf>
    <dxf>
      <fill>
        <patternFill patternType="none">
          <bgColor auto="1"/>
        </patternFill>
      </fill>
      <border>
        <top/>
        <bottom/>
        <vertical/>
        <horizontal/>
      </border>
    </dxf>
    <dxf>
      <border>
        <right/>
        <vertical/>
        <horizontal/>
      </border>
    </dxf>
    <dxf>
      <fill>
        <patternFill patternType="none">
          <bgColor auto="1"/>
        </patternFill>
      </fill>
      <border>
        <right/>
        <top/>
        <bottom/>
        <vertical/>
        <horizontal/>
      </border>
    </dxf>
    <dxf>
      <border>
        <right/>
        <top/>
        <bottom/>
        <vertical/>
        <horizontal/>
      </border>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theme="0" tint="-4.9989318521683403E-2"/>
        </patternFill>
      </fill>
      <border>
        <left style="hair">
          <color auto="1"/>
        </left>
        <right style="hair">
          <color auto="1"/>
        </right>
      </border>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bgColor rgb="FF66FF33"/>
        </patternFill>
      </fill>
    </dxf>
    <dxf>
      <fill>
        <patternFill>
          <bgColor rgb="FFFF0000"/>
        </patternFill>
      </fill>
    </dxf>
    <dxf>
      <fill>
        <patternFill patternType="none">
          <bgColor auto="1"/>
        </patternFill>
      </fill>
      <border>
        <left/>
        <right/>
        <vertical/>
        <horizontal/>
      </border>
    </dxf>
    <dxf>
      <fill>
        <patternFill patternType="none">
          <bgColor auto="1"/>
        </patternFill>
      </fill>
      <border>
        <left/>
        <right/>
        <vertical/>
        <horizontal/>
      </border>
    </dxf>
    <dxf>
      <fill>
        <patternFill patternType="none">
          <bgColor auto="1"/>
        </patternFill>
      </fill>
      <border>
        <left/>
        <right/>
        <vertical/>
        <horizontal/>
      </border>
    </dxf>
    <dxf>
      <fill>
        <patternFill patternType="none">
          <bgColor auto="1"/>
        </patternFill>
      </fill>
      <border>
        <left/>
        <right/>
        <vertical/>
        <horizontal/>
      </border>
    </dxf>
    <dxf>
      <fill>
        <patternFill patternType="none">
          <bgColor auto="1"/>
        </patternFill>
      </fill>
      <border>
        <left/>
        <right/>
        <vertical/>
        <horizontal/>
      </border>
    </dxf>
    <dxf>
      <fill>
        <patternFill patternType="none">
          <bgColor auto="1"/>
        </patternFill>
      </fill>
      <border>
        <left/>
        <right/>
        <vertical/>
        <horizontal/>
      </border>
    </dxf>
    <dxf>
      <fill>
        <patternFill patternType="none">
          <bgColor auto="1"/>
        </patternFill>
      </fill>
      <border>
        <left/>
        <right/>
        <top/>
        <bottom/>
        <vertical/>
        <horizontal/>
      </border>
    </dxf>
    <dxf>
      <border>
        <left style="hair">
          <color auto="1"/>
        </left>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CFFCC"/>
        </patternFill>
      </fill>
    </dxf>
    <dxf>
      <fill>
        <patternFill>
          <bgColor rgb="FFFFCCFF"/>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stop position="0">
            <color rgb="FFFFFF00"/>
          </stop>
          <stop position="1">
            <color rgb="FFCCFFCC"/>
          </stop>
        </gradientFill>
      </fill>
    </dxf>
    <dxf>
      <fill>
        <gradientFill>
          <stop position="0">
            <color rgb="FFFFFF00"/>
          </stop>
          <stop position="1">
            <color rgb="FFFFCCFF"/>
          </stop>
        </gradientFill>
      </fill>
    </dxf>
    <dxf>
      <fill>
        <patternFill>
          <bgColor rgb="FFFF0000"/>
        </patternFill>
      </fill>
    </dxf>
    <dxf>
      <fill>
        <patternFill>
          <bgColor rgb="FFFF0000"/>
        </patternFill>
      </fill>
    </dxf>
    <dxf>
      <fill>
        <patternFill patternType="none">
          <bgColor auto="1"/>
        </patternFill>
      </fill>
    </dxf>
    <dxf>
      <fill>
        <patternFill>
          <bgColor rgb="FFCCFFCC"/>
        </patternFill>
      </fill>
    </dxf>
    <dxf>
      <fill>
        <patternFill>
          <bgColor rgb="FFFFCCFF"/>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hair">
          <color auto="1"/>
        </left>
        <vertical/>
        <horizontal/>
      </border>
    </dxf>
    <dxf>
      <fill>
        <patternFill>
          <bgColor rgb="FFFF0000"/>
        </patternFill>
      </fill>
    </dxf>
    <dxf>
      <fill>
        <patternFill>
          <bgColor rgb="FFFF0000"/>
        </patternFill>
      </fill>
    </dxf>
    <dxf>
      <fill>
        <gradientFill>
          <stop position="0">
            <color rgb="FFFFFF00"/>
          </stop>
          <stop position="1">
            <color rgb="FFCCFFCC"/>
          </stop>
        </gradientFill>
      </fill>
    </dxf>
    <dxf>
      <fill>
        <gradientFill>
          <stop position="0">
            <color rgb="FFFFFF00"/>
          </stop>
          <stop position="1">
            <color rgb="FFFFCCFF"/>
          </stop>
        </gradientFill>
      </fill>
    </dxf>
    <dxf>
      <fill>
        <patternFill>
          <bgColor rgb="FFFF0000"/>
        </patternFill>
      </fill>
    </dxf>
    <dxf>
      <fill>
        <patternFill>
          <bgColor rgb="FFFF0000"/>
        </patternFill>
      </fill>
    </dxf>
    <dxf>
      <fill>
        <patternFill>
          <bgColor rgb="FFFF0000"/>
        </patternFill>
      </fill>
    </dxf>
    <dxf>
      <fill>
        <gradientFill type="path" left="0.5" right="0.5" top="0.5" bottom="0.5">
          <stop position="0">
            <color rgb="FFFFFF00"/>
          </stop>
          <stop position="1">
            <color theme="3" tint="0.80001220740379042"/>
          </stop>
        </gradientFill>
      </fill>
    </dxf>
    <dxf>
      <fill>
        <patternFill>
          <bgColor theme="2"/>
        </patternFill>
      </fill>
    </dxf>
    <dxf>
      <font>
        <strike/>
        <color rgb="FFFF0000"/>
      </font>
    </dxf>
    <dxf>
      <fill>
        <gradientFill type="path" left="0.5" right="0.5" top="0.5" bottom="0.5">
          <stop position="0">
            <color rgb="FFFFFF00"/>
          </stop>
          <stop position="1">
            <color theme="3" tint="0.80001220740379042"/>
          </stop>
        </gradientFill>
      </fill>
    </dxf>
    <dxf>
      <fill>
        <patternFill>
          <bgColor theme="2"/>
        </patternFill>
      </fill>
    </dxf>
    <dxf>
      <font>
        <strike/>
        <color rgb="FFFF0000"/>
      </font>
    </dxf>
    <dxf>
      <font>
        <color rgb="FF0000FF"/>
      </font>
    </dxf>
    <dxf>
      <fill>
        <patternFill>
          <bgColor rgb="FF66FF33"/>
        </patternFill>
      </fill>
    </dxf>
    <dxf>
      <fill>
        <patternFill>
          <bgColor rgb="FF00B0F0"/>
        </patternFill>
      </fill>
    </dxf>
    <dxf>
      <fill>
        <patternFill>
          <bgColor theme="3" tint="0.39994506668294322"/>
        </patternFill>
      </fill>
    </dxf>
    <dxf>
      <fill>
        <patternFill>
          <bgColor rgb="FFC00000"/>
        </patternFill>
      </fill>
    </dxf>
    <dxf>
      <fill>
        <patternFill>
          <bgColor rgb="FFFF0000"/>
        </patternFill>
      </fill>
    </dxf>
    <dxf>
      <fill>
        <patternFill>
          <bgColor theme="9"/>
        </patternFill>
      </fill>
    </dxf>
    <dxf>
      <fill>
        <patternFill>
          <bgColor theme="9" tint="0.39994506668294322"/>
        </patternFill>
      </fill>
    </dxf>
    <dxf>
      <fill>
        <patternFill>
          <bgColor theme="9" tint="0.59996337778862885"/>
        </patternFill>
      </fill>
    </dxf>
    <dxf>
      <fill>
        <patternFill>
          <bgColor theme="8" tint="0.39994506668294322"/>
        </patternFill>
      </fill>
    </dxf>
    <dxf>
      <fill>
        <patternFill>
          <bgColor theme="8" tint="0.59996337778862885"/>
        </patternFill>
      </fill>
    </dxf>
    <dxf>
      <fill>
        <patternFill>
          <bgColor theme="7" tint="0.39994506668294322"/>
        </patternFill>
      </fill>
    </dxf>
    <dxf>
      <fill>
        <patternFill>
          <bgColor theme="7" tint="0.59996337778862885"/>
        </patternFill>
      </fill>
    </dxf>
    <dxf>
      <fill>
        <patternFill>
          <bgColor theme="5" tint="0.39994506668294322"/>
        </patternFill>
      </fill>
    </dxf>
    <dxf>
      <fill>
        <patternFill>
          <bgColor theme="5" tint="0.59996337778862885"/>
        </patternFill>
      </fill>
    </dxf>
    <dxf>
      <fill>
        <patternFill>
          <bgColor theme="6" tint="0.39994506668294322"/>
        </patternFill>
      </fill>
    </dxf>
    <dxf>
      <fill>
        <patternFill>
          <bgColor theme="6" tint="0.59996337778862885"/>
        </patternFill>
      </fill>
    </dxf>
    <dxf>
      <fill>
        <patternFill>
          <bgColor theme="2" tint="-0.499984740745262"/>
        </patternFill>
      </fill>
    </dxf>
    <dxf>
      <fill>
        <patternFill>
          <bgColor theme="2" tint="-0.24994659260841701"/>
        </patternFill>
      </fill>
    </dxf>
    <dxf>
      <fill>
        <patternFill>
          <bgColor theme="2" tint="-9.9948118533890809E-2"/>
        </patternFill>
      </fill>
    </dxf>
    <dxf>
      <fill>
        <patternFill>
          <bgColor theme="9" tint="0.39994506668294322"/>
        </patternFill>
      </fill>
    </dxf>
    <dxf>
      <fill>
        <patternFill>
          <bgColor theme="9" tint="0.59996337778862885"/>
        </patternFill>
      </fill>
    </dxf>
    <dxf>
      <fill>
        <patternFill>
          <bgColor theme="8" tint="0.39994506668294322"/>
        </patternFill>
      </fill>
    </dxf>
    <dxf>
      <fill>
        <patternFill>
          <bgColor theme="8" tint="0.59996337778862885"/>
        </patternFill>
      </fill>
    </dxf>
    <dxf>
      <fill>
        <patternFill>
          <bgColor theme="7" tint="0.39994506668294322"/>
        </patternFill>
      </fill>
    </dxf>
    <dxf>
      <fill>
        <patternFill>
          <bgColor theme="7" tint="0.59996337778862885"/>
        </patternFill>
      </fill>
    </dxf>
    <dxf>
      <fill>
        <patternFill>
          <bgColor theme="5" tint="0.39994506668294322"/>
        </patternFill>
      </fill>
    </dxf>
    <dxf>
      <fill>
        <patternFill>
          <bgColor theme="5" tint="0.59996337778862885"/>
        </patternFill>
      </fill>
    </dxf>
    <dxf>
      <fill>
        <patternFill>
          <bgColor theme="6" tint="0.39994506668294322"/>
        </patternFill>
      </fill>
    </dxf>
    <dxf>
      <fill>
        <patternFill>
          <bgColor theme="6" tint="0.59996337778862885"/>
        </patternFill>
      </fill>
    </dxf>
    <dxf>
      <fill>
        <patternFill>
          <bgColor theme="2" tint="-0.499984740745262"/>
        </patternFill>
      </fill>
    </dxf>
    <dxf>
      <fill>
        <patternFill>
          <bgColor theme="2" tint="-0.24994659260841701"/>
        </patternFill>
      </fill>
    </dxf>
    <dxf>
      <fill>
        <patternFill>
          <bgColor theme="2" tint="-9.9948118533890809E-2"/>
        </patternFill>
      </fill>
    </dxf>
    <dxf>
      <fill>
        <patternFill>
          <bgColor theme="2"/>
        </patternFill>
      </fill>
    </dxf>
    <dxf>
      <fill>
        <patternFill>
          <bgColor theme="2"/>
        </patternFill>
      </fill>
    </dxf>
    <dxf>
      <font>
        <color rgb="FFFF0000"/>
      </font>
    </dxf>
    <dxf>
      <border>
        <left/>
        <right/>
        <top/>
        <bottom/>
        <vertical/>
        <horizontal/>
      </border>
    </dxf>
    <dxf>
      <border>
        <left/>
        <right/>
        <top/>
        <bottom/>
        <vertical/>
        <horizontal/>
      </border>
    </dxf>
    <dxf>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2" defaultPivotStyle="PivotStyleLight16">
    <tableStyle name="MySqlDefault" pivot="0" table="0" count="0" xr9:uid="{00000000-0011-0000-FFFF-FFFF00000000}"/>
  </tableStyles>
  <colors>
    <mruColors>
      <color rgb="FF0000FF"/>
      <color rgb="FF66FF33"/>
      <color rgb="FF66FF66"/>
      <color rgb="FFFFFF99"/>
      <color rgb="FFCCFFCC"/>
      <color rgb="FFFFCCFF"/>
      <color rgb="FFFFFFFF"/>
      <color rgb="FFFFCC00"/>
      <color rgb="FFFF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dialogsheet" Target="dialogsheets/sheet5.xml"/><Relationship Id="rId18" Type="http://schemas.openxmlformats.org/officeDocument/2006/relationships/worksheet" Target="worksheets/sheet13.xml"/><Relationship Id="rId26" Type="http://schemas.openxmlformats.org/officeDocument/2006/relationships/worksheet" Target="worksheets/sheet20.xml"/><Relationship Id="rId39" Type="http://schemas.openxmlformats.org/officeDocument/2006/relationships/worksheet" Target="worksheets/sheet33.xml"/><Relationship Id="rId21" Type="http://schemas.openxmlformats.org/officeDocument/2006/relationships/worksheet" Target="worksheets/sheet15.xml"/><Relationship Id="rId34" Type="http://schemas.openxmlformats.org/officeDocument/2006/relationships/worksheet" Target="worksheets/sheet28.xml"/><Relationship Id="rId42" Type="http://schemas.openxmlformats.org/officeDocument/2006/relationships/worksheet" Target="worksheets/sheet36.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worksheet" Target="worksheets/sheet2.xml"/><Relationship Id="rId16" Type="http://schemas.openxmlformats.org/officeDocument/2006/relationships/worksheet" Target="worksheets/sheet11.xml"/><Relationship Id="rId29" Type="http://schemas.openxmlformats.org/officeDocument/2006/relationships/worksheet" Target="worksheets/sheet23.xml"/><Relationship Id="rId11" Type="http://schemas.openxmlformats.org/officeDocument/2006/relationships/dialogsheet" Target="dialogsheets/sheet3.xml"/><Relationship Id="rId24" Type="http://schemas.openxmlformats.org/officeDocument/2006/relationships/worksheet" Target="worksheets/sheet18.xml"/><Relationship Id="rId32" Type="http://schemas.openxmlformats.org/officeDocument/2006/relationships/worksheet" Target="worksheets/sheet26.xml"/><Relationship Id="rId37" Type="http://schemas.openxmlformats.org/officeDocument/2006/relationships/worksheet" Target="worksheets/sheet31.xml"/><Relationship Id="rId40" Type="http://schemas.openxmlformats.org/officeDocument/2006/relationships/worksheet" Target="worksheets/sheet34.xml"/><Relationship Id="rId45" Type="http://schemas.openxmlformats.org/officeDocument/2006/relationships/worksheet" Target="worksheets/sheet38.xml"/><Relationship Id="rId5" Type="http://schemas.openxmlformats.org/officeDocument/2006/relationships/dialogsheet" Target="dialogsheets/sheet2.xml"/><Relationship Id="rId15" Type="http://schemas.openxmlformats.org/officeDocument/2006/relationships/worksheet" Target="worksheets/sheet10.xml"/><Relationship Id="rId23" Type="http://schemas.openxmlformats.org/officeDocument/2006/relationships/worksheet" Target="worksheets/sheet17.xml"/><Relationship Id="rId28" Type="http://schemas.openxmlformats.org/officeDocument/2006/relationships/worksheet" Target="worksheets/sheet22.xml"/><Relationship Id="rId36" Type="http://schemas.openxmlformats.org/officeDocument/2006/relationships/worksheet" Target="worksheets/sheet30.xml"/><Relationship Id="rId49" Type="http://schemas.openxmlformats.org/officeDocument/2006/relationships/sharedStrings" Target="sharedStrings.xml"/><Relationship Id="rId10" Type="http://schemas.openxmlformats.org/officeDocument/2006/relationships/worksheet" Target="worksheets/sheet8.xml"/><Relationship Id="rId19" Type="http://schemas.openxmlformats.org/officeDocument/2006/relationships/dialogsheet" Target="dialogsheets/sheet6.xml"/><Relationship Id="rId31" Type="http://schemas.openxmlformats.org/officeDocument/2006/relationships/worksheet" Target="worksheets/sheet25.xml"/><Relationship Id="rId44" Type="http://schemas.openxmlformats.org/officeDocument/2006/relationships/dialogsheet" Target="dialogsheets/sheet7.xml"/><Relationship Id="rId4" Type="http://schemas.openxmlformats.org/officeDocument/2006/relationships/dialogsheet" Target="dialogsheets/sheet1.xml"/><Relationship Id="rId9" Type="http://schemas.openxmlformats.org/officeDocument/2006/relationships/worksheet" Target="worksheets/sheet7.xml"/><Relationship Id="rId14" Type="http://schemas.openxmlformats.org/officeDocument/2006/relationships/worksheet" Target="worksheets/sheet9.xml"/><Relationship Id="rId22" Type="http://schemas.openxmlformats.org/officeDocument/2006/relationships/worksheet" Target="worksheets/sheet16.xml"/><Relationship Id="rId27" Type="http://schemas.openxmlformats.org/officeDocument/2006/relationships/worksheet" Target="worksheets/sheet21.xml"/><Relationship Id="rId30" Type="http://schemas.openxmlformats.org/officeDocument/2006/relationships/worksheet" Target="worksheets/sheet24.xml"/><Relationship Id="rId35" Type="http://schemas.openxmlformats.org/officeDocument/2006/relationships/worksheet" Target="worksheets/sheet29.xml"/><Relationship Id="rId43" Type="http://schemas.openxmlformats.org/officeDocument/2006/relationships/worksheet" Target="worksheets/sheet37.xml"/><Relationship Id="rId48" Type="http://schemas.openxmlformats.org/officeDocument/2006/relationships/styles" Target="styles.xml"/><Relationship Id="rId8" Type="http://schemas.openxmlformats.org/officeDocument/2006/relationships/worksheet" Target="worksheets/sheet6.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dialogsheet" Target="dialogsheets/sheet4.xml"/><Relationship Id="rId17" Type="http://schemas.openxmlformats.org/officeDocument/2006/relationships/worksheet" Target="worksheets/sheet12.xml"/><Relationship Id="rId25" Type="http://schemas.openxmlformats.org/officeDocument/2006/relationships/worksheet" Target="worksheets/sheet19.xml"/><Relationship Id="rId33" Type="http://schemas.openxmlformats.org/officeDocument/2006/relationships/worksheet" Target="worksheets/sheet27.xml"/><Relationship Id="rId38" Type="http://schemas.openxmlformats.org/officeDocument/2006/relationships/worksheet" Target="worksheets/sheet32.xml"/><Relationship Id="rId46" Type="http://schemas.openxmlformats.org/officeDocument/2006/relationships/worksheet" Target="worksheets/sheet39.xml"/><Relationship Id="rId20" Type="http://schemas.openxmlformats.org/officeDocument/2006/relationships/worksheet" Target="worksheets/sheet14.xml"/><Relationship Id="rId41" Type="http://schemas.openxmlformats.org/officeDocument/2006/relationships/worksheet" Target="worksheets/sheet35.xml"/><Relationship Id="rId1" Type="http://schemas.openxmlformats.org/officeDocument/2006/relationships/worksheet" Target="worksheets/sheet1.xml"/><Relationship Id="rId6" Type="http://schemas.openxmlformats.org/officeDocument/2006/relationships/worksheet" Target="worksheets/sheet4.xml"/></Relationships>
</file>

<file path=xl/ctrlProps/ctrlProp1.xml><?xml version="1.0" encoding="utf-8"?>
<formControlPr xmlns="http://schemas.microsoft.com/office/spreadsheetml/2009/9/main" objectType="List" dx="16" fmlaLink="SMALLLOGOSEL" fmlaRange="$AI$2:$AI$3" sel="2" val="0"/>
</file>

<file path=xl/ctrlProps/ctrlProp2.xml><?xml version="1.0" encoding="utf-8"?>
<formControlPr xmlns="http://schemas.microsoft.com/office/spreadsheetml/2009/9/main" objectType="CheckBox" checked="Checked" fmlaLink="$O$1" lockText="1"/>
</file>

<file path=xl/ctrlProps/ctrlProp3.xml><?xml version="1.0" encoding="utf-8"?>
<formControlPr xmlns="http://schemas.microsoft.com/office/spreadsheetml/2009/9/main" objectType="List" dx="16" fmlaLink="DISKS!$A$1" fmlaRange="DISKS!$A$2:$A$4" sel="2" val="0"/>
</file>

<file path=xl/ctrlProps/ctrlProp4.xml><?xml version="1.0" encoding="utf-8"?>
<formControlPr xmlns="http://schemas.microsoft.com/office/spreadsheetml/2009/9/main" objectType="List" dx="16" fmlaLink="SURVEYMODE" fmlaRange="$AV$2:$AV$4" sel="1" val="0"/>
</file>

<file path=xl/ctrlProps/ctrlProp5.xml><?xml version="1.0" encoding="utf-8"?>
<formControlPr xmlns="http://schemas.microsoft.com/office/spreadsheetml/2009/9/main" objectType="List" dx="16" fmlaLink="$AR$2" fmlaRange="$AH$12:$AH$21" sel="0" val="0"/>
</file>

<file path=xl/ctrlProps/ctrlProp6.xml><?xml version="1.0" encoding="utf-8"?>
<formControlPr xmlns="http://schemas.microsoft.com/office/spreadsheetml/2009/9/main" objectType="List" dx="16" fmlaLink="$AR$3" fmlaRange="$AH$22:$AH$31" sel="0" val="0"/>
</file>

<file path=xl/ctrlProps/ctrlProp7.xml><?xml version="1.0" encoding="utf-8"?>
<formControlPr xmlns="http://schemas.microsoft.com/office/spreadsheetml/2009/9/main" objectType="List" dx="16" fmlaLink="$AR$4" fmlaRange="$AH$32:$AH$41" sel="0" val="0"/>
</file>

<file path=xl/ctrlProps/ctrlProp8.xml><?xml version="1.0" encoding="utf-8"?>
<formControlPr xmlns="http://schemas.microsoft.com/office/spreadsheetml/2009/9/main" objectType="List" dx="16" fmlaLink="CHINPUT" fmlaRange="$AH$5:$AH$11" sel="0" val="0"/>
</file>

<file path=xl/ctrlProps/ctrlProp9.xml><?xml version="1.0" encoding="utf-8"?>
<formControlPr xmlns="http://schemas.microsoft.com/office/spreadsheetml/2009/9/main" objectType="List" dx="16" fmlaLink="'OnOff Hire Certificate'!$L$1" fmlaRange="'OnOff Hire Certificate'!$L$2:$L$4" sel="1" val="0"/>
</file>

<file path=xl/ctrlProps/ctrlProp10.xml><?xml version="1.0" encoding="utf-8"?>
<formControlPr xmlns="http://schemas.microsoft.com/office/spreadsheetml/2009/9/main" objectType="List" dx="16" fmlaLink="$AR$5" fmlaRange="$AH$42:$AH$52" sel="0" val="0"/>
</file>

<file path=xl/ctrlProps/ctrlProp11.xml><?xml version="1.0" encoding="utf-8"?>
<formControlPr xmlns="http://schemas.microsoft.com/office/spreadsheetml/2009/9/main" objectType="CheckBox" fmlaLink="SPORESEL" lockText="1"/>
</file>

<file path=xl/ctrlProps/ctrlProp12.xml><?xml version="1.0" encoding="utf-8"?>
<formControlPr xmlns="http://schemas.microsoft.com/office/spreadsheetml/2009/9/main" objectType="List" dx="16" fmlaLink="CHINPUT" fmlaRange="$AI$5:$AI$11" sel="0" val="0"/>
</file>

<file path=xl/ctrlProps/ctrlProp13.xml><?xml version="1.0" encoding="utf-8"?>
<formControlPr xmlns="http://schemas.microsoft.com/office/spreadsheetml/2009/9/main" objectType="Drop" dropLines="6" dropStyle="combo" dx="16" fmlaLink="BARGECALC" fmlaRange="$BM$2:$BM$7" sel="1" val="0"/>
</file>

<file path=xl/ctrlProps/ctrlProp14.xml><?xml version="1.0" encoding="utf-8"?>
<formControlPr xmlns="http://schemas.microsoft.com/office/spreadsheetml/2009/9/main" objectType="Drop" dropLines="6" dropStyle="combo" dx="16" fmlaLink="BARGESEL" fmlaRange="$BB$2:$BB$7" sel="1" val="0"/>
</file>

<file path=xl/ctrlProps/ctrlProp15.xml><?xml version="1.0" encoding="utf-8"?>
<formControlPr xmlns="http://schemas.microsoft.com/office/spreadsheetml/2009/9/main" objectType="Drop" dropLines="20" dropStyle="combo" dx="16" fmlaLink="$AP$1" fmlaRange="$AP$4:$AP$23" sel="2" val="0"/>
</file>

<file path=xl/ctrlProps/ctrlProp16.xml><?xml version="1.0" encoding="utf-8"?>
<formControlPr xmlns="http://schemas.microsoft.com/office/spreadsheetml/2009/9/main" objectType="Drop" dropLines="20" dropStyle="combo" dx="16" fmlaLink="OFFICESEL" fmlaRange="MAIN!$AY$2:$AY$21" sel="15" val="0"/>
</file>

<file path=xl/ctrlProps/ctrlProp17.xml><?xml version="1.0" encoding="utf-8"?>
<formControlPr xmlns="http://schemas.microsoft.com/office/spreadsheetml/2009/9/main" objectType="CheckBox" fmlaLink="BOTTOMLOGOSEL" lockText="1"/>
</file>

<file path=xl/ctrlProps/ctrlProp18.xml><?xml version="1.0" encoding="utf-8"?>
<formControlPr xmlns="http://schemas.microsoft.com/office/spreadsheetml/2009/9/main" objectType="List" dx="16" fmlaLink="$O$3" fmlaRange="$P$3:$P$4" sel="2" val="0"/>
</file>

<file path=xl/ctrlProps/ctrlProp19.xml><?xml version="1.0" encoding="utf-8"?>
<formControlPr xmlns="http://schemas.microsoft.com/office/spreadsheetml/2009/9/main" objectType="List" dx="16" fmlaLink="'Preliminary Report'!$L$11" fmlaRange="'Preliminary Report'!$M$11:$M$18" sel="0" val="0"/>
</file>

<file path=xl/ctrlProps/ctrlProp20.xml><?xml version="1.0" encoding="utf-8"?>
<formControlPr xmlns="http://schemas.microsoft.com/office/spreadsheetml/2009/9/main" objectType="List" dx="16" fmlaLink="'Preliminary Report'!$L$11" fmlaRange="'Preliminary Report'!$N$11:$N$18" sel="0" val="0"/>
</file>

<file path=xl/ctrlProps/ctrlProp21.xml><?xml version="1.0" encoding="utf-8"?>
<formControlPr xmlns="http://schemas.microsoft.com/office/spreadsheetml/2009/9/main" objectType="List" dx="16" fmlaLink="'Preliminary Report'!$L$11" fmlaRange="'Preliminary Report'!$M$11:$M$18" sel="0" val="0"/>
</file>

<file path=xl/ctrlProps/ctrlProp22.xml><?xml version="1.0" encoding="utf-8"?>
<formControlPr xmlns="http://schemas.microsoft.com/office/spreadsheetml/2009/9/main" objectType="List" dx="16" fmlaLink="'Preliminary Report'!$L$11" fmlaRange="'Preliminary Report'!$O$11:$O$18" sel="0" val="0"/>
</file>

<file path=xl/ctrlProps/ctrlProp23.xml><?xml version="1.0" encoding="utf-8"?>
<formControlPr xmlns="http://schemas.microsoft.com/office/spreadsheetml/2009/9/main" objectType="List" dx="16" fmlaLink="'Preliminary Report'!$L$11" fmlaRange="'Preliminary Report'!$P$11:$P$18" sel="0" val="0"/>
</file>

<file path=xl/ctrlProps/ctrlProp24.xml><?xml version="1.0" encoding="utf-8"?>
<formControlPr xmlns="http://schemas.microsoft.com/office/spreadsheetml/2009/9/main" objectType="Drop" dropLines="2" dropStyle="combo" dx="16" fmlaLink="$E$1" fmlaRange="$E$2:$E$3" sel="1" val="0"/>
</file>

<file path=xl/ctrlProps/ctrlProp25.xml><?xml version="1.0" encoding="utf-8"?>
<formControlPr xmlns="http://schemas.microsoft.com/office/spreadsheetml/2009/9/main" objectType="Drop" dropLines="2" dropStyle="combo" dx="16" fmlaLink="$E$1" fmlaRange="$F$2:$F$3" sel="1" val="0"/>
</file>

<file path=xl/ctrlProps/ctrlProp26.xml><?xml version="1.0" encoding="utf-8"?>
<formControlPr xmlns="http://schemas.microsoft.com/office/spreadsheetml/2009/9/main" objectType="Drop" dropLines="2" dropStyle="combo" dx="16" fmlaLink="$E$1" fmlaRange="$H$2:$H$3" sel="1" val="0"/>
</file>

<file path=xl/ctrlProps/ctrlProp27.xml><?xml version="1.0" encoding="utf-8"?>
<formControlPr xmlns="http://schemas.microsoft.com/office/spreadsheetml/2009/9/main" objectType="Drop" dropLines="2" dropStyle="combo" dx="16" fmlaLink="$E$1" fmlaRange="$P$2:$P$3" sel="1" val="0"/>
</file>

<file path=xl/ctrlProps/ctrlProp28.xml><?xml version="1.0" encoding="utf-8"?>
<formControlPr xmlns="http://schemas.microsoft.com/office/spreadsheetml/2009/9/main" objectType="Drop" dropLines="2" dropStyle="combo" dx="16" fmlaLink="$J$1" fmlaRange="$J$2:$J$3" sel="1" val="0"/>
</file>

<file path=xl/ctrlProps/ctrlProp29.xml><?xml version="1.0" encoding="utf-8"?>
<formControlPr xmlns="http://schemas.microsoft.com/office/spreadsheetml/2009/9/main" objectType="Drop" dropLines="2" dropStyle="combo" dx="16" fmlaLink="$J$1" fmlaRange="$N$2:$N$3" sel="1" val="0"/>
</file>

<file path=xl/ctrlProps/ctrlProp30.xml><?xml version="1.0" encoding="utf-8"?>
<formControlPr xmlns="http://schemas.microsoft.com/office/spreadsheetml/2009/9/main" objectType="Drop" dropLines="2" dropStyle="combo" dx="16" fmlaLink="$J$1" fmlaRange="$R$2:$R$3" sel="1" val="0"/>
</file>

<file path=xl/ctrlProps/ctrlProp31.xml><?xml version="1.0" encoding="utf-8"?>
<formControlPr xmlns="http://schemas.microsoft.com/office/spreadsheetml/2009/9/main" objectType="Drop" dropLines="2" dropStyle="combo" dx="16" fmlaLink="$J$1" fmlaRange="$V$2:$V$3" sel="1" val="0"/>
</file>

<file path=xl/ctrlProps/ctrlProp32.xml><?xml version="1.0" encoding="utf-8"?>
<formControlPr xmlns="http://schemas.microsoft.com/office/spreadsheetml/2009/9/main" objectType="Drop" dropLines="2" dropStyle="combo" dx="16" fmlaLink="$K$1" fmlaRange="$K$2:$K$3" sel="1" val="0"/>
</file>

<file path=xl/ctrlProps/ctrlProp33.xml><?xml version="1.0" encoding="utf-8"?>
<formControlPr xmlns="http://schemas.microsoft.com/office/spreadsheetml/2009/9/main" objectType="Drop" dropLines="2" dropStyle="combo" dx="16" fmlaLink="$K$1" fmlaRange="$S$2:$S$3" sel="1" val="0"/>
</file>

<file path=xl/ctrlProps/ctrlProp34.xml><?xml version="1.0" encoding="utf-8"?>
<formControlPr xmlns="http://schemas.microsoft.com/office/spreadsheetml/2009/9/main" objectType="Drop" dropLines="2" dropStyle="combo" dx="16" fmlaLink="$M$1" fmlaRange="$M$2:$M$3" sel="1" val="0"/>
</file>

<file path=xl/ctrlProps/ctrlProp35.xml><?xml version="1.0" encoding="utf-8"?>
<formControlPr xmlns="http://schemas.microsoft.com/office/spreadsheetml/2009/9/main" objectType="Drop" dropLines="2" dropStyle="combo" dx="16" fmlaLink="$M$1" fmlaRange="$U$2:$U$3" sel="1" val="0"/>
</file>

<file path=xl/ctrlProps/ctrlProp36.xml><?xml version="1.0" encoding="utf-8"?>
<formControlPr xmlns="http://schemas.microsoft.com/office/spreadsheetml/2009/9/main" objectType="Drop" dropLines="2" dropStyle="combo" dx="16" fmlaLink="$L$1" fmlaRange="$L$2:$L$3" sel="1" val="0"/>
</file>

<file path=xl/ctrlProps/ctrlProp37.xml><?xml version="1.0" encoding="utf-8"?>
<formControlPr xmlns="http://schemas.microsoft.com/office/spreadsheetml/2009/9/main" objectType="Drop" dropLines="2" dropStyle="combo" dx="16" fmlaLink="$L$1" fmlaRange="$L$2:$L$3" sel="1" val="0"/>
</file>

<file path=xl/ctrlProps/ctrlProp38.xml><?xml version="1.0" encoding="utf-8"?>
<formControlPr xmlns="http://schemas.microsoft.com/office/spreadsheetml/2009/9/main" objectType="Drop" dropLines="2" dropStyle="combo" dx="16" fmlaLink="$E$1" fmlaRange="$I$2:$I$3" sel="1" val="0"/>
</file>

<file path=xl/ctrlProps/ctrlProp39.xml><?xml version="1.0" encoding="utf-8"?>
<formControlPr xmlns="http://schemas.microsoft.com/office/spreadsheetml/2009/9/main" objectType="Drop" dropLines="2" dropStyle="combo" dx="16" fmlaLink="$E$1" fmlaRange="$Q$2:$Q$3" sel="1" val="0"/>
</file>

<file path=xl/ctrlProps/ctrlProp40.xml><?xml version="1.0" encoding="utf-8"?>
<formControlPr xmlns="http://schemas.microsoft.com/office/spreadsheetml/2009/9/main" objectType="Drop" dropLines="2" dropStyle="combo" dx="16" fmlaLink="$J$1" fmlaRange="$R$2:$R$3" sel="1" val="0"/>
</file>

<file path=xl/ctrlProps/ctrlProp41.xml><?xml version="1.0" encoding="utf-8"?>
<formControlPr xmlns="http://schemas.microsoft.com/office/spreadsheetml/2009/9/main" objectType="Drop" dropLines="2" dropStyle="combo" dx="16" fmlaLink="$K$1" fmlaRange="$S$2:$S$3" sel="1" val="0"/>
</file>

<file path=xl/ctrlProps/ctrlProp42.xml><?xml version="1.0" encoding="utf-8"?>
<formControlPr xmlns="http://schemas.microsoft.com/office/spreadsheetml/2009/9/main" objectType="List" dx="16" fmlaLink="'Preliminary Report'!$L$11" fmlaRange="'Preliminary Report'!$M$11:$M$18" sel="0" val="0"/>
</file>

<file path=xl/ctrlProps/ctrlProp43.xml><?xml version="1.0" encoding="utf-8"?>
<formControlPr xmlns="http://schemas.microsoft.com/office/spreadsheetml/2009/9/main" objectType="List" dx="16" fmlaLink="'Preliminary Report'!$L$11" fmlaRange="'Preliminary Report'!$O$11:$O$18" sel="0" val="0"/>
</file>

<file path=xl/ctrlProps/ctrlProp44.xml><?xml version="1.0" encoding="utf-8"?>
<formControlPr xmlns="http://schemas.microsoft.com/office/spreadsheetml/2009/9/main" objectType="List" dx="16" fmlaLink="'Preliminary Report'!$L$11" fmlaRange="'Preliminary Report'!$P$11:$P$18" sel="0" val="0"/>
</file>

<file path=xl/ctrlProps/ctrlProp45.xml><?xml version="1.0" encoding="utf-8"?>
<formControlPr xmlns="http://schemas.microsoft.com/office/spreadsheetml/2009/9/main" objectType="List" dx="16" fmlaLink="'Preliminary Report'!$L$11" fmlaRange="'Barge BQS Report (SS)'!$T$375:$T$382" sel="0" val="0"/>
</file>

<file path=xl/ctrlProps/ctrlProp46.xml><?xml version="1.0" encoding="utf-8"?>
<formControlPr xmlns="http://schemas.microsoft.com/office/spreadsheetml/2009/9/main" objectType="List" dx="16" fmlaLink="'Preliminary Report'!$L$11" fmlaRange="'Barge BQS Report (SS)'!$U$375:$U$382" sel="0" val="0"/>
</file>

<file path=xl/ctrlProps/ctrlProp47.xml><?xml version="1.0" encoding="utf-8"?>
<formControlPr xmlns="http://schemas.microsoft.com/office/spreadsheetml/2009/9/main" objectType="Drop" dropLines="2" dropStyle="combo" dx="16" fmlaLink="$E$1" fmlaRange="$E$2:$E$3" sel="1" val="0"/>
</file>

<file path=xl/ctrlProps/ctrlProp48.xml><?xml version="1.0" encoding="utf-8"?>
<formControlPr xmlns="http://schemas.microsoft.com/office/spreadsheetml/2009/9/main" objectType="Drop" dropLines="2" dropStyle="combo" dx="16" fmlaLink="$E$1" fmlaRange="$F$2:$F$3" sel="1" val="0"/>
</file>

<file path=xl/ctrlProps/ctrlProp49.xml><?xml version="1.0" encoding="utf-8"?>
<formControlPr xmlns="http://schemas.microsoft.com/office/spreadsheetml/2009/9/main" objectType="Drop" dropLines="2" dropStyle="combo" dx="16" fmlaLink="$E$1" fmlaRange="$H$2:$H$3" sel="1" val="0"/>
</file>

<file path=xl/ctrlProps/ctrlProp50.xml><?xml version="1.0" encoding="utf-8"?>
<formControlPr xmlns="http://schemas.microsoft.com/office/spreadsheetml/2009/9/main" objectType="Drop" dropLines="2" dropStyle="combo" dx="16" fmlaLink="$E$1" fmlaRange="$P$2:$P$3" sel="1" val="0"/>
</file>

<file path=xl/ctrlProps/ctrlProp51.xml><?xml version="1.0" encoding="utf-8"?>
<formControlPr xmlns="http://schemas.microsoft.com/office/spreadsheetml/2009/9/main" objectType="Drop" dropLines="2" dropStyle="combo" dx="16" fmlaLink="$J$1" fmlaRange="$J$2:$J$3" sel="1" val="0"/>
</file>

<file path=xl/ctrlProps/ctrlProp52.xml><?xml version="1.0" encoding="utf-8"?>
<formControlPr xmlns="http://schemas.microsoft.com/office/spreadsheetml/2009/9/main" objectType="Drop" dropLines="2" dropStyle="combo" dx="16" fmlaLink="$J$1" fmlaRange="$N$2:$N$3" sel="1" val="0"/>
</file>

<file path=xl/ctrlProps/ctrlProp53.xml><?xml version="1.0" encoding="utf-8"?>
<formControlPr xmlns="http://schemas.microsoft.com/office/spreadsheetml/2009/9/main" objectType="Drop" dropLines="2" dropStyle="combo" dx="16" fmlaLink="$J$1" fmlaRange="$R$2:$R$3" sel="1" val="0"/>
</file>

<file path=xl/ctrlProps/ctrlProp54.xml><?xml version="1.0" encoding="utf-8"?>
<formControlPr xmlns="http://schemas.microsoft.com/office/spreadsheetml/2009/9/main" objectType="Drop" dropLines="2" dropStyle="combo" dx="16" fmlaLink="$J$1" fmlaRange="$V$2:$V$3" sel="1" val="0"/>
</file>

<file path=xl/ctrlProps/ctrlProp55.xml><?xml version="1.0" encoding="utf-8"?>
<formControlPr xmlns="http://schemas.microsoft.com/office/spreadsheetml/2009/9/main" objectType="Drop" dropLines="2" dropStyle="combo" dx="16" fmlaLink="$K$1" fmlaRange="$K$2:$K$3" sel="1" val="0"/>
</file>

<file path=xl/ctrlProps/ctrlProp56.xml><?xml version="1.0" encoding="utf-8"?>
<formControlPr xmlns="http://schemas.microsoft.com/office/spreadsheetml/2009/9/main" objectType="Drop" dropLines="2" dropStyle="combo" dx="16" fmlaLink="$K$1" fmlaRange="$S$2:$S$3" sel="1" val="0"/>
</file>

<file path=xl/ctrlProps/ctrlProp57.xml><?xml version="1.0" encoding="utf-8"?>
<formControlPr xmlns="http://schemas.microsoft.com/office/spreadsheetml/2009/9/main" objectType="Drop" dropLines="2" dropStyle="combo" dx="16" fmlaLink="$M$1" fmlaRange="$M$2:$M$3" sel="1" val="0"/>
</file>

<file path=xl/ctrlProps/ctrlProp58.xml><?xml version="1.0" encoding="utf-8"?>
<formControlPr xmlns="http://schemas.microsoft.com/office/spreadsheetml/2009/9/main" objectType="Drop" dropLines="2" dropStyle="combo" dx="16" fmlaLink="$M$1" fmlaRange="$U$2:$U$3" sel="1" val="0"/>
</file>

<file path=xl/ctrlProps/ctrlProp59.xml><?xml version="1.0" encoding="utf-8"?>
<formControlPr xmlns="http://schemas.microsoft.com/office/spreadsheetml/2009/9/main" objectType="Drop" dropLines="2" dropStyle="combo" dx="16" fmlaLink="$L$1" fmlaRange="$L$2:$L$3" sel="1" val="0"/>
</file>

<file path=xl/ctrlProps/ctrlProp60.xml><?xml version="1.0" encoding="utf-8"?>
<formControlPr xmlns="http://schemas.microsoft.com/office/spreadsheetml/2009/9/main" objectType="Drop" dropLines="2" dropStyle="combo" dx="16" fmlaLink="$L$1" fmlaRange="$L$2:$L$3" sel="1" val="0"/>
</file>

<file path=xl/ctrlProps/ctrlProp61.xml><?xml version="1.0" encoding="utf-8"?>
<formControlPr xmlns="http://schemas.microsoft.com/office/spreadsheetml/2009/9/main" objectType="Drop" dropLines="2" dropStyle="combo" dx="16" fmlaLink="$E$1" fmlaRange="$I$2:$I$3" sel="1" val="0"/>
</file>

<file path=xl/ctrlProps/ctrlProp62.xml><?xml version="1.0" encoding="utf-8"?>
<formControlPr xmlns="http://schemas.microsoft.com/office/spreadsheetml/2009/9/main" objectType="Drop" dropLines="2" dropStyle="combo" dx="16" fmlaLink="$E$1" fmlaRange="$Q$2:$Q$3" sel="1" val="0"/>
</file>

<file path=xl/ctrlProps/ctrlProp63.xml><?xml version="1.0" encoding="utf-8"?>
<formControlPr xmlns="http://schemas.microsoft.com/office/spreadsheetml/2009/9/main" objectType="List" dx="16" fmlaLink="$N$1" fmlaRange="$N$5:$N$8" sel="3" val="0"/>
</file>

<file path=xl/ctrlProps/ctrlProp64.xml><?xml version="1.0" encoding="utf-8"?>
<formControlPr xmlns="http://schemas.microsoft.com/office/spreadsheetml/2009/9/main" objectType="CheckBox" checked="Checked" fmlaLink="$B$261" lockText="1"/>
</file>

<file path=xl/ctrlProps/ctrlProp65.xml><?xml version="1.0" encoding="utf-8"?>
<formControlPr xmlns="http://schemas.microsoft.com/office/spreadsheetml/2009/9/main" objectType="List" dx="16" fmlaLink="'FlowMeter (SS)'!$Q$2" fmlaRange="'FlowMeter (SS)'!$Q$3:$Q$4" sel="1" val="0"/>
</file>

<file path=xl/ctrlProps/ctrlProp66.xml><?xml version="1.0" encoding="utf-8"?>
<formControlPr xmlns="http://schemas.microsoft.com/office/spreadsheetml/2009/9/main" objectType="List" dx="16" fmlaLink="'Vessel BQS Report'!$AA$1" fmlaRange="'Vessel BQS Report'!$AA$2:$AA$3" sel="1" val="0"/>
</file>

<file path=xl/ctrlProps/ctrlProp67.xml><?xml version="1.0" encoding="utf-8"?>
<formControlPr xmlns="http://schemas.microsoft.com/office/spreadsheetml/2009/9/main" objectType="List" dx="16" fmlaLink="'Vessel BQS Report'!$Z$1" fmlaRange="'Vessel BQS Report'!$Z$2:$Z$4" sel="3" val="0"/>
</file>

<file path=xl/ctrlProps/ctrlProp68.xml><?xml version="1.0" encoding="utf-8"?>
<formControlPr xmlns="http://schemas.microsoft.com/office/spreadsheetml/2009/9/main" objectType="List" dx="16" fmlaLink="'Vessel BQS Report'!$AB$1" fmlaRange="'Vessel BQS Report'!$AB$2:$AB$3" sel="1" val="0"/>
</file>

<file path=xl/ctrlProps/ctrlProp69.xml><?xml version="1.0" encoding="utf-8"?>
<formControlPr xmlns="http://schemas.microsoft.com/office/spreadsheetml/2009/9/main" objectType="List" dx="16" fmlaLink="'Vessel BQS Report'!$Z$1" fmlaRange="'Barge BQS Report'!$Z$2:$Z$4" sel="3" val="0"/>
</file>

<file path=xl/ctrlProps/ctrlProp70.xml><?xml version="1.0" encoding="utf-8"?>
<formControlPr xmlns="http://schemas.microsoft.com/office/spreadsheetml/2009/9/main" objectType="List" dx="16" fmlaLink="'Barge BQS Report'!$AA$1" fmlaRange="'Barge BQS Report'!$AA$2:$AA$3" sel="1" val="0"/>
</file>

<file path=xl/ctrlProps/ctrlProp71.xml><?xml version="1.0" encoding="utf-8"?>
<formControlPr xmlns="http://schemas.microsoft.com/office/spreadsheetml/2009/9/main" objectType="List" dx="16" fmlaLink="'Barge BQS Report'!$AB$1" fmlaRange="'Barge BQS Report'!$AB$2:$AB$3" sel="1" val="0"/>
</file>

<file path=xl/ctrlProps/ctrlProp72.xml><?xml version="1.0" encoding="utf-8"?>
<formControlPr xmlns="http://schemas.microsoft.com/office/spreadsheetml/2009/9/main" objectType="Drop" dropLines="2" dropStyle="combo" dx="16" fmlaLink="'Vessel BQS Report'!$AA$1" fmlaRange="'Vessel BQS Report'!$AA$2:$AA$3" sel="1" val="0"/>
</file>

<file path=xl/ctrlProps/ctrlProp73.xml><?xml version="1.0" encoding="utf-8"?>
<formControlPr xmlns="http://schemas.microsoft.com/office/spreadsheetml/2009/9/main" objectType="Drop" dropLines="2" dropStyle="combo" dx="16" fmlaLink="'Vessel BQS Report'!$AB$1" fmlaRange="'Vessel BQS Report'!$AB$2:$AB$3" sel="1" val="0"/>
</file>

<file path=xl/ctrlProps/ctrlProp74.xml><?xml version="1.0" encoding="utf-8"?>
<formControlPr xmlns="http://schemas.microsoft.com/office/spreadsheetml/2009/9/main" objectType="Drop" dropLines="3" dropStyle="combo" dx="16" fmlaLink="'Vessel BQS Report'!$Z$1" fmlaRange="'Vessel BQS Report'!$Z$2:$Z$4" sel="3" val="0"/>
</file>

<file path=xl/ctrlProps/ctrlProp75.xml><?xml version="1.0" encoding="utf-8"?>
<formControlPr xmlns="http://schemas.microsoft.com/office/spreadsheetml/2009/9/main" objectType="Drop" dropLines="2" dropStyle="combo" dx="16" fmlaLink="'Barge BQS Report'!$AA$1" fmlaRange="'Barge BQS Report'!$AA$2:$AA$3" sel="1" val="0"/>
</file>

<file path=xl/ctrlProps/ctrlProp76.xml><?xml version="1.0" encoding="utf-8"?>
<formControlPr xmlns="http://schemas.microsoft.com/office/spreadsheetml/2009/9/main" objectType="Drop" dropLines="2" dropStyle="combo" dx="16" fmlaLink="'Barge BQS Report'!$AB$1" fmlaRange="'Barge BQS Report'!$AB$2:$AB$3" sel="1" val="0"/>
</file>

<file path=xl/ctrlProps/ctrlProp77.xml><?xml version="1.0" encoding="utf-8"?>
<formControlPr xmlns="http://schemas.microsoft.com/office/spreadsheetml/2009/9/main" objectType="Drop" dropLines="3" dropStyle="combo" dx="16" fmlaLink="'Vessel BQS Report'!$Z$1" fmlaRange="'Barge BQS Report'!$Z$2:$Z$4" sel="3" val="0"/>
</file>

<file path=xl/ctrlProps/ctrlProp78.xml><?xml version="1.0" encoding="utf-8"?>
<formControlPr xmlns="http://schemas.microsoft.com/office/spreadsheetml/2009/9/main" objectType="List" dx="16" fmlaLink="$N$1" fmlaRange="$N$2:$N$3" sel="1" val="0"/>
</file>

<file path=xl/ctrlProps/ctrlProp79.xml><?xml version="1.0" encoding="utf-8"?>
<formControlPr xmlns="http://schemas.microsoft.com/office/spreadsheetml/2009/9/main" objectType="List" dx="16" fmlaLink="'FlowMeter (SS)'!$Q$2" fmlaRange="'FlowMeter (SS)'!$Q$3:$Q$4" sel="1" val="0"/>
</file>

<file path=xl/ctrlProps/ctrlProp80.xml><?xml version="1.0" encoding="utf-8"?>
<formControlPr xmlns="http://schemas.microsoft.com/office/spreadsheetml/2009/9/main" objectType="List" dx="16" fmlaLink="$N$1" fmlaRange="$N$2:$N$3" sel="1" val="0"/>
</file>

<file path=xl/ctrlProps/ctrlProp81.xml><?xml version="1.0" encoding="utf-8"?>
<formControlPr xmlns="http://schemas.microsoft.com/office/spreadsheetml/2009/9/main" objectType="List" dx="16" fmlaLink="$AA$1" fmlaRange="$AA$2:$AA$3" sel="1" val="0"/>
</file>

<file path=xl/ctrlProps/ctrlProp82.xml><?xml version="1.0" encoding="utf-8"?>
<formControlPr xmlns="http://schemas.microsoft.com/office/spreadsheetml/2009/9/main" objectType="List" dx="16" fmlaLink="GRADECHNO2" fmlaRange="'Vessel BQS Report'!$Z$2:$Z$4" sel="1" val="0"/>
</file>

<file path=xl/ctrlProps/ctrlProp83.xml><?xml version="1.0" encoding="utf-8"?>
<formControlPr xmlns="http://schemas.microsoft.com/office/spreadsheetml/2009/9/main" objectType="List" dx="16" fmlaLink="$AB$1" fmlaRange="$AB$2:$AB$3" sel="1" val="0"/>
</file>

<file path=xl/ctrlProps/ctrlProp84.xml><?xml version="1.0" encoding="utf-8"?>
<formControlPr xmlns="http://schemas.microsoft.com/office/spreadsheetml/2009/9/main" objectType="List" dx="16" fmlaLink="$V$19" fmlaRange="$V$20:$V$21" sel="1" val="0"/>
</file>

<file path=xl/ctrlProps/ctrlProp85.xml><?xml version="1.0" encoding="utf-8"?>
<formControlPr xmlns="http://schemas.microsoft.com/office/spreadsheetml/2009/9/main" objectType="List" dx="16" fmlaLink="$V$13" fmlaRange="$V$15:$V$17" sel="1" val="0"/>
</file>

<file path=xl/ctrlProps/ctrlProp86.xml><?xml version="1.0" encoding="utf-8"?>
<formControlPr xmlns="http://schemas.microsoft.com/office/spreadsheetml/2009/9/main" objectType="Drop" dropLines="2" dropStyle="combo" dx="16" fmlaLink="V2" fmlaRange="$V$3:$V$4" sel="1" val="0"/>
</file>

<file path=xl/ctrlProps/ctrlProp87.xml><?xml version="1.0" encoding="utf-8"?>
<formControlPr xmlns="http://schemas.microsoft.com/office/spreadsheetml/2009/9/main" objectType="Drop" dropLines="2" dropStyle="combo" dx="16" fmlaLink="X2" fmlaRange="X3:X4" sel="2" val="0"/>
</file>

<file path=xl/ctrlProps/ctrlProp88.xml><?xml version="1.0" encoding="utf-8"?>
<formControlPr xmlns="http://schemas.microsoft.com/office/spreadsheetml/2009/9/main" objectType="Drop" dropLines="5" dropStyle="combo" dx="16" fmlaLink="$Y$2" fmlaRange="$Y$3:$Y$7" sel="1" val="0"/>
</file>

<file path=xl/ctrlProps/ctrlProp89.xml><?xml version="1.0" encoding="utf-8"?>
<formControlPr xmlns="http://schemas.microsoft.com/office/spreadsheetml/2009/9/main" objectType="Drop" dropLines="2" dropStyle="combo" dx="16" fmlaLink="$Z$2" fmlaRange="$Z$3:$Z$4" sel="2" val="0"/>
</file>

<file path=xl/ctrlProps/ctrlProp90.xml><?xml version="1.0" encoding="utf-8"?>
<formControlPr xmlns="http://schemas.microsoft.com/office/spreadsheetml/2009/9/main" objectType="Drop" dropLines="4" dropStyle="combo" dx="16" fmlaLink="$W$2" fmlaRange="$W$3:$W$6" sel="2" val="0"/>
</file>

<file path=xl/ctrlProps/ctrlProp91.xml><?xml version="1.0" encoding="utf-8"?>
<formControlPr xmlns="http://schemas.microsoft.com/office/spreadsheetml/2009/9/main" objectType="Drop" dropLines="2" dropStyle="combo" dx="16" fmlaLink="$AC$2" fmlaRange="$AC$3:$AC$4" sel="2" val="0"/>
</file>

<file path=xl/dialogsheets/_rels/sheet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9.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10.vml"/></Relationships>
</file>

<file path=xl/dialogsheets/_rels/sheet5.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dialogsheets/_rels/sheet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dialogsheets/_rels/sheet7.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42.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300-000000000000}">
  <sheetPr>
    <tabColor theme="3"/>
  </sheetPr>
  <sheetViews>
    <sheetView showRowColHeaders="0" showZeros="0" showOutlineSymbols="0" workbookViewId="0"/>
  </sheetViews>
  <sheetFormatPr defaultColWidth="0.875" defaultRowHeight="5.25" customHeight="1"/>
  <sheetProtection sheet="1"/>
  <pageMargins left="0.7" right="0.7" top="0.75" bottom="0.75" header="0.3" footer="0.3"/>
  <pageSetup paperSize="9" orientation="portrait" r:id="rId1"/>
  <legacyDrawing r:id="rId2"/>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400-000000000000}">
  <sheetPr>
    <tabColor theme="3"/>
  </sheetPr>
  <sheetViews>
    <sheetView showRowColHeaders="0" showZeros="0" showOutlineSymbols="0" topLeftCell="F1" workbookViewId="0"/>
  </sheetViews>
  <sheetFormatPr defaultColWidth="0.875" defaultRowHeight="5.25" customHeight="1"/>
  <sheetProtection sheet="1"/>
  <pageMargins left="0.7" right="0.7" top="0.75" bottom="0.75" header="0.3" footer="0.3"/>
  <pageSetup paperSize="9" orientation="portrait" r:id="rId1"/>
  <legacyDrawing r:id="rId2"/>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A00-000000000000}">
  <sheetPr>
    <tabColor rgb="FF00B050"/>
  </sheetPr>
  <sheetViews>
    <sheetView showRowColHeaders="0" showZeros="0" showOutlineSymbols="0" workbookViewId="0"/>
  </sheetViews>
  <sheetFormatPr defaultColWidth="0.875" defaultRowHeight="5.25" customHeight="1"/>
  <sheetProtection sheet="1" objects="1" scenarios="1"/>
  <pageMargins left="0.7" right="0.7" top="0.75" bottom="0.75" header="0.3" footer="0.3"/>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B00-000000000000}">
  <sheetPr>
    <tabColor rgb="FF00B050"/>
  </sheetPr>
  <sheetViews>
    <sheetView showRowColHeaders="0" showZeros="0" showOutlineSymbols="0" workbookViewId="0"/>
  </sheetViews>
  <sheetFormatPr defaultColWidth="0.875" defaultRowHeight="5.25" customHeight="1"/>
  <sheetProtection sheet="1" objects="1" scenarios="1"/>
  <pageMargins left="0.7" right="0.7" top="0.75" bottom="0.75" header="0.3" footer="0.3"/>
  <legacyDrawing r:id="rId1"/>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C00-000000000000}">
  <sheetPr>
    <tabColor rgb="FF00B050"/>
  </sheetPr>
  <sheetViews>
    <sheetView showRowColHeaders="0" showZeros="0" showOutlineSymbols="0" workbookViewId="0"/>
  </sheetViews>
  <sheetFormatPr defaultColWidth="0.875" defaultRowHeight="5.25" customHeight="1"/>
  <sheetProtection sheet="1" objects="1" scenarios="1"/>
  <pageMargins left="0.7" right="0.7" top="0.75" bottom="0.75" header="0.3" footer="0.3"/>
  <pageSetup paperSize="9" orientation="portrait" r:id="rId1"/>
  <legacyDrawing r:id="rId2"/>
</dialogsheet>
</file>

<file path=xl/dialogsheets/sheet6.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1200-000000000000}">
  <sheetPr>
    <tabColor rgb="FF00B050"/>
  </sheetPr>
  <sheetViews>
    <sheetView showRowColHeaders="0" showZeros="0" showOutlineSymbols="0" workbookViewId="0"/>
  </sheetViews>
  <sheetFormatPr defaultColWidth="0.875" defaultRowHeight="5.25" customHeight="1"/>
  <sheetProtection sheet="1" objects="1" scenarios="1"/>
  <pageMargins left="0.7" right="0.7" top="0.75" bottom="0.75" header="0.3" footer="0.3"/>
  <pageSetup paperSize="9" orientation="portrait" r:id="rId1"/>
  <legacyDrawing r:id="rId2"/>
</dialogsheet>
</file>

<file path=xl/dialogsheets/sheet7.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2B00-000000000000}">
  <sheetPr>
    <tabColor rgb="FFFFFF00"/>
  </sheetPr>
  <sheetViews>
    <sheetView showRowColHeaders="0" showZeros="0" showOutlineSymbols="0" workbookViewId="0"/>
  </sheetViews>
  <sheetFormatPr defaultColWidth="0.875" defaultRowHeight="5.25" customHeight="1"/>
  <sheetProtection sheet="1"/>
  <pageMargins left="0.7" right="0.7" top="0.75" bottom="0.75" header="0.3" footer="0.3"/>
  <pageSetup paperSize="9" orientation="portrait" r:id="rId1"/>
  <legacyDrawing r:id="rId2"/>
</dialogsheet>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7.jpe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hyperlink" Target="#ANALTOP"/><Relationship Id="rId2" Type="http://schemas.openxmlformats.org/officeDocument/2006/relationships/hyperlink" Target="#BUNKERPRICES"/><Relationship Id="rId1" Type="http://schemas.openxmlformats.org/officeDocument/2006/relationships/image" Target="../media/image5.png"/><Relationship Id="rId6" Type="http://schemas.openxmlformats.org/officeDocument/2006/relationships/image" Target="../media/image1.png"/><Relationship Id="rId5" Type="http://schemas.openxmlformats.org/officeDocument/2006/relationships/image" Target="../media/image7.jpeg"/><Relationship Id="rId4" Type="http://schemas.openxmlformats.org/officeDocument/2006/relationships/hyperlink" Target="#ACTLOG"/></Relationships>
</file>

<file path=xl/drawings/_rels/drawing1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5.png"/><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1.jpeg"/><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2.jpeg"/><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2.jpe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jpeg"/><Relationship Id="rId1" Type="http://schemas.openxmlformats.org/officeDocument/2006/relationships/image" Target="../media/image5.png"/><Relationship Id="rId5" Type="http://schemas.openxmlformats.org/officeDocument/2006/relationships/image" Target="../media/image1.png"/><Relationship Id="rId4" Type="http://schemas.openxmlformats.org/officeDocument/2006/relationships/image" Target="../media/image15.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6.jpeg"/><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7.jpeg"/><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8.png"/><Relationship Id="rId1" Type="http://schemas.openxmlformats.org/officeDocument/2006/relationships/image" Target="../media/image5.png"/><Relationship Id="rId5" Type="http://schemas.openxmlformats.org/officeDocument/2006/relationships/image" Target="../media/image1.png"/><Relationship Id="rId4" Type="http://schemas.openxmlformats.org/officeDocument/2006/relationships/image" Target="../media/image18.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png"/><Relationship Id="rId1" Type="http://schemas.openxmlformats.org/officeDocument/2006/relationships/image" Target="../media/image5.png"/><Relationship Id="rId4" Type="http://schemas.openxmlformats.org/officeDocument/2006/relationships/image" Target="../media/image20.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png"/></Relationships>
</file>

<file path=xl/drawings/_rels/drawing2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3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1.jpeg"/><Relationship Id="rId1" Type="http://schemas.openxmlformats.org/officeDocument/2006/relationships/image" Target="../media/image10.png"/></Relationships>
</file>

<file path=xl/drawings/_rels/drawing3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5</xdr:col>
      <xdr:colOff>19050</xdr:colOff>
      <xdr:row>0</xdr:row>
      <xdr:rowOff>12700</xdr:rowOff>
    </xdr:from>
    <xdr:to>
      <xdr:col>7</xdr:col>
      <xdr:colOff>0</xdr:colOff>
      <xdr:row>2</xdr:row>
      <xdr:rowOff>107950</xdr:rowOff>
    </xdr:to>
    <xdr:sp macro="[0]!GOSTANDARDSETT" textlink="">
      <xdr:nvSpPr>
        <xdr:cNvPr id="4" name="Rounded Rectangle 3">
          <a:extLst>
            <a:ext uri="{FF2B5EF4-FFF2-40B4-BE49-F238E27FC236}">
              <a16:creationId xmlns:a16="http://schemas.microsoft.com/office/drawing/2014/main" id="{00000000-0008-0000-0000-000004000000}"/>
            </a:ext>
          </a:extLst>
        </xdr:cNvPr>
        <xdr:cNvSpPr/>
      </xdr:nvSpPr>
      <xdr:spPr>
        <a:xfrm>
          <a:off x="1136650" y="12700"/>
          <a:ext cx="1390650" cy="412750"/>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lIns="0" tIns="0" rIns="0" bIns="0" rtlCol="0" anchor="ctr">
          <a:sp3d/>
        </a:bodyPr>
        <a:lstStyle/>
        <a:p>
          <a:pPr algn="ctr"/>
          <a:r>
            <a:rPr lang="en-US" sz="1000" b="1" u="none">
              <a:solidFill>
                <a:srgbClr val="002060"/>
              </a:solidFill>
              <a:effectLst/>
            </a:rPr>
            <a:t>GO TO</a:t>
          </a:r>
          <a:r>
            <a:rPr lang="en-US" sz="1000" b="1" u="none" baseline="0">
              <a:solidFill>
                <a:srgbClr val="002060"/>
              </a:solidFill>
              <a:effectLst/>
            </a:rPr>
            <a:t> </a:t>
          </a:r>
          <a:r>
            <a:rPr lang="en-US" sz="1000" b="1" u="sng">
              <a:solidFill>
                <a:srgbClr val="002060"/>
              </a:solidFill>
              <a:effectLst/>
            </a:rPr>
            <a:t>STANDARD</a:t>
          </a:r>
          <a:r>
            <a:rPr lang="en-US" sz="1000" b="1">
              <a:solidFill>
                <a:srgbClr val="002060"/>
              </a:solidFill>
              <a:effectLst/>
            </a:rPr>
            <a:t> </a:t>
          </a:r>
        </a:p>
        <a:p>
          <a:pPr algn="ctr"/>
          <a:r>
            <a:rPr lang="en-US" sz="1000" b="1">
              <a:solidFill>
                <a:srgbClr val="002060"/>
              </a:solidFill>
              <a:effectLst/>
            </a:rPr>
            <a:t>USER SETTINGS</a:t>
          </a:r>
        </a:p>
      </xdr:txBody>
    </xdr:sp>
    <xdr:clientData fPrintsWithSheet="0"/>
  </xdr:twoCellAnchor>
  <xdr:twoCellAnchor editAs="oneCell">
    <xdr:from>
      <xdr:col>29</xdr:col>
      <xdr:colOff>1152525</xdr:colOff>
      <xdr:row>13</xdr:row>
      <xdr:rowOff>19055</xdr:rowOff>
    </xdr:from>
    <xdr:to>
      <xdr:col>29</xdr:col>
      <xdr:colOff>3027684</xdr:colOff>
      <xdr:row>18</xdr:row>
      <xdr:rowOff>152405</xdr:rowOff>
    </xdr:to>
    <xdr:pic macro="[0]!ImportLogo">
      <xdr:nvPicPr>
        <xdr:cNvPr id="1026" name="PicLogo20" descr="C:\Users\XPS-Takis\Desktop\BD XPS\PicPetro1.png">
          <a:extLst>
            <a:ext uri="{FF2B5EF4-FFF2-40B4-BE49-F238E27FC236}">
              <a16:creationId xmlns:a16="http://schemas.microsoft.com/office/drawing/2014/main" id="{00000000-0008-0000-0000-00000204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7610950" y="2057405"/>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9525</xdr:colOff>
          <xdr:row>9</xdr:row>
          <xdr:rowOff>19050</xdr:rowOff>
        </xdr:from>
        <xdr:to>
          <xdr:col>8</xdr:col>
          <xdr:colOff>2647950</xdr:colOff>
          <xdr:row>10</xdr:row>
          <xdr:rowOff>142875</xdr:rowOff>
        </xdr:to>
        <xdr:sp macro="" textlink="">
          <xdr:nvSpPr>
            <xdr:cNvPr id="1034" name="List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10</xdr:col>
      <xdr:colOff>1181100</xdr:colOff>
      <xdr:row>13</xdr:row>
      <xdr:rowOff>19050</xdr:rowOff>
    </xdr:from>
    <xdr:to>
      <xdr:col>10</xdr:col>
      <xdr:colOff>2998901</xdr:colOff>
      <xdr:row>18</xdr:row>
      <xdr:rowOff>151257</xdr:rowOff>
    </xdr:to>
    <xdr:pic macro="[0]!ImportLogo">
      <xdr:nvPicPr>
        <xdr:cNvPr id="10" name="PicLogo1" descr="C:\Users\XPS-Takis\Desktop\BD XPS 6\PicPetroInspect.png">
          <a:extLst>
            <a:ext uri="{FF2B5EF4-FFF2-40B4-BE49-F238E27FC236}">
              <a16:creationId xmlns:a16="http://schemas.microsoft.com/office/drawing/2014/main" id="{00000000-0008-0000-0000-00000A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562725" y="2057400"/>
          <a:ext cx="1817801" cy="9418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1181105</xdr:colOff>
      <xdr:row>13</xdr:row>
      <xdr:rowOff>19049</xdr:rowOff>
    </xdr:from>
    <xdr:to>
      <xdr:col>11</xdr:col>
      <xdr:colOff>2998906</xdr:colOff>
      <xdr:row>18</xdr:row>
      <xdr:rowOff>151256</xdr:rowOff>
    </xdr:to>
    <xdr:pic macro="[0]!ImportLogo">
      <xdr:nvPicPr>
        <xdr:cNvPr id="12" name="PicLogo2" descr="C:\Users\XPS-Takis\Desktop\BD XPS 6\PicPetroInspect.png">
          <a:extLst>
            <a:ext uri="{FF2B5EF4-FFF2-40B4-BE49-F238E27FC236}">
              <a16:creationId xmlns:a16="http://schemas.microsoft.com/office/drawing/2014/main" id="{00000000-0008-0000-0000-00000C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829930" y="2057399"/>
          <a:ext cx="1817801" cy="9418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1152530</xdr:colOff>
      <xdr:row>13</xdr:row>
      <xdr:rowOff>19052</xdr:rowOff>
    </xdr:from>
    <xdr:to>
      <xdr:col>12</xdr:col>
      <xdr:colOff>3027689</xdr:colOff>
      <xdr:row>18</xdr:row>
      <xdr:rowOff>151259</xdr:rowOff>
    </xdr:to>
    <xdr:pic macro="ImportLogo">
      <xdr:nvPicPr>
        <xdr:cNvPr id="13" name="PicLogo3" descr="E:\BD XPS 6\PicPetroInspect.png">
          <a:extLst>
            <a:ext uri="{FF2B5EF4-FFF2-40B4-BE49-F238E27FC236}">
              <a16:creationId xmlns:a16="http://schemas.microsoft.com/office/drawing/2014/main" id="{00000000-0008-0000-0000-00000D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068555" y="2057402"/>
          <a:ext cx="1875159" cy="9418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19050</xdr:colOff>
      <xdr:row>0</xdr:row>
      <xdr:rowOff>19050</xdr:rowOff>
    </xdr:from>
    <xdr:to>
      <xdr:col>5</xdr:col>
      <xdr:colOff>1269</xdr:colOff>
      <xdr:row>2</xdr:row>
      <xdr:rowOff>107950</xdr:rowOff>
    </xdr:to>
    <xdr:sp macro="[0]!GOMAIN" textlink="">
      <xdr:nvSpPr>
        <xdr:cNvPr id="9" name="Rounded Rectangle 3">
          <a:extLst>
            <a:ext uri="{FF2B5EF4-FFF2-40B4-BE49-F238E27FC236}">
              <a16:creationId xmlns:a16="http://schemas.microsoft.com/office/drawing/2014/main" id="{00000000-0008-0000-0000-000009000000}"/>
            </a:ext>
          </a:extLst>
        </xdr:cNvPr>
        <xdr:cNvSpPr/>
      </xdr:nvSpPr>
      <xdr:spPr>
        <a:xfrm>
          <a:off x="19050" y="19050"/>
          <a:ext cx="1079499" cy="406400"/>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lIns="0" tIns="0" rIns="0" bIns="0" rtlCol="0" anchor="ctr">
          <a:sp3d/>
        </a:bodyPr>
        <a:lstStyle/>
        <a:p>
          <a:pPr algn="ctr"/>
          <a:r>
            <a:rPr lang="en-US" sz="1100" b="1">
              <a:solidFill>
                <a:schemeClr val="bg1"/>
              </a:solidFill>
              <a:effectLst/>
            </a:rPr>
            <a:t>MAIN</a:t>
          </a:r>
        </a:p>
      </xdr:txBody>
    </xdr:sp>
    <xdr:clientData fPrintsWithSheet="0"/>
  </xdr:twoCellAnchor>
  <xdr:twoCellAnchor editAs="oneCell">
    <xdr:from>
      <xdr:col>13</xdr:col>
      <xdr:colOff>1152525</xdr:colOff>
      <xdr:row>13</xdr:row>
      <xdr:rowOff>19050</xdr:rowOff>
    </xdr:from>
    <xdr:to>
      <xdr:col>13</xdr:col>
      <xdr:colOff>3027684</xdr:colOff>
      <xdr:row>18</xdr:row>
      <xdr:rowOff>152400</xdr:rowOff>
    </xdr:to>
    <xdr:pic macro="[0]!ImportLogo">
      <xdr:nvPicPr>
        <xdr:cNvPr id="11" name="PicLogo4" descr="C:\Users\XPS-Takis\Desktop\BD XPS\PicPetro1.png">
          <a:extLst>
            <a:ext uri="{FF2B5EF4-FFF2-40B4-BE49-F238E27FC236}">
              <a16:creationId xmlns:a16="http://schemas.microsoft.com/office/drawing/2014/main" id="{00000000-0008-0000-0000-00000B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3357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1152525</xdr:colOff>
      <xdr:row>13</xdr:row>
      <xdr:rowOff>19050</xdr:rowOff>
    </xdr:from>
    <xdr:to>
      <xdr:col>28</xdr:col>
      <xdr:colOff>3027684</xdr:colOff>
      <xdr:row>18</xdr:row>
      <xdr:rowOff>152400</xdr:rowOff>
    </xdr:to>
    <xdr:pic macro="[0]!ImportLogo">
      <xdr:nvPicPr>
        <xdr:cNvPr id="14" name="PicLogo19" descr="C:\Users\XPS-Takis\Desktop\BD XPS\PicPetro1.png">
          <a:extLst>
            <a:ext uri="{FF2B5EF4-FFF2-40B4-BE49-F238E27FC236}">
              <a16:creationId xmlns:a16="http://schemas.microsoft.com/office/drawing/2014/main" id="{00000000-0008-0000-0000-00000E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3437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1152525</xdr:colOff>
      <xdr:row>13</xdr:row>
      <xdr:rowOff>19050</xdr:rowOff>
    </xdr:from>
    <xdr:to>
      <xdr:col>27</xdr:col>
      <xdr:colOff>3027684</xdr:colOff>
      <xdr:row>18</xdr:row>
      <xdr:rowOff>152400</xdr:rowOff>
    </xdr:to>
    <xdr:pic macro="[0]!ImportLogo">
      <xdr:nvPicPr>
        <xdr:cNvPr id="15" name="PicLogo18" descr="C:\Users\XPS-Takis\Desktop\BD XPS\PicPetro1.png">
          <a:extLst>
            <a:ext uri="{FF2B5EF4-FFF2-40B4-BE49-F238E27FC236}">
              <a16:creationId xmlns:a16="http://schemas.microsoft.com/office/drawing/2014/main" id="{00000000-0008-0000-0000-00000F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765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1152525</xdr:colOff>
      <xdr:row>13</xdr:row>
      <xdr:rowOff>19050</xdr:rowOff>
    </xdr:from>
    <xdr:to>
      <xdr:col>26</xdr:col>
      <xdr:colOff>3027684</xdr:colOff>
      <xdr:row>18</xdr:row>
      <xdr:rowOff>152400</xdr:rowOff>
    </xdr:to>
    <xdr:pic macro="[0]!ImportLogo">
      <xdr:nvPicPr>
        <xdr:cNvPr id="16" name="PicLogo17" descr="C:\Users\XPS-Takis\Desktop\BD XPS\PicPetro1.png">
          <a:extLst>
            <a:ext uri="{FF2B5EF4-FFF2-40B4-BE49-F238E27FC236}">
              <a16:creationId xmlns:a16="http://schemas.microsoft.com/office/drawing/2014/main" id="{00000000-0008-0000-0000-000010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8093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1152525</xdr:colOff>
      <xdr:row>13</xdr:row>
      <xdr:rowOff>19050</xdr:rowOff>
    </xdr:from>
    <xdr:to>
      <xdr:col>25</xdr:col>
      <xdr:colOff>3027684</xdr:colOff>
      <xdr:row>18</xdr:row>
      <xdr:rowOff>152400</xdr:rowOff>
    </xdr:to>
    <xdr:pic macro="[0]!ImportLogo">
      <xdr:nvPicPr>
        <xdr:cNvPr id="17" name="PicLogo16" descr="C:\Users\XPS-Takis\Desktop\BD XPS\PicPetro1.png">
          <a:extLst>
            <a:ext uri="{FF2B5EF4-FFF2-40B4-BE49-F238E27FC236}">
              <a16:creationId xmlns:a16="http://schemas.microsoft.com/office/drawing/2014/main" id="{00000000-0008-0000-0000-000011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5421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1152525</xdr:colOff>
      <xdr:row>13</xdr:row>
      <xdr:rowOff>19050</xdr:rowOff>
    </xdr:from>
    <xdr:to>
      <xdr:col>24</xdr:col>
      <xdr:colOff>3027684</xdr:colOff>
      <xdr:row>18</xdr:row>
      <xdr:rowOff>152400</xdr:rowOff>
    </xdr:to>
    <xdr:pic macro="[0]!ImportLogo">
      <xdr:nvPicPr>
        <xdr:cNvPr id="18" name="PicLogo15" descr="C:\Users\XPS-Takis\Desktop\BD XPS\PicPetro1.png">
          <a:extLst>
            <a:ext uri="{FF2B5EF4-FFF2-40B4-BE49-F238E27FC236}">
              <a16:creationId xmlns:a16="http://schemas.microsoft.com/office/drawing/2014/main" id="{00000000-0008-0000-0000-00001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2749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1152525</xdr:colOff>
      <xdr:row>13</xdr:row>
      <xdr:rowOff>19050</xdr:rowOff>
    </xdr:from>
    <xdr:to>
      <xdr:col>22</xdr:col>
      <xdr:colOff>3027684</xdr:colOff>
      <xdr:row>18</xdr:row>
      <xdr:rowOff>152400</xdr:rowOff>
    </xdr:to>
    <xdr:pic macro="[0]!ImportLogo">
      <xdr:nvPicPr>
        <xdr:cNvPr id="20" name="PicLogo13" descr="C:\Users\XPS-Takis\Desktop\BD XPS\PicPetro1.png">
          <a:extLst>
            <a:ext uri="{FF2B5EF4-FFF2-40B4-BE49-F238E27FC236}">
              <a16:creationId xmlns:a16="http://schemas.microsoft.com/office/drawing/2014/main" id="{00000000-0008-0000-0000-00001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7405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1152525</xdr:colOff>
      <xdr:row>13</xdr:row>
      <xdr:rowOff>19050</xdr:rowOff>
    </xdr:from>
    <xdr:to>
      <xdr:col>21</xdr:col>
      <xdr:colOff>3027684</xdr:colOff>
      <xdr:row>18</xdr:row>
      <xdr:rowOff>152400</xdr:rowOff>
    </xdr:to>
    <xdr:pic macro="[0]!ImportLogo">
      <xdr:nvPicPr>
        <xdr:cNvPr id="21" name="PicLogo12" descr="C:\Users\XPS-Takis\Desktop\BD XPS\PicPetro1.png">
          <a:extLst>
            <a:ext uri="{FF2B5EF4-FFF2-40B4-BE49-F238E27FC236}">
              <a16:creationId xmlns:a16="http://schemas.microsoft.com/office/drawing/2014/main" id="{00000000-0008-0000-0000-00001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4733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1152525</xdr:colOff>
      <xdr:row>13</xdr:row>
      <xdr:rowOff>19050</xdr:rowOff>
    </xdr:from>
    <xdr:to>
      <xdr:col>20</xdr:col>
      <xdr:colOff>3027684</xdr:colOff>
      <xdr:row>18</xdr:row>
      <xdr:rowOff>152400</xdr:rowOff>
    </xdr:to>
    <xdr:pic macro="[0]!ImportLogo">
      <xdr:nvPicPr>
        <xdr:cNvPr id="22" name="PicLogo11" descr="C:\Users\XPS-Takis\Desktop\BD XPS\PicPetro1.png">
          <a:extLst>
            <a:ext uri="{FF2B5EF4-FFF2-40B4-BE49-F238E27FC236}">
              <a16:creationId xmlns:a16="http://schemas.microsoft.com/office/drawing/2014/main" id="{00000000-0008-0000-0000-000016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061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1152525</xdr:colOff>
      <xdr:row>13</xdr:row>
      <xdr:rowOff>19050</xdr:rowOff>
    </xdr:from>
    <xdr:to>
      <xdr:col>19</xdr:col>
      <xdr:colOff>3027684</xdr:colOff>
      <xdr:row>18</xdr:row>
      <xdr:rowOff>152400</xdr:rowOff>
    </xdr:to>
    <xdr:pic macro="[0]!ImportLogo">
      <xdr:nvPicPr>
        <xdr:cNvPr id="23" name="PicLogo10" descr="C:\Users\XPS-Takis\Desktop\BD XPS\PicPetro1.png">
          <a:extLst>
            <a:ext uri="{FF2B5EF4-FFF2-40B4-BE49-F238E27FC236}">
              <a16:creationId xmlns:a16="http://schemas.microsoft.com/office/drawing/2014/main" id="{00000000-0008-0000-0000-000017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49389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1152525</xdr:colOff>
      <xdr:row>13</xdr:row>
      <xdr:rowOff>19050</xdr:rowOff>
    </xdr:from>
    <xdr:to>
      <xdr:col>18</xdr:col>
      <xdr:colOff>3027684</xdr:colOff>
      <xdr:row>18</xdr:row>
      <xdr:rowOff>152400</xdr:rowOff>
    </xdr:to>
    <xdr:pic macro="[0]!ImportLogo">
      <xdr:nvPicPr>
        <xdr:cNvPr id="24" name="PicLogo9" descr="C:\Users\XPS-Takis\Desktop\BD XPS\PicPetro1.png">
          <a:extLst>
            <a:ext uri="{FF2B5EF4-FFF2-40B4-BE49-F238E27FC236}">
              <a16:creationId xmlns:a16="http://schemas.microsoft.com/office/drawing/2014/main" id="{00000000-0008-0000-0000-000018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1152525</xdr:colOff>
      <xdr:row>13</xdr:row>
      <xdr:rowOff>19050</xdr:rowOff>
    </xdr:from>
    <xdr:to>
      <xdr:col>17</xdr:col>
      <xdr:colOff>3027684</xdr:colOff>
      <xdr:row>18</xdr:row>
      <xdr:rowOff>152400</xdr:rowOff>
    </xdr:to>
    <xdr:pic macro="[0]!ImportLogo">
      <xdr:nvPicPr>
        <xdr:cNvPr id="25" name="PicLogo8" descr="C:\Users\XPS-Takis\Desktop\BD XPS\PicPetro1.png">
          <a:extLst>
            <a:ext uri="{FF2B5EF4-FFF2-40B4-BE49-F238E27FC236}">
              <a16:creationId xmlns:a16="http://schemas.microsoft.com/office/drawing/2014/main" id="{00000000-0008-0000-0000-000019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4045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1152525</xdr:colOff>
      <xdr:row>13</xdr:row>
      <xdr:rowOff>19050</xdr:rowOff>
    </xdr:from>
    <xdr:to>
      <xdr:col>14</xdr:col>
      <xdr:colOff>3027684</xdr:colOff>
      <xdr:row>18</xdr:row>
      <xdr:rowOff>152400</xdr:rowOff>
    </xdr:to>
    <xdr:pic macro="[0]!ImportLogo">
      <xdr:nvPicPr>
        <xdr:cNvPr id="26" name="PicLogo5" descr="C:\Users\XPS-Takis\Desktop\BD XPS\PicPetro1.png">
          <a:extLst>
            <a:ext uri="{FF2B5EF4-FFF2-40B4-BE49-F238E27FC236}">
              <a16:creationId xmlns:a16="http://schemas.microsoft.com/office/drawing/2014/main" id="{00000000-0008-0000-0000-00001A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6029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1152525</xdr:colOff>
      <xdr:row>13</xdr:row>
      <xdr:rowOff>19050</xdr:rowOff>
    </xdr:from>
    <xdr:to>
      <xdr:col>15</xdr:col>
      <xdr:colOff>3027684</xdr:colOff>
      <xdr:row>18</xdr:row>
      <xdr:rowOff>152400</xdr:rowOff>
    </xdr:to>
    <xdr:pic macro="[0]!ImportLogo">
      <xdr:nvPicPr>
        <xdr:cNvPr id="27" name="PicLogo6" descr="C:\Users\XPS-Takis\Desktop\BD XPS\PicPetro1.png">
          <a:extLst>
            <a:ext uri="{FF2B5EF4-FFF2-40B4-BE49-F238E27FC236}">
              <a16:creationId xmlns:a16="http://schemas.microsoft.com/office/drawing/2014/main" id="{00000000-0008-0000-0000-00001B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8701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1152525</xdr:colOff>
      <xdr:row>13</xdr:row>
      <xdr:rowOff>19050</xdr:rowOff>
    </xdr:from>
    <xdr:to>
      <xdr:col>16</xdr:col>
      <xdr:colOff>3027684</xdr:colOff>
      <xdr:row>18</xdr:row>
      <xdr:rowOff>152400</xdr:rowOff>
    </xdr:to>
    <xdr:pic macro="[0]!ImportLogo">
      <xdr:nvPicPr>
        <xdr:cNvPr id="28" name="PicLogo7" descr="C:\Users\XPS-Takis\Desktop\BD XPS\PicPetro1.png">
          <a:extLst>
            <a:ext uri="{FF2B5EF4-FFF2-40B4-BE49-F238E27FC236}">
              <a16:creationId xmlns:a16="http://schemas.microsoft.com/office/drawing/2014/main" id="{00000000-0008-0000-0000-00001C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137350" y="2057400"/>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1152525</xdr:colOff>
      <xdr:row>13</xdr:row>
      <xdr:rowOff>19051</xdr:rowOff>
    </xdr:from>
    <xdr:to>
      <xdr:col>23</xdr:col>
      <xdr:colOff>3027684</xdr:colOff>
      <xdr:row>18</xdr:row>
      <xdr:rowOff>152401</xdr:rowOff>
    </xdr:to>
    <xdr:pic macro="[0]!ImportLogo">
      <xdr:nvPicPr>
        <xdr:cNvPr id="29" name="PicLogo14">
          <a:extLst>
            <a:ext uri="{FF2B5EF4-FFF2-40B4-BE49-F238E27FC236}">
              <a16:creationId xmlns:a16="http://schemas.microsoft.com/office/drawing/2014/main" id="{00000000-0008-0000-0000-00001D000000}"/>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2007750" y="2057401"/>
          <a:ext cx="1875159"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21</xdr:row>
          <xdr:rowOff>28575</xdr:rowOff>
        </xdr:from>
        <xdr:to>
          <xdr:col>8</xdr:col>
          <xdr:colOff>685800</xdr:colOff>
          <xdr:row>22</xdr:row>
          <xdr:rowOff>76200</xdr:rowOff>
        </xdr:to>
        <xdr:sp macro="" textlink="">
          <xdr:nvSpPr>
            <xdr:cNvPr id="2050" name="Check Box 2" descr="Show Prices in Summary Re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solidFill>
              <a:srgbClr val="C4BD97"/>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Show Prices in Summary Report</a:t>
              </a:r>
            </a:p>
          </xdr:txBody>
        </xdr:sp>
        <xdr:clientData/>
      </xdr:twoCellAnchor>
    </mc:Choice>
    <mc:Fallback/>
  </mc:AlternateContent>
  <xdr:twoCellAnchor editAs="oneCell">
    <xdr:from>
      <xdr:col>2</xdr:col>
      <xdr:colOff>19051</xdr:colOff>
      <xdr:row>0</xdr:row>
      <xdr:rowOff>0</xdr:rowOff>
    </xdr:from>
    <xdr:to>
      <xdr:col>2</xdr:col>
      <xdr:colOff>958850</xdr:colOff>
      <xdr:row>2</xdr:row>
      <xdr:rowOff>85725</xdr:rowOff>
    </xdr:to>
    <xdr:sp macro="[0]!GOPOWERSETT" textlink="">
      <xdr:nvSpPr>
        <xdr:cNvPr id="4" name="Rounded Rectangle 3">
          <a:extLst>
            <a:ext uri="{FF2B5EF4-FFF2-40B4-BE49-F238E27FC236}">
              <a16:creationId xmlns:a16="http://schemas.microsoft.com/office/drawing/2014/main" id="{00000000-0008-0000-0100-000004000000}"/>
            </a:ext>
          </a:extLst>
        </xdr:cNvPr>
        <xdr:cNvSpPr/>
      </xdr:nvSpPr>
      <xdr:spPr>
        <a:xfrm>
          <a:off x="990601" y="0"/>
          <a:ext cx="939799" cy="403225"/>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lIns="0" tIns="0" rIns="0" bIns="0" rtlCol="0" anchor="ctr">
          <a:sp3d/>
        </a:bodyPr>
        <a:lstStyle/>
        <a:p>
          <a:pPr algn="ctr"/>
          <a:r>
            <a:rPr lang="en-US" sz="1000" b="1" u="none">
              <a:solidFill>
                <a:srgbClr val="002060"/>
              </a:solidFill>
              <a:effectLst/>
            </a:rPr>
            <a:t>GO TO </a:t>
          </a:r>
          <a:r>
            <a:rPr lang="en-US" sz="1000" b="1" u="sng">
              <a:solidFill>
                <a:srgbClr val="002060"/>
              </a:solidFill>
              <a:effectLst/>
            </a:rPr>
            <a:t>POWER</a:t>
          </a:r>
          <a:r>
            <a:rPr lang="en-US" sz="1000" b="1">
              <a:solidFill>
                <a:srgbClr val="002060"/>
              </a:solidFill>
              <a:effectLst/>
            </a:rPr>
            <a:t> </a:t>
          </a:r>
        </a:p>
        <a:p>
          <a:pPr algn="ctr"/>
          <a:r>
            <a:rPr lang="en-US" sz="1000" b="1">
              <a:solidFill>
                <a:srgbClr val="002060"/>
              </a:solidFill>
              <a:effectLst/>
            </a:rPr>
            <a:t>USER SETTINGS</a:t>
          </a:r>
        </a:p>
      </xdr:txBody>
    </xdr:sp>
    <xdr:clientData fPrintsWithSheet="0"/>
  </xdr:twoCellAnchor>
  <xdr:twoCellAnchor editAs="oneCell">
    <xdr:from>
      <xdr:col>0</xdr:col>
      <xdr:colOff>0</xdr:colOff>
      <xdr:row>0</xdr:row>
      <xdr:rowOff>12700</xdr:rowOff>
    </xdr:from>
    <xdr:to>
      <xdr:col>1</xdr:col>
      <xdr:colOff>958850</xdr:colOff>
      <xdr:row>2</xdr:row>
      <xdr:rowOff>88900</xdr:rowOff>
    </xdr:to>
    <xdr:sp macro="[0]!GOMAIN" textlink="">
      <xdr:nvSpPr>
        <xdr:cNvPr id="6" name="Rounded Rectangle 3">
          <a:extLst>
            <a:ext uri="{FF2B5EF4-FFF2-40B4-BE49-F238E27FC236}">
              <a16:creationId xmlns:a16="http://schemas.microsoft.com/office/drawing/2014/main" id="{00000000-0008-0000-0100-000006000000}"/>
            </a:ext>
          </a:extLst>
        </xdr:cNvPr>
        <xdr:cNvSpPr/>
      </xdr:nvSpPr>
      <xdr:spPr>
        <a:xfrm>
          <a:off x="0" y="12700"/>
          <a:ext cx="958850" cy="393700"/>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lIns="0" tIns="0" rIns="0" bIns="0" rtlCol="0" anchor="ctr">
          <a:sp3d/>
        </a:bodyPr>
        <a:lstStyle/>
        <a:p>
          <a:pPr algn="ctr"/>
          <a:r>
            <a:rPr lang="en-US" sz="1000" b="1">
              <a:solidFill>
                <a:srgbClr val="002060"/>
              </a:solidFill>
              <a:effectLst/>
            </a:rPr>
            <a:t>MAIN</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7</xdr:row>
          <xdr:rowOff>0</xdr:rowOff>
        </xdr:from>
        <xdr:to>
          <xdr:col>5</xdr:col>
          <xdr:colOff>123825</xdr:colOff>
          <xdr:row>9</xdr:row>
          <xdr:rowOff>57150</xdr:rowOff>
        </xdr:to>
        <xdr:sp macro="" textlink="">
          <xdr:nvSpPr>
            <xdr:cNvPr id="165889" name="List Box 1" hidden="1">
              <a:extLst>
                <a:ext uri="{63B3BB69-23CF-44E3-9099-C40C66FF867C}">
                  <a14:compatExt spid="_x0000_s165889"/>
                </a:ext>
                <a:ext uri="{FF2B5EF4-FFF2-40B4-BE49-F238E27FC236}">
                  <a16:creationId xmlns:a16="http://schemas.microsoft.com/office/drawing/2014/main" id="{00000000-0008-0000-0200-000001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4</xdr:row>
          <xdr:rowOff>28575</xdr:rowOff>
        </xdr:from>
        <xdr:to>
          <xdr:col>15</xdr:col>
          <xdr:colOff>85725</xdr:colOff>
          <xdr:row>6</xdr:row>
          <xdr:rowOff>57150</xdr:rowOff>
        </xdr:to>
        <xdr:sp macro="" textlink="">
          <xdr:nvSpPr>
            <xdr:cNvPr id="165892" name="List Box 4" hidden="1">
              <a:extLst>
                <a:ext uri="{63B3BB69-23CF-44E3-9099-C40C66FF867C}">
                  <a14:compatExt spid="_x0000_s165892"/>
                </a:ext>
                <a:ext uri="{FF2B5EF4-FFF2-40B4-BE49-F238E27FC236}">
                  <a16:creationId xmlns:a16="http://schemas.microsoft.com/office/drawing/2014/main" id="{00000000-0008-0000-0200-00000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21</xdr:row>
          <xdr:rowOff>28575</xdr:rowOff>
        </xdr:from>
        <xdr:to>
          <xdr:col>6</xdr:col>
          <xdr:colOff>152400</xdr:colOff>
          <xdr:row>29</xdr:row>
          <xdr:rowOff>142875</xdr:rowOff>
        </xdr:to>
        <xdr:sp macro="" textlink="">
          <xdr:nvSpPr>
            <xdr:cNvPr id="165893" name="ListBoxINT" hidden="1">
              <a:extLst>
                <a:ext uri="{63B3BB69-23CF-44E3-9099-C40C66FF867C}">
                  <a14:compatExt spid="_x0000_s165893"/>
                </a:ext>
                <a:ext uri="{FF2B5EF4-FFF2-40B4-BE49-F238E27FC236}">
                  <a16:creationId xmlns:a16="http://schemas.microsoft.com/office/drawing/2014/main" id="{00000000-0008-0000-0200-000005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200025</xdr:colOff>
          <xdr:row>21</xdr:row>
          <xdr:rowOff>28575</xdr:rowOff>
        </xdr:from>
        <xdr:to>
          <xdr:col>14</xdr:col>
          <xdr:colOff>114300</xdr:colOff>
          <xdr:row>29</xdr:row>
          <xdr:rowOff>142875</xdr:rowOff>
        </xdr:to>
        <xdr:sp macro="" textlink="">
          <xdr:nvSpPr>
            <xdr:cNvPr id="165894" name="List Box 6" hidden="1">
              <a:extLst>
                <a:ext uri="{63B3BB69-23CF-44E3-9099-C40C66FF867C}">
                  <a14:compatExt spid="_x0000_s165894"/>
                </a:ext>
                <a:ext uri="{FF2B5EF4-FFF2-40B4-BE49-F238E27FC236}">
                  <a16:creationId xmlns:a16="http://schemas.microsoft.com/office/drawing/2014/main" id="{00000000-0008-0000-0200-000006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21</xdr:row>
          <xdr:rowOff>28575</xdr:rowOff>
        </xdr:from>
        <xdr:to>
          <xdr:col>22</xdr:col>
          <xdr:colOff>171450</xdr:colOff>
          <xdr:row>29</xdr:row>
          <xdr:rowOff>142875</xdr:rowOff>
        </xdr:to>
        <xdr:sp macro="" textlink="">
          <xdr:nvSpPr>
            <xdr:cNvPr id="165895" name="List Box 7" hidden="1">
              <a:extLst>
                <a:ext uri="{63B3BB69-23CF-44E3-9099-C40C66FF867C}">
                  <a14:compatExt spid="_x0000_s165895"/>
                </a:ext>
                <a:ext uri="{FF2B5EF4-FFF2-40B4-BE49-F238E27FC236}">
                  <a16:creationId xmlns:a16="http://schemas.microsoft.com/office/drawing/2014/main" id="{00000000-0008-0000-0200-000007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15</xdr:row>
          <xdr:rowOff>28575</xdr:rowOff>
        </xdr:from>
        <xdr:to>
          <xdr:col>13</xdr:col>
          <xdr:colOff>209550</xdr:colOff>
          <xdr:row>19</xdr:row>
          <xdr:rowOff>9525</xdr:rowOff>
        </xdr:to>
        <xdr:sp macro="" textlink="">
          <xdr:nvSpPr>
            <xdr:cNvPr id="165899" name="List Box 11" hidden="1">
              <a:extLst>
                <a:ext uri="{63B3BB69-23CF-44E3-9099-C40C66FF867C}">
                  <a14:compatExt spid="_x0000_s165899"/>
                </a:ext>
                <a:ext uri="{FF2B5EF4-FFF2-40B4-BE49-F238E27FC236}">
                  <a16:creationId xmlns:a16="http://schemas.microsoft.com/office/drawing/2014/main" id="{00000000-0008-0000-0200-00000B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8</xdr:row>
          <xdr:rowOff>28575</xdr:rowOff>
        </xdr:from>
        <xdr:to>
          <xdr:col>15</xdr:col>
          <xdr:colOff>85725</xdr:colOff>
          <xdr:row>10</xdr:row>
          <xdr:rowOff>114300</xdr:rowOff>
        </xdr:to>
        <xdr:sp macro="" textlink="">
          <xdr:nvSpPr>
            <xdr:cNvPr id="165901" name="DELLIST" hidden="1">
              <a:extLst>
                <a:ext uri="{63B3BB69-23CF-44E3-9099-C40C66FF867C}">
                  <a14:compatExt spid="_x0000_s165901"/>
                </a:ext>
                <a:ext uri="{FF2B5EF4-FFF2-40B4-BE49-F238E27FC236}">
                  <a16:creationId xmlns:a16="http://schemas.microsoft.com/office/drawing/2014/main" id="{00000000-0008-0000-0200-00000D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317465</xdr:colOff>
      <xdr:row>31</xdr:row>
      <xdr:rowOff>17586</xdr:rowOff>
    </xdr:from>
    <xdr:to>
      <xdr:col>23</xdr:col>
      <xdr:colOff>7815</xdr:colOff>
      <xdr:row>33</xdr:row>
      <xdr:rowOff>36248</xdr:rowOff>
    </xdr:to>
    <xdr:sp macro="[0]!ABOUT" textlink="">
      <xdr:nvSpPr>
        <xdr:cNvPr id="13" name="Rectangle 12">
          <a:extLst>
            <a:ext uri="{FF2B5EF4-FFF2-40B4-BE49-F238E27FC236}">
              <a16:creationId xmlns:a16="http://schemas.microsoft.com/office/drawing/2014/main" id="{00000000-0008-0000-0200-00000D000000}"/>
            </a:ext>
          </a:extLst>
        </xdr:cNvPr>
        <xdr:cNvSpPr/>
      </xdr:nvSpPr>
      <xdr:spPr>
        <a:xfrm>
          <a:off x="317465" y="5199186"/>
          <a:ext cx="7354800" cy="209162"/>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1" i="1">
              <a:solidFill>
                <a:srgbClr val="002060"/>
              </a:solidFill>
              <a:latin typeface="Arial" panose="020B0604020202020204" pitchFamily="34" charset="0"/>
              <a:cs typeface="Arial" panose="020B0604020202020204" pitchFamily="34" charset="0"/>
            </a:rPr>
            <a:t>About...</a:t>
          </a:r>
        </a:p>
      </xdr:txBody>
    </xdr:sp>
    <xdr:clientData fPrintsWithSheet="0"/>
  </xdr:twoCellAnchor>
  <xdr:twoCellAnchor editAs="oneCell">
    <xdr:from>
      <xdr:col>1</xdr:col>
      <xdr:colOff>215900</xdr:colOff>
      <xdr:row>9</xdr:row>
      <xdr:rowOff>95251</xdr:rowOff>
    </xdr:from>
    <xdr:to>
      <xdr:col>5</xdr:col>
      <xdr:colOff>120650</xdr:colOff>
      <xdr:row>11</xdr:row>
      <xdr:rowOff>38100</xdr:rowOff>
    </xdr:to>
    <xdr:sp macro="[0]!GOSTANDARDSETT" textlink="">
      <xdr:nvSpPr>
        <xdr:cNvPr id="15" name="Rectangle 14">
          <a:extLst>
            <a:ext uri="{FF2B5EF4-FFF2-40B4-BE49-F238E27FC236}">
              <a16:creationId xmlns:a16="http://schemas.microsoft.com/office/drawing/2014/main" id="{00000000-0008-0000-0200-00000F000000}"/>
            </a:ext>
          </a:extLst>
        </xdr:cNvPr>
        <xdr:cNvSpPr/>
      </xdr:nvSpPr>
      <xdr:spPr>
        <a:xfrm>
          <a:off x="546100" y="1492251"/>
          <a:ext cx="1225550" cy="222249"/>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SETTINGS</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171450</xdr:colOff>
          <xdr:row>21</xdr:row>
          <xdr:rowOff>28575</xdr:rowOff>
        </xdr:from>
        <xdr:to>
          <xdr:col>6</xdr:col>
          <xdr:colOff>152400</xdr:colOff>
          <xdr:row>29</xdr:row>
          <xdr:rowOff>142875</xdr:rowOff>
        </xdr:to>
        <xdr:sp macro="" textlink="">
          <xdr:nvSpPr>
            <xdr:cNvPr id="165903" name="ListBoxSPORE" hidden="1">
              <a:extLst>
                <a:ext uri="{63B3BB69-23CF-44E3-9099-C40C66FF867C}">
                  <a14:compatExt spid="_x0000_s165903"/>
                </a:ext>
                <a:ext uri="{FF2B5EF4-FFF2-40B4-BE49-F238E27FC236}">
                  <a16:creationId xmlns:a16="http://schemas.microsoft.com/office/drawing/2014/main" id="{00000000-0008-0000-0200-00000F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7</xdr:row>
          <xdr:rowOff>9525</xdr:rowOff>
        </xdr:from>
        <xdr:to>
          <xdr:col>23</xdr:col>
          <xdr:colOff>85725</xdr:colOff>
          <xdr:row>8</xdr:row>
          <xdr:rowOff>66675</xdr:rowOff>
        </xdr:to>
        <xdr:sp macro="" textlink="">
          <xdr:nvSpPr>
            <xdr:cNvPr id="165905" name="CheckBox600" hidden="1">
              <a:extLst>
                <a:ext uri="{63B3BB69-23CF-44E3-9099-C40C66FF867C}">
                  <a14:compatExt spid="_x0000_s165905"/>
                </a:ext>
                <a:ext uri="{FF2B5EF4-FFF2-40B4-BE49-F238E27FC236}">
                  <a16:creationId xmlns:a16="http://schemas.microsoft.com/office/drawing/2014/main" id="{00000000-0008-0000-0200-0000118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Singapore SS-600:2014 forms applied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15</xdr:row>
          <xdr:rowOff>28575</xdr:rowOff>
        </xdr:from>
        <xdr:to>
          <xdr:col>14</xdr:col>
          <xdr:colOff>114300</xdr:colOff>
          <xdr:row>19</xdr:row>
          <xdr:rowOff>9525</xdr:rowOff>
        </xdr:to>
        <xdr:sp macro="" textlink="">
          <xdr:nvSpPr>
            <xdr:cNvPr id="165910" name="List Box 22" hidden="1">
              <a:extLst>
                <a:ext uri="{63B3BB69-23CF-44E3-9099-C40C66FF867C}">
                  <a14:compatExt spid="_x0000_s165910"/>
                </a:ext>
                <a:ext uri="{FF2B5EF4-FFF2-40B4-BE49-F238E27FC236}">
                  <a16:creationId xmlns:a16="http://schemas.microsoft.com/office/drawing/2014/main" id="{00000000-0008-0000-0200-000016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196850</xdr:colOff>
      <xdr:row>16</xdr:row>
      <xdr:rowOff>133350</xdr:rowOff>
    </xdr:from>
    <xdr:to>
      <xdr:col>22</xdr:col>
      <xdr:colOff>180250</xdr:colOff>
      <xdr:row>17</xdr:row>
      <xdr:rowOff>180975</xdr:rowOff>
    </xdr:to>
    <xdr:sp macro="[0]!GOTURN" textlink="">
      <xdr:nvSpPr>
        <xdr:cNvPr id="19" name="RectIMPORT" hidden="1">
          <a:extLst>
            <a:ext uri="{FF2B5EF4-FFF2-40B4-BE49-F238E27FC236}">
              <a16:creationId xmlns:a16="http://schemas.microsoft.com/office/drawing/2014/main" id="{00000000-0008-0000-0200-000013000000}"/>
            </a:ext>
          </a:extLst>
        </xdr:cNvPr>
        <xdr:cNvSpPr/>
      </xdr:nvSpPr>
      <xdr:spPr>
        <a:xfrm>
          <a:off x="5880100" y="2749550"/>
          <a:ext cx="1634400" cy="206375"/>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vert="horz" lIns="0" tIns="0" rIns="0" bIns="0" rtlCol="0" anchor="ctr"/>
        <a:lstStyle/>
        <a:p>
          <a:pPr algn="ctr"/>
          <a:r>
            <a:rPr lang="en-US" sz="800" b="1">
              <a:solidFill>
                <a:srgbClr val="002060"/>
              </a:solidFill>
              <a:latin typeface="Arial" panose="020B0604020202020204" pitchFamily="34" charset="0"/>
              <a:cs typeface="Arial" panose="020B0604020202020204" pitchFamily="34" charset="0"/>
            </a:rPr>
            <a:t>Additional Barges Out-Turns</a:t>
          </a:r>
        </a:p>
      </xdr:txBody>
    </xdr:sp>
    <xdr:clientData fPrintsWithSheet="0"/>
  </xdr:twoCellAnchor>
  <mc:AlternateContent xmlns:mc="http://schemas.openxmlformats.org/markup-compatibility/2006">
    <mc:Choice xmlns:a14="http://schemas.microsoft.com/office/drawing/2010/main" Requires="a14">
      <xdr:twoCellAnchor editAs="oneCell">
        <xdr:from>
          <xdr:col>17</xdr:col>
          <xdr:colOff>180975</xdr:colOff>
          <xdr:row>15</xdr:row>
          <xdr:rowOff>47625</xdr:rowOff>
        </xdr:from>
        <xdr:to>
          <xdr:col>22</xdr:col>
          <xdr:colOff>171450</xdr:colOff>
          <xdr:row>16</xdr:row>
          <xdr:rowOff>95250</xdr:rowOff>
        </xdr:to>
        <xdr:sp macro="" textlink="">
          <xdr:nvSpPr>
            <xdr:cNvPr id="165912" name="DropDownBARGEC" hidden="1">
              <a:extLst>
                <a:ext uri="{63B3BB69-23CF-44E3-9099-C40C66FF867C}">
                  <a14:compatExt spid="_x0000_s165912"/>
                </a:ext>
                <a:ext uri="{FF2B5EF4-FFF2-40B4-BE49-F238E27FC236}">
                  <a16:creationId xmlns:a16="http://schemas.microsoft.com/office/drawing/2014/main" id="{00000000-0008-0000-0200-000018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180975</xdr:colOff>
          <xdr:row>15</xdr:row>
          <xdr:rowOff>47625</xdr:rowOff>
        </xdr:from>
        <xdr:to>
          <xdr:col>6</xdr:col>
          <xdr:colOff>171450</xdr:colOff>
          <xdr:row>16</xdr:row>
          <xdr:rowOff>95250</xdr:rowOff>
        </xdr:to>
        <xdr:sp macro="" textlink="">
          <xdr:nvSpPr>
            <xdr:cNvPr id="165913" name="DropDownBARGEN" hidden="1">
              <a:extLst>
                <a:ext uri="{63B3BB69-23CF-44E3-9099-C40C66FF867C}">
                  <a14:compatExt spid="_x0000_s165913"/>
                </a:ext>
                <a:ext uri="{FF2B5EF4-FFF2-40B4-BE49-F238E27FC236}">
                  <a16:creationId xmlns:a16="http://schemas.microsoft.com/office/drawing/2014/main" id="{00000000-0008-0000-0200-000019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28575</xdr:rowOff>
        </xdr:from>
        <xdr:to>
          <xdr:col>6</xdr:col>
          <xdr:colOff>0</xdr:colOff>
          <xdr:row>6</xdr:row>
          <xdr:rowOff>47625</xdr:rowOff>
        </xdr:to>
        <xdr:sp macro="" textlink="">
          <xdr:nvSpPr>
            <xdr:cNvPr id="165914" name="DropDownBARGEC" hidden="1">
              <a:extLst>
                <a:ext uri="{63B3BB69-23CF-44E3-9099-C40C66FF867C}">
                  <a14:compatExt spid="_x0000_s165914"/>
                </a:ext>
                <a:ext uri="{FF2B5EF4-FFF2-40B4-BE49-F238E27FC236}">
                  <a16:creationId xmlns:a16="http://schemas.microsoft.com/office/drawing/2014/main" id="{00000000-0008-0000-0200-00001A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317500</xdr:colOff>
      <xdr:row>13</xdr:row>
      <xdr:rowOff>20052</xdr:rowOff>
    </xdr:from>
    <xdr:to>
      <xdr:col>23</xdr:col>
      <xdr:colOff>6350</xdr:colOff>
      <xdr:row>13</xdr:row>
      <xdr:rowOff>280737</xdr:rowOff>
    </xdr:to>
    <xdr:sp macro="[0]!PrintMan" textlink="">
      <xdr:nvSpPr>
        <xdr:cNvPr id="20" name="Rectangle 19">
          <a:extLst>
            <a:ext uri="{FF2B5EF4-FFF2-40B4-BE49-F238E27FC236}">
              <a16:creationId xmlns:a16="http://schemas.microsoft.com/office/drawing/2014/main" id="{00000000-0008-0000-0200-000014000000}"/>
            </a:ext>
          </a:extLst>
        </xdr:cNvPr>
        <xdr:cNvSpPr/>
      </xdr:nvSpPr>
      <xdr:spPr>
        <a:xfrm>
          <a:off x="317500" y="1998578"/>
          <a:ext cx="7295482" cy="260685"/>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wrap="none" lIns="36000" tIns="0" rIns="36000" bIns="0" rtlCol="0" anchor="ctr" anchorCtr="1"/>
        <a:lstStyle/>
        <a:p>
          <a:pPr algn="ctr"/>
          <a:r>
            <a:rPr lang="en-US" sz="900" b="1">
              <a:solidFill>
                <a:srgbClr val="002060"/>
              </a:solidFill>
              <a:latin typeface="Arial" panose="020B0604020202020204" pitchFamily="34" charset="0"/>
              <a:cs typeface="Arial" panose="020B0604020202020204" pitchFamily="34" charset="0"/>
            </a:rPr>
            <a:t>P r i n t   M a n a g e m e n t</a:t>
          </a:r>
        </a:p>
      </xdr:txBody>
    </xdr:sp>
    <xdr:clientData fPrintsWithSheet="0"/>
  </xdr:twoCellAnchor>
  <mc:AlternateContent xmlns:mc="http://schemas.openxmlformats.org/markup-compatibility/2006">
    <mc:Choice xmlns:a14="http://schemas.microsoft.com/office/drawing/2010/main" Requires="a14">
      <xdr:twoCellAnchor editAs="oneCell">
        <xdr:from>
          <xdr:col>17</xdr:col>
          <xdr:colOff>333375</xdr:colOff>
          <xdr:row>5</xdr:row>
          <xdr:rowOff>28575</xdr:rowOff>
        </xdr:from>
        <xdr:to>
          <xdr:col>22</xdr:col>
          <xdr:colOff>333375</xdr:colOff>
          <xdr:row>6</xdr:row>
          <xdr:rowOff>47625</xdr:rowOff>
        </xdr:to>
        <xdr:sp macro="" textlink="">
          <xdr:nvSpPr>
            <xdr:cNvPr id="165915" name="Drop Down 27" hidden="1">
              <a:extLst>
                <a:ext uri="{63B3BB69-23CF-44E3-9099-C40C66FF867C}">
                  <a14:compatExt spid="_x0000_s165915"/>
                </a:ext>
                <a:ext uri="{FF2B5EF4-FFF2-40B4-BE49-F238E27FC236}">
                  <a16:creationId xmlns:a16="http://schemas.microsoft.com/office/drawing/2014/main" id="{00000000-0008-0000-0200-00001B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7</xdr:row>
          <xdr:rowOff>180975</xdr:rowOff>
        </xdr:from>
        <xdr:to>
          <xdr:col>23</xdr:col>
          <xdr:colOff>85725</xdr:colOff>
          <xdr:row>9</xdr:row>
          <xdr:rowOff>76200</xdr:rowOff>
        </xdr:to>
        <xdr:sp macro="" textlink="">
          <xdr:nvSpPr>
            <xdr:cNvPr id="165918" name="CheckBoxSAC" descr="SAC" hidden="1">
              <a:extLst>
                <a:ext uri="{63B3BB69-23CF-44E3-9099-C40C66FF867C}">
                  <a14:compatExt spid="_x0000_s165918"/>
                </a:ext>
                <a:ext uri="{FF2B5EF4-FFF2-40B4-BE49-F238E27FC236}">
                  <a16:creationId xmlns:a16="http://schemas.microsoft.com/office/drawing/2014/main" id="{00000000-0008-0000-0200-00001E8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Show SAC Logo at bottom</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127000</xdr:colOff>
      <xdr:row>8</xdr:row>
      <xdr:rowOff>44450</xdr:rowOff>
    </xdr:from>
    <xdr:ext cx="1162050" cy="276225"/>
    <xdr:sp macro="[0]!GOMAINCOVER" textlink="">
      <xdr:nvSpPr>
        <xdr:cNvPr id="3" name="Rounded Rectangle 2">
          <a:extLst>
            <a:ext uri="{FF2B5EF4-FFF2-40B4-BE49-F238E27FC236}">
              <a16:creationId xmlns:a16="http://schemas.microsoft.com/office/drawing/2014/main" id="{00000000-0008-0000-0500-000003000000}"/>
            </a:ext>
          </a:extLst>
        </xdr:cNvPr>
        <xdr:cNvSpPr/>
      </xdr:nvSpPr>
      <xdr:spPr>
        <a:xfrm>
          <a:off x="768350" y="1460500"/>
          <a:ext cx="1162050" cy="27622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oneCellAnchor>
  <xdr:oneCellAnchor>
    <xdr:from>
      <xdr:col>13</xdr:col>
      <xdr:colOff>136525</xdr:colOff>
      <xdr:row>9</xdr:row>
      <xdr:rowOff>3175</xdr:rowOff>
    </xdr:from>
    <xdr:ext cx="1104900" cy="276226"/>
    <xdr:sp macro="[0]!CLEARBLUE" textlink="">
      <xdr:nvSpPr>
        <xdr:cNvPr id="4" name="Rounded Rectangle 3">
          <a:extLst>
            <a:ext uri="{FF2B5EF4-FFF2-40B4-BE49-F238E27FC236}">
              <a16:creationId xmlns:a16="http://schemas.microsoft.com/office/drawing/2014/main" id="{00000000-0008-0000-0500-000004000000}"/>
            </a:ext>
          </a:extLst>
        </xdr:cNvPr>
        <xdr:cNvSpPr/>
      </xdr:nvSpPr>
      <xdr:spPr>
        <a:xfrm>
          <a:off x="7781925" y="1470025"/>
          <a:ext cx="1104900" cy="276226"/>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oneCellAnchor>
  <xdr:oneCellAnchor>
    <xdr:from>
      <xdr:col>15</xdr:col>
      <xdr:colOff>114300</xdr:colOff>
      <xdr:row>0</xdr:row>
      <xdr:rowOff>69850</xdr:rowOff>
    </xdr:from>
    <xdr:ext cx="317499" cy="371474"/>
    <xdr:pic macro="[0]!ImportLogo">
      <xdr:nvPicPr>
        <xdr:cNvPr id="5" name="PictureBD" descr="C:\Users\kc\Desktop\B_png.png" hidden="1">
          <a:extLst>
            <a:ext uri="{FF2B5EF4-FFF2-40B4-BE49-F238E27FC236}">
              <a16:creationId xmlns:a16="http://schemas.microsoft.com/office/drawing/2014/main" id="{00000000-0008-0000-05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8850" y="69850"/>
          <a:ext cx="317499" cy="371474"/>
        </a:xfrm>
        <a:prstGeom prst="rect">
          <a:avLst/>
        </a:prstGeom>
        <a:noFill/>
        <a:ln>
          <a:noFill/>
        </a:ln>
      </xdr:spPr>
    </xdr:pic>
    <xdr:clientData/>
  </xdr:oneCellAnchor>
  <xdr:twoCellAnchor editAs="oneCell">
    <xdr:from>
      <xdr:col>2</xdr:col>
      <xdr:colOff>203182</xdr:colOff>
      <xdr:row>0</xdr:row>
      <xdr:rowOff>44450</xdr:rowOff>
    </xdr:from>
    <xdr:to>
      <xdr:col>5</xdr:col>
      <xdr:colOff>134221</xdr:colOff>
      <xdr:row>5</xdr:row>
      <xdr:rowOff>15875</xdr:rowOff>
    </xdr:to>
    <xdr:pic macro="ImportLogo">
      <xdr:nvPicPr>
        <xdr:cNvPr id="6" name="PicLogo" descr="C:\Users\XPS-Takis\Desktop\BD XPS\PicPetro1.png">
          <a:extLst>
            <a:ext uri="{FF2B5EF4-FFF2-40B4-BE49-F238E27FC236}">
              <a16:creationId xmlns:a16="http://schemas.microsoft.com/office/drawing/2014/main" id="{00000000-0008-0000-05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3182" y="44450"/>
          <a:ext cx="1683639" cy="9772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47626</xdr:colOff>
      <xdr:row>12</xdr:row>
      <xdr:rowOff>47625</xdr:rowOff>
    </xdr:from>
    <xdr:to>
      <xdr:col>8</xdr:col>
      <xdr:colOff>19051</xdr:colOff>
      <xdr:row>13</xdr:row>
      <xdr:rowOff>76199</xdr:rowOff>
    </xdr:to>
    <xdr:sp macro="[0]!GOMAINDRAFT" textlink="">
      <xdr:nvSpPr>
        <xdr:cNvPr id="2" name="Rounded Rectangle 1">
          <a:extLst>
            <a:ext uri="{FF2B5EF4-FFF2-40B4-BE49-F238E27FC236}">
              <a16:creationId xmlns:a16="http://schemas.microsoft.com/office/drawing/2014/main" id="{00000000-0008-0000-0600-000002000000}"/>
            </a:ext>
          </a:extLst>
        </xdr:cNvPr>
        <xdr:cNvSpPr/>
      </xdr:nvSpPr>
      <xdr:spPr>
        <a:xfrm>
          <a:off x="47626" y="47625"/>
          <a:ext cx="1066800"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17</xdr:col>
      <xdr:colOff>352426</xdr:colOff>
      <xdr:row>12</xdr:row>
      <xdr:rowOff>38100</xdr:rowOff>
    </xdr:from>
    <xdr:to>
      <xdr:col>19</xdr:col>
      <xdr:colOff>495300</xdr:colOff>
      <xdr:row>13</xdr:row>
      <xdr:rowOff>57150</xdr:rowOff>
    </xdr:to>
    <xdr:sp macro="[0]!CLEARBLUE" textlink="">
      <xdr:nvSpPr>
        <xdr:cNvPr id="3" name="Rounded Rectangle 2">
          <a:extLst>
            <a:ext uri="{FF2B5EF4-FFF2-40B4-BE49-F238E27FC236}">
              <a16:creationId xmlns:a16="http://schemas.microsoft.com/office/drawing/2014/main" id="{00000000-0008-0000-0600-000003000000}"/>
            </a:ext>
          </a:extLst>
        </xdr:cNvPr>
        <xdr:cNvSpPr/>
      </xdr:nvSpPr>
      <xdr:spPr>
        <a:xfrm>
          <a:off x="6248401" y="990600"/>
          <a:ext cx="1209674"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rgbClr val="002060"/>
              </a:solidFill>
              <a:effectLst/>
              <a:latin typeface="+mn-lt"/>
              <a:ea typeface="+mn-ea"/>
              <a:cs typeface="+mn-cs"/>
            </a:rPr>
            <a:t>CLEAR DATA</a:t>
          </a:r>
          <a:endParaRPr lang="en-US">
            <a:solidFill>
              <a:srgbClr val="002060"/>
            </a:solidFill>
            <a:effectLst/>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2</xdr:col>
      <xdr:colOff>38100</xdr:colOff>
      <xdr:row>2</xdr:row>
      <xdr:rowOff>47625</xdr:rowOff>
    </xdr:from>
    <xdr:to>
      <xdr:col>2</xdr:col>
      <xdr:colOff>1209675</xdr:colOff>
      <xdr:row>2</xdr:row>
      <xdr:rowOff>314324</xdr:rowOff>
    </xdr:to>
    <xdr:sp macro="[0]!GOMAIN" textlink="">
      <xdr:nvSpPr>
        <xdr:cNvPr id="3" name="Rounded Rectangle 2">
          <a:extLst>
            <a:ext uri="{FF2B5EF4-FFF2-40B4-BE49-F238E27FC236}">
              <a16:creationId xmlns:a16="http://schemas.microsoft.com/office/drawing/2014/main" id="{00000000-0008-0000-0700-000003000000}"/>
            </a:ext>
          </a:extLst>
        </xdr:cNvPr>
        <xdr:cNvSpPr/>
      </xdr:nvSpPr>
      <xdr:spPr>
        <a:xfrm>
          <a:off x="38100" y="47625"/>
          <a:ext cx="1171575"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9</xdr:col>
      <xdr:colOff>476250</xdr:colOff>
      <xdr:row>2</xdr:row>
      <xdr:rowOff>38100</xdr:rowOff>
    </xdr:from>
    <xdr:to>
      <xdr:col>10</xdr:col>
      <xdr:colOff>752475</xdr:colOff>
      <xdr:row>2</xdr:row>
      <xdr:rowOff>323850</xdr:rowOff>
    </xdr:to>
    <xdr:sp macro="[0]!CLEARBLUE" textlink="">
      <xdr:nvSpPr>
        <xdr:cNvPr id="4" name="Rounded Rectangle 3">
          <a:extLst>
            <a:ext uri="{FF2B5EF4-FFF2-40B4-BE49-F238E27FC236}">
              <a16:creationId xmlns:a16="http://schemas.microsoft.com/office/drawing/2014/main" id="{00000000-0008-0000-0700-000004000000}"/>
            </a:ext>
          </a:extLst>
        </xdr:cNvPr>
        <xdr:cNvSpPr/>
      </xdr:nvSpPr>
      <xdr:spPr>
        <a:xfrm>
          <a:off x="5838825" y="38100"/>
          <a:ext cx="1038225" cy="285750"/>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466725</xdr:colOff>
          <xdr:row>2</xdr:row>
          <xdr:rowOff>38100</xdr:rowOff>
        </xdr:from>
        <xdr:to>
          <xdr:col>8</xdr:col>
          <xdr:colOff>142875</xdr:colOff>
          <xdr:row>2</xdr:row>
          <xdr:rowOff>323850</xdr:rowOff>
        </xdr:to>
        <xdr:sp macro="" textlink="">
          <xdr:nvSpPr>
            <xdr:cNvPr id="531467" name="List Box 11" hidden="1">
              <a:extLst>
                <a:ext uri="{63B3BB69-23CF-44E3-9099-C40C66FF867C}">
                  <a14:compatExt spid="_x0000_s531467"/>
                </a:ext>
                <a:ext uri="{FF2B5EF4-FFF2-40B4-BE49-F238E27FC236}">
                  <a16:creationId xmlns:a16="http://schemas.microsoft.com/office/drawing/2014/main" id="{00000000-0008-0000-0700-00000B1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21</xdr:col>
      <xdr:colOff>104775</xdr:colOff>
      <xdr:row>5</xdr:row>
      <xdr:rowOff>28575</xdr:rowOff>
    </xdr:from>
    <xdr:to>
      <xdr:col>21</xdr:col>
      <xdr:colOff>488950</xdr:colOff>
      <xdr:row>7</xdr:row>
      <xdr:rowOff>88900</xdr:rowOff>
    </xdr:to>
    <xdr:pic macro="[0]!ImportLogo">
      <xdr:nvPicPr>
        <xdr:cNvPr id="19" name="PictureBD" descr="C:\Users\kc\Desktop\B_png.png" hidden="1">
          <a:extLst>
            <a:ext uri="{FF2B5EF4-FFF2-40B4-BE49-F238E27FC236}">
              <a16:creationId xmlns:a16="http://schemas.microsoft.com/office/drawing/2014/main" id="{00000000-0008-0000-0800-00001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48900" y="28575"/>
          <a:ext cx="384175" cy="441325"/>
        </a:xfrm>
        <a:prstGeom prst="rect">
          <a:avLst/>
        </a:prstGeom>
        <a:noFill/>
        <a:ln>
          <a:noFill/>
        </a:ln>
      </xdr:spPr>
    </xdr:pic>
    <xdr:clientData/>
  </xdr:twoCellAnchor>
  <xdr:twoCellAnchor editAs="oneCell">
    <xdr:from>
      <xdr:col>13</xdr:col>
      <xdr:colOff>114300</xdr:colOff>
      <xdr:row>5</xdr:row>
      <xdr:rowOff>28575</xdr:rowOff>
    </xdr:from>
    <xdr:to>
      <xdr:col>13</xdr:col>
      <xdr:colOff>498475</xdr:colOff>
      <xdr:row>7</xdr:row>
      <xdr:rowOff>88900</xdr:rowOff>
    </xdr:to>
    <xdr:pic macro="[0]!ImportLogo">
      <xdr:nvPicPr>
        <xdr:cNvPr id="21" name="PictureBDsec" descr="C:\Users\kc\Desktop\B_png.png" hidden="1">
          <a:extLst>
            <a:ext uri="{FF2B5EF4-FFF2-40B4-BE49-F238E27FC236}">
              <a16:creationId xmlns:a16="http://schemas.microsoft.com/office/drawing/2014/main" id="{00000000-0008-0000-0800-00001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96125" y="1038225"/>
          <a:ext cx="384175" cy="441325"/>
        </a:xfrm>
        <a:prstGeom prst="rect">
          <a:avLst/>
        </a:prstGeom>
        <a:noFill/>
        <a:ln>
          <a:noFill/>
        </a:ln>
      </xdr:spPr>
    </xdr:pic>
    <xdr:clientData/>
  </xdr:twoCellAnchor>
  <xdr:twoCellAnchor editAs="oneCell">
    <xdr:from>
      <xdr:col>1</xdr:col>
      <xdr:colOff>19050</xdr:colOff>
      <xdr:row>24</xdr:row>
      <xdr:rowOff>9524</xdr:rowOff>
    </xdr:from>
    <xdr:to>
      <xdr:col>1</xdr:col>
      <xdr:colOff>713994</xdr:colOff>
      <xdr:row>24</xdr:row>
      <xdr:rowOff>228599</xdr:rowOff>
    </xdr:to>
    <xdr:sp macro="[0]!GOSTANDARDSETT" textlink="">
      <xdr:nvSpPr>
        <xdr:cNvPr id="2" name="Rectangle 1">
          <a:extLst>
            <a:ext uri="{FF2B5EF4-FFF2-40B4-BE49-F238E27FC236}">
              <a16:creationId xmlns:a16="http://schemas.microsoft.com/office/drawing/2014/main" id="{00000000-0008-0000-0800-000002000000}"/>
            </a:ext>
          </a:extLst>
        </xdr:cNvPr>
        <xdr:cNvSpPr/>
      </xdr:nvSpPr>
      <xdr:spPr>
        <a:xfrm>
          <a:off x="38100" y="3448049"/>
          <a:ext cx="694944" cy="219075"/>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a:latin typeface="Arial" panose="020B0604020202020204" pitchFamily="34" charset="0"/>
              <a:cs typeface="Arial" panose="020B0604020202020204" pitchFamily="34" charset="0"/>
            </a:rPr>
            <a:t>Tanks</a:t>
          </a:r>
        </a:p>
      </xdr:txBody>
    </xdr:sp>
    <xdr:clientData fPrintsWithSheet="0"/>
  </xdr:twoCellAnchor>
  <xdr:twoCellAnchor>
    <xdr:from>
      <xdr:col>107</xdr:col>
      <xdr:colOff>47625</xdr:colOff>
      <xdr:row>23</xdr:row>
      <xdr:rowOff>9525</xdr:rowOff>
    </xdr:from>
    <xdr:to>
      <xdr:col>107</xdr:col>
      <xdr:colOff>628650</xdr:colOff>
      <xdr:row>23</xdr:row>
      <xdr:rowOff>190500</xdr:rowOff>
    </xdr:to>
    <xdr:sp macro="[0]!MYDIALOGVD" textlink="">
      <xdr:nvSpPr>
        <xdr:cNvPr id="30" name="Rectangle 29">
          <a:extLst>
            <a:ext uri="{FF2B5EF4-FFF2-40B4-BE49-F238E27FC236}">
              <a16:creationId xmlns:a16="http://schemas.microsoft.com/office/drawing/2014/main" id="{00000000-0008-0000-0800-00001E000000}"/>
            </a:ext>
          </a:extLst>
        </xdr:cNvPr>
        <xdr:cNvSpPr/>
      </xdr:nvSpPr>
      <xdr:spPr>
        <a:xfrm>
          <a:off x="11430000" y="3990975"/>
          <a:ext cx="581025"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xdr:twoCellAnchor>
    <xdr:from>
      <xdr:col>17</xdr:col>
      <xdr:colOff>9525</xdr:colOff>
      <xdr:row>23</xdr:row>
      <xdr:rowOff>9525</xdr:rowOff>
    </xdr:from>
    <xdr:to>
      <xdr:col>17</xdr:col>
      <xdr:colOff>613029</xdr:colOff>
      <xdr:row>23</xdr:row>
      <xdr:rowOff>190500</xdr:rowOff>
    </xdr:to>
    <xdr:sp macro="[0]!MYDIALOGB" textlink="">
      <xdr:nvSpPr>
        <xdr:cNvPr id="31" name="Rectangle 30">
          <a:extLst>
            <a:ext uri="{FF2B5EF4-FFF2-40B4-BE49-F238E27FC236}">
              <a16:creationId xmlns:a16="http://schemas.microsoft.com/office/drawing/2014/main" id="{00000000-0008-0000-0800-00001F000000}"/>
            </a:ext>
          </a:extLst>
        </xdr:cNvPr>
        <xdr:cNvSpPr/>
      </xdr:nvSpPr>
      <xdr:spPr>
        <a:xfrm>
          <a:off x="8562975" y="3971925"/>
          <a:ext cx="603504"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xdr:twoCellAnchor editAs="oneCell">
    <xdr:from>
      <xdr:col>9</xdr:col>
      <xdr:colOff>9525</xdr:colOff>
      <xdr:row>23</xdr:row>
      <xdr:rowOff>9525</xdr:rowOff>
    </xdr:from>
    <xdr:to>
      <xdr:col>9</xdr:col>
      <xdr:colOff>613029</xdr:colOff>
      <xdr:row>23</xdr:row>
      <xdr:rowOff>190500</xdr:rowOff>
    </xdr:to>
    <xdr:sp macro="[0]!MYDIALOGA" textlink="">
      <xdr:nvSpPr>
        <xdr:cNvPr id="32" name="Rectangle 31">
          <a:extLst>
            <a:ext uri="{FF2B5EF4-FFF2-40B4-BE49-F238E27FC236}">
              <a16:creationId xmlns:a16="http://schemas.microsoft.com/office/drawing/2014/main" id="{00000000-0008-0000-0800-000020000000}"/>
            </a:ext>
          </a:extLst>
        </xdr:cNvPr>
        <xdr:cNvSpPr/>
      </xdr:nvSpPr>
      <xdr:spPr>
        <a:xfrm>
          <a:off x="4791075" y="3971925"/>
          <a:ext cx="603504"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19050</xdr:colOff>
          <xdr:row>24</xdr:row>
          <xdr:rowOff>19050</xdr:rowOff>
        </xdr:from>
        <xdr:to>
          <xdr:col>4</xdr:col>
          <xdr:colOff>657225</xdr:colOff>
          <xdr:row>24</xdr:row>
          <xdr:rowOff>219075</xdr:rowOff>
        </xdr:to>
        <xdr:sp macro="" textlink="">
          <xdr:nvSpPr>
            <xdr:cNvPr id="144435" name="Drop Down 51" hidden="1">
              <a:extLst>
                <a:ext uri="{63B3BB69-23CF-44E3-9099-C40C66FF867C}">
                  <a14:compatExt spid="_x0000_s144435"/>
                </a:ext>
                <a:ext uri="{FF2B5EF4-FFF2-40B4-BE49-F238E27FC236}">
                  <a16:creationId xmlns:a16="http://schemas.microsoft.com/office/drawing/2014/main" id="{00000000-0008-0000-0800-000033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24</xdr:row>
          <xdr:rowOff>19050</xdr:rowOff>
        </xdr:from>
        <xdr:to>
          <xdr:col>5</xdr:col>
          <xdr:colOff>533400</xdr:colOff>
          <xdr:row>24</xdr:row>
          <xdr:rowOff>219075</xdr:rowOff>
        </xdr:to>
        <xdr:sp macro="" textlink="">
          <xdr:nvSpPr>
            <xdr:cNvPr id="144436" name="Drop Down 52" hidden="1">
              <a:extLst>
                <a:ext uri="{63B3BB69-23CF-44E3-9099-C40C66FF867C}">
                  <a14:compatExt spid="_x0000_s144436"/>
                </a:ext>
                <a:ext uri="{FF2B5EF4-FFF2-40B4-BE49-F238E27FC236}">
                  <a16:creationId xmlns:a16="http://schemas.microsoft.com/office/drawing/2014/main" id="{00000000-0008-0000-0800-000034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24</xdr:row>
          <xdr:rowOff>19050</xdr:rowOff>
        </xdr:from>
        <xdr:to>
          <xdr:col>7</xdr:col>
          <xdr:colOff>523875</xdr:colOff>
          <xdr:row>24</xdr:row>
          <xdr:rowOff>219075</xdr:rowOff>
        </xdr:to>
        <xdr:sp macro="" textlink="">
          <xdr:nvSpPr>
            <xdr:cNvPr id="144437" name="Drop Down 53" hidden="1">
              <a:extLst>
                <a:ext uri="{63B3BB69-23CF-44E3-9099-C40C66FF867C}">
                  <a14:compatExt spid="_x0000_s144437"/>
                </a:ext>
                <a:ext uri="{FF2B5EF4-FFF2-40B4-BE49-F238E27FC236}">
                  <a16:creationId xmlns:a16="http://schemas.microsoft.com/office/drawing/2014/main" id="{00000000-0008-0000-0800-000035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24</xdr:row>
          <xdr:rowOff>19050</xdr:rowOff>
        </xdr:from>
        <xdr:to>
          <xdr:col>15</xdr:col>
          <xdr:colOff>523875</xdr:colOff>
          <xdr:row>24</xdr:row>
          <xdr:rowOff>219075</xdr:rowOff>
        </xdr:to>
        <xdr:sp macro="" textlink="">
          <xdr:nvSpPr>
            <xdr:cNvPr id="144438" name="Drop Down 54" hidden="1">
              <a:extLst>
                <a:ext uri="{63B3BB69-23CF-44E3-9099-C40C66FF867C}">
                  <a14:compatExt spid="_x0000_s144438"/>
                </a:ext>
                <a:ext uri="{FF2B5EF4-FFF2-40B4-BE49-F238E27FC236}">
                  <a16:creationId xmlns:a16="http://schemas.microsoft.com/office/drawing/2014/main" id="{00000000-0008-0000-0800-000036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24</xdr:row>
          <xdr:rowOff>19050</xdr:rowOff>
        </xdr:from>
        <xdr:to>
          <xdr:col>9</xdr:col>
          <xdr:colOff>600075</xdr:colOff>
          <xdr:row>24</xdr:row>
          <xdr:rowOff>219075</xdr:rowOff>
        </xdr:to>
        <xdr:sp macro="" textlink="">
          <xdr:nvSpPr>
            <xdr:cNvPr id="144439" name="Drop Down 55" hidden="1">
              <a:extLst>
                <a:ext uri="{63B3BB69-23CF-44E3-9099-C40C66FF867C}">
                  <a14:compatExt spid="_x0000_s144439"/>
                </a:ext>
                <a:ext uri="{FF2B5EF4-FFF2-40B4-BE49-F238E27FC236}">
                  <a16:creationId xmlns:a16="http://schemas.microsoft.com/office/drawing/2014/main" id="{00000000-0008-0000-0800-000037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24</xdr:row>
          <xdr:rowOff>19050</xdr:rowOff>
        </xdr:from>
        <xdr:to>
          <xdr:col>13</xdr:col>
          <xdr:colOff>514350</xdr:colOff>
          <xdr:row>24</xdr:row>
          <xdr:rowOff>219075</xdr:rowOff>
        </xdr:to>
        <xdr:sp macro="" textlink="">
          <xdr:nvSpPr>
            <xdr:cNvPr id="144440" name="Drop Down 56" hidden="1">
              <a:extLst>
                <a:ext uri="{63B3BB69-23CF-44E3-9099-C40C66FF867C}">
                  <a14:compatExt spid="_x0000_s144440"/>
                </a:ext>
                <a:ext uri="{FF2B5EF4-FFF2-40B4-BE49-F238E27FC236}">
                  <a16:creationId xmlns:a16="http://schemas.microsoft.com/office/drawing/2014/main" id="{00000000-0008-0000-0800-000038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24</xdr:row>
          <xdr:rowOff>19050</xdr:rowOff>
        </xdr:from>
        <xdr:to>
          <xdr:col>17</xdr:col>
          <xdr:colOff>600075</xdr:colOff>
          <xdr:row>24</xdr:row>
          <xdr:rowOff>219075</xdr:rowOff>
        </xdr:to>
        <xdr:sp macro="" textlink="">
          <xdr:nvSpPr>
            <xdr:cNvPr id="144441" name="Drop Down 57" hidden="1">
              <a:extLst>
                <a:ext uri="{63B3BB69-23CF-44E3-9099-C40C66FF867C}">
                  <a14:compatExt spid="_x0000_s144441"/>
                </a:ext>
                <a:ext uri="{FF2B5EF4-FFF2-40B4-BE49-F238E27FC236}">
                  <a16:creationId xmlns:a16="http://schemas.microsoft.com/office/drawing/2014/main" id="{00000000-0008-0000-0800-000039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24</xdr:row>
          <xdr:rowOff>19050</xdr:rowOff>
        </xdr:from>
        <xdr:to>
          <xdr:col>21</xdr:col>
          <xdr:colOff>514350</xdr:colOff>
          <xdr:row>24</xdr:row>
          <xdr:rowOff>219075</xdr:rowOff>
        </xdr:to>
        <xdr:sp macro="" textlink="">
          <xdr:nvSpPr>
            <xdr:cNvPr id="144442" name="Drop Down 58" hidden="1">
              <a:extLst>
                <a:ext uri="{63B3BB69-23CF-44E3-9099-C40C66FF867C}">
                  <a14:compatExt spid="_x0000_s144442"/>
                </a:ext>
                <a:ext uri="{FF2B5EF4-FFF2-40B4-BE49-F238E27FC236}">
                  <a16:creationId xmlns:a16="http://schemas.microsoft.com/office/drawing/2014/main" id="{00000000-0008-0000-0800-00003A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24</xdr:row>
          <xdr:rowOff>19050</xdr:rowOff>
        </xdr:from>
        <xdr:to>
          <xdr:col>10</xdr:col>
          <xdr:colOff>466725</xdr:colOff>
          <xdr:row>24</xdr:row>
          <xdr:rowOff>219075</xdr:rowOff>
        </xdr:to>
        <xdr:sp macro="" textlink="">
          <xdr:nvSpPr>
            <xdr:cNvPr id="144443" name="Drop Down 59" hidden="1">
              <a:extLst>
                <a:ext uri="{63B3BB69-23CF-44E3-9099-C40C66FF867C}">
                  <a14:compatExt spid="_x0000_s144443"/>
                </a:ext>
                <a:ext uri="{FF2B5EF4-FFF2-40B4-BE49-F238E27FC236}">
                  <a16:creationId xmlns:a16="http://schemas.microsoft.com/office/drawing/2014/main" id="{00000000-0008-0000-0800-00003B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24</xdr:row>
          <xdr:rowOff>19050</xdr:rowOff>
        </xdr:from>
        <xdr:to>
          <xdr:col>18</xdr:col>
          <xdr:colOff>466725</xdr:colOff>
          <xdr:row>24</xdr:row>
          <xdr:rowOff>219075</xdr:rowOff>
        </xdr:to>
        <xdr:sp macro="" textlink="">
          <xdr:nvSpPr>
            <xdr:cNvPr id="144444" name="Drop Down 60" hidden="1">
              <a:extLst>
                <a:ext uri="{63B3BB69-23CF-44E3-9099-C40C66FF867C}">
                  <a14:compatExt spid="_x0000_s144444"/>
                </a:ext>
                <a:ext uri="{FF2B5EF4-FFF2-40B4-BE49-F238E27FC236}">
                  <a16:creationId xmlns:a16="http://schemas.microsoft.com/office/drawing/2014/main" id="{00000000-0008-0000-0800-00003C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24</xdr:row>
          <xdr:rowOff>19050</xdr:rowOff>
        </xdr:from>
        <xdr:to>
          <xdr:col>12</xdr:col>
          <xdr:colOff>495300</xdr:colOff>
          <xdr:row>24</xdr:row>
          <xdr:rowOff>219075</xdr:rowOff>
        </xdr:to>
        <xdr:sp macro="" textlink="">
          <xdr:nvSpPr>
            <xdr:cNvPr id="144445" name="Drop Down 61" hidden="1">
              <a:extLst>
                <a:ext uri="{63B3BB69-23CF-44E3-9099-C40C66FF867C}">
                  <a14:compatExt spid="_x0000_s144445"/>
                </a:ext>
                <a:ext uri="{FF2B5EF4-FFF2-40B4-BE49-F238E27FC236}">
                  <a16:creationId xmlns:a16="http://schemas.microsoft.com/office/drawing/2014/main" id="{00000000-0008-0000-0800-00003D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24</xdr:row>
          <xdr:rowOff>19050</xdr:rowOff>
        </xdr:from>
        <xdr:to>
          <xdr:col>20</xdr:col>
          <xdr:colOff>495300</xdr:colOff>
          <xdr:row>24</xdr:row>
          <xdr:rowOff>219075</xdr:rowOff>
        </xdr:to>
        <xdr:sp macro="" textlink="">
          <xdr:nvSpPr>
            <xdr:cNvPr id="144446" name="Drop Down 62" hidden="1">
              <a:extLst>
                <a:ext uri="{63B3BB69-23CF-44E3-9099-C40C66FF867C}">
                  <a14:compatExt spid="_x0000_s144446"/>
                </a:ext>
                <a:ext uri="{FF2B5EF4-FFF2-40B4-BE49-F238E27FC236}">
                  <a16:creationId xmlns:a16="http://schemas.microsoft.com/office/drawing/2014/main" id="{00000000-0008-0000-0800-00003E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24</xdr:row>
          <xdr:rowOff>19050</xdr:rowOff>
        </xdr:from>
        <xdr:to>
          <xdr:col>11</xdr:col>
          <xdr:colOff>581025</xdr:colOff>
          <xdr:row>24</xdr:row>
          <xdr:rowOff>219075</xdr:rowOff>
        </xdr:to>
        <xdr:sp macro="" textlink="">
          <xdr:nvSpPr>
            <xdr:cNvPr id="144447" name="Drop Down 63" hidden="1">
              <a:extLst>
                <a:ext uri="{63B3BB69-23CF-44E3-9099-C40C66FF867C}">
                  <a14:compatExt spid="_x0000_s144447"/>
                </a:ext>
                <a:ext uri="{FF2B5EF4-FFF2-40B4-BE49-F238E27FC236}">
                  <a16:creationId xmlns:a16="http://schemas.microsoft.com/office/drawing/2014/main" id="{00000000-0008-0000-0800-00003F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24</xdr:row>
          <xdr:rowOff>19050</xdr:rowOff>
        </xdr:from>
        <xdr:to>
          <xdr:col>19</xdr:col>
          <xdr:colOff>581025</xdr:colOff>
          <xdr:row>24</xdr:row>
          <xdr:rowOff>219075</xdr:rowOff>
        </xdr:to>
        <xdr:sp macro="" textlink="">
          <xdr:nvSpPr>
            <xdr:cNvPr id="144448" name="Drop Down 64" hidden="1">
              <a:extLst>
                <a:ext uri="{63B3BB69-23CF-44E3-9099-C40C66FF867C}">
                  <a14:compatExt spid="_x0000_s144448"/>
                </a:ext>
                <a:ext uri="{FF2B5EF4-FFF2-40B4-BE49-F238E27FC236}">
                  <a16:creationId xmlns:a16="http://schemas.microsoft.com/office/drawing/2014/main" id="{00000000-0008-0000-0800-000040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24</xdr:row>
          <xdr:rowOff>19050</xdr:rowOff>
        </xdr:from>
        <xdr:to>
          <xdr:col>8</xdr:col>
          <xdr:colOff>523875</xdr:colOff>
          <xdr:row>24</xdr:row>
          <xdr:rowOff>219075</xdr:rowOff>
        </xdr:to>
        <xdr:sp macro="" textlink="">
          <xdr:nvSpPr>
            <xdr:cNvPr id="144449" name="Drop Down 65" hidden="1">
              <a:extLst>
                <a:ext uri="{63B3BB69-23CF-44E3-9099-C40C66FF867C}">
                  <a14:compatExt spid="_x0000_s144449"/>
                </a:ext>
                <a:ext uri="{FF2B5EF4-FFF2-40B4-BE49-F238E27FC236}">
                  <a16:creationId xmlns:a16="http://schemas.microsoft.com/office/drawing/2014/main" id="{00000000-0008-0000-0800-000041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24</xdr:row>
          <xdr:rowOff>19050</xdr:rowOff>
        </xdr:from>
        <xdr:to>
          <xdr:col>16</xdr:col>
          <xdr:colOff>523875</xdr:colOff>
          <xdr:row>24</xdr:row>
          <xdr:rowOff>219075</xdr:rowOff>
        </xdr:to>
        <xdr:sp macro="" textlink="">
          <xdr:nvSpPr>
            <xdr:cNvPr id="144450" name="Drop Down 66" hidden="1">
              <a:extLst>
                <a:ext uri="{63B3BB69-23CF-44E3-9099-C40C66FF867C}">
                  <a14:compatExt spid="_x0000_s144450"/>
                </a:ext>
                <a:ext uri="{FF2B5EF4-FFF2-40B4-BE49-F238E27FC236}">
                  <a16:creationId xmlns:a16="http://schemas.microsoft.com/office/drawing/2014/main" id="{00000000-0008-0000-0800-000042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9519</xdr:colOff>
          <xdr:row>14</xdr:row>
          <xdr:rowOff>231774</xdr:rowOff>
        </xdr:from>
        <xdr:to>
          <xdr:col>8</xdr:col>
          <xdr:colOff>177294</xdr:colOff>
          <xdr:row>21</xdr:row>
          <xdr:rowOff>13599</xdr:rowOff>
        </xdr:to>
        <xdr:grpSp>
          <xdr:nvGrpSpPr>
            <xdr:cNvPr id="7" name="PREVSL">
              <a:extLst>
                <a:ext uri="{FF2B5EF4-FFF2-40B4-BE49-F238E27FC236}">
                  <a16:creationId xmlns:a16="http://schemas.microsoft.com/office/drawing/2014/main" id="{00000000-0008-0000-0800-000007000000}"/>
                </a:ext>
              </a:extLst>
            </xdr:cNvPr>
            <xdr:cNvGrpSpPr/>
          </xdr:nvGrpSpPr>
          <xdr:grpSpPr>
            <a:xfrm>
              <a:off x="3143244" y="1689099"/>
              <a:ext cx="1206000" cy="1029600"/>
              <a:chOff x="3295519" y="1714500"/>
              <a:chExt cx="1790452" cy="1028700"/>
            </a:xfrm>
          </xdr:grpSpPr>
          <xdr:sp macro="" textlink="">
            <xdr:nvSpPr>
              <xdr:cNvPr id="144421" name="List Box 37" hidden="1">
                <a:extLst>
                  <a:ext uri="{63B3BB69-23CF-44E3-9099-C40C66FF867C}">
                    <a14:compatExt spid="_x0000_s144421"/>
                  </a:ext>
                  <a:ext uri="{FF2B5EF4-FFF2-40B4-BE49-F238E27FC236}">
                    <a16:creationId xmlns:a16="http://schemas.microsoft.com/office/drawing/2014/main" id="{00000000-0008-0000-0800-000025340200}"/>
                  </a:ext>
                </a:extLst>
              </xdr:cNvPr>
              <xdr:cNvSpPr/>
            </xdr:nvSpPr>
            <xdr:spPr bwMode="auto">
              <a:xfrm>
                <a:off x="3295519" y="1714500"/>
                <a:ext cx="944582" cy="1028700"/>
              </a:xfrm>
              <a:prstGeom prst="rect">
                <a:avLst/>
              </a:prstGeom>
              <a:noFill/>
              <a:ln>
                <a:noFill/>
              </a:ln>
              <a:extLst>
                <a:ext uri="{91240B29-F687-4F45-9708-019B960494DF}">
                  <a14:hiddenLine w="9525">
                    <a:noFill/>
                    <a:miter lim="800000"/>
                    <a:headEnd/>
                    <a:tailEnd/>
                  </a14:hiddenLine>
                </a:ext>
              </a:extLst>
            </xdr:spPr>
          </xdr:sp>
          <xdr:sp macro="" textlink="">
            <xdr:nvSpPr>
              <xdr:cNvPr id="144422" name="List Box 38" hidden="1">
                <a:extLst>
                  <a:ext uri="{63B3BB69-23CF-44E3-9099-C40C66FF867C}">
                    <a14:compatExt spid="_x0000_s144422"/>
                  </a:ext>
                  <a:ext uri="{FF2B5EF4-FFF2-40B4-BE49-F238E27FC236}">
                    <a16:creationId xmlns:a16="http://schemas.microsoft.com/office/drawing/2014/main" id="{00000000-0008-0000-0800-000026340200}"/>
                  </a:ext>
                </a:extLst>
              </xdr:cNvPr>
              <xdr:cNvSpPr/>
            </xdr:nvSpPr>
            <xdr:spPr bwMode="auto">
              <a:xfrm>
                <a:off x="4014519" y="1714500"/>
                <a:ext cx="1071452" cy="1028700"/>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editAs="oneCell">
    <xdr:from>
      <xdr:col>9</xdr:col>
      <xdr:colOff>352425</xdr:colOff>
      <xdr:row>16</xdr:row>
      <xdr:rowOff>28575</xdr:rowOff>
    </xdr:from>
    <xdr:to>
      <xdr:col>11</xdr:col>
      <xdr:colOff>514350</xdr:colOff>
      <xdr:row>17</xdr:row>
      <xdr:rowOff>123825</xdr:rowOff>
    </xdr:to>
    <xdr:sp macro="[0]!GOMAINVSLGAUGE" textlink="">
      <xdr:nvSpPr>
        <xdr:cNvPr id="22" name="Rounded Rectangle 21">
          <a:extLst>
            <a:ext uri="{FF2B5EF4-FFF2-40B4-BE49-F238E27FC236}">
              <a16:creationId xmlns:a16="http://schemas.microsoft.com/office/drawing/2014/main" id="{00000000-0008-0000-0800-000016000000}"/>
            </a:ext>
          </a:extLst>
        </xdr:cNvPr>
        <xdr:cNvSpPr/>
      </xdr:nvSpPr>
      <xdr:spPr>
        <a:xfrm>
          <a:off x="5057775" y="1781175"/>
          <a:ext cx="1257300" cy="2857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9</xdr:col>
      <xdr:colOff>352425</xdr:colOff>
      <xdr:row>17</xdr:row>
      <xdr:rowOff>180975</xdr:rowOff>
    </xdr:from>
    <xdr:to>
      <xdr:col>11</xdr:col>
      <xdr:colOff>514350</xdr:colOff>
      <xdr:row>19</xdr:row>
      <xdr:rowOff>56007</xdr:rowOff>
    </xdr:to>
    <xdr:sp macro="[0]!GOTICKET1" textlink="">
      <xdr:nvSpPr>
        <xdr:cNvPr id="23" name="Rounded Rectangle 22">
          <a:extLst>
            <a:ext uri="{FF2B5EF4-FFF2-40B4-BE49-F238E27FC236}">
              <a16:creationId xmlns:a16="http://schemas.microsoft.com/office/drawing/2014/main" id="{00000000-0008-0000-0800-000017000000}"/>
            </a:ext>
          </a:extLst>
        </xdr:cNvPr>
        <xdr:cNvSpPr/>
      </xdr:nvSpPr>
      <xdr:spPr>
        <a:xfrm>
          <a:off x="5057775" y="2124075"/>
          <a:ext cx="1257300" cy="256032"/>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GAUGING</a:t>
          </a:r>
          <a:r>
            <a:rPr lang="en-US" sz="1100" b="1" baseline="0">
              <a:solidFill>
                <a:srgbClr val="002060"/>
              </a:solidFill>
              <a:effectLst/>
            </a:rPr>
            <a:t> TICKET</a:t>
          </a:r>
          <a:endParaRPr lang="en-US" sz="1100" b="1">
            <a:solidFill>
              <a:srgbClr val="002060"/>
            </a:solidFill>
            <a:effectLst/>
          </a:endParaRPr>
        </a:p>
      </xdr:txBody>
    </xdr:sp>
    <xdr:clientData fPrintsWithSheet="0"/>
  </xdr:twoCellAnchor>
  <xdr:twoCellAnchor editAs="oneCell">
    <xdr:from>
      <xdr:col>9</xdr:col>
      <xdr:colOff>352425</xdr:colOff>
      <xdr:row>19</xdr:row>
      <xdr:rowOff>114299</xdr:rowOff>
    </xdr:from>
    <xdr:to>
      <xdr:col>11</xdr:col>
      <xdr:colOff>514350</xdr:colOff>
      <xdr:row>20</xdr:row>
      <xdr:rowOff>180974</xdr:rowOff>
    </xdr:to>
    <xdr:sp macro="[0]!CLEARBLUE" textlink="">
      <xdr:nvSpPr>
        <xdr:cNvPr id="24" name="Rounded Rectangle 23">
          <a:extLst>
            <a:ext uri="{FF2B5EF4-FFF2-40B4-BE49-F238E27FC236}">
              <a16:creationId xmlns:a16="http://schemas.microsoft.com/office/drawing/2014/main" id="{00000000-0008-0000-0800-000018000000}"/>
            </a:ext>
          </a:extLst>
        </xdr:cNvPr>
        <xdr:cNvSpPr/>
      </xdr:nvSpPr>
      <xdr:spPr>
        <a:xfrm>
          <a:off x="5057775" y="2438399"/>
          <a:ext cx="1257300"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15</xdr:col>
      <xdr:colOff>76200</xdr:colOff>
      <xdr:row>16</xdr:row>
      <xdr:rowOff>28575</xdr:rowOff>
    </xdr:from>
    <xdr:to>
      <xdr:col>17</xdr:col>
      <xdr:colOff>265800</xdr:colOff>
      <xdr:row>20</xdr:row>
      <xdr:rowOff>180974</xdr:rowOff>
    </xdr:to>
    <xdr:grpSp>
      <xdr:nvGrpSpPr>
        <xdr:cNvPr id="3" name="Group2VSL">
          <a:extLst>
            <a:ext uri="{FF2B5EF4-FFF2-40B4-BE49-F238E27FC236}">
              <a16:creationId xmlns:a16="http://schemas.microsoft.com/office/drawing/2014/main" id="{00000000-0008-0000-0800-000003000000}"/>
            </a:ext>
          </a:extLst>
        </xdr:cNvPr>
        <xdr:cNvGrpSpPr/>
      </xdr:nvGrpSpPr>
      <xdr:grpSpPr>
        <a:xfrm>
          <a:off x="8048625" y="1781175"/>
          <a:ext cx="1256400" cy="914399"/>
          <a:chOff x="7486650" y="1781175"/>
          <a:chExt cx="1256400" cy="914399"/>
        </a:xfrm>
      </xdr:grpSpPr>
      <xdr:sp macro="[0]!GOMAINVSLGAUGE" textlink="">
        <xdr:nvSpPr>
          <xdr:cNvPr id="25" name="Rounded Rectangle 24">
            <a:extLst>
              <a:ext uri="{FF2B5EF4-FFF2-40B4-BE49-F238E27FC236}">
                <a16:creationId xmlns:a16="http://schemas.microsoft.com/office/drawing/2014/main" id="{00000000-0008-0000-0800-000019000000}"/>
              </a:ext>
            </a:extLst>
          </xdr:cNvPr>
          <xdr:cNvSpPr/>
        </xdr:nvSpPr>
        <xdr:spPr>
          <a:xfrm>
            <a:off x="7486650" y="1781175"/>
            <a:ext cx="1256400" cy="2857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sp macro="[0]!GOTICKET2" textlink="">
        <xdr:nvSpPr>
          <xdr:cNvPr id="26" name="Rounded Rectangle 25">
            <a:extLst>
              <a:ext uri="{FF2B5EF4-FFF2-40B4-BE49-F238E27FC236}">
                <a16:creationId xmlns:a16="http://schemas.microsoft.com/office/drawing/2014/main" id="{00000000-0008-0000-0800-00001A000000}"/>
              </a:ext>
            </a:extLst>
          </xdr:cNvPr>
          <xdr:cNvSpPr/>
        </xdr:nvSpPr>
        <xdr:spPr>
          <a:xfrm>
            <a:off x="7486650" y="2124075"/>
            <a:ext cx="1256400" cy="256032"/>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GAUGING</a:t>
            </a:r>
            <a:r>
              <a:rPr lang="en-US" sz="1100" b="1" baseline="0">
                <a:solidFill>
                  <a:srgbClr val="002060"/>
                </a:solidFill>
                <a:effectLst/>
              </a:rPr>
              <a:t> TICKET</a:t>
            </a:r>
            <a:endParaRPr lang="en-US" sz="1100" b="1">
              <a:solidFill>
                <a:srgbClr val="002060"/>
              </a:solidFill>
              <a:effectLst/>
            </a:endParaRPr>
          </a:p>
        </xdr:txBody>
      </xdr:sp>
      <xdr:sp macro="[0]!CLEARBLUE" textlink="">
        <xdr:nvSpPr>
          <xdr:cNvPr id="27" name="Rounded Rectangle 26">
            <a:extLst>
              <a:ext uri="{FF2B5EF4-FFF2-40B4-BE49-F238E27FC236}">
                <a16:creationId xmlns:a16="http://schemas.microsoft.com/office/drawing/2014/main" id="{00000000-0008-0000-0800-00001B000000}"/>
              </a:ext>
            </a:extLst>
          </xdr:cNvPr>
          <xdr:cNvSpPr/>
        </xdr:nvSpPr>
        <xdr:spPr>
          <a:xfrm>
            <a:off x="7486650" y="2438399"/>
            <a:ext cx="1256400"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grpSp>
    <xdr:clientData fPrintsWithSheet="0"/>
  </xdr:twoCellAnchor>
  <mc:AlternateContent xmlns:mc="http://schemas.openxmlformats.org/markup-compatibility/2006">
    <mc:Choice xmlns:a14="http://schemas.microsoft.com/office/drawing/2010/main" Requires="a14">
      <xdr:twoCellAnchor>
        <xdr:from>
          <xdr:col>18</xdr:col>
          <xdr:colOff>247650</xdr:colOff>
          <xdr:row>14</xdr:row>
          <xdr:rowOff>234948</xdr:rowOff>
        </xdr:from>
        <xdr:to>
          <xdr:col>21</xdr:col>
          <xdr:colOff>455700</xdr:colOff>
          <xdr:row>21</xdr:row>
          <xdr:rowOff>16773</xdr:rowOff>
        </xdr:to>
        <xdr:grpSp>
          <xdr:nvGrpSpPr>
            <xdr:cNvPr id="4" name="PREVSLBRG_V">
              <a:extLst>
                <a:ext uri="{FF2B5EF4-FFF2-40B4-BE49-F238E27FC236}">
                  <a16:creationId xmlns:a16="http://schemas.microsoft.com/office/drawing/2014/main" id="{00000000-0008-0000-0800-000004000000}"/>
                </a:ext>
              </a:extLst>
            </xdr:cNvPr>
            <xdr:cNvGrpSpPr/>
          </xdr:nvGrpSpPr>
          <xdr:grpSpPr>
            <a:xfrm>
              <a:off x="9906000" y="1692273"/>
              <a:ext cx="1789200" cy="1029600"/>
              <a:chOff x="9850300" y="1645502"/>
              <a:chExt cx="1792245" cy="114141"/>
            </a:xfrm>
          </xdr:grpSpPr>
          <xdr:sp macro="" textlink="">
            <xdr:nvSpPr>
              <xdr:cNvPr id="144432" name="List Box 48" hidden="1">
                <a:extLst>
                  <a:ext uri="{63B3BB69-23CF-44E3-9099-C40C66FF867C}">
                    <a14:compatExt spid="_x0000_s144432"/>
                  </a:ext>
                  <a:ext uri="{FF2B5EF4-FFF2-40B4-BE49-F238E27FC236}">
                    <a16:creationId xmlns:a16="http://schemas.microsoft.com/office/drawing/2014/main" id="{00000000-0008-0000-0800-000030340200}"/>
                  </a:ext>
                </a:extLst>
              </xdr:cNvPr>
              <xdr:cNvSpPr/>
            </xdr:nvSpPr>
            <xdr:spPr bwMode="auto">
              <a:xfrm>
                <a:off x="9850300" y="1645502"/>
                <a:ext cx="641881" cy="114141"/>
              </a:xfrm>
              <a:prstGeom prst="rect">
                <a:avLst/>
              </a:prstGeom>
              <a:noFill/>
              <a:ln>
                <a:noFill/>
              </a:ln>
              <a:extLst>
                <a:ext uri="{91240B29-F687-4F45-9708-019B960494DF}">
                  <a14:hiddenLine w="9525">
                    <a:noFill/>
                    <a:miter lim="800000"/>
                    <a:headEnd/>
                    <a:tailEnd/>
                  </a14:hiddenLine>
                </a:ext>
              </a:extLst>
            </xdr:spPr>
          </xdr:sp>
          <xdr:sp macro="" textlink="">
            <xdr:nvSpPr>
              <xdr:cNvPr id="144433" name="List Box 49" hidden="1">
                <a:extLst>
                  <a:ext uri="{63B3BB69-23CF-44E3-9099-C40C66FF867C}">
                    <a14:compatExt spid="_x0000_s144433"/>
                  </a:ext>
                  <a:ext uri="{FF2B5EF4-FFF2-40B4-BE49-F238E27FC236}">
                    <a16:creationId xmlns:a16="http://schemas.microsoft.com/office/drawing/2014/main" id="{00000000-0008-0000-0800-000031340200}"/>
                  </a:ext>
                </a:extLst>
              </xdr:cNvPr>
              <xdr:cNvSpPr/>
            </xdr:nvSpPr>
            <xdr:spPr bwMode="auto">
              <a:xfrm>
                <a:off x="10339716" y="1645502"/>
                <a:ext cx="724508" cy="114141"/>
              </a:xfrm>
              <a:prstGeom prst="rect">
                <a:avLst/>
              </a:prstGeom>
              <a:noFill/>
              <a:ln>
                <a:noFill/>
              </a:ln>
              <a:extLst>
                <a:ext uri="{91240B29-F687-4F45-9708-019B960494DF}">
                  <a14:hiddenLine w="9525">
                    <a:noFill/>
                    <a:miter lim="800000"/>
                    <a:headEnd/>
                    <a:tailEnd/>
                  </a14:hiddenLine>
                </a:ext>
              </a:extLst>
            </xdr:spPr>
          </xdr:sp>
          <xdr:sp macro="" textlink="">
            <xdr:nvSpPr>
              <xdr:cNvPr id="144434" name="List Box 50" hidden="1">
                <a:extLst>
                  <a:ext uri="{63B3BB69-23CF-44E3-9099-C40C66FF867C}">
                    <a14:compatExt spid="_x0000_s144434"/>
                  </a:ext>
                  <a:ext uri="{FF2B5EF4-FFF2-40B4-BE49-F238E27FC236}">
                    <a16:creationId xmlns:a16="http://schemas.microsoft.com/office/drawing/2014/main" id="{00000000-0008-0000-0800-000032340200}"/>
                  </a:ext>
                </a:extLst>
              </xdr:cNvPr>
              <xdr:cNvSpPr/>
            </xdr:nvSpPr>
            <xdr:spPr bwMode="auto">
              <a:xfrm>
                <a:off x="10918064" y="1645502"/>
                <a:ext cx="724481" cy="114141"/>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editAs="oneCell">
    <xdr:from>
      <xdr:col>1</xdr:col>
      <xdr:colOff>104731</xdr:colOff>
      <xdr:row>6</xdr:row>
      <xdr:rowOff>47613</xdr:rowOff>
    </xdr:from>
    <xdr:to>
      <xdr:col>4</xdr:col>
      <xdr:colOff>92920</xdr:colOff>
      <xdr:row>11</xdr:row>
      <xdr:rowOff>81141</xdr:rowOff>
    </xdr:to>
    <xdr:pic macro="ImportLogo">
      <xdr:nvPicPr>
        <xdr:cNvPr id="39" name="PicLogo" descr="C:\Users\XPS-Takis\Desktop\BD XPS\PicPetro1.png">
          <a:extLst>
            <a:ext uri="{FF2B5EF4-FFF2-40B4-BE49-F238E27FC236}">
              <a16:creationId xmlns:a16="http://schemas.microsoft.com/office/drawing/2014/main" id="{00000000-0008-0000-0800-000027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31" y="230493"/>
          <a:ext cx="1687449" cy="986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11</xdr:row>
          <xdr:rowOff>123825</xdr:rowOff>
        </xdr:from>
        <xdr:to>
          <xdr:col>6</xdr:col>
          <xdr:colOff>333375</xdr:colOff>
          <xdr:row>12</xdr:row>
          <xdr:rowOff>9525</xdr:rowOff>
        </xdr:to>
        <xdr:sp macro="" textlink="">
          <xdr:nvSpPr>
            <xdr:cNvPr id="270345" name="Drop Down 9" hidden="1">
              <a:extLst>
                <a:ext uri="{63B3BB69-23CF-44E3-9099-C40C66FF867C}">
                  <a14:compatExt spid="_x0000_s270345"/>
                </a:ext>
                <a:ext uri="{FF2B5EF4-FFF2-40B4-BE49-F238E27FC236}">
                  <a16:creationId xmlns:a16="http://schemas.microsoft.com/office/drawing/2014/main" id="{00000000-0008-0000-0900-000009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11</xdr:row>
          <xdr:rowOff>123825</xdr:rowOff>
        </xdr:from>
        <xdr:to>
          <xdr:col>7</xdr:col>
          <xdr:colOff>0</xdr:colOff>
          <xdr:row>12</xdr:row>
          <xdr:rowOff>9525</xdr:rowOff>
        </xdr:to>
        <xdr:sp macro="" textlink="">
          <xdr:nvSpPr>
            <xdr:cNvPr id="270348" name="Drop Down 12" hidden="1">
              <a:extLst>
                <a:ext uri="{63B3BB69-23CF-44E3-9099-C40C66FF867C}">
                  <a14:compatExt spid="_x0000_s270348"/>
                </a:ext>
                <a:ext uri="{FF2B5EF4-FFF2-40B4-BE49-F238E27FC236}">
                  <a16:creationId xmlns:a16="http://schemas.microsoft.com/office/drawing/2014/main" id="{00000000-0008-0000-0900-00000C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21</xdr:col>
      <xdr:colOff>123825</xdr:colOff>
      <xdr:row>5</xdr:row>
      <xdr:rowOff>19050</xdr:rowOff>
    </xdr:from>
    <xdr:to>
      <xdr:col>21</xdr:col>
      <xdr:colOff>508000</xdr:colOff>
      <xdr:row>7</xdr:row>
      <xdr:rowOff>79375</xdr:rowOff>
    </xdr:to>
    <xdr:pic macro="[0]!ImportLogo">
      <xdr:nvPicPr>
        <xdr:cNvPr id="19" name="PictureBD" descr="C:\Users\kc\Desktop\B_png.png" hidden="1">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67950" y="19050"/>
          <a:ext cx="384175" cy="441325"/>
        </a:xfrm>
        <a:prstGeom prst="rect">
          <a:avLst/>
        </a:prstGeom>
        <a:noFill/>
        <a:ln>
          <a:noFill/>
        </a:ln>
      </xdr:spPr>
    </xdr:pic>
    <xdr:clientData/>
  </xdr:twoCellAnchor>
  <xdr:twoCellAnchor editAs="oneCell">
    <xdr:from>
      <xdr:col>9</xdr:col>
      <xdr:colOff>352425</xdr:colOff>
      <xdr:row>16</xdr:row>
      <xdr:rowOff>28575</xdr:rowOff>
    </xdr:from>
    <xdr:to>
      <xdr:col>11</xdr:col>
      <xdr:colOff>514350</xdr:colOff>
      <xdr:row>17</xdr:row>
      <xdr:rowOff>123825</xdr:rowOff>
    </xdr:to>
    <xdr:sp macro="[0]!GOMAINBRGGAUGE" textlink="">
      <xdr:nvSpPr>
        <xdr:cNvPr id="21" name="Rounded Rectangle 20">
          <a:extLst>
            <a:ext uri="{FF2B5EF4-FFF2-40B4-BE49-F238E27FC236}">
              <a16:creationId xmlns:a16="http://schemas.microsoft.com/office/drawing/2014/main" id="{00000000-0008-0000-0900-000015000000}"/>
            </a:ext>
          </a:extLst>
        </xdr:cNvPr>
        <xdr:cNvSpPr/>
      </xdr:nvSpPr>
      <xdr:spPr>
        <a:xfrm>
          <a:off x="4524375" y="1781175"/>
          <a:ext cx="1257300" cy="2857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9</xdr:col>
      <xdr:colOff>352425</xdr:colOff>
      <xdr:row>17</xdr:row>
      <xdr:rowOff>180975</xdr:rowOff>
    </xdr:from>
    <xdr:to>
      <xdr:col>11</xdr:col>
      <xdr:colOff>514350</xdr:colOff>
      <xdr:row>19</xdr:row>
      <xdr:rowOff>56007</xdr:rowOff>
    </xdr:to>
    <xdr:sp macro="[0]!GOTICKET3" textlink="">
      <xdr:nvSpPr>
        <xdr:cNvPr id="22" name="Rounded Rectangle 21">
          <a:extLst>
            <a:ext uri="{FF2B5EF4-FFF2-40B4-BE49-F238E27FC236}">
              <a16:creationId xmlns:a16="http://schemas.microsoft.com/office/drawing/2014/main" id="{00000000-0008-0000-0900-000016000000}"/>
            </a:ext>
          </a:extLst>
        </xdr:cNvPr>
        <xdr:cNvSpPr/>
      </xdr:nvSpPr>
      <xdr:spPr>
        <a:xfrm>
          <a:off x="4524375" y="2124075"/>
          <a:ext cx="1257300" cy="256032"/>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GAUGING</a:t>
          </a:r>
          <a:r>
            <a:rPr lang="en-US" sz="1100" b="1" baseline="0">
              <a:solidFill>
                <a:srgbClr val="002060"/>
              </a:solidFill>
              <a:effectLst/>
            </a:rPr>
            <a:t> TICKET</a:t>
          </a:r>
          <a:endParaRPr lang="en-US" sz="1100" b="1">
            <a:solidFill>
              <a:srgbClr val="002060"/>
            </a:solidFill>
            <a:effectLst/>
          </a:endParaRPr>
        </a:p>
      </xdr:txBody>
    </xdr:sp>
    <xdr:clientData fPrintsWithSheet="0"/>
  </xdr:twoCellAnchor>
  <xdr:twoCellAnchor editAs="oneCell">
    <xdr:from>
      <xdr:col>9</xdr:col>
      <xdr:colOff>352425</xdr:colOff>
      <xdr:row>19</xdr:row>
      <xdr:rowOff>114299</xdr:rowOff>
    </xdr:from>
    <xdr:to>
      <xdr:col>11</xdr:col>
      <xdr:colOff>514350</xdr:colOff>
      <xdr:row>20</xdr:row>
      <xdr:rowOff>180974</xdr:rowOff>
    </xdr:to>
    <xdr:sp macro="[0]!CLEARBLUE" textlink="">
      <xdr:nvSpPr>
        <xdr:cNvPr id="23" name="Rounded Rectangle 22">
          <a:extLst>
            <a:ext uri="{FF2B5EF4-FFF2-40B4-BE49-F238E27FC236}">
              <a16:creationId xmlns:a16="http://schemas.microsoft.com/office/drawing/2014/main" id="{00000000-0008-0000-0900-000017000000}"/>
            </a:ext>
          </a:extLst>
        </xdr:cNvPr>
        <xdr:cNvSpPr/>
      </xdr:nvSpPr>
      <xdr:spPr>
        <a:xfrm>
          <a:off x="4524375" y="2438399"/>
          <a:ext cx="1257300"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rgbClr val="002060"/>
              </a:solidFill>
              <a:effectLst/>
              <a:latin typeface="+mn-lt"/>
              <a:ea typeface="+mn-ea"/>
              <a:cs typeface="+mn-cs"/>
            </a:rPr>
            <a:t>CLEAR DATA</a:t>
          </a:r>
          <a:endParaRPr lang="en-US">
            <a:solidFill>
              <a:srgbClr val="002060"/>
            </a:solidFill>
            <a:effectLst/>
          </a:endParaRPr>
        </a:p>
      </xdr:txBody>
    </xdr:sp>
    <xdr:clientData fPrintsWithSheet="0"/>
  </xdr:twoCellAnchor>
  <xdr:twoCellAnchor editAs="oneCell">
    <xdr:from>
      <xdr:col>15</xdr:col>
      <xdr:colOff>76200</xdr:colOff>
      <xdr:row>16</xdr:row>
      <xdr:rowOff>28575</xdr:rowOff>
    </xdr:from>
    <xdr:to>
      <xdr:col>17</xdr:col>
      <xdr:colOff>266700</xdr:colOff>
      <xdr:row>17</xdr:row>
      <xdr:rowOff>123825</xdr:rowOff>
    </xdr:to>
    <xdr:sp macro="[0]!GOMAINBRGGAUGE" textlink="">
      <xdr:nvSpPr>
        <xdr:cNvPr id="24" name="Rounded Rectangle 23">
          <a:extLst>
            <a:ext uri="{FF2B5EF4-FFF2-40B4-BE49-F238E27FC236}">
              <a16:creationId xmlns:a16="http://schemas.microsoft.com/office/drawing/2014/main" id="{00000000-0008-0000-0900-000018000000}"/>
            </a:ext>
          </a:extLst>
        </xdr:cNvPr>
        <xdr:cNvSpPr/>
      </xdr:nvSpPr>
      <xdr:spPr>
        <a:xfrm>
          <a:off x="8096250" y="2771775"/>
          <a:ext cx="1257300" cy="2857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15</xdr:col>
      <xdr:colOff>76200</xdr:colOff>
      <xdr:row>17</xdr:row>
      <xdr:rowOff>180975</xdr:rowOff>
    </xdr:from>
    <xdr:to>
      <xdr:col>17</xdr:col>
      <xdr:colOff>266700</xdr:colOff>
      <xdr:row>19</xdr:row>
      <xdr:rowOff>56007</xdr:rowOff>
    </xdr:to>
    <xdr:sp macro="[0]!GOTICKET4" textlink="">
      <xdr:nvSpPr>
        <xdr:cNvPr id="25" name="Rounded Rectangle 24">
          <a:extLst>
            <a:ext uri="{FF2B5EF4-FFF2-40B4-BE49-F238E27FC236}">
              <a16:creationId xmlns:a16="http://schemas.microsoft.com/office/drawing/2014/main" id="{00000000-0008-0000-0900-000019000000}"/>
            </a:ext>
          </a:extLst>
        </xdr:cNvPr>
        <xdr:cNvSpPr/>
      </xdr:nvSpPr>
      <xdr:spPr>
        <a:xfrm>
          <a:off x="8096250" y="3114675"/>
          <a:ext cx="1257300" cy="256032"/>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GAUGING</a:t>
          </a:r>
          <a:r>
            <a:rPr lang="en-US" sz="1100" b="1" baseline="0">
              <a:solidFill>
                <a:srgbClr val="002060"/>
              </a:solidFill>
              <a:effectLst/>
            </a:rPr>
            <a:t> TICKET</a:t>
          </a:r>
          <a:endParaRPr lang="en-US" sz="1100" b="1">
            <a:solidFill>
              <a:srgbClr val="002060"/>
            </a:solidFill>
            <a:effectLst/>
          </a:endParaRPr>
        </a:p>
      </xdr:txBody>
    </xdr:sp>
    <xdr:clientData fPrintsWithSheet="0"/>
  </xdr:twoCellAnchor>
  <xdr:twoCellAnchor editAs="oneCell">
    <xdr:from>
      <xdr:col>15</xdr:col>
      <xdr:colOff>76200</xdr:colOff>
      <xdr:row>19</xdr:row>
      <xdr:rowOff>114299</xdr:rowOff>
    </xdr:from>
    <xdr:to>
      <xdr:col>17</xdr:col>
      <xdr:colOff>266700</xdr:colOff>
      <xdr:row>20</xdr:row>
      <xdr:rowOff>180974</xdr:rowOff>
    </xdr:to>
    <xdr:sp macro="[0]!CLEARBLUE" textlink="">
      <xdr:nvSpPr>
        <xdr:cNvPr id="26" name="Rounded Rectangle 25">
          <a:extLst>
            <a:ext uri="{FF2B5EF4-FFF2-40B4-BE49-F238E27FC236}">
              <a16:creationId xmlns:a16="http://schemas.microsoft.com/office/drawing/2014/main" id="{00000000-0008-0000-0900-00001A000000}"/>
            </a:ext>
          </a:extLst>
        </xdr:cNvPr>
        <xdr:cNvSpPr/>
      </xdr:nvSpPr>
      <xdr:spPr>
        <a:xfrm>
          <a:off x="8096250" y="3428999"/>
          <a:ext cx="1257300"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1</xdr:col>
      <xdr:colOff>19050</xdr:colOff>
      <xdr:row>24</xdr:row>
      <xdr:rowOff>9525</xdr:rowOff>
    </xdr:from>
    <xdr:to>
      <xdr:col>1</xdr:col>
      <xdr:colOff>713994</xdr:colOff>
      <xdr:row>24</xdr:row>
      <xdr:rowOff>228600</xdr:rowOff>
    </xdr:to>
    <xdr:sp macro="[0]!GOSTANDARDSETT" textlink="">
      <xdr:nvSpPr>
        <xdr:cNvPr id="27" name="Rectangle 26">
          <a:extLst>
            <a:ext uri="{FF2B5EF4-FFF2-40B4-BE49-F238E27FC236}">
              <a16:creationId xmlns:a16="http://schemas.microsoft.com/office/drawing/2014/main" id="{00000000-0008-0000-0900-00001B000000}"/>
            </a:ext>
          </a:extLst>
        </xdr:cNvPr>
        <xdr:cNvSpPr/>
      </xdr:nvSpPr>
      <xdr:spPr>
        <a:xfrm>
          <a:off x="38100" y="3448050"/>
          <a:ext cx="694944" cy="219075"/>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a:latin typeface="Arial" panose="020B0604020202020204" pitchFamily="34" charset="0"/>
              <a:cs typeface="Arial" panose="020B0604020202020204" pitchFamily="34" charset="0"/>
            </a:rPr>
            <a:t>Tanks</a:t>
          </a:r>
        </a:p>
      </xdr:txBody>
    </xdr:sp>
    <xdr:clientData fPrintsWithSheet="0"/>
  </xdr:twoCellAnchor>
  <xdr:twoCellAnchor>
    <xdr:from>
      <xdr:col>19</xdr:col>
      <xdr:colOff>19050</xdr:colOff>
      <xdr:row>23</xdr:row>
      <xdr:rowOff>19050</xdr:rowOff>
    </xdr:from>
    <xdr:to>
      <xdr:col>19</xdr:col>
      <xdr:colOff>595050</xdr:colOff>
      <xdr:row>23</xdr:row>
      <xdr:rowOff>200025</xdr:rowOff>
    </xdr:to>
    <xdr:sp macro="[0]!MYDIALOGBD" textlink="">
      <xdr:nvSpPr>
        <xdr:cNvPr id="28" name="Rectangle 27">
          <a:extLst>
            <a:ext uri="{FF2B5EF4-FFF2-40B4-BE49-F238E27FC236}">
              <a16:creationId xmlns:a16="http://schemas.microsoft.com/office/drawing/2014/main" id="{00000000-0008-0000-0900-00001C000000}"/>
            </a:ext>
          </a:extLst>
        </xdr:cNvPr>
        <xdr:cNvSpPr/>
      </xdr:nvSpPr>
      <xdr:spPr>
        <a:xfrm>
          <a:off x="9058275" y="2990850"/>
          <a:ext cx="576000"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xdr:twoCellAnchor editAs="oneCell">
    <xdr:from>
      <xdr:col>17</xdr:col>
      <xdr:colOff>9525</xdr:colOff>
      <xdr:row>23</xdr:row>
      <xdr:rowOff>9525</xdr:rowOff>
    </xdr:from>
    <xdr:to>
      <xdr:col>17</xdr:col>
      <xdr:colOff>613029</xdr:colOff>
      <xdr:row>23</xdr:row>
      <xdr:rowOff>190500</xdr:rowOff>
    </xdr:to>
    <xdr:sp macro="[0]!MYDIALOGB_2" textlink="">
      <xdr:nvSpPr>
        <xdr:cNvPr id="30" name="Rectangle 29">
          <a:extLst>
            <a:ext uri="{FF2B5EF4-FFF2-40B4-BE49-F238E27FC236}">
              <a16:creationId xmlns:a16="http://schemas.microsoft.com/office/drawing/2014/main" id="{00000000-0008-0000-0900-00001E000000}"/>
            </a:ext>
          </a:extLst>
        </xdr:cNvPr>
        <xdr:cNvSpPr/>
      </xdr:nvSpPr>
      <xdr:spPr>
        <a:xfrm>
          <a:off x="8562975" y="3971925"/>
          <a:ext cx="603504"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xdr:twoCellAnchor editAs="oneCell">
    <xdr:from>
      <xdr:col>9</xdr:col>
      <xdr:colOff>9525</xdr:colOff>
      <xdr:row>23</xdr:row>
      <xdr:rowOff>9525</xdr:rowOff>
    </xdr:from>
    <xdr:to>
      <xdr:col>9</xdr:col>
      <xdr:colOff>613029</xdr:colOff>
      <xdr:row>23</xdr:row>
      <xdr:rowOff>190500</xdr:rowOff>
    </xdr:to>
    <xdr:sp macro="[0]!MYDIALOGA_2" textlink="">
      <xdr:nvSpPr>
        <xdr:cNvPr id="31" name="Rectangle 30">
          <a:extLst>
            <a:ext uri="{FF2B5EF4-FFF2-40B4-BE49-F238E27FC236}">
              <a16:creationId xmlns:a16="http://schemas.microsoft.com/office/drawing/2014/main" id="{00000000-0008-0000-0900-00001F000000}"/>
            </a:ext>
          </a:extLst>
        </xdr:cNvPr>
        <xdr:cNvSpPr/>
      </xdr:nvSpPr>
      <xdr:spPr>
        <a:xfrm>
          <a:off x="4791075" y="3971925"/>
          <a:ext cx="603504" cy="1809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overflow" horzOverflow="overflow" lIns="0" tIns="0" rIns="0" bIns="0" rtlCol="0" anchor="ctr"/>
        <a:lstStyle/>
        <a:p>
          <a:pPr algn="ctr"/>
          <a:r>
            <a:rPr lang="en-US" sz="800">
              <a:solidFill>
                <a:sysClr val="windowText" lastClr="000000"/>
              </a:solidFill>
              <a:latin typeface="Times New Roman" panose="02020603050405020304" pitchFamily="18" charset="0"/>
              <a:cs typeface="Times New Roman" panose="02020603050405020304" pitchFamily="18" charset="0"/>
            </a:rPr>
            <a:t>Interpolate</a:t>
          </a:r>
        </a:p>
      </xdr:txBody>
    </xdr:sp>
    <xdr:clientData fPrintsWithSheet="0"/>
  </xdr:twoCellAnchor>
  <mc:AlternateContent xmlns:mc="http://schemas.openxmlformats.org/markup-compatibility/2006">
    <mc:Choice xmlns:a14="http://schemas.microsoft.com/office/drawing/2010/main" Requires="a14">
      <xdr:twoCellAnchor>
        <xdr:from>
          <xdr:col>18</xdr:col>
          <xdr:colOff>234950</xdr:colOff>
          <xdr:row>15</xdr:row>
          <xdr:rowOff>0</xdr:rowOff>
        </xdr:from>
        <xdr:to>
          <xdr:col>21</xdr:col>
          <xdr:colOff>443000</xdr:colOff>
          <xdr:row>21</xdr:row>
          <xdr:rowOff>19950</xdr:rowOff>
        </xdr:to>
        <xdr:grpSp>
          <xdr:nvGrpSpPr>
            <xdr:cNvPr id="32" name="PREVSLBRG_B">
              <a:extLst>
                <a:ext uri="{FF2B5EF4-FFF2-40B4-BE49-F238E27FC236}">
                  <a16:creationId xmlns:a16="http://schemas.microsoft.com/office/drawing/2014/main" id="{00000000-0008-0000-0900-000020000000}"/>
                </a:ext>
              </a:extLst>
            </xdr:cNvPr>
            <xdr:cNvGrpSpPr/>
          </xdr:nvGrpSpPr>
          <xdr:grpSpPr>
            <a:xfrm>
              <a:off x="9864725" y="1695450"/>
              <a:ext cx="1789200" cy="1029600"/>
              <a:chOff x="8311990" y="1692298"/>
              <a:chExt cx="1804635" cy="422446"/>
            </a:xfrm>
          </xdr:grpSpPr>
          <xdr:sp macro="" textlink="">
            <xdr:nvSpPr>
              <xdr:cNvPr id="270357" name="List Box 21" hidden="1">
                <a:extLst>
                  <a:ext uri="{63B3BB69-23CF-44E3-9099-C40C66FF867C}">
                    <a14:compatExt spid="_x0000_s270357"/>
                  </a:ext>
                  <a:ext uri="{FF2B5EF4-FFF2-40B4-BE49-F238E27FC236}">
                    <a16:creationId xmlns:a16="http://schemas.microsoft.com/office/drawing/2014/main" id="{00000000-0008-0000-0900-000015200400}"/>
                  </a:ext>
                </a:extLst>
              </xdr:cNvPr>
              <xdr:cNvSpPr/>
            </xdr:nvSpPr>
            <xdr:spPr bwMode="auto">
              <a:xfrm>
                <a:off x="8311990" y="1692298"/>
                <a:ext cx="641742" cy="422446"/>
              </a:xfrm>
              <a:prstGeom prst="rect">
                <a:avLst/>
              </a:prstGeom>
              <a:noFill/>
              <a:ln>
                <a:noFill/>
              </a:ln>
              <a:extLst>
                <a:ext uri="{91240B29-F687-4F45-9708-019B960494DF}">
                  <a14:hiddenLine w="9525">
                    <a:noFill/>
                    <a:miter lim="800000"/>
                    <a:headEnd/>
                    <a:tailEnd/>
                  </a14:hiddenLine>
                </a:ext>
              </a:extLst>
            </xdr:spPr>
          </xdr:sp>
          <xdr:sp macro="" textlink="">
            <xdr:nvSpPr>
              <xdr:cNvPr id="270358" name="List Box 22" hidden="1">
                <a:extLst>
                  <a:ext uri="{63B3BB69-23CF-44E3-9099-C40C66FF867C}">
                    <a14:compatExt spid="_x0000_s270358"/>
                  </a:ext>
                  <a:ext uri="{FF2B5EF4-FFF2-40B4-BE49-F238E27FC236}">
                    <a16:creationId xmlns:a16="http://schemas.microsoft.com/office/drawing/2014/main" id="{00000000-0008-0000-0900-000016200400}"/>
                  </a:ext>
                </a:extLst>
              </xdr:cNvPr>
              <xdr:cNvSpPr/>
            </xdr:nvSpPr>
            <xdr:spPr bwMode="auto">
              <a:xfrm>
                <a:off x="8807634" y="1692298"/>
                <a:ext cx="724351" cy="422446"/>
              </a:xfrm>
              <a:prstGeom prst="rect">
                <a:avLst/>
              </a:prstGeom>
              <a:noFill/>
              <a:ln>
                <a:noFill/>
              </a:ln>
              <a:extLst>
                <a:ext uri="{91240B29-F687-4F45-9708-019B960494DF}">
                  <a14:hiddenLine w="9525">
                    <a:noFill/>
                    <a:miter lim="800000"/>
                    <a:headEnd/>
                    <a:tailEnd/>
                  </a14:hiddenLine>
                </a:ext>
              </a:extLst>
            </xdr:spPr>
          </xdr:sp>
          <xdr:sp macro="" textlink="">
            <xdr:nvSpPr>
              <xdr:cNvPr id="270359" name="List Box 23" hidden="1">
                <a:extLst>
                  <a:ext uri="{63B3BB69-23CF-44E3-9099-C40C66FF867C}">
                    <a14:compatExt spid="_x0000_s270359"/>
                  </a:ext>
                  <a:ext uri="{FF2B5EF4-FFF2-40B4-BE49-F238E27FC236}">
                    <a16:creationId xmlns:a16="http://schemas.microsoft.com/office/drawing/2014/main" id="{00000000-0008-0000-0900-000017200400}"/>
                  </a:ext>
                </a:extLst>
              </xdr:cNvPr>
              <xdr:cNvSpPr/>
            </xdr:nvSpPr>
            <xdr:spPr bwMode="auto">
              <a:xfrm>
                <a:off x="9392268" y="1692298"/>
                <a:ext cx="724357" cy="422446"/>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558799</xdr:colOff>
          <xdr:row>14</xdr:row>
          <xdr:rowOff>231774</xdr:rowOff>
        </xdr:from>
        <xdr:to>
          <xdr:col>8</xdr:col>
          <xdr:colOff>164599</xdr:colOff>
          <xdr:row>21</xdr:row>
          <xdr:rowOff>13599</xdr:rowOff>
        </xdr:to>
        <xdr:grpSp>
          <xdr:nvGrpSpPr>
            <xdr:cNvPr id="34" name="DENSBRG">
              <a:extLst>
                <a:ext uri="{FF2B5EF4-FFF2-40B4-BE49-F238E27FC236}">
                  <a16:creationId xmlns:a16="http://schemas.microsoft.com/office/drawing/2014/main" id="{00000000-0008-0000-0900-000022000000}"/>
                </a:ext>
              </a:extLst>
            </xdr:cNvPr>
            <xdr:cNvGrpSpPr/>
          </xdr:nvGrpSpPr>
          <xdr:grpSpPr>
            <a:xfrm>
              <a:off x="3130549" y="1689099"/>
              <a:ext cx="1206000" cy="1029600"/>
              <a:chOff x="3295503" y="1714500"/>
              <a:chExt cx="1790439" cy="1028700"/>
            </a:xfrm>
          </xdr:grpSpPr>
          <xdr:sp macro="" textlink="">
            <xdr:nvSpPr>
              <xdr:cNvPr id="270367" name="List Box 31" hidden="1">
                <a:extLst>
                  <a:ext uri="{63B3BB69-23CF-44E3-9099-C40C66FF867C}">
                    <a14:compatExt spid="_x0000_s270367"/>
                  </a:ext>
                  <a:ext uri="{FF2B5EF4-FFF2-40B4-BE49-F238E27FC236}">
                    <a16:creationId xmlns:a16="http://schemas.microsoft.com/office/drawing/2014/main" id="{00000000-0008-0000-0900-00001F200400}"/>
                  </a:ext>
                </a:extLst>
              </xdr:cNvPr>
              <xdr:cNvSpPr/>
            </xdr:nvSpPr>
            <xdr:spPr bwMode="auto">
              <a:xfrm>
                <a:off x="3295503" y="1714500"/>
                <a:ext cx="944579" cy="1028700"/>
              </a:xfrm>
              <a:prstGeom prst="rect">
                <a:avLst/>
              </a:prstGeom>
              <a:noFill/>
              <a:ln>
                <a:noFill/>
              </a:ln>
              <a:extLst>
                <a:ext uri="{91240B29-F687-4F45-9708-019B960494DF}">
                  <a14:hiddenLine w="9525">
                    <a:noFill/>
                    <a:miter lim="800000"/>
                    <a:headEnd/>
                    <a:tailEnd/>
                  </a14:hiddenLine>
                </a:ext>
              </a:extLst>
            </xdr:spPr>
          </xdr:sp>
          <xdr:sp macro="" textlink="">
            <xdr:nvSpPr>
              <xdr:cNvPr id="270368" name="List Box 32" hidden="1">
                <a:extLst>
                  <a:ext uri="{63B3BB69-23CF-44E3-9099-C40C66FF867C}">
                    <a14:compatExt spid="_x0000_s270368"/>
                  </a:ext>
                  <a:ext uri="{FF2B5EF4-FFF2-40B4-BE49-F238E27FC236}">
                    <a16:creationId xmlns:a16="http://schemas.microsoft.com/office/drawing/2014/main" id="{00000000-0008-0000-0900-000020200400}"/>
                  </a:ext>
                </a:extLst>
              </xdr:cNvPr>
              <xdr:cNvSpPr/>
            </xdr:nvSpPr>
            <xdr:spPr bwMode="auto">
              <a:xfrm>
                <a:off x="4014487" y="1714500"/>
                <a:ext cx="1071455" cy="1028700"/>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24</xdr:row>
          <xdr:rowOff>19050</xdr:rowOff>
        </xdr:from>
        <xdr:to>
          <xdr:col>4</xdr:col>
          <xdr:colOff>657225</xdr:colOff>
          <xdr:row>24</xdr:row>
          <xdr:rowOff>219075</xdr:rowOff>
        </xdr:to>
        <xdr:sp macro="" textlink="">
          <xdr:nvSpPr>
            <xdr:cNvPr id="270386" name="Drop Down 50" hidden="1">
              <a:extLst>
                <a:ext uri="{63B3BB69-23CF-44E3-9099-C40C66FF867C}">
                  <a14:compatExt spid="_x0000_s270386"/>
                </a:ext>
                <a:ext uri="{FF2B5EF4-FFF2-40B4-BE49-F238E27FC236}">
                  <a16:creationId xmlns:a16="http://schemas.microsoft.com/office/drawing/2014/main" id="{00000000-0008-0000-0900-000032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24</xdr:row>
          <xdr:rowOff>19050</xdr:rowOff>
        </xdr:from>
        <xdr:to>
          <xdr:col>5</xdr:col>
          <xdr:colOff>533400</xdr:colOff>
          <xdr:row>24</xdr:row>
          <xdr:rowOff>219075</xdr:rowOff>
        </xdr:to>
        <xdr:sp macro="" textlink="">
          <xdr:nvSpPr>
            <xdr:cNvPr id="270387" name="Drop Down 51" hidden="1">
              <a:extLst>
                <a:ext uri="{63B3BB69-23CF-44E3-9099-C40C66FF867C}">
                  <a14:compatExt spid="_x0000_s270387"/>
                </a:ext>
                <a:ext uri="{FF2B5EF4-FFF2-40B4-BE49-F238E27FC236}">
                  <a16:creationId xmlns:a16="http://schemas.microsoft.com/office/drawing/2014/main" id="{00000000-0008-0000-0900-000033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24</xdr:row>
          <xdr:rowOff>19050</xdr:rowOff>
        </xdr:from>
        <xdr:to>
          <xdr:col>7</xdr:col>
          <xdr:colOff>523875</xdr:colOff>
          <xdr:row>24</xdr:row>
          <xdr:rowOff>219075</xdr:rowOff>
        </xdr:to>
        <xdr:sp macro="" textlink="">
          <xdr:nvSpPr>
            <xdr:cNvPr id="270388" name="Drop Down 52" hidden="1">
              <a:extLst>
                <a:ext uri="{63B3BB69-23CF-44E3-9099-C40C66FF867C}">
                  <a14:compatExt spid="_x0000_s270388"/>
                </a:ext>
                <a:ext uri="{FF2B5EF4-FFF2-40B4-BE49-F238E27FC236}">
                  <a16:creationId xmlns:a16="http://schemas.microsoft.com/office/drawing/2014/main" id="{00000000-0008-0000-0900-000034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24</xdr:row>
          <xdr:rowOff>19050</xdr:rowOff>
        </xdr:from>
        <xdr:to>
          <xdr:col>15</xdr:col>
          <xdr:colOff>523875</xdr:colOff>
          <xdr:row>24</xdr:row>
          <xdr:rowOff>219075</xdr:rowOff>
        </xdr:to>
        <xdr:sp macro="" textlink="">
          <xdr:nvSpPr>
            <xdr:cNvPr id="270389" name="Drop Down 53" hidden="1">
              <a:extLst>
                <a:ext uri="{63B3BB69-23CF-44E3-9099-C40C66FF867C}">
                  <a14:compatExt spid="_x0000_s270389"/>
                </a:ext>
                <a:ext uri="{FF2B5EF4-FFF2-40B4-BE49-F238E27FC236}">
                  <a16:creationId xmlns:a16="http://schemas.microsoft.com/office/drawing/2014/main" id="{00000000-0008-0000-0900-000035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24</xdr:row>
          <xdr:rowOff>19050</xdr:rowOff>
        </xdr:from>
        <xdr:to>
          <xdr:col>9</xdr:col>
          <xdr:colOff>600075</xdr:colOff>
          <xdr:row>24</xdr:row>
          <xdr:rowOff>219075</xdr:rowOff>
        </xdr:to>
        <xdr:sp macro="" textlink="">
          <xdr:nvSpPr>
            <xdr:cNvPr id="270390" name="Drop Down 54" hidden="1">
              <a:extLst>
                <a:ext uri="{63B3BB69-23CF-44E3-9099-C40C66FF867C}">
                  <a14:compatExt spid="_x0000_s270390"/>
                </a:ext>
                <a:ext uri="{FF2B5EF4-FFF2-40B4-BE49-F238E27FC236}">
                  <a16:creationId xmlns:a16="http://schemas.microsoft.com/office/drawing/2014/main" id="{00000000-0008-0000-0900-000036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24</xdr:row>
          <xdr:rowOff>19050</xdr:rowOff>
        </xdr:from>
        <xdr:to>
          <xdr:col>13</xdr:col>
          <xdr:colOff>514350</xdr:colOff>
          <xdr:row>24</xdr:row>
          <xdr:rowOff>219075</xdr:rowOff>
        </xdr:to>
        <xdr:sp macro="" textlink="">
          <xdr:nvSpPr>
            <xdr:cNvPr id="270391" name="Drop Down 55" hidden="1">
              <a:extLst>
                <a:ext uri="{63B3BB69-23CF-44E3-9099-C40C66FF867C}">
                  <a14:compatExt spid="_x0000_s270391"/>
                </a:ext>
                <a:ext uri="{FF2B5EF4-FFF2-40B4-BE49-F238E27FC236}">
                  <a16:creationId xmlns:a16="http://schemas.microsoft.com/office/drawing/2014/main" id="{00000000-0008-0000-0900-000037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24</xdr:row>
          <xdr:rowOff>19050</xdr:rowOff>
        </xdr:from>
        <xdr:to>
          <xdr:col>17</xdr:col>
          <xdr:colOff>600075</xdr:colOff>
          <xdr:row>24</xdr:row>
          <xdr:rowOff>219075</xdr:rowOff>
        </xdr:to>
        <xdr:sp macro="" textlink="">
          <xdr:nvSpPr>
            <xdr:cNvPr id="270392" name="Drop Down 56" hidden="1">
              <a:extLst>
                <a:ext uri="{63B3BB69-23CF-44E3-9099-C40C66FF867C}">
                  <a14:compatExt spid="_x0000_s270392"/>
                </a:ext>
                <a:ext uri="{FF2B5EF4-FFF2-40B4-BE49-F238E27FC236}">
                  <a16:creationId xmlns:a16="http://schemas.microsoft.com/office/drawing/2014/main" id="{00000000-0008-0000-0900-000038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24</xdr:row>
          <xdr:rowOff>19050</xdr:rowOff>
        </xdr:from>
        <xdr:to>
          <xdr:col>21</xdr:col>
          <xdr:colOff>514350</xdr:colOff>
          <xdr:row>24</xdr:row>
          <xdr:rowOff>219075</xdr:rowOff>
        </xdr:to>
        <xdr:sp macro="" textlink="">
          <xdr:nvSpPr>
            <xdr:cNvPr id="270393" name="Drop Down 57" hidden="1">
              <a:extLst>
                <a:ext uri="{63B3BB69-23CF-44E3-9099-C40C66FF867C}">
                  <a14:compatExt spid="_x0000_s270393"/>
                </a:ext>
                <a:ext uri="{FF2B5EF4-FFF2-40B4-BE49-F238E27FC236}">
                  <a16:creationId xmlns:a16="http://schemas.microsoft.com/office/drawing/2014/main" id="{00000000-0008-0000-0900-000039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24</xdr:row>
          <xdr:rowOff>19050</xdr:rowOff>
        </xdr:from>
        <xdr:to>
          <xdr:col>10</xdr:col>
          <xdr:colOff>466725</xdr:colOff>
          <xdr:row>24</xdr:row>
          <xdr:rowOff>219075</xdr:rowOff>
        </xdr:to>
        <xdr:sp macro="" textlink="">
          <xdr:nvSpPr>
            <xdr:cNvPr id="270394" name="Drop Down 58" hidden="1">
              <a:extLst>
                <a:ext uri="{63B3BB69-23CF-44E3-9099-C40C66FF867C}">
                  <a14:compatExt spid="_x0000_s270394"/>
                </a:ext>
                <a:ext uri="{FF2B5EF4-FFF2-40B4-BE49-F238E27FC236}">
                  <a16:creationId xmlns:a16="http://schemas.microsoft.com/office/drawing/2014/main" id="{00000000-0008-0000-0900-00003A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24</xdr:row>
          <xdr:rowOff>19050</xdr:rowOff>
        </xdr:from>
        <xdr:to>
          <xdr:col>18</xdr:col>
          <xdr:colOff>466725</xdr:colOff>
          <xdr:row>24</xdr:row>
          <xdr:rowOff>219075</xdr:rowOff>
        </xdr:to>
        <xdr:sp macro="" textlink="">
          <xdr:nvSpPr>
            <xdr:cNvPr id="270395" name="Drop Down 59" hidden="1">
              <a:extLst>
                <a:ext uri="{63B3BB69-23CF-44E3-9099-C40C66FF867C}">
                  <a14:compatExt spid="_x0000_s270395"/>
                </a:ext>
                <a:ext uri="{FF2B5EF4-FFF2-40B4-BE49-F238E27FC236}">
                  <a16:creationId xmlns:a16="http://schemas.microsoft.com/office/drawing/2014/main" id="{00000000-0008-0000-0900-00003B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24</xdr:row>
          <xdr:rowOff>19050</xdr:rowOff>
        </xdr:from>
        <xdr:to>
          <xdr:col>12</xdr:col>
          <xdr:colOff>495300</xdr:colOff>
          <xdr:row>24</xdr:row>
          <xdr:rowOff>219075</xdr:rowOff>
        </xdr:to>
        <xdr:sp macro="" textlink="">
          <xdr:nvSpPr>
            <xdr:cNvPr id="270396" name="Drop Down 60" hidden="1">
              <a:extLst>
                <a:ext uri="{63B3BB69-23CF-44E3-9099-C40C66FF867C}">
                  <a14:compatExt spid="_x0000_s270396"/>
                </a:ext>
                <a:ext uri="{FF2B5EF4-FFF2-40B4-BE49-F238E27FC236}">
                  <a16:creationId xmlns:a16="http://schemas.microsoft.com/office/drawing/2014/main" id="{00000000-0008-0000-0900-00003C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24</xdr:row>
          <xdr:rowOff>19050</xdr:rowOff>
        </xdr:from>
        <xdr:to>
          <xdr:col>20</xdr:col>
          <xdr:colOff>495300</xdr:colOff>
          <xdr:row>24</xdr:row>
          <xdr:rowOff>219075</xdr:rowOff>
        </xdr:to>
        <xdr:sp macro="" textlink="">
          <xdr:nvSpPr>
            <xdr:cNvPr id="270397" name="Drop Down 61" hidden="1">
              <a:extLst>
                <a:ext uri="{63B3BB69-23CF-44E3-9099-C40C66FF867C}">
                  <a14:compatExt spid="_x0000_s270397"/>
                </a:ext>
                <a:ext uri="{FF2B5EF4-FFF2-40B4-BE49-F238E27FC236}">
                  <a16:creationId xmlns:a16="http://schemas.microsoft.com/office/drawing/2014/main" id="{00000000-0008-0000-0900-00003D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24</xdr:row>
          <xdr:rowOff>19050</xdr:rowOff>
        </xdr:from>
        <xdr:to>
          <xdr:col>11</xdr:col>
          <xdr:colOff>581025</xdr:colOff>
          <xdr:row>24</xdr:row>
          <xdr:rowOff>219075</xdr:rowOff>
        </xdr:to>
        <xdr:sp macro="" textlink="">
          <xdr:nvSpPr>
            <xdr:cNvPr id="270398" name="Drop Down 62" hidden="1">
              <a:extLst>
                <a:ext uri="{63B3BB69-23CF-44E3-9099-C40C66FF867C}">
                  <a14:compatExt spid="_x0000_s270398"/>
                </a:ext>
                <a:ext uri="{FF2B5EF4-FFF2-40B4-BE49-F238E27FC236}">
                  <a16:creationId xmlns:a16="http://schemas.microsoft.com/office/drawing/2014/main" id="{00000000-0008-0000-0900-00003E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24</xdr:row>
          <xdr:rowOff>19050</xdr:rowOff>
        </xdr:from>
        <xdr:to>
          <xdr:col>19</xdr:col>
          <xdr:colOff>581025</xdr:colOff>
          <xdr:row>24</xdr:row>
          <xdr:rowOff>219075</xdr:rowOff>
        </xdr:to>
        <xdr:sp macro="" textlink="">
          <xdr:nvSpPr>
            <xdr:cNvPr id="270399" name="Drop Down 63" hidden="1">
              <a:extLst>
                <a:ext uri="{63B3BB69-23CF-44E3-9099-C40C66FF867C}">
                  <a14:compatExt spid="_x0000_s270399"/>
                </a:ext>
                <a:ext uri="{FF2B5EF4-FFF2-40B4-BE49-F238E27FC236}">
                  <a16:creationId xmlns:a16="http://schemas.microsoft.com/office/drawing/2014/main" id="{00000000-0008-0000-0900-00003F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24</xdr:row>
          <xdr:rowOff>19050</xdr:rowOff>
        </xdr:from>
        <xdr:to>
          <xdr:col>8</xdr:col>
          <xdr:colOff>523875</xdr:colOff>
          <xdr:row>24</xdr:row>
          <xdr:rowOff>219075</xdr:rowOff>
        </xdr:to>
        <xdr:sp macro="" textlink="">
          <xdr:nvSpPr>
            <xdr:cNvPr id="270400" name="Drop Down 64" hidden="1">
              <a:extLst>
                <a:ext uri="{63B3BB69-23CF-44E3-9099-C40C66FF867C}">
                  <a14:compatExt spid="_x0000_s270400"/>
                </a:ext>
                <a:ext uri="{FF2B5EF4-FFF2-40B4-BE49-F238E27FC236}">
                  <a16:creationId xmlns:a16="http://schemas.microsoft.com/office/drawing/2014/main" id="{00000000-0008-0000-0900-000040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24</xdr:row>
          <xdr:rowOff>19050</xdr:rowOff>
        </xdr:from>
        <xdr:to>
          <xdr:col>16</xdr:col>
          <xdr:colOff>523875</xdr:colOff>
          <xdr:row>24</xdr:row>
          <xdr:rowOff>219075</xdr:rowOff>
        </xdr:to>
        <xdr:sp macro="" textlink="">
          <xdr:nvSpPr>
            <xdr:cNvPr id="270401" name="Drop Down 65" hidden="1">
              <a:extLst>
                <a:ext uri="{63B3BB69-23CF-44E3-9099-C40C66FF867C}">
                  <a14:compatExt spid="_x0000_s270401"/>
                </a:ext>
                <a:ext uri="{FF2B5EF4-FFF2-40B4-BE49-F238E27FC236}">
                  <a16:creationId xmlns:a16="http://schemas.microsoft.com/office/drawing/2014/main" id="{00000000-0008-0000-0900-0000412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104733</xdr:colOff>
      <xdr:row>6</xdr:row>
      <xdr:rowOff>38100</xdr:rowOff>
    </xdr:from>
    <xdr:to>
      <xdr:col>4</xdr:col>
      <xdr:colOff>88458</xdr:colOff>
      <xdr:row>11</xdr:row>
      <xdr:rowOff>68871</xdr:rowOff>
    </xdr:to>
    <xdr:pic macro="ImportLogo">
      <xdr:nvPicPr>
        <xdr:cNvPr id="39" name="PicLogo" descr="C:\Users\XPS-Takis\Desktop\BD XPS\PicPetro1.png">
          <a:extLst>
            <a:ext uri="{FF2B5EF4-FFF2-40B4-BE49-F238E27FC236}">
              <a16:creationId xmlns:a16="http://schemas.microsoft.com/office/drawing/2014/main" id="{00000000-0008-0000-0900-000027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33" y="220980"/>
          <a:ext cx="1682985" cy="9832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419100</xdr:colOff>
      <xdr:row>5</xdr:row>
      <xdr:rowOff>28575</xdr:rowOff>
    </xdr:from>
    <xdr:to>
      <xdr:col>10</xdr:col>
      <xdr:colOff>803275</xdr:colOff>
      <xdr:row>7</xdr:row>
      <xdr:rowOff>88900</xdr:rowOff>
    </xdr:to>
    <xdr:pic macro="[0]!ImportLogo">
      <xdr:nvPicPr>
        <xdr:cNvPr id="3" name="PictureBD" descr="C:\Users\kc\Desktop\B_png.png" hidden="1">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10325" y="28575"/>
          <a:ext cx="384175" cy="44132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19</xdr:row>
          <xdr:rowOff>28575</xdr:rowOff>
        </xdr:from>
        <xdr:to>
          <xdr:col>8</xdr:col>
          <xdr:colOff>819150</xdr:colOff>
          <xdr:row>22</xdr:row>
          <xdr:rowOff>9525</xdr:rowOff>
        </xdr:to>
        <xdr:sp macro="" textlink="">
          <xdr:nvSpPr>
            <xdr:cNvPr id="360453" name="List Box 5" hidden="1">
              <a:extLst>
                <a:ext uri="{63B3BB69-23CF-44E3-9099-C40C66FF867C}">
                  <a14:compatExt spid="_x0000_s360453"/>
                </a:ext>
                <a:ext uri="{FF2B5EF4-FFF2-40B4-BE49-F238E27FC236}">
                  <a16:creationId xmlns:a16="http://schemas.microsoft.com/office/drawing/2014/main" id="{00000000-0008-0000-0D00-000005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28575</xdr:colOff>
      <xdr:row>14</xdr:row>
      <xdr:rowOff>38100</xdr:rowOff>
    </xdr:from>
    <xdr:to>
      <xdr:col>3</xdr:col>
      <xdr:colOff>9525</xdr:colOff>
      <xdr:row>15</xdr:row>
      <xdr:rowOff>47624</xdr:rowOff>
    </xdr:to>
    <xdr:sp macro="[0]!GOMAIN" textlink="">
      <xdr:nvSpPr>
        <xdr:cNvPr id="4" name="Rounded Rectangle 3">
          <a:extLst>
            <a:ext uri="{FF2B5EF4-FFF2-40B4-BE49-F238E27FC236}">
              <a16:creationId xmlns:a16="http://schemas.microsoft.com/office/drawing/2014/main" id="{00000000-0008-0000-0D00-000004000000}"/>
            </a:ext>
          </a:extLst>
        </xdr:cNvPr>
        <xdr:cNvSpPr/>
      </xdr:nvSpPr>
      <xdr:spPr>
        <a:xfrm>
          <a:off x="47625" y="1495425"/>
          <a:ext cx="1304925" cy="24764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9</xdr:col>
      <xdr:colOff>28576</xdr:colOff>
      <xdr:row>14</xdr:row>
      <xdr:rowOff>28574</xdr:rowOff>
    </xdr:from>
    <xdr:to>
      <xdr:col>10</xdr:col>
      <xdr:colOff>800101</xdr:colOff>
      <xdr:row>15</xdr:row>
      <xdr:rowOff>36956</xdr:rowOff>
    </xdr:to>
    <xdr:sp macro="[0]!RDB_Worksheet_Or_Worksheets_To_PDF_And_Create_Mail" textlink="">
      <xdr:nvSpPr>
        <xdr:cNvPr id="6" name="Rounded Rectangle 5">
          <a:extLst>
            <a:ext uri="{FF2B5EF4-FFF2-40B4-BE49-F238E27FC236}">
              <a16:creationId xmlns:a16="http://schemas.microsoft.com/office/drawing/2014/main" id="{00000000-0008-0000-0D00-000006000000}"/>
            </a:ext>
          </a:extLst>
        </xdr:cNvPr>
        <xdr:cNvSpPr/>
      </xdr:nvSpPr>
      <xdr:spPr>
        <a:xfrm>
          <a:off x="5324476" y="1485899"/>
          <a:ext cx="1466850" cy="246507"/>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PRINT...</a:t>
          </a:r>
        </a:p>
      </xdr:txBody>
    </xdr:sp>
    <xdr:clientData fPrintsWithSheet="0"/>
  </xdr:twoCellAnchor>
  <xdr:twoCellAnchor editAs="oneCell">
    <xdr:from>
      <xdr:col>1</xdr:col>
      <xdr:colOff>123784</xdr:colOff>
      <xdr:row>6</xdr:row>
      <xdr:rowOff>28564</xdr:rowOff>
    </xdr:from>
    <xdr:to>
      <xdr:col>4</xdr:col>
      <xdr:colOff>111973</xdr:colOff>
      <xdr:row>11</xdr:row>
      <xdr:rowOff>62092</xdr:rowOff>
    </xdr:to>
    <xdr:pic macro="ImportLogo">
      <xdr:nvPicPr>
        <xdr:cNvPr id="7" name="PicLogo" descr="C:\Users\XPS-Takis\Desktop\BD XPS\PicPetro1.png">
          <a:extLst>
            <a:ext uri="{FF2B5EF4-FFF2-40B4-BE49-F238E27FC236}">
              <a16:creationId xmlns:a16="http://schemas.microsoft.com/office/drawing/2014/main" id="{00000000-0008-0000-0D00-000007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784" y="211444"/>
          <a:ext cx="1687449" cy="986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38100</xdr:colOff>
      <xdr:row>10</xdr:row>
      <xdr:rowOff>38101</xdr:rowOff>
    </xdr:from>
    <xdr:to>
      <xdr:col>3</xdr:col>
      <xdr:colOff>476250</xdr:colOff>
      <xdr:row>10</xdr:row>
      <xdr:rowOff>295275</xdr:rowOff>
    </xdr:to>
    <xdr:sp macro="[0]!GOMAIN" textlink="">
      <xdr:nvSpPr>
        <xdr:cNvPr id="6" name="Rounded Rectangle 5">
          <a:extLst>
            <a:ext uri="{FF2B5EF4-FFF2-40B4-BE49-F238E27FC236}">
              <a16:creationId xmlns:a16="http://schemas.microsoft.com/office/drawing/2014/main" id="{00000000-0008-0000-0E00-000006000000}"/>
            </a:ext>
          </a:extLst>
        </xdr:cNvPr>
        <xdr:cNvSpPr/>
      </xdr:nvSpPr>
      <xdr:spPr>
        <a:xfrm>
          <a:off x="38100" y="1352551"/>
          <a:ext cx="1590675" cy="257174"/>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MAIN</a:t>
          </a:r>
        </a:p>
      </xdr:txBody>
    </xdr:sp>
    <xdr:clientData fPrintsWithSheet="0"/>
  </xdr:twoCellAnchor>
  <xdr:twoCellAnchor editAs="oneCell">
    <xdr:from>
      <xdr:col>8</xdr:col>
      <xdr:colOff>0</xdr:colOff>
      <xdr:row>10</xdr:row>
      <xdr:rowOff>38100</xdr:rowOff>
    </xdr:from>
    <xdr:to>
      <xdr:col>9</xdr:col>
      <xdr:colOff>819150</xdr:colOff>
      <xdr:row>10</xdr:row>
      <xdr:rowOff>295274</xdr:rowOff>
    </xdr:to>
    <xdr:sp macro="[0]!GOCONSUM" textlink="">
      <xdr:nvSpPr>
        <xdr:cNvPr id="7" name="Rounded Rectangle 6">
          <a:extLst>
            <a:ext uri="{FF2B5EF4-FFF2-40B4-BE49-F238E27FC236}">
              <a16:creationId xmlns:a16="http://schemas.microsoft.com/office/drawing/2014/main" id="{00000000-0008-0000-0E00-000007000000}"/>
            </a:ext>
          </a:extLst>
        </xdr:cNvPr>
        <xdr:cNvSpPr/>
      </xdr:nvSpPr>
      <xdr:spPr>
        <a:xfrm>
          <a:off x="5686425" y="1352550"/>
          <a:ext cx="1676400" cy="257174"/>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Ship's Declaration</a:t>
          </a:r>
        </a:p>
      </xdr:txBody>
    </xdr:sp>
    <xdr:clientData fPrintsWithSheet="0"/>
  </xdr:twoCellAnchor>
  <xdr:twoCellAnchor editAs="oneCell">
    <xdr:from>
      <xdr:col>9</xdr:col>
      <xdr:colOff>514351</xdr:colOff>
      <xdr:row>1</xdr:row>
      <xdr:rowOff>19052</xdr:rowOff>
    </xdr:from>
    <xdr:to>
      <xdr:col>9</xdr:col>
      <xdr:colOff>822326</xdr:colOff>
      <xdr:row>3</xdr:row>
      <xdr:rowOff>104777</xdr:rowOff>
    </xdr:to>
    <xdr:pic macro="[0]!ImportLogo">
      <xdr:nvPicPr>
        <xdr:cNvPr id="80" name="PictureBD" descr="C:\Users\XPS-Takis\Desktop\BD XPS\PicBDsmall.png" hidden="1">
          <a:extLst>
            <a:ext uri="{FF2B5EF4-FFF2-40B4-BE49-F238E27FC236}">
              <a16:creationId xmlns:a16="http://schemas.microsoft.com/office/drawing/2014/main" id="{00000000-0008-0000-0E00-000050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00876" y="19052"/>
          <a:ext cx="30797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43434</xdr:colOff>
      <xdr:row>64</xdr:row>
      <xdr:rowOff>28575</xdr:rowOff>
    </xdr:from>
    <xdr:to>
      <xdr:col>10</xdr:col>
      <xdr:colOff>0</xdr:colOff>
      <xdr:row>67</xdr:row>
      <xdr:rowOff>146304</xdr:rowOff>
    </xdr:to>
    <xdr:pic macro="[0]!ImportLogo">
      <xdr:nvPicPr>
        <xdr:cNvPr id="8" name="PicSAC" descr="F:\1.AMS-Marine\2.PRODUCTS\11.BunkerManager\PETRO\BM V1.11\SAC MARK 2019 - PETRO INSPECT.jpg">
          <a:extLst>
            <a:ext uri="{FF2B5EF4-FFF2-40B4-BE49-F238E27FC236}">
              <a16:creationId xmlns:a16="http://schemas.microsoft.com/office/drawing/2014/main" id="{00000000-0008-0000-0E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529959" y="7810500"/>
          <a:ext cx="813816" cy="60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152367</xdr:colOff>
      <xdr:row>1</xdr:row>
      <xdr:rowOff>104775</xdr:rowOff>
    </xdr:from>
    <xdr:to>
      <xdr:col>4</xdr:col>
      <xdr:colOff>388206</xdr:colOff>
      <xdr:row>7</xdr:row>
      <xdr:rowOff>66675</xdr:rowOff>
    </xdr:to>
    <xdr:pic macro="ImportLogo">
      <xdr:nvPicPr>
        <xdr:cNvPr id="9" name="PicLogo" descr="C:\Users\XPS-Takis\Desktop\BD XPS\PicPetro1.png">
          <a:extLst>
            <a:ext uri="{FF2B5EF4-FFF2-40B4-BE49-F238E27FC236}">
              <a16:creationId xmlns:a16="http://schemas.microsoft.com/office/drawing/2014/main" id="{00000000-0008-0000-0E00-000009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2367" y="104775"/>
          <a:ext cx="1714119"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15</xdr:col>
      <xdr:colOff>161925</xdr:colOff>
      <xdr:row>1</xdr:row>
      <xdr:rowOff>38100</xdr:rowOff>
    </xdr:from>
    <xdr:ext cx="384175" cy="441325"/>
    <xdr:pic macro="[0]!ImportLogo">
      <xdr:nvPicPr>
        <xdr:cNvPr id="2" name="PictureBD" descr="C:\Users\kc\Desktop\B_png.png" hidden="1">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43875" y="38100"/>
          <a:ext cx="384175" cy="441325"/>
        </a:xfrm>
        <a:prstGeom prst="rect">
          <a:avLst/>
        </a:prstGeom>
        <a:noFill/>
        <a:ln>
          <a:noFill/>
        </a:ln>
      </xdr:spPr>
    </xdr:pic>
    <xdr:clientData/>
  </xdr:oneCellAnchor>
  <xdr:twoCellAnchor editAs="oneCell">
    <xdr:from>
      <xdr:col>1</xdr:col>
      <xdr:colOff>38100</xdr:colOff>
      <xdr:row>10</xdr:row>
      <xdr:rowOff>47625</xdr:rowOff>
    </xdr:from>
    <xdr:to>
      <xdr:col>3</xdr:col>
      <xdr:colOff>504826</xdr:colOff>
      <xdr:row>10</xdr:row>
      <xdr:rowOff>295274</xdr:rowOff>
    </xdr:to>
    <xdr:sp macro="[0]!GOMAIN" textlink="">
      <xdr:nvSpPr>
        <xdr:cNvPr id="5" name="Rounded Rectangle 4">
          <a:extLst>
            <a:ext uri="{FF2B5EF4-FFF2-40B4-BE49-F238E27FC236}">
              <a16:creationId xmlns:a16="http://schemas.microsoft.com/office/drawing/2014/main" id="{00000000-0008-0000-0F00-000005000000}"/>
            </a:ext>
          </a:extLst>
        </xdr:cNvPr>
        <xdr:cNvSpPr/>
      </xdr:nvSpPr>
      <xdr:spPr>
        <a:xfrm>
          <a:off x="38100" y="1362075"/>
          <a:ext cx="1733550" cy="24764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13</xdr:col>
      <xdr:colOff>1</xdr:colOff>
      <xdr:row>10</xdr:row>
      <xdr:rowOff>38100</xdr:rowOff>
    </xdr:from>
    <xdr:to>
      <xdr:col>15</xdr:col>
      <xdr:colOff>514351</xdr:colOff>
      <xdr:row>10</xdr:row>
      <xdr:rowOff>295274</xdr:rowOff>
    </xdr:to>
    <xdr:sp macro="[0]!GOCONSUM" textlink="">
      <xdr:nvSpPr>
        <xdr:cNvPr id="6" name="Rounded Rectangle 5">
          <a:extLst>
            <a:ext uri="{FF2B5EF4-FFF2-40B4-BE49-F238E27FC236}">
              <a16:creationId xmlns:a16="http://schemas.microsoft.com/office/drawing/2014/main" id="{00000000-0008-0000-0F00-000006000000}"/>
            </a:ext>
          </a:extLst>
        </xdr:cNvPr>
        <xdr:cNvSpPr/>
      </xdr:nvSpPr>
      <xdr:spPr>
        <a:xfrm>
          <a:off x="6667501" y="1352550"/>
          <a:ext cx="1562100" cy="257174"/>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Ship's Declaration</a:t>
          </a:r>
        </a:p>
      </xdr:txBody>
    </xdr:sp>
    <xdr:clientData fPrintsWithSheet="0"/>
  </xdr:twoCellAnchor>
  <xdr:twoCellAnchor>
    <xdr:from>
      <xdr:col>14</xdr:col>
      <xdr:colOff>5850</xdr:colOff>
      <xdr:row>28</xdr:row>
      <xdr:rowOff>19050</xdr:rowOff>
    </xdr:from>
    <xdr:to>
      <xdr:col>15</xdr:col>
      <xdr:colOff>565150</xdr:colOff>
      <xdr:row>28</xdr:row>
      <xdr:rowOff>228600</xdr:rowOff>
    </xdr:to>
    <xdr:sp macro="" textlink="">
      <xdr:nvSpPr>
        <xdr:cNvPr id="3" name="Rounded Rectangle 2">
          <a:hlinkClick xmlns:r="http://schemas.openxmlformats.org/officeDocument/2006/relationships" r:id="rId2" tooltip="Update Bunker Prices"/>
          <a:extLst>
            <a:ext uri="{FF2B5EF4-FFF2-40B4-BE49-F238E27FC236}">
              <a16:creationId xmlns:a16="http://schemas.microsoft.com/office/drawing/2014/main" id="{00000000-0008-0000-0F00-000003000000}"/>
            </a:ext>
          </a:extLst>
        </xdr:cNvPr>
        <xdr:cNvSpPr/>
      </xdr:nvSpPr>
      <xdr:spPr>
        <a:xfrm>
          <a:off x="7162300" y="4578350"/>
          <a:ext cx="1080000" cy="2095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wrap="none" lIns="36000" tIns="36000" rIns="36000" bIns="36000" rtlCol="0" anchor="ctr"/>
        <a:lstStyle/>
        <a:p>
          <a:pPr algn="ctr"/>
          <a:r>
            <a:rPr lang="en-US" sz="800" b="1">
              <a:solidFill>
                <a:sysClr val="windowText" lastClr="000000"/>
              </a:solidFill>
            </a:rPr>
            <a:t>BUNKER PRICES</a:t>
          </a:r>
        </a:p>
      </xdr:txBody>
    </xdr:sp>
    <xdr:clientData fPrintsWithSheet="0"/>
  </xdr:twoCellAnchor>
  <xdr:twoCellAnchor>
    <xdr:from>
      <xdr:col>1</xdr:col>
      <xdr:colOff>25400</xdr:colOff>
      <xdr:row>28</xdr:row>
      <xdr:rowOff>19050</xdr:rowOff>
    </xdr:from>
    <xdr:to>
      <xdr:col>2</xdr:col>
      <xdr:colOff>419600</xdr:colOff>
      <xdr:row>28</xdr:row>
      <xdr:rowOff>228600</xdr:rowOff>
    </xdr:to>
    <xdr:sp macro="" textlink="">
      <xdr:nvSpPr>
        <xdr:cNvPr id="10" name="Rounded Rectangle 9">
          <a:hlinkClick xmlns:r="http://schemas.openxmlformats.org/officeDocument/2006/relationships" r:id="rId3" tooltip="Update Analysis Results"/>
          <a:extLst>
            <a:ext uri="{FF2B5EF4-FFF2-40B4-BE49-F238E27FC236}">
              <a16:creationId xmlns:a16="http://schemas.microsoft.com/office/drawing/2014/main" id="{00000000-0008-0000-0F00-00000A000000}"/>
            </a:ext>
          </a:extLst>
        </xdr:cNvPr>
        <xdr:cNvSpPr/>
      </xdr:nvSpPr>
      <xdr:spPr>
        <a:xfrm>
          <a:off x="25400" y="4578350"/>
          <a:ext cx="1080000" cy="2095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wrap="none" lIns="36000" tIns="36000" rIns="36000" bIns="36000" rtlCol="0" anchor="ctr"/>
        <a:lstStyle/>
        <a:p>
          <a:pPr algn="ctr"/>
          <a:r>
            <a:rPr lang="en-US" sz="800" b="1">
              <a:solidFill>
                <a:sysClr val="windowText" lastClr="000000"/>
              </a:solidFill>
            </a:rPr>
            <a:t>ANALYSIS</a:t>
          </a:r>
          <a:r>
            <a:rPr lang="en-US" sz="800" b="1" baseline="0">
              <a:solidFill>
                <a:sysClr val="windowText" lastClr="000000"/>
              </a:solidFill>
            </a:rPr>
            <a:t> RESULTS</a:t>
          </a:r>
          <a:endParaRPr lang="en-US" sz="800" b="1">
            <a:solidFill>
              <a:sysClr val="windowText" lastClr="000000"/>
            </a:solidFill>
          </a:endParaRPr>
        </a:p>
      </xdr:txBody>
    </xdr:sp>
    <xdr:clientData fPrintsWithSheet="0"/>
  </xdr:twoCellAnchor>
  <xdr:twoCellAnchor>
    <xdr:from>
      <xdr:col>2</xdr:col>
      <xdr:colOff>450850</xdr:colOff>
      <xdr:row>28</xdr:row>
      <xdr:rowOff>19050</xdr:rowOff>
    </xdr:from>
    <xdr:to>
      <xdr:col>4</xdr:col>
      <xdr:colOff>419600</xdr:colOff>
      <xdr:row>28</xdr:row>
      <xdr:rowOff>228600</xdr:rowOff>
    </xdr:to>
    <xdr:sp macro="" textlink="">
      <xdr:nvSpPr>
        <xdr:cNvPr id="11" name="Rounded Rectangle 10">
          <a:hlinkClick xmlns:r="http://schemas.openxmlformats.org/officeDocument/2006/relationships" r:id="rId4" tooltip="Update Time Log"/>
          <a:extLst>
            <a:ext uri="{FF2B5EF4-FFF2-40B4-BE49-F238E27FC236}">
              <a16:creationId xmlns:a16="http://schemas.microsoft.com/office/drawing/2014/main" id="{00000000-0008-0000-0F00-00000B000000}"/>
            </a:ext>
          </a:extLst>
        </xdr:cNvPr>
        <xdr:cNvSpPr/>
      </xdr:nvSpPr>
      <xdr:spPr>
        <a:xfrm>
          <a:off x="1136650" y="4578350"/>
          <a:ext cx="1080000" cy="2095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wrap="none" lIns="36000" tIns="36000" rIns="36000" bIns="36000" rtlCol="0" anchor="ctr"/>
        <a:lstStyle/>
        <a:p>
          <a:pPr algn="ctr"/>
          <a:r>
            <a:rPr lang="en-US" sz="800" b="1">
              <a:solidFill>
                <a:sysClr val="windowText" lastClr="000000"/>
              </a:solidFill>
            </a:rPr>
            <a:t>TIME</a:t>
          </a:r>
          <a:r>
            <a:rPr lang="en-US" sz="800" b="1" baseline="0">
              <a:solidFill>
                <a:sysClr val="windowText" lastClr="000000"/>
              </a:solidFill>
            </a:rPr>
            <a:t> LOG</a:t>
          </a:r>
          <a:endParaRPr lang="en-US" sz="800" b="1">
            <a:solidFill>
              <a:sysClr val="windowText" lastClr="000000"/>
            </a:solidFill>
          </a:endParaRPr>
        </a:p>
      </xdr:txBody>
    </xdr:sp>
    <xdr:clientData fPrintsWithSheet="0"/>
  </xdr:twoCellAnchor>
  <xdr:twoCellAnchor>
    <xdr:from>
      <xdr:col>14</xdr:col>
      <xdr:colOff>281559</xdr:colOff>
      <xdr:row>197</xdr:row>
      <xdr:rowOff>28575</xdr:rowOff>
    </xdr:from>
    <xdr:to>
      <xdr:col>16</xdr:col>
      <xdr:colOff>0</xdr:colOff>
      <xdr:row>200</xdr:row>
      <xdr:rowOff>146304</xdr:rowOff>
    </xdr:to>
    <xdr:pic macro="[0]!ImportLogo">
      <xdr:nvPicPr>
        <xdr:cNvPr id="12" name="PicSAC" descr="F:\1.AMS-Marine\2.PRODUCTS\11.BunkerManager\PETRO\BM V1.11\SAC MARK 2019 - PETRO INSPECT.jpg">
          <a:extLst>
            <a:ext uri="{FF2B5EF4-FFF2-40B4-BE49-F238E27FC236}">
              <a16:creationId xmlns:a16="http://schemas.microsoft.com/office/drawing/2014/main" id="{00000000-0008-0000-0F00-00000C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511034" y="13515975"/>
          <a:ext cx="813816" cy="60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161892</xdr:colOff>
      <xdr:row>1</xdr:row>
      <xdr:rowOff>85725</xdr:rowOff>
    </xdr:from>
    <xdr:to>
      <xdr:col>4</xdr:col>
      <xdr:colOff>245331</xdr:colOff>
      <xdr:row>7</xdr:row>
      <xdr:rowOff>47625</xdr:rowOff>
    </xdr:to>
    <xdr:pic macro="ImportLogo">
      <xdr:nvPicPr>
        <xdr:cNvPr id="13" name="PicLogo" descr="C:\Users\XPS-Takis\Desktop\BD XPS\PicPetro1.png">
          <a:extLst>
            <a:ext uri="{FF2B5EF4-FFF2-40B4-BE49-F238E27FC236}">
              <a16:creationId xmlns:a16="http://schemas.microsoft.com/office/drawing/2014/main" id="{00000000-0008-0000-0F00-00000D000000}"/>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61892" y="85725"/>
          <a:ext cx="1706499"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17</xdr:col>
      <xdr:colOff>276225</xdr:colOff>
      <xdr:row>0</xdr:row>
      <xdr:rowOff>57150</xdr:rowOff>
    </xdr:from>
    <xdr:ext cx="384175" cy="441325"/>
    <xdr:pic macro="[0]!ImportLogo">
      <xdr:nvPicPr>
        <xdr:cNvPr id="2" name="PictureBD" descr="C:\Users\kc\Desktop\B_png.png" hidden="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62775" y="57150"/>
          <a:ext cx="384175" cy="441325"/>
        </a:xfrm>
        <a:prstGeom prst="rect">
          <a:avLst/>
        </a:prstGeom>
        <a:noFill/>
        <a:ln>
          <a:noFill/>
        </a:ln>
      </xdr:spPr>
    </xdr:pic>
    <xdr:clientData/>
  </xdr:oneCellAnchor>
  <xdr:twoCellAnchor editAs="oneCell">
    <xdr:from>
      <xdr:col>2</xdr:col>
      <xdr:colOff>19050</xdr:colOff>
      <xdr:row>8</xdr:row>
      <xdr:rowOff>38100</xdr:rowOff>
    </xdr:from>
    <xdr:to>
      <xdr:col>4</xdr:col>
      <xdr:colOff>527050</xdr:colOff>
      <xdr:row>10</xdr:row>
      <xdr:rowOff>0</xdr:rowOff>
    </xdr:to>
    <xdr:sp macro="[0]!GOMAIN" textlink="">
      <xdr:nvSpPr>
        <xdr:cNvPr id="3" name="Rounded Rectangle 4">
          <a:extLst>
            <a:ext uri="{FF2B5EF4-FFF2-40B4-BE49-F238E27FC236}">
              <a16:creationId xmlns:a16="http://schemas.microsoft.com/office/drawing/2014/main" id="{00000000-0008-0000-1000-000003000000}"/>
            </a:ext>
          </a:extLst>
        </xdr:cNvPr>
        <xdr:cNvSpPr/>
      </xdr:nvSpPr>
      <xdr:spPr>
        <a:xfrm>
          <a:off x="19050" y="1270000"/>
          <a:ext cx="1231900" cy="24130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mc:AlternateContent xmlns:mc="http://schemas.openxmlformats.org/markup-compatibility/2006">
    <mc:Choice xmlns:a14="http://schemas.microsoft.com/office/drawing/2010/main" Requires="a14">
      <xdr:twoCellAnchor editAs="oneCell">
        <xdr:from>
          <xdr:col>5</xdr:col>
          <xdr:colOff>390525</xdr:colOff>
          <xdr:row>259</xdr:row>
          <xdr:rowOff>28575</xdr:rowOff>
        </xdr:from>
        <xdr:to>
          <xdr:col>11</xdr:col>
          <xdr:colOff>209550</xdr:colOff>
          <xdr:row>261</xdr:row>
          <xdr:rowOff>9525</xdr:rowOff>
        </xdr:to>
        <xdr:sp macro="" textlink="">
          <xdr:nvSpPr>
            <xdr:cNvPr id="540703" name="Check Box 31" hidden="1">
              <a:extLst>
                <a:ext uri="{63B3BB69-23CF-44E3-9099-C40C66FF867C}">
                  <a14:compatExt spid="_x0000_s540703"/>
                </a:ext>
                <a:ext uri="{FF2B5EF4-FFF2-40B4-BE49-F238E27FC236}">
                  <a16:creationId xmlns:a16="http://schemas.microsoft.com/office/drawing/2014/main" id="{00000000-0008-0000-1000-00001F40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Same Equipment used for all operations</a:t>
              </a:r>
            </a:p>
          </xdr:txBody>
        </xdr:sp>
        <xdr:clientData fPrintsWithSheet="0"/>
      </xdr:twoCellAnchor>
    </mc:Choice>
    <mc:Fallback/>
  </mc:AlternateContent>
  <xdr:twoCellAnchor>
    <xdr:from>
      <xdr:col>11</xdr:col>
      <xdr:colOff>28864</xdr:colOff>
      <xdr:row>128</xdr:row>
      <xdr:rowOff>12701</xdr:rowOff>
    </xdr:from>
    <xdr:to>
      <xdr:col>16</xdr:col>
      <xdr:colOff>515164</xdr:colOff>
      <xdr:row>139</xdr:row>
      <xdr:rowOff>136251</xdr:rowOff>
    </xdr:to>
    <xdr:pic macro="InsertPhoto">
      <xdr:nvPicPr>
        <xdr:cNvPr id="9" name="PicFAFTER1" descr="E:\BD XPS 6\Tank.png">
          <a:extLst>
            <a:ext uri="{FF2B5EF4-FFF2-40B4-BE49-F238E27FC236}">
              <a16:creationId xmlns:a16="http://schemas.microsoft.com/office/drawing/2014/main" id="{00000000-0008-0000-1000-000009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2035175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28575</xdr:colOff>
          <xdr:row>8</xdr:row>
          <xdr:rowOff>38100</xdr:rowOff>
        </xdr:from>
        <xdr:to>
          <xdr:col>17</xdr:col>
          <xdr:colOff>428625</xdr:colOff>
          <xdr:row>10</xdr:row>
          <xdr:rowOff>47625</xdr:rowOff>
        </xdr:to>
        <xdr:sp macro="" textlink="">
          <xdr:nvSpPr>
            <xdr:cNvPr id="540718" name="List Box 46" hidden="1">
              <a:extLst>
                <a:ext uri="{63B3BB69-23CF-44E3-9099-C40C66FF867C}">
                  <a14:compatExt spid="_x0000_s540718"/>
                </a:ext>
                <a:ext uri="{FF2B5EF4-FFF2-40B4-BE49-F238E27FC236}">
                  <a16:creationId xmlns:a16="http://schemas.microsoft.com/office/drawing/2014/main" id="{00000000-0008-0000-1000-00002E4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12700</xdr:colOff>
      <xdr:row>143</xdr:row>
      <xdr:rowOff>12700</xdr:rowOff>
    </xdr:from>
    <xdr:to>
      <xdr:col>9</xdr:col>
      <xdr:colOff>429863</xdr:colOff>
      <xdr:row>154</xdr:row>
      <xdr:rowOff>136250</xdr:rowOff>
    </xdr:to>
    <xdr:pic macro="InsertPhoto">
      <xdr:nvPicPr>
        <xdr:cNvPr id="10" name="PicFBEF2" descr="E:\BD XPS 6\Tank.png">
          <a:extLst>
            <a:ext uri="{FF2B5EF4-FFF2-40B4-BE49-F238E27FC236}">
              <a16:creationId xmlns:a16="http://schemas.microsoft.com/office/drawing/2014/main" id="{00000000-0008-0000-1000-00000A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2035175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28864</xdr:colOff>
      <xdr:row>143</xdr:row>
      <xdr:rowOff>12701</xdr:rowOff>
    </xdr:from>
    <xdr:to>
      <xdr:col>16</xdr:col>
      <xdr:colOff>515164</xdr:colOff>
      <xdr:row>154</xdr:row>
      <xdr:rowOff>136251</xdr:rowOff>
    </xdr:to>
    <xdr:pic macro="InsertPhoto">
      <xdr:nvPicPr>
        <xdr:cNvPr id="11" name="PicFAFTER2" descr="E:\BD XPS 6\Tank.png">
          <a:extLst>
            <a:ext uri="{FF2B5EF4-FFF2-40B4-BE49-F238E27FC236}">
              <a16:creationId xmlns:a16="http://schemas.microsoft.com/office/drawing/2014/main" id="{00000000-0008-0000-1000-00000B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2035175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12700</xdr:colOff>
      <xdr:row>158</xdr:row>
      <xdr:rowOff>12700</xdr:rowOff>
    </xdr:from>
    <xdr:to>
      <xdr:col>9</xdr:col>
      <xdr:colOff>429863</xdr:colOff>
      <xdr:row>169</xdr:row>
      <xdr:rowOff>136250</xdr:rowOff>
    </xdr:to>
    <xdr:pic macro="InsertPhoto">
      <xdr:nvPicPr>
        <xdr:cNvPr id="12" name="PicFBEF3" descr="E:\BD XPS 6\Tank.png">
          <a:extLst>
            <a:ext uri="{FF2B5EF4-FFF2-40B4-BE49-F238E27FC236}">
              <a16:creationId xmlns:a16="http://schemas.microsoft.com/office/drawing/2014/main" id="{00000000-0008-0000-1000-00000C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2311400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28864</xdr:colOff>
      <xdr:row>158</xdr:row>
      <xdr:rowOff>12701</xdr:rowOff>
    </xdr:from>
    <xdr:to>
      <xdr:col>16</xdr:col>
      <xdr:colOff>515164</xdr:colOff>
      <xdr:row>169</xdr:row>
      <xdr:rowOff>136251</xdr:rowOff>
    </xdr:to>
    <xdr:pic macro="InsertPhoto">
      <xdr:nvPicPr>
        <xdr:cNvPr id="13" name="PicFAFTER3" descr="E:\BD XPS 6\Tank.png">
          <a:extLst>
            <a:ext uri="{FF2B5EF4-FFF2-40B4-BE49-F238E27FC236}">
              <a16:creationId xmlns:a16="http://schemas.microsoft.com/office/drawing/2014/main" id="{00000000-0008-0000-1000-00000D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2311400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12700</xdr:colOff>
      <xdr:row>173</xdr:row>
      <xdr:rowOff>12700</xdr:rowOff>
    </xdr:from>
    <xdr:to>
      <xdr:col>9</xdr:col>
      <xdr:colOff>429863</xdr:colOff>
      <xdr:row>184</xdr:row>
      <xdr:rowOff>136250</xdr:rowOff>
    </xdr:to>
    <xdr:pic macro="InsertPhoto">
      <xdr:nvPicPr>
        <xdr:cNvPr id="14" name="PicFBEF4" descr="E:\BD XPS 6\Tank.png">
          <a:extLst>
            <a:ext uri="{FF2B5EF4-FFF2-40B4-BE49-F238E27FC236}">
              <a16:creationId xmlns:a16="http://schemas.microsoft.com/office/drawing/2014/main" id="{00000000-0008-0000-1000-00000E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2587625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28864</xdr:colOff>
      <xdr:row>173</xdr:row>
      <xdr:rowOff>12701</xdr:rowOff>
    </xdr:from>
    <xdr:to>
      <xdr:col>16</xdr:col>
      <xdr:colOff>515164</xdr:colOff>
      <xdr:row>184</xdr:row>
      <xdr:rowOff>136251</xdr:rowOff>
    </xdr:to>
    <xdr:pic macro="InsertPhoto">
      <xdr:nvPicPr>
        <xdr:cNvPr id="15" name="PicFAFTER4" descr="E:\BD XPS 6\Tank.png">
          <a:extLst>
            <a:ext uri="{FF2B5EF4-FFF2-40B4-BE49-F238E27FC236}">
              <a16:creationId xmlns:a16="http://schemas.microsoft.com/office/drawing/2014/main" id="{00000000-0008-0000-1000-00000F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2587625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12700</xdr:colOff>
      <xdr:row>188</xdr:row>
      <xdr:rowOff>12700</xdr:rowOff>
    </xdr:from>
    <xdr:to>
      <xdr:col>9</xdr:col>
      <xdr:colOff>429863</xdr:colOff>
      <xdr:row>199</xdr:row>
      <xdr:rowOff>136250</xdr:rowOff>
    </xdr:to>
    <xdr:pic macro="InsertPhoto">
      <xdr:nvPicPr>
        <xdr:cNvPr id="16" name="PicFBEF5" descr="E:\BD XPS 6\Tank.png">
          <a:extLst>
            <a:ext uri="{FF2B5EF4-FFF2-40B4-BE49-F238E27FC236}">
              <a16:creationId xmlns:a16="http://schemas.microsoft.com/office/drawing/2014/main" id="{00000000-0008-0000-1000-000010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2863850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28864</xdr:colOff>
      <xdr:row>188</xdr:row>
      <xdr:rowOff>12701</xdr:rowOff>
    </xdr:from>
    <xdr:to>
      <xdr:col>16</xdr:col>
      <xdr:colOff>515164</xdr:colOff>
      <xdr:row>199</xdr:row>
      <xdr:rowOff>136251</xdr:rowOff>
    </xdr:to>
    <xdr:pic macro="InsertPhoto">
      <xdr:nvPicPr>
        <xdr:cNvPr id="17" name="PicFAFTER5" descr="E:\BD XPS 6\Tank.png">
          <a:extLst>
            <a:ext uri="{FF2B5EF4-FFF2-40B4-BE49-F238E27FC236}">
              <a16:creationId xmlns:a16="http://schemas.microsoft.com/office/drawing/2014/main" id="{00000000-0008-0000-1000-000011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2863850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12700</xdr:colOff>
      <xdr:row>203</xdr:row>
      <xdr:rowOff>12700</xdr:rowOff>
    </xdr:from>
    <xdr:to>
      <xdr:col>9</xdr:col>
      <xdr:colOff>429863</xdr:colOff>
      <xdr:row>214</xdr:row>
      <xdr:rowOff>136250</xdr:rowOff>
    </xdr:to>
    <xdr:pic macro="InsertPhoto">
      <xdr:nvPicPr>
        <xdr:cNvPr id="18" name="PicFBEF6" descr="E:\BD XPS 6\Tank.png">
          <a:extLst>
            <a:ext uri="{FF2B5EF4-FFF2-40B4-BE49-F238E27FC236}">
              <a16:creationId xmlns:a16="http://schemas.microsoft.com/office/drawing/2014/main" id="{00000000-0008-0000-1000-000012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3140075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28864</xdr:colOff>
      <xdr:row>203</xdr:row>
      <xdr:rowOff>12701</xdr:rowOff>
    </xdr:from>
    <xdr:to>
      <xdr:col>16</xdr:col>
      <xdr:colOff>515164</xdr:colOff>
      <xdr:row>214</xdr:row>
      <xdr:rowOff>136251</xdr:rowOff>
    </xdr:to>
    <xdr:pic macro="InsertPhoto">
      <xdr:nvPicPr>
        <xdr:cNvPr id="19" name="PicFAFTER6" descr="E:\BD XPS 6\Tank.png">
          <a:extLst>
            <a:ext uri="{FF2B5EF4-FFF2-40B4-BE49-F238E27FC236}">
              <a16:creationId xmlns:a16="http://schemas.microsoft.com/office/drawing/2014/main" id="{00000000-0008-0000-1000-000013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6314" y="31400751"/>
          <a:ext cx="2962800"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12701</xdr:colOff>
      <xdr:row>128</xdr:row>
      <xdr:rowOff>12700</xdr:rowOff>
    </xdr:from>
    <xdr:to>
      <xdr:col>9</xdr:col>
      <xdr:colOff>429864</xdr:colOff>
      <xdr:row>139</xdr:row>
      <xdr:rowOff>136250</xdr:rowOff>
    </xdr:to>
    <xdr:pic macro="InsertPhoto">
      <xdr:nvPicPr>
        <xdr:cNvPr id="540735" name="PicFBEF1" descr="E:\1.AMS-Marine\2.PRODUCTS\11.BunkerManager\PETRO\OLD\Tank.png">
          <a:extLst>
            <a:ext uri="{FF2B5EF4-FFF2-40B4-BE49-F238E27FC236}">
              <a16:creationId xmlns:a16="http://schemas.microsoft.com/office/drawing/2014/main" id="{00000000-0008-0000-1000-00003F40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6601" y="10877550"/>
          <a:ext cx="2963513" cy="21492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357759</xdr:colOff>
      <xdr:row>285</xdr:row>
      <xdr:rowOff>28576</xdr:rowOff>
    </xdr:from>
    <xdr:to>
      <xdr:col>18</xdr:col>
      <xdr:colOff>0</xdr:colOff>
      <xdr:row>288</xdr:row>
      <xdr:rowOff>146305</xdr:rowOff>
    </xdr:to>
    <xdr:pic macro="[0]!ImportLogo">
      <xdr:nvPicPr>
        <xdr:cNvPr id="25" name="PicSAC" descr="F:\1.AMS-Marine\2.PRODUCTS\11.BunkerManager\PETRO\BM V1.11\SAC MARK 2019 - PETRO INSPECT.jpg">
          <a:extLst>
            <a:ext uri="{FF2B5EF4-FFF2-40B4-BE49-F238E27FC236}">
              <a16:creationId xmlns:a16="http://schemas.microsoft.com/office/drawing/2014/main" id="{00000000-0008-0000-1000-000019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139559" y="26698576"/>
          <a:ext cx="661416" cy="574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114272</xdr:colOff>
      <xdr:row>0</xdr:row>
      <xdr:rowOff>0</xdr:rowOff>
    </xdr:from>
    <xdr:to>
      <xdr:col>6</xdr:col>
      <xdr:colOff>308836</xdr:colOff>
      <xdr:row>6</xdr:row>
      <xdr:rowOff>74804</xdr:rowOff>
    </xdr:to>
    <xdr:pic macro="ImportLogo">
      <xdr:nvPicPr>
        <xdr:cNvPr id="20" name="PicLogo" descr="C:\Users\XPS-Takis\Desktop\BD XPS\PicPetro1.png">
          <a:extLst>
            <a:ext uri="{FF2B5EF4-FFF2-40B4-BE49-F238E27FC236}">
              <a16:creationId xmlns:a16="http://schemas.microsoft.com/office/drawing/2014/main" id="{00000000-0008-0000-1000-000014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4272" y="0"/>
          <a:ext cx="1710944" cy="928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57150</xdr:colOff>
      <xdr:row>7</xdr:row>
      <xdr:rowOff>57150</xdr:rowOff>
    </xdr:from>
    <xdr:to>
      <xdr:col>6</xdr:col>
      <xdr:colOff>1209675</xdr:colOff>
      <xdr:row>8</xdr:row>
      <xdr:rowOff>85724</xdr:rowOff>
    </xdr:to>
    <xdr:sp macro="[0]!GOMAINTURN" textlink="">
      <xdr:nvSpPr>
        <xdr:cNvPr id="2" name="Rounded Rectangle 1">
          <a:extLst>
            <a:ext uri="{FF2B5EF4-FFF2-40B4-BE49-F238E27FC236}">
              <a16:creationId xmlns:a16="http://schemas.microsoft.com/office/drawing/2014/main" id="{00000000-0008-0000-1100-000002000000}"/>
            </a:ext>
          </a:extLst>
        </xdr:cNvPr>
        <xdr:cNvSpPr/>
      </xdr:nvSpPr>
      <xdr:spPr>
        <a:xfrm>
          <a:off x="57150" y="57150"/>
          <a:ext cx="1733550"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16</xdr:col>
      <xdr:colOff>476251</xdr:colOff>
      <xdr:row>7</xdr:row>
      <xdr:rowOff>57150</xdr:rowOff>
    </xdr:from>
    <xdr:to>
      <xdr:col>18</xdr:col>
      <xdr:colOff>523875</xdr:colOff>
      <xdr:row>8</xdr:row>
      <xdr:rowOff>76200</xdr:rowOff>
    </xdr:to>
    <xdr:sp macro="[0]!CLEARBLUE" textlink="">
      <xdr:nvSpPr>
        <xdr:cNvPr id="3" name="Rounded Rectangle 2">
          <a:extLst>
            <a:ext uri="{FF2B5EF4-FFF2-40B4-BE49-F238E27FC236}">
              <a16:creationId xmlns:a16="http://schemas.microsoft.com/office/drawing/2014/main" id="{00000000-0008-0000-1100-000003000000}"/>
            </a:ext>
          </a:extLst>
        </xdr:cNvPr>
        <xdr:cNvSpPr/>
      </xdr:nvSpPr>
      <xdr:spPr>
        <a:xfrm>
          <a:off x="7515226" y="57150"/>
          <a:ext cx="1209674" cy="257175"/>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rgbClr val="002060"/>
              </a:solidFill>
              <a:effectLst/>
              <a:latin typeface="+mn-lt"/>
              <a:ea typeface="+mn-ea"/>
              <a:cs typeface="+mn-cs"/>
            </a:rPr>
            <a:t>CLEAR DATA</a:t>
          </a:r>
          <a:endParaRPr lang="en-US">
            <a:solidFill>
              <a:srgbClr val="002060"/>
            </a:solidFill>
            <a:effectLst/>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76200</xdr:colOff>
          <xdr:row>13</xdr:row>
          <xdr:rowOff>28575</xdr:rowOff>
        </xdr:from>
        <xdr:to>
          <xdr:col>13</xdr:col>
          <xdr:colOff>152400</xdr:colOff>
          <xdr:row>14</xdr:row>
          <xdr:rowOff>114300</xdr:rowOff>
        </xdr:to>
        <xdr:sp macro="" textlink="">
          <xdr:nvSpPr>
            <xdr:cNvPr id="9226" name="List Box 10" hidden="1">
              <a:extLst>
                <a:ext uri="{63B3BB69-23CF-44E3-9099-C40C66FF867C}">
                  <a14:compatExt spid="_x0000_s9226"/>
                </a:ext>
                <a:ext uri="{FF2B5EF4-FFF2-40B4-BE49-F238E27FC236}">
                  <a16:creationId xmlns:a16="http://schemas.microsoft.com/office/drawing/2014/main" id="{00000000-0008-0000-13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19</xdr:col>
      <xdr:colOff>381000</xdr:colOff>
      <xdr:row>1</xdr:row>
      <xdr:rowOff>9525</xdr:rowOff>
    </xdr:from>
    <xdr:to>
      <xdr:col>19</xdr:col>
      <xdr:colOff>677556</xdr:colOff>
      <xdr:row>2</xdr:row>
      <xdr:rowOff>171450</xdr:rowOff>
    </xdr:to>
    <xdr:pic macro="[0]!ImportLogo">
      <xdr:nvPicPr>
        <xdr:cNvPr id="4" name="PictureBD" descr="C:\Users\kc\Desktop\B_png.png" hidden="1">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39450" y="9525"/>
          <a:ext cx="296556" cy="35242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8</xdr:col>
          <xdr:colOff>9525</xdr:colOff>
          <xdr:row>13</xdr:row>
          <xdr:rowOff>9525</xdr:rowOff>
        </xdr:from>
        <xdr:to>
          <xdr:col>9</xdr:col>
          <xdr:colOff>485775</xdr:colOff>
          <xdr:row>15</xdr:row>
          <xdr:rowOff>38100</xdr:rowOff>
        </xdr:to>
        <xdr:sp macro="" textlink="">
          <xdr:nvSpPr>
            <xdr:cNvPr id="9229" name="List Box 13" hidden="1">
              <a:extLst>
                <a:ext uri="{63B3BB69-23CF-44E3-9099-C40C66FF867C}">
                  <a14:compatExt spid="_x0000_s9229"/>
                </a:ext>
                <a:ext uri="{FF2B5EF4-FFF2-40B4-BE49-F238E27FC236}">
                  <a16:creationId xmlns:a16="http://schemas.microsoft.com/office/drawing/2014/main" id="{00000000-0008-0000-13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447675</xdr:colOff>
          <xdr:row>13</xdr:row>
          <xdr:rowOff>28575</xdr:rowOff>
        </xdr:from>
        <xdr:to>
          <xdr:col>15</xdr:col>
          <xdr:colOff>9525</xdr:colOff>
          <xdr:row>14</xdr:row>
          <xdr:rowOff>114300</xdr:rowOff>
        </xdr:to>
        <xdr:sp macro="" textlink="">
          <xdr:nvSpPr>
            <xdr:cNvPr id="9230" name="List Box 14" hidden="1">
              <a:extLst>
                <a:ext uri="{63B3BB69-23CF-44E3-9099-C40C66FF867C}">
                  <a14:compatExt spid="_x0000_s9230"/>
                </a:ext>
                <a:ext uri="{FF2B5EF4-FFF2-40B4-BE49-F238E27FC236}">
                  <a16:creationId xmlns:a16="http://schemas.microsoft.com/office/drawing/2014/main" id="{00000000-0008-0000-13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7</xdr:col>
      <xdr:colOff>584200</xdr:colOff>
      <xdr:row>9</xdr:row>
      <xdr:rowOff>9526</xdr:rowOff>
    </xdr:from>
    <xdr:to>
      <xdr:col>15</xdr:col>
      <xdr:colOff>27050</xdr:colOff>
      <xdr:row>10</xdr:row>
      <xdr:rowOff>161926</xdr:rowOff>
    </xdr:to>
    <xdr:sp macro="[0]!GOMAIN" textlink="">
      <xdr:nvSpPr>
        <xdr:cNvPr id="8" name="Rounded Rectangle 7">
          <a:extLst>
            <a:ext uri="{FF2B5EF4-FFF2-40B4-BE49-F238E27FC236}">
              <a16:creationId xmlns:a16="http://schemas.microsoft.com/office/drawing/2014/main" id="{00000000-0008-0000-1300-000008000000}"/>
            </a:ext>
          </a:extLst>
        </xdr:cNvPr>
        <xdr:cNvSpPr/>
      </xdr:nvSpPr>
      <xdr:spPr>
        <a:xfrm>
          <a:off x="4692650" y="1120776"/>
          <a:ext cx="3564000" cy="209550"/>
        </a:xfrm>
        <a:prstGeom prst="roundRect">
          <a:avLst/>
        </a:prstGeom>
        <a:solidFill>
          <a:srgbClr val="FFFF00"/>
        </a:solidFill>
        <a:ln/>
        <a:scene3d>
          <a:camera prst="orthographicFront">
            <a:rot lat="0" lon="0" rev="0"/>
          </a:camera>
          <a:lightRig rig="threePt" dir="t">
            <a:rot lat="0" lon="0" rev="1200000"/>
          </a:lightRig>
        </a:scene3d>
        <a:sp3d>
          <a:bevelT w="63500" h="254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2</xdr:col>
      <xdr:colOff>94946</xdr:colOff>
      <xdr:row>1</xdr:row>
      <xdr:rowOff>38100</xdr:rowOff>
    </xdr:from>
    <xdr:to>
      <xdr:col>4</xdr:col>
      <xdr:colOff>362535</xdr:colOff>
      <xdr:row>6</xdr:row>
      <xdr:rowOff>123825</xdr:rowOff>
    </xdr:to>
    <xdr:pic macro="ImportLogo">
      <xdr:nvPicPr>
        <xdr:cNvPr id="9" name="PicLogo" descr="C:\Users\XPS-Takis\Desktop\BD XPS\PicPetro1.png">
          <a:extLst>
            <a:ext uri="{FF2B5EF4-FFF2-40B4-BE49-F238E27FC236}">
              <a16:creationId xmlns:a16="http://schemas.microsoft.com/office/drawing/2014/main" id="{00000000-0008-0000-13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946" y="38100"/>
          <a:ext cx="1723009" cy="992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13</xdr:row>
          <xdr:rowOff>9525</xdr:rowOff>
        </xdr:from>
        <xdr:to>
          <xdr:col>10</xdr:col>
          <xdr:colOff>0</xdr:colOff>
          <xdr:row>15</xdr:row>
          <xdr:rowOff>38100</xdr:rowOff>
        </xdr:to>
        <xdr:sp macro="" textlink="">
          <xdr:nvSpPr>
            <xdr:cNvPr id="288769" name="List Box 1" hidden="1">
              <a:extLst>
                <a:ext uri="{63B3BB69-23CF-44E3-9099-C40C66FF867C}">
                  <a14:compatExt spid="_x0000_s288769"/>
                </a:ext>
                <a:ext uri="{FF2B5EF4-FFF2-40B4-BE49-F238E27FC236}">
                  <a16:creationId xmlns:a16="http://schemas.microsoft.com/office/drawing/2014/main" id="{00000000-0008-0000-1400-000001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13</xdr:row>
          <xdr:rowOff>28575</xdr:rowOff>
        </xdr:from>
        <xdr:to>
          <xdr:col>13</xdr:col>
          <xdr:colOff>209550</xdr:colOff>
          <xdr:row>14</xdr:row>
          <xdr:rowOff>123825</xdr:rowOff>
        </xdr:to>
        <xdr:sp macro="" textlink="">
          <xdr:nvSpPr>
            <xdr:cNvPr id="288770" name="List Box 2" hidden="1">
              <a:extLst>
                <a:ext uri="{63B3BB69-23CF-44E3-9099-C40C66FF867C}">
                  <a14:compatExt spid="_x0000_s288770"/>
                </a:ext>
                <a:ext uri="{FF2B5EF4-FFF2-40B4-BE49-F238E27FC236}">
                  <a16:creationId xmlns:a16="http://schemas.microsoft.com/office/drawing/2014/main" id="{00000000-0008-0000-1400-000002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13</xdr:row>
          <xdr:rowOff>28575</xdr:rowOff>
        </xdr:from>
        <xdr:to>
          <xdr:col>15</xdr:col>
          <xdr:colOff>0</xdr:colOff>
          <xdr:row>14</xdr:row>
          <xdr:rowOff>123825</xdr:rowOff>
        </xdr:to>
        <xdr:sp macro="" textlink="">
          <xdr:nvSpPr>
            <xdr:cNvPr id="288771" name="List Box 3" hidden="1">
              <a:extLst>
                <a:ext uri="{63B3BB69-23CF-44E3-9099-C40C66FF867C}">
                  <a14:compatExt spid="_x0000_s288771"/>
                </a:ext>
                <a:ext uri="{FF2B5EF4-FFF2-40B4-BE49-F238E27FC236}">
                  <a16:creationId xmlns:a16="http://schemas.microsoft.com/office/drawing/2014/main" id="{00000000-0008-0000-1400-000003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19</xdr:col>
      <xdr:colOff>381000</xdr:colOff>
      <xdr:row>1</xdr:row>
      <xdr:rowOff>9525</xdr:rowOff>
    </xdr:from>
    <xdr:to>
      <xdr:col>19</xdr:col>
      <xdr:colOff>677556</xdr:colOff>
      <xdr:row>2</xdr:row>
      <xdr:rowOff>171450</xdr:rowOff>
    </xdr:to>
    <xdr:pic macro="[0]!ImportLogo">
      <xdr:nvPicPr>
        <xdr:cNvPr id="6" name="PictureBD" descr="C:\Users\kc\Desktop\B_png.png" hidden="1">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172700" y="9525"/>
          <a:ext cx="296556" cy="352425"/>
        </a:xfrm>
        <a:prstGeom prst="rect">
          <a:avLst/>
        </a:prstGeom>
        <a:noFill/>
        <a:ln>
          <a:noFill/>
        </a:ln>
      </xdr:spPr>
    </xdr:pic>
    <xdr:clientData/>
  </xdr:twoCellAnchor>
  <xdr:twoCellAnchor editAs="oneCell">
    <xdr:from>
      <xdr:col>7</xdr:col>
      <xdr:colOff>596900</xdr:colOff>
      <xdr:row>7</xdr:row>
      <xdr:rowOff>38099</xdr:rowOff>
    </xdr:from>
    <xdr:to>
      <xdr:col>15</xdr:col>
      <xdr:colOff>12700</xdr:colOff>
      <xdr:row>10</xdr:row>
      <xdr:rowOff>161924</xdr:rowOff>
    </xdr:to>
    <xdr:sp macro="[0]!GOMAIN" textlink="">
      <xdr:nvSpPr>
        <xdr:cNvPr id="9" name="Rounded Rectangle 8">
          <a:extLst>
            <a:ext uri="{FF2B5EF4-FFF2-40B4-BE49-F238E27FC236}">
              <a16:creationId xmlns:a16="http://schemas.microsoft.com/office/drawing/2014/main" id="{00000000-0008-0000-1400-000009000000}"/>
            </a:ext>
          </a:extLst>
        </xdr:cNvPr>
        <xdr:cNvSpPr/>
      </xdr:nvSpPr>
      <xdr:spPr>
        <a:xfrm>
          <a:off x="4679950" y="1111249"/>
          <a:ext cx="3625850" cy="219075"/>
        </a:xfrm>
        <a:prstGeom prst="roundRect">
          <a:avLst/>
        </a:prstGeom>
        <a:solidFill>
          <a:srgbClr val="FFFF00"/>
        </a:solidFill>
        <a:ln/>
        <a:scene3d>
          <a:camera prst="orthographicFront">
            <a:rot lat="0" lon="0" rev="0"/>
          </a:camera>
          <a:lightRig rig="threePt" dir="t">
            <a:rot lat="0" lon="0" rev="1200000"/>
          </a:lightRig>
        </a:scene3d>
        <a:sp3d>
          <a:bevelT w="63500" h="254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2</xdr:col>
      <xdr:colOff>95229</xdr:colOff>
      <xdr:row>1</xdr:row>
      <xdr:rowOff>38100</xdr:rowOff>
    </xdr:from>
    <xdr:to>
      <xdr:col>4</xdr:col>
      <xdr:colOff>362818</xdr:colOff>
      <xdr:row>6</xdr:row>
      <xdr:rowOff>123825</xdr:rowOff>
    </xdr:to>
    <xdr:pic macro="ImportLogo">
      <xdr:nvPicPr>
        <xdr:cNvPr id="8" name="PicLogo" descr="C:\Users\XPS-Takis\Desktop\BD XPS\PicPetro1.png">
          <a:extLst>
            <a:ext uri="{FF2B5EF4-FFF2-40B4-BE49-F238E27FC236}">
              <a16:creationId xmlns:a16="http://schemas.microsoft.com/office/drawing/2014/main" id="{00000000-0008-0000-14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29" y="38100"/>
          <a:ext cx="1723009" cy="992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oneCellAnchor>
    <xdr:from>
      <xdr:col>11</xdr:col>
      <xdr:colOff>209550</xdr:colOff>
      <xdr:row>0</xdr:row>
      <xdr:rowOff>28575</xdr:rowOff>
    </xdr:from>
    <xdr:ext cx="384175" cy="441325"/>
    <xdr:pic macro="[0]!ImportLogo">
      <xdr:nvPicPr>
        <xdr:cNvPr id="3" name="PictureBD" descr="C:\Users\kc\Desktop\B_png.png" hidden="1">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53275" y="28575"/>
          <a:ext cx="384175" cy="441325"/>
        </a:xfrm>
        <a:prstGeom prst="rect">
          <a:avLst/>
        </a:prstGeom>
        <a:noFill/>
        <a:ln>
          <a:noFill/>
        </a:ln>
      </xdr:spPr>
    </xdr:pic>
    <xdr:clientData/>
  </xdr:oneCellAnchor>
  <xdr:twoCellAnchor editAs="oneCell">
    <xdr:from>
      <xdr:col>1</xdr:col>
      <xdr:colOff>19050</xdr:colOff>
      <xdr:row>9</xdr:row>
      <xdr:rowOff>19050</xdr:rowOff>
    </xdr:from>
    <xdr:to>
      <xdr:col>2</xdr:col>
      <xdr:colOff>666750</xdr:colOff>
      <xdr:row>10</xdr:row>
      <xdr:rowOff>238124</xdr:rowOff>
    </xdr:to>
    <xdr:sp macro="[0]!GOMAIN" textlink="">
      <xdr:nvSpPr>
        <xdr:cNvPr id="6" name="Rounded Rectangle 5">
          <a:extLst>
            <a:ext uri="{FF2B5EF4-FFF2-40B4-BE49-F238E27FC236}">
              <a16:creationId xmlns:a16="http://schemas.microsoft.com/office/drawing/2014/main" id="{00000000-0008-0000-1500-000006000000}"/>
            </a:ext>
          </a:extLst>
        </xdr:cNvPr>
        <xdr:cNvSpPr/>
      </xdr:nvSpPr>
      <xdr:spPr>
        <a:xfrm>
          <a:off x="142875" y="1323975"/>
          <a:ext cx="1333500"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0</xdr:col>
      <xdr:colOff>114260</xdr:colOff>
      <xdr:row>0</xdr:row>
      <xdr:rowOff>133344</xdr:rowOff>
    </xdr:from>
    <xdr:to>
      <xdr:col>3</xdr:col>
      <xdr:colOff>464399</xdr:colOff>
      <xdr:row>6</xdr:row>
      <xdr:rowOff>62097</xdr:rowOff>
    </xdr:to>
    <xdr:pic macro="ImportLogo">
      <xdr:nvPicPr>
        <xdr:cNvPr id="5" name="PicLogo" descr="C:\Users\XPS-Takis\Desktop\BD XPS\PicPetro1.png">
          <a:extLst>
            <a:ext uri="{FF2B5EF4-FFF2-40B4-BE49-F238E27FC236}">
              <a16:creationId xmlns:a16="http://schemas.microsoft.com/office/drawing/2014/main" id="{00000000-0008-0000-1500-000005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260" y="133344"/>
          <a:ext cx="1729359" cy="965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45063</xdr:colOff>
      <xdr:row>9</xdr:row>
      <xdr:rowOff>26759</xdr:rowOff>
    </xdr:from>
    <xdr:to>
      <xdr:col>2</xdr:col>
      <xdr:colOff>431925</xdr:colOff>
      <xdr:row>9</xdr:row>
      <xdr:rowOff>283934</xdr:rowOff>
    </xdr:to>
    <xdr:sp macro="[0]!GOMAIN" textlink="">
      <xdr:nvSpPr>
        <xdr:cNvPr id="8" name="Rounded Rectangle 7">
          <a:extLst>
            <a:ext uri="{FF2B5EF4-FFF2-40B4-BE49-F238E27FC236}">
              <a16:creationId xmlns:a16="http://schemas.microsoft.com/office/drawing/2014/main" id="{00000000-0008-0000-1600-000008000000}"/>
            </a:ext>
          </a:extLst>
        </xdr:cNvPr>
        <xdr:cNvSpPr/>
      </xdr:nvSpPr>
      <xdr:spPr>
        <a:xfrm>
          <a:off x="45063" y="1322159"/>
          <a:ext cx="1244112"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9</xdr:col>
      <xdr:colOff>434480</xdr:colOff>
      <xdr:row>1</xdr:row>
      <xdr:rowOff>9525</xdr:rowOff>
    </xdr:from>
    <xdr:ext cx="317499" cy="371474"/>
    <xdr:pic macro="[0]!ImportLogo">
      <xdr:nvPicPr>
        <xdr:cNvPr id="5" name="PictureBD" descr="C:\Users\kc\Desktop\B_png.png" hidden="1">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25755" y="9525"/>
          <a:ext cx="317499" cy="371474"/>
        </a:xfrm>
        <a:prstGeom prst="rect">
          <a:avLst/>
        </a:prstGeom>
        <a:noFill/>
        <a:ln>
          <a:noFill/>
        </a:ln>
      </xdr:spPr>
    </xdr:pic>
    <xdr:clientData/>
  </xdr:oneCellAnchor>
  <xdr:twoCellAnchor editAs="oneCell">
    <xdr:from>
      <xdr:col>9</xdr:col>
      <xdr:colOff>3007</xdr:colOff>
      <xdr:row>56</xdr:row>
      <xdr:rowOff>0</xdr:rowOff>
    </xdr:from>
    <xdr:to>
      <xdr:col>10</xdr:col>
      <xdr:colOff>0</xdr:colOff>
      <xdr:row>61</xdr:row>
      <xdr:rowOff>123824</xdr:rowOff>
    </xdr:to>
    <xdr:pic macro="[0]!ImportLogo">
      <xdr:nvPicPr>
        <xdr:cNvPr id="7" name="PicSAC" descr="F:\1.AMS-Marine\2.PRODUCTS\11.BunkerManager\PETRO\BM V1.11\SAC MARK 2019 - PETRO INSPECT.jpg">
          <a:extLst>
            <a:ext uri="{FF2B5EF4-FFF2-40B4-BE49-F238E27FC236}">
              <a16:creationId xmlns:a16="http://schemas.microsoft.com/office/drawing/2014/main" id="{00000000-0008-0000-1600-000007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60907" y="10668000"/>
          <a:ext cx="816143" cy="600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152367</xdr:colOff>
      <xdr:row>1</xdr:row>
      <xdr:rowOff>120530</xdr:rowOff>
    </xdr:from>
    <xdr:to>
      <xdr:col>3</xdr:col>
      <xdr:colOff>578706</xdr:colOff>
      <xdr:row>6</xdr:row>
      <xdr:rowOff>130055</xdr:rowOff>
    </xdr:to>
    <xdr:pic macro="ImportLogo">
      <xdr:nvPicPr>
        <xdr:cNvPr id="6" name="PicLogo" descr="C:\Users\XPS-Takis\Desktop\BD XPS\PicPetro1.png">
          <a:extLst>
            <a:ext uri="{FF2B5EF4-FFF2-40B4-BE49-F238E27FC236}">
              <a16:creationId xmlns:a16="http://schemas.microsoft.com/office/drawing/2014/main" id="{00000000-0008-0000-1600-000006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2367" y="120530"/>
          <a:ext cx="1736979" cy="984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9</xdr:row>
      <xdr:rowOff>9525</xdr:rowOff>
    </xdr:from>
    <xdr:to>
      <xdr:col>4</xdr:col>
      <xdr:colOff>285750</xdr:colOff>
      <xdr:row>9</xdr:row>
      <xdr:rowOff>266700</xdr:rowOff>
    </xdr:to>
    <xdr:sp macro="[0]!GOMAIN" textlink="">
      <xdr:nvSpPr>
        <xdr:cNvPr id="6" name="Rounded Rectangle 5">
          <a:extLst>
            <a:ext uri="{FF2B5EF4-FFF2-40B4-BE49-F238E27FC236}">
              <a16:creationId xmlns:a16="http://schemas.microsoft.com/office/drawing/2014/main" id="{00000000-0008-0000-1700-000006000000}"/>
            </a:ext>
          </a:extLst>
        </xdr:cNvPr>
        <xdr:cNvSpPr/>
      </xdr:nvSpPr>
      <xdr:spPr>
        <a:xfrm>
          <a:off x="1409700" y="1276350"/>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15</xdr:col>
      <xdr:colOff>254001</xdr:colOff>
      <xdr:row>1</xdr:row>
      <xdr:rowOff>9525</xdr:rowOff>
    </xdr:from>
    <xdr:ext cx="317499" cy="371474"/>
    <xdr:pic macro="[0]!ImportLogo">
      <xdr:nvPicPr>
        <xdr:cNvPr id="7" name="PictureBD" descr="C:\Users\kc\Desktop\B_png.png" hidden="1">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26301" y="9525"/>
          <a:ext cx="317499" cy="371474"/>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12</xdr:col>
          <xdr:colOff>0</xdr:colOff>
          <xdr:row>16</xdr:row>
          <xdr:rowOff>19050</xdr:rowOff>
        </xdr:from>
        <xdr:to>
          <xdr:col>14</xdr:col>
          <xdr:colOff>285750</xdr:colOff>
          <xdr:row>16</xdr:row>
          <xdr:rowOff>219075</xdr:rowOff>
        </xdr:to>
        <xdr:sp macro="" textlink="">
          <xdr:nvSpPr>
            <xdr:cNvPr id="534537" name="Drop Down 9" hidden="1">
              <a:extLst>
                <a:ext uri="{63B3BB69-23CF-44E3-9099-C40C66FF867C}">
                  <a14:compatExt spid="_x0000_s534537"/>
                </a:ext>
                <a:ext uri="{FF2B5EF4-FFF2-40B4-BE49-F238E27FC236}">
                  <a16:creationId xmlns:a16="http://schemas.microsoft.com/office/drawing/2014/main" id="{00000000-0008-0000-1700-0000092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19050</xdr:rowOff>
        </xdr:from>
        <xdr:to>
          <xdr:col>15</xdr:col>
          <xdr:colOff>504825</xdr:colOff>
          <xdr:row>16</xdr:row>
          <xdr:rowOff>219075</xdr:rowOff>
        </xdr:to>
        <xdr:sp macro="" textlink="">
          <xdr:nvSpPr>
            <xdr:cNvPr id="534538" name="Drop Down 10" hidden="1">
              <a:extLst>
                <a:ext uri="{63B3BB69-23CF-44E3-9099-C40C66FF867C}">
                  <a14:compatExt spid="_x0000_s534538"/>
                </a:ext>
                <a:ext uri="{FF2B5EF4-FFF2-40B4-BE49-F238E27FC236}">
                  <a16:creationId xmlns:a16="http://schemas.microsoft.com/office/drawing/2014/main" id="{00000000-0008-0000-1700-00000A2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xdr:row>
          <xdr:rowOff>19050</xdr:rowOff>
        </xdr:from>
        <xdr:to>
          <xdr:col>11</xdr:col>
          <xdr:colOff>304800</xdr:colOff>
          <xdr:row>16</xdr:row>
          <xdr:rowOff>219075</xdr:rowOff>
        </xdr:to>
        <xdr:sp macro="" textlink="">
          <xdr:nvSpPr>
            <xdr:cNvPr id="534539" name="Drop Down 11" hidden="1">
              <a:extLst>
                <a:ext uri="{63B3BB69-23CF-44E3-9099-C40C66FF867C}">
                  <a14:compatExt spid="_x0000_s534539"/>
                </a:ext>
                <a:ext uri="{FF2B5EF4-FFF2-40B4-BE49-F238E27FC236}">
                  <a16:creationId xmlns:a16="http://schemas.microsoft.com/office/drawing/2014/main" id="{00000000-0008-0000-1700-00000B2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412582</xdr:colOff>
      <xdr:row>396</xdr:row>
      <xdr:rowOff>28575</xdr:rowOff>
    </xdr:from>
    <xdr:to>
      <xdr:col>16</xdr:col>
      <xdr:colOff>0</xdr:colOff>
      <xdr:row>399</xdr:row>
      <xdr:rowOff>123824</xdr:rowOff>
    </xdr:to>
    <xdr:pic macro="[0]!ImportLogo">
      <xdr:nvPicPr>
        <xdr:cNvPr id="10" name="PicSAC" descr="F:\1.AMS-Marine\2.PRODUCTS\11.BunkerManager\PETRO\BM V1.11\SAC MARK 2019 - PETRO INSPECT.jpg">
          <a:extLst>
            <a:ext uri="{FF2B5EF4-FFF2-40B4-BE49-F238E27FC236}">
              <a16:creationId xmlns:a16="http://schemas.microsoft.com/office/drawing/2014/main" id="{00000000-0008-0000-1700-00000A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22907" y="13820775"/>
          <a:ext cx="816143" cy="581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142842</xdr:colOff>
      <xdr:row>1</xdr:row>
      <xdr:rowOff>85725</xdr:rowOff>
    </xdr:from>
    <xdr:to>
      <xdr:col>6</xdr:col>
      <xdr:colOff>45306</xdr:colOff>
      <xdr:row>6</xdr:row>
      <xdr:rowOff>85725</xdr:rowOff>
    </xdr:to>
    <xdr:pic macro="ImportLogo">
      <xdr:nvPicPr>
        <xdr:cNvPr id="9" name="PicLogo" descr="C:\Users\XPS-Takis\Desktop\BD XPS\PicPetro1.png">
          <a:extLst>
            <a:ext uri="{FF2B5EF4-FFF2-40B4-BE49-F238E27FC236}">
              <a16:creationId xmlns:a16="http://schemas.microsoft.com/office/drawing/2014/main" id="{00000000-0008-0000-1700-000009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2842" y="85725"/>
          <a:ext cx="1677924" cy="982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9</xdr:row>
      <xdr:rowOff>9525</xdr:rowOff>
    </xdr:from>
    <xdr:to>
      <xdr:col>4</xdr:col>
      <xdr:colOff>285750</xdr:colOff>
      <xdr:row>9</xdr:row>
      <xdr:rowOff>266700</xdr:rowOff>
    </xdr:to>
    <xdr:sp macro="[0]!GOMAIN" textlink="">
      <xdr:nvSpPr>
        <xdr:cNvPr id="3" name="Rounded Rectangle 2">
          <a:extLst>
            <a:ext uri="{FF2B5EF4-FFF2-40B4-BE49-F238E27FC236}">
              <a16:creationId xmlns:a16="http://schemas.microsoft.com/office/drawing/2014/main" id="{00000000-0008-0000-1800-000003000000}"/>
            </a:ext>
          </a:extLst>
        </xdr:cNvPr>
        <xdr:cNvSpPr/>
      </xdr:nvSpPr>
      <xdr:spPr>
        <a:xfrm>
          <a:off x="38100" y="1276350"/>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15</xdr:col>
      <xdr:colOff>206376</xdr:colOff>
      <xdr:row>1</xdr:row>
      <xdr:rowOff>19050</xdr:rowOff>
    </xdr:from>
    <xdr:ext cx="317499" cy="371474"/>
    <xdr:pic macro="[0]!ImportLogo">
      <xdr:nvPicPr>
        <xdr:cNvPr id="4" name="PictureBD" descr="C:\Users\kc\Desktop\B_png.png" hidden="1">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78676" y="19050"/>
          <a:ext cx="317499" cy="371474"/>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12</xdr:col>
          <xdr:colOff>0</xdr:colOff>
          <xdr:row>16</xdr:row>
          <xdr:rowOff>19050</xdr:rowOff>
        </xdr:from>
        <xdr:to>
          <xdr:col>14</xdr:col>
          <xdr:colOff>285750</xdr:colOff>
          <xdr:row>16</xdr:row>
          <xdr:rowOff>219075</xdr:rowOff>
        </xdr:to>
        <xdr:sp macro="" textlink="">
          <xdr:nvSpPr>
            <xdr:cNvPr id="558081" name="Drop Down 1" hidden="1">
              <a:extLst>
                <a:ext uri="{63B3BB69-23CF-44E3-9099-C40C66FF867C}">
                  <a14:compatExt spid="_x0000_s558081"/>
                </a:ext>
                <a:ext uri="{FF2B5EF4-FFF2-40B4-BE49-F238E27FC236}">
                  <a16:creationId xmlns:a16="http://schemas.microsoft.com/office/drawing/2014/main" id="{00000000-0008-0000-1800-0000018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16</xdr:row>
          <xdr:rowOff>9525</xdr:rowOff>
        </xdr:from>
        <xdr:to>
          <xdr:col>15</xdr:col>
          <xdr:colOff>514350</xdr:colOff>
          <xdr:row>16</xdr:row>
          <xdr:rowOff>219075</xdr:rowOff>
        </xdr:to>
        <xdr:sp macro="" textlink="">
          <xdr:nvSpPr>
            <xdr:cNvPr id="558082" name="Drop Down 2" hidden="1">
              <a:extLst>
                <a:ext uri="{63B3BB69-23CF-44E3-9099-C40C66FF867C}">
                  <a14:compatExt spid="_x0000_s558082"/>
                </a:ext>
                <a:ext uri="{FF2B5EF4-FFF2-40B4-BE49-F238E27FC236}">
                  <a16:creationId xmlns:a16="http://schemas.microsoft.com/office/drawing/2014/main" id="{00000000-0008-0000-1800-0000028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xdr:row>
          <xdr:rowOff>19050</xdr:rowOff>
        </xdr:from>
        <xdr:to>
          <xdr:col>11</xdr:col>
          <xdr:colOff>304800</xdr:colOff>
          <xdr:row>16</xdr:row>
          <xdr:rowOff>219075</xdr:rowOff>
        </xdr:to>
        <xdr:sp macro="" textlink="">
          <xdr:nvSpPr>
            <xdr:cNvPr id="558083" name="Drop Down 3" hidden="1">
              <a:extLst>
                <a:ext uri="{63B3BB69-23CF-44E3-9099-C40C66FF867C}">
                  <a14:compatExt spid="_x0000_s558083"/>
                </a:ext>
                <a:ext uri="{FF2B5EF4-FFF2-40B4-BE49-F238E27FC236}">
                  <a16:creationId xmlns:a16="http://schemas.microsoft.com/office/drawing/2014/main" id="{00000000-0008-0000-1800-0000038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412582</xdr:colOff>
      <xdr:row>401</xdr:row>
      <xdr:rowOff>38100</xdr:rowOff>
    </xdr:from>
    <xdr:to>
      <xdr:col>16</xdr:col>
      <xdr:colOff>0</xdr:colOff>
      <xdr:row>404</xdr:row>
      <xdr:rowOff>133349</xdr:rowOff>
    </xdr:to>
    <xdr:pic macro="[0]!ImportLogo">
      <xdr:nvPicPr>
        <xdr:cNvPr id="14" name="PicSAC" descr="F:\1.AMS-Marine\2.PRODUCTS\11.BunkerManager\PETRO\BM V1.11\SAC MARK 2019 - PETRO INSPECT.jpg">
          <a:extLst>
            <a:ext uri="{FF2B5EF4-FFF2-40B4-BE49-F238E27FC236}">
              <a16:creationId xmlns:a16="http://schemas.microsoft.com/office/drawing/2014/main" id="{00000000-0008-0000-1800-00000E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22907" y="12753975"/>
          <a:ext cx="816143" cy="581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123792</xdr:colOff>
      <xdr:row>1</xdr:row>
      <xdr:rowOff>66675</xdr:rowOff>
    </xdr:from>
    <xdr:to>
      <xdr:col>6</xdr:col>
      <xdr:colOff>26256</xdr:colOff>
      <xdr:row>6</xdr:row>
      <xdr:rowOff>66675</xdr:rowOff>
    </xdr:to>
    <xdr:pic macro="ImportLogo">
      <xdr:nvPicPr>
        <xdr:cNvPr id="9" name="PicLogo" descr="C:\Users\XPS-Takis\Desktop\BD XPS\PicPetro1.png">
          <a:extLst>
            <a:ext uri="{FF2B5EF4-FFF2-40B4-BE49-F238E27FC236}">
              <a16:creationId xmlns:a16="http://schemas.microsoft.com/office/drawing/2014/main" id="{00000000-0008-0000-1800-000009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792" y="66675"/>
          <a:ext cx="1677924" cy="982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38100</xdr:colOff>
      <xdr:row>9</xdr:row>
      <xdr:rowOff>57150</xdr:rowOff>
    </xdr:from>
    <xdr:to>
      <xdr:col>2</xdr:col>
      <xdr:colOff>104775</xdr:colOff>
      <xdr:row>9</xdr:row>
      <xdr:rowOff>314325</xdr:rowOff>
    </xdr:to>
    <xdr:sp macro="[0]!GOMAIN" textlink="">
      <xdr:nvSpPr>
        <xdr:cNvPr id="16" name="Rounded Rectangle 15">
          <a:extLst>
            <a:ext uri="{FF2B5EF4-FFF2-40B4-BE49-F238E27FC236}">
              <a16:creationId xmlns:a16="http://schemas.microsoft.com/office/drawing/2014/main" id="{00000000-0008-0000-1900-000010000000}"/>
            </a:ext>
          </a:extLst>
        </xdr:cNvPr>
        <xdr:cNvSpPr/>
      </xdr:nvSpPr>
      <xdr:spPr>
        <a:xfrm>
          <a:off x="38100" y="57150"/>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12</xdr:col>
      <xdr:colOff>873126</xdr:colOff>
      <xdr:row>1</xdr:row>
      <xdr:rowOff>9525</xdr:rowOff>
    </xdr:from>
    <xdr:ext cx="317499" cy="371474"/>
    <xdr:pic macro="[0]!ImportLogo">
      <xdr:nvPicPr>
        <xdr:cNvPr id="14" name="PictureBD" descr="C:\Users\kc\Desktop\B_png.png" hidden="1">
          <a:extLst>
            <a:ext uri="{FF2B5EF4-FFF2-40B4-BE49-F238E27FC236}">
              <a16:creationId xmlns:a16="http://schemas.microsoft.com/office/drawing/2014/main" id="{00000000-0008-0000-1900-00000E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97701" y="9525"/>
          <a:ext cx="317499" cy="371474"/>
        </a:xfrm>
        <a:prstGeom prst="rect">
          <a:avLst/>
        </a:prstGeom>
        <a:noFill/>
        <a:ln>
          <a:noFill/>
        </a:ln>
      </xdr:spPr>
    </xdr:pic>
    <xdr:clientData/>
  </xdr:oneCellAnchor>
  <xdr:twoCellAnchor editAs="oneCell">
    <xdr:from>
      <xdr:col>12</xdr:col>
      <xdr:colOff>85725</xdr:colOff>
      <xdr:row>9</xdr:row>
      <xdr:rowOff>38100</xdr:rowOff>
    </xdr:from>
    <xdr:to>
      <xdr:col>12</xdr:col>
      <xdr:colOff>1190625</xdr:colOff>
      <xdr:row>9</xdr:row>
      <xdr:rowOff>314326</xdr:rowOff>
    </xdr:to>
    <xdr:sp macro="[0]!CLEARBLUE" textlink="">
      <xdr:nvSpPr>
        <xdr:cNvPr id="17" name="Rounded Rectangle 16">
          <a:extLst>
            <a:ext uri="{FF2B5EF4-FFF2-40B4-BE49-F238E27FC236}">
              <a16:creationId xmlns:a16="http://schemas.microsoft.com/office/drawing/2014/main" id="{00000000-0008-0000-1900-000011000000}"/>
            </a:ext>
          </a:extLst>
        </xdr:cNvPr>
        <xdr:cNvSpPr/>
      </xdr:nvSpPr>
      <xdr:spPr>
        <a:xfrm>
          <a:off x="6210300" y="1295400"/>
          <a:ext cx="1104900" cy="276226"/>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9525</xdr:colOff>
          <xdr:row>11</xdr:row>
          <xdr:rowOff>9525</xdr:rowOff>
        </xdr:from>
        <xdr:to>
          <xdr:col>8</xdr:col>
          <xdr:colOff>485775</xdr:colOff>
          <xdr:row>12</xdr:row>
          <xdr:rowOff>57150</xdr:rowOff>
        </xdr:to>
        <xdr:sp macro="" textlink="">
          <xdr:nvSpPr>
            <xdr:cNvPr id="559108" name="List Box 4" hidden="1">
              <a:extLst>
                <a:ext uri="{63B3BB69-23CF-44E3-9099-C40C66FF867C}">
                  <a14:compatExt spid="_x0000_s559108"/>
                </a:ext>
                <a:ext uri="{FF2B5EF4-FFF2-40B4-BE49-F238E27FC236}">
                  <a16:creationId xmlns:a16="http://schemas.microsoft.com/office/drawing/2014/main" id="{00000000-0008-0000-1900-0000048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8</xdr:col>
      <xdr:colOff>0</xdr:colOff>
      <xdr:row>46</xdr:row>
      <xdr:rowOff>0</xdr:rowOff>
    </xdr:from>
    <xdr:to>
      <xdr:col>12</xdr:col>
      <xdr:colOff>1231900</xdr:colOff>
      <xdr:row>58</xdr:row>
      <xdr:rowOff>177800</xdr:rowOff>
    </xdr:to>
    <xdr:pic macro="InsertPhoto">
      <xdr:nvPicPr>
        <xdr:cNvPr id="559122" name="PicSAM2" descr="C:\Users\amsma\Pictures\FULL SAMPLES.jpg">
          <a:extLst>
            <a:ext uri="{FF2B5EF4-FFF2-40B4-BE49-F238E27FC236}">
              <a16:creationId xmlns:a16="http://schemas.microsoft.com/office/drawing/2014/main" id="{00000000-0008-0000-1900-0000128808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86250" y="8064500"/>
          <a:ext cx="3829050" cy="248285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46</xdr:row>
      <xdr:rowOff>2</xdr:rowOff>
    </xdr:from>
    <xdr:to>
      <xdr:col>7</xdr:col>
      <xdr:colOff>12698</xdr:colOff>
      <xdr:row>58</xdr:row>
      <xdr:rowOff>184267</xdr:rowOff>
    </xdr:to>
    <xdr:pic macro="InsertPhoto">
      <xdr:nvPicPr>
        <xdr:cNvPr id="559123" name="PicSAM1" descr="C:\Users\amsma\Pictures\EMPTY SAMPLES.jpg">
          <a:extLst>
            <a:ext uri="{FF2B5EF4-FFF2-40B4-BE49-F238E27FC236}">
              <a16:creationId xmlns:a16="http://schemas.microsoft.com/office/drawing/2014/main" id="{00000000-0008-0000-1900-00001388080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064502"/>
          <a:ext cx="3797298" cy="248931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422107</xdr:colOff>
      <xdr:row>70</xdr:row>
      <xdr:rowOff>38100</xdr:rowOff>
    </xdr:from>
    <xdr:to>
      <xdr:col>13</xdr:col>
      <xdr:colOff>0</xdr:colOff>
      <xdr:row>76</xdr:row>
      <xdr:rowOff>66674</xdr:rowOff>
    </xdr:to>
    <xdr:pic macro="[0]!ImportLogo">
      <xdr:nvPicPr>
        <xdr:cNvPr id="13" name="PicSAC" descr="F:\1.AMS-Marine\2.PRODUCTS\11.BunkerManager\PETRO\BM V1.11\SAC MARK 2019 - PETRO INSPECT.jpg">
          <a:extLst>
            <a:ext uri="{FF2B5EF4-FFF2-40B4-BE49-F238E27FC236}">
              <a16:creationId xmlns:a16="http://schemas.microsoft.com/office/drawing/2014/main" id="{00000000-0008-0000-1900-00000D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7257" y="13087350"/>
          <a:ext cx="816143" cy="600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133317</xdr:colOff>
      <xdr:row>1</xdr:row>
      <xdr:rowOff>76199</xdr:rowOff>
    </xdr:from>
    <xdr:to>
      <xdr:col>3</xdr:col>
      <xdr:colOff>235806</xdr:colOff>
      <xdr:row>6</xdr:row>
      <xdr:rowOff>98424</xdr:rowOff>
    </xdr:to>
    <xdr:pic macro="ImportLogo">
      <xdr:nvPicPr>
        <xdr:cNvPr id="10" name="PicLogo" descr="C:\Users\XPS-Takis\Desktop\BD XPS\PicPetro1.png">
          <a:extLst>
            <a:ext uri="{FF2B5EF4-FFF2-40B4-BE49-F238E27FC236}">
              <a16:creationId xmlns:a16="http://schemas.microsoft.com/office/drawing/2014/main" id="{00000000-0008-0000-1900-00000A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33317" y="76199"/>
          <a:ext cx="1702689" cy="982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xdr:colOff>
      <xdr:row>9</xdr:row>
      <xdr:rowOff>47625</xdr:rowOff>
    </xdr:from>
    <xdr:to>
      <xdr:col>1</xdr:col>
      <xdr:colOff>276225</xdr:colOff>
      <xdr:row>9</xdr:row>
      <xdr:rowOff>304800</xdr:rowOff>
    </xdr:to>
    <xdr:sp macro="[0]!GOMAIN" textlink="">
      <xdr:nvSpPr>
        <xdr:cNvPr id="10" name="Rounded Rectangle 9">
          <a:extLst>
            <a:ext uri="{FF2B5EF4-FFF2-40B4-BE49-F238E27FC236}">
              <a16:creationId xmlns:a16="http://schemas.microsoft.com/office/drawing/2014/main" id="{00000000-0008-0000-1A00-00000A000000}"/>
            </a:ext>
          </a:extLst>
        </xdr:cNvPr>
        <xdr:cNvSpPr/>
      </xdr:nvSpPr>
      <xdr:spPr>
        <a:xfrm>
          <a:off x="19050" y="1304925"/>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xdr:from>
      <xdr:col>0</xdr:col>
      <xdr:colOff>9525</xdr:colOff>
      <xdr:row>57</xdr:row>
      <xdr:rowOff>123825</xdr:rowOff>
    </xdr:from>
    <xdr:to>
      <xdr:col>2</xdr:col>
      <xdr:colOff>695325</xdr:colOff>
      <xdr:row>57</xdr:row>
      <xdr:rowOff>123825</xdr:rowOff>
    </xdr:to>
    <xdr:sp macro="" textlink="">
      <xdr:nvSpPr>
        <xdr:cNvPr id="11" name="PicLine1">
          <a:extLst>
            <a:ext uri="{FF2B5EF4-FFF2-40B4-BE49-F238E27FC236}">
              <a16:creationId xmlns:a16="http://schemas.microsoft.com/office/drawing/2014/main" id="{00000000-0008-0000-1A00-00000B000000}"/>
            </a:ext>
          </a:extLst>
        </xdr:cNvPr>
        <xdr:cNvSpPr>
          <a:spLocks noChangeShapeType="1"/>
        </xdr:cNvSpPr>
      </xdr:nvSpPr>
      <xdr:spPr bwMode="auto">
        <a:xfrm>
          <a:off x="9525" y="8934450"/>
          <a:ext cx="2066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57</xdr:row>
      <xdr:rowOff>123825</xdr:rowOff>
    </xdr:from>
    <xdr:to>
      <xdr:col>6</xdr:col>
      <xdr:colOff>38100</xdr:colOff>
      <xdr:row>57</xdr:row>
      <xdr:rowOff>123825</xdr:rowOff>
    </xdr:to>
    <xdr:sp macro="" textlink="">
      <xdr:nvSpPr>
        <xdr:cNvPr id="12" name="PicLine1">
          <a:extLst>
            <a:ext uri="{FF2B5EF4-FFF2-40B4-BE49-F238E27FC236}">
              <a16:creationId xmlns:a16="http://schemas.microsoft.com/office/drawing/2014/main" id="{00000000-0008-0000-1A00-00000C000000}"/>
            </a:ext>
          </a:extLst>
        </xdr:cNvPr>
        <xdr:cNvSpPr>
          <a:spLocks noChangeShapeType="1"/>
        </xdr:cNvSpPr>
      </xdr:nvSpPr>
      <xdr:spPr bwMode="auto">
        <a:xfrm>
          <a:off x="2276475" y="8934450"/>
          <a:ext cx="2066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180975</xdr:colOff>
      <xdr:row>57</xdr:row>
      <xdr:rowOff>123825</xdr:rowOff>
    </xdr:from>
    <xdr:to>
      <xdr:col>8</xdr:col>
      <xdr:colOff>1266825</xdr:colOff>
      <xdr:row>57</xdr:row>
      <xdr:rowOff>123825</xdr:rowOff>
    </xdr:to>
    <xdr:sp macro="" textlink="">
      <xdr:nvSpPr>
        <xdr:cNvPr id="13" name="PicLine1">
          <a:extLst>
            <a:ext uri="{FF2B5EF4-FFF2-40B4-BE49-F238E27FC236}">
              <a16:creationId xmlns:a16="http://schemas.microsoft.com/office/drawing/2014/main" id="{00000000-0008-0000-1A00-00000D000000}"/>
            </a:ext>
          </a:extLst>
        </xdr:cNvPr>
        <xdr:cNvSpPr>
          <a:spLocks noChangeShapeType="1"/>
        </xdr:cNvSpPr>
      </xdr:nvSpPr>
      <xdr:spPr bwMode="auto">
        <a:xfrm>
          <a:off x="4486275" y="8934450"/>
          <a:ext cx="2066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8</xdr:col>
      <xdr:colOff>1025526</xdr:colOff>
      <xdr:row>0</xdr:row>
      <xdr:rowOff>0</xdr:rowOff>
    </xdr:from>
    <xdr:ext cx="317499" cy="371474"/>
    <xdr:pic macro="[0]!ImportLogo">
      <xdr:nvPicPr>
        <xdr:cNvPr id="16" name="PictureBD" descr="C:\Users\kc\Desktop\B_png.png" hidden="1">
          <a:extLst>
            <a:ext uri="{FF2B5EF4-FFF2-40B4-BE49-F238E27FC236}">
              <a16:creationId xmlns:a16="http://schemas.microsoft.com/office/drawing/2014/main" id="{00000000-0008-0000-1A00-00001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11901" y="0"/>
          <a:ext cx="317499" cy="371474"/>
        </a:xfrm>
        <a:prstGeom prst="rect">
          <a:avLst/>
        </a:prstGeom>
        <a:noFill/>
        <a:ln>
          <a:noFill/>
        </a:ln>
      </xdr:spPr>
    </xdr:pic>
    <xdr:clientData/>
  </xdr:oneCellAnchor>
  <xdr:twoCellAnchor editAs="oneCell">
    <xdr:from>
      <xdr:col>8</xdr:col>
      <xdr:colOff>238125</xdr:colOff>
      <xdr:row>9</xdr:row>
      <xdr:rowOff>28575</xdr:rowOff>
    </xdr:from>
    <xdr:to>
      <xdr:col>8</xdr:col>
      <xdr:colOff>1343025</xdr:colOff>
      <xdr:row>9</xdr:row>
      <xdr:rowOff>304801</xdr:rowOff>
    </xdr:to>
    <xdr:sp macro="[0]!CLEARBLUE" textlink="">
      <xdr:nvSpPr>
        <xdr:cNvPr id="17" name="Rounded Rectangle 16">
          <a:extLst>
            <a:ext uri="{FF2B5EF4-FFF2-40B4-BE49-F238E27FC236}">
              <a16:creationId xmlns:a16="http://schemas.microsoft.com/office/drawing/2014/main" id="{00000000-0008-0000-1A00-000011000000}"/>
            </a:ext>
          </a:extLst>
        </xdr:cNvPr>
        <xdr:cNvSpPr/>
      </xdr:nvSpPr>
      <xdr:spPr>
        <a:xfrm>
          <a:off x="5524500" y="1285875"/>
          <a:ext cx="1104900" cy="276226"/>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8</xdr:col>
      <xdr:colOff>574507</xdr:colOff>
      <xdr:row>60</xdr:row>
      <xdr:rowOff>31751</xdr:rowOff>
    </xdr:from>
    <xdr:to>
      <xdr:col>9</xdr:col>
      <xdr:colOff>0</xdr:colOff>
      <xdr:row>66</xdr:row>
      <xdr:rowOff>88900</xdr:rowOff>
    </xdr:to>
    <xdr:pic macro="[0]!ImportLogo">
      <xdr:nvPicPr>
        <xdr:cNvPr id="22" name="PicSAC" descr="F:\1.AMS-Marine\2.PRODUCTS\11.BunkerManager\PETRO\BM V1.11\SAC MARK 2019 - PETRO INSPECT.jpg">
          <a:extLst>
            <a:ext uri="{FF2B5EF4-FFF2-40B4-BE49-F238E27FC236}">
              <a16:creationId xmlns:a16="http://schemas.microsoft.com/office/drawing/2014/main" id="{00000000-0008-0000-1A00-00001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60882" y="10318751"/>
          <a:ext cx="816143" cy="600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85693</xdr:colOff>
      <xdr:row>1</xdr:row>
      <xdr:rowOff>76199</xdr:rowOff>
    </xdr:from>
    <xdr:to>
      <xdr:col>2</xdr:col>
      <xdr:colOff>588232</xdr:colOff>
      <xdr:row>6</xdr:row>
      <xdr:rowOff>98424</xdr:rowOff>
    </xdr:to>
    <xdr:pic macro="ImportLogo">
      <xdr:nvPicPr>
        <xdr:cNvPr id="14" name="PicLogo" descr="C:\Users\XPS-Takis\Desktop\BD XPS\PicPetro1.png">
          <a:extLst>
            <a:ext uri="{FF2B5EF4-FFF2-40B4-BE49-F238E27FC236}">
              <a16:creationId xmlns:a16="http://schemas.microsoft.com/office/drawing/2014/main" id="{00000000-0008-0000-1A00-00000E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5693" y="76199"/>
          <a:ext cx="1744599" cy="982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114300</xdr:colOff>
      <xdr:row>67</xdr:row>
      <xdr:rowOff>0</xdr:rowOff>
    </xdr:from>
    <xdr:to>
      <xdr:col>4</xdr:col>
      <xdr:colOff>276225</xdr:colOff>
      <xdr:row>67</xdr:row>
      <xdr:rowOff>0</xdr:rowOff>
    </xdr:to>
    <xdr:sp macro="" textlink="">
      <xdr:nvSpPr>
        <xdr:cNvPr id="2" name="PicLine1">
          <a:extLst>
            <a:ext uri="{FF2B5EF4-FFF2-40B4-BE49-F238E27FC236}">
              <a16:creationId xmlns:a16="http://schemas.microsoft.com/office/drawing/2014/main" id="{00000000-0008-0000-1B00-000002000000}"/>
            </a:ext>
          </a:extLst>
        </xdr:cNvPr>
        <xdr:cNvSpPr>
          <a:spLocks noChangeShapeType="1"/>
        </xdr:cNvSpPr>
      </xdr:nvSpPr>
      <xdr:spPr bwMode="auto">
        <a:xfrm>
          <a:off x="114300" y="8362950"/>
          <a:ext cx="2390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67</xdr:row>
      <xdr:rowOff>0</xdr:rowOff>
    </xdr:from>
    <xdr:to>
      <xdr:col>11</xdr:col>
      <xdr:colOff>259080</xdr:colOff>
      <xdr:row>67</xdr:row>
      <xdr:rowOff>0</xdr:rowOff>
    </xdr:to>
    <xdr:sp macro="" textlink="">
      <xdr:nvSpPr>
        <xdr:cNvPr id="3" name="PicLine3">
          <a:extLst>
            <a:ext uri="{FF2B5EF4-FFF2-40B4-BE49-F238E27FC236}">
              <a16:creationId xmlns:a16="http://schemas.microsoft.com/office/drawing/2014/main" id="{00000000-0008-0000-1B00-000003000000}"/>
            </a:ext>
          </a:extLst>
        </xdr:cNvPr>
        <xdr:cNvSpPr>
          <a:spLocks noChangeShapeType="1"/>
        </xdr:cNvSpPr>
      </xdr:nvSpPr>
      <xdr:spPr bwMode="auto">
        <a:xfrm>
          <a:off x="4572000" y="9591675"/>
          <a:ext cx="201168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67</xdr:row>
      <xdr:rowOff>0</xdr:rowOff>
    </xdr:from>
    <xdr:to>
      <xdr:col>8</xdr:col>
      <xdr:colOff>600075</xdr:colOff>
      <xdr:row>67</xdr:row>
      <xdr:rowOff>0</xdr:rowOff>
    </xdr:to>
    <xdr:sp macro="" textlink="">
      <xdr:nvSpPr>
        <xdr:cNvPr id="4" name="PicLine2">
          <a:extLst>
            <a:ext uri="{FF2B5EF4-FFF2-40B4-BE49-F238E27FC236}">
              <a16:creationId xmlns:a16="http://schemas.microsoft.com/office/drawing/2014/main" id="{00000000-0008-0000-1B00-000004000000}"/>
            </a:ext>
          </a:extLst>
        </xdr:cNvPr>
        <xdr:cNvSpPr>
          <a:spLocks noChangeShapeType="1"/>
        </xdr:cNvSpPr>
      </xdr:nvSpPr>
      <xdr:spPr bwMode="auto">
        <a:xfrm>
          <a:off x="2647950" y="8362950"/>
          <a:ext cx="2019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76200</xdr:colOff>
      <xdr:row>9</xdr:row>
      <xdr:rowOff>28575</xdr:rowOff>
    </xdr:from>
    <xdr:to>
      <xdr:col>2</xdr:col>
      <xdr:colOff>552450</xdr:colOff>
      <xdr:row>9</xdr:row>
      <xdr:rowOff>285750</xdr:rowOff>
    </xdr:to>
    <xdr:sp macro="[0]!GOMAIN" textlink="">
      <xdr:nvSpPr>
        <xdr:cNvPr id="7" name="Rounded Rectangle 6">
          <a:extLst>
            <a:ext uri="{FF2B5EF4-FFF2-40B4-BE49-F238E27FC236}">
              <a16:creationId xmlns:a16="http://schemas.microsoft.com/office/drawing/2014/main" id="{00000000-0008-0000-1B00-000007000000}"/>
            </a:ext>
          </a:extLst>
        </xdr:cNvPr>
        <xdr:cNvSpPr/>
      </xdr:nvSpPr>
      <xdr:spPr>
        <a:xfrm>
          <a:off x="76200" y="28575"/>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10</xdr:col>
      <xdr:colOff>1282701</xdr:colOff>
      <xdr:row>0</xdr:row>
      <xdr:rowOff>1</xdr:rowOff>
    </xdr:from>
    <xdr:ext cx="317499" cy="371474"/>
    <xdr:pic macro="[0]!ImportLogo">
      <xdr:nvPicPr>
        <xdr:cNvPr id="8" name="PictureBD" descr="C:\Users\kc\Desktop\B_png.png" hidden="1">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45226" y="1"/>
          <a:ext cx="317499" cy="371474"/>
        </a:xfrm>
        <a:prstGeom prst="rect">
          <a:avLst/>
        </a:prstGeom>
        <a:noFill/>
        <a:ln>
          <a:noFill/>
        </a:ln>
      </xdr:spPr>
    </xdr:pic>
    <xdr:clientData/>
  </xdr:oneCellAnchor>
  <xdr:twoCellAnchor editAs="oneCell">
    <xdr:from>
      <xdr:col>10</xdr:col>
      <xdr:colOff>533400</xdr:colOff>
      <xdr:row>9</xdr:row>
      <xdr:rowOff>9525</xdr:rowOff>
    </xdr:from>
    <xdr:to>
      <xdr:col>11</xdr:col>
      <xdr:colOff>276225</xdr:colOff>
      <xdr:row>9</xdr:row>
      <xdr:rowOff>285751</xdr:rowOff>
    </xdr:to>
    <xdr:sp macro="[0]!CLEARBLUE" textlink="">
      <xdr:nvSpPr>
        <xdr:cNvPr id="10" name="Rounded Rectangle 9">
          <a:extLst>
            <a:ext uri="{FF2B5EF4-FFF2-40B4-BE49-F238E27FC236}">
              <a16:creationId xmlns:a16="http://schemas.microsoft.com/office/drawing/2014/main" id="{00000000-0008-0000-1B00-00000A000000}"/>
            </a:ext>
          </a:extLst>
        </xdr:cNvPr>
        <xdr:cNvSpPr/>
      </xdr:nvSpPr>
      <xdr:spPr>
        <a:xfrm>
          <a:off x="5495925" y="1266825"/>
          <a:ext cx="1104900" cy="276226"/>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10</xdr:col>
      <xdr:colOff>850732</xdr:colOff>
      <xdr:row>70</xdr:row>
      <xdr:rowOff>22225</xdr:rowOff>
    </xdr:from>
    <xdr:to>
      <xdr:col>12</xdr:col>
      <xdr:colOff>0</xdr:colOff>
      <xdr:row>75</xdr:row>
      <xdr:rowOff>88899</xdr:rowOff>
    </xdr:to>
    <xdr:pic macro="[0]!ImportLogo">
      <xdr:nvPicPr>
        <xdr:cNvPr id="83" name="PicSAC" descr="F:\1.AMS-Marine\2.PRODUCTS\11.BunkerManager\PETRO\BM V1.11\SAC MARK 2019 - PETRO INSPECT.jpg">
          <a:extLst>
            <a:ext uri="{FF2B5EF4-FFF2-40B4-BE49-F238E27FC236}">
              <a16:creationId xmlns:a16="http://schemas.microsoft.com/office/drawing/2014/main" id="{00000000-0008-0000-1B00-000053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3257" y="11890375"/>
          <a:ext cx="816143" cy="600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114268</xdr:colOff>
      <xdr:row>1</xdr:row>
      <xdr:rowOff>85724</xdr:rowOff>
    </xdr:from>
    <xdr:to>
      <xdr:col>4</xdr:col>
      <xdr:colOff>64357</xdr:colOff>
      <xdr:row>6</xdr:row>
      <xdr:rowOff>107949</xdr:rowOff>
    </xdr:to>
    <xdr:pic macro="ImportLogo">
      <xdr:nvPicPr>
        <xdr:cNvPr id="11" name="PicLogo" descr="C:\Users\XPS-Takis\Desktop\BD XPS\PicPetro1.png">
          <a:extLst>
            <a:ext uri="{FF2B5EF4-FFF2-40B4-BE49-F238E27FC236}">
              <a16:creationId xmlns:a16="http://schemas.microsoft.com/office/drawing/2014/main" id="{00000000-0008-0000-1B00-00000B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268" y="85724"/>
          <a:ext cx="1695069" cy="982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114300</xdr:colOff>
      <xdr:row>66</xdr:row>
      <xdr:rowOff>0</xdr:rowOff>
    </xdr:from>
    <xdr:to>
      <xdr:col>5</xdr:col>
      <xdr:colOff>276225</xdr:colOff>
      <xdr:row>66</xdr:row>
      <xdr:rowOff>0</xdr:rowOff>
    </xdr:to>
    <xdr:sp macro="" textlink="">
      <xdr:nvSpPr>
        <xdr:cNvPr id="2" name="Pic1A">
          <a:extLst>
            <a:ext uri="{FF2B5EF4-FFF2-40B4-BE49-F238E27FC236}">
              <a16:creationId xmlns:a16="http://schemas.microsoft.com/office/drawing/2014/main" id="{00000000-0008-0000-1C00-000002000000}"/>
            </a:ext>
          </a:extLst>
        </xdr:cNvPr>
        <xdr:cNvSpPr>
          <a:spLocks noChangeShapeType="1"/>
        </xdr:cNvSpPr>
      </xdr:nvSpPr>
      <xdr:spPr bwMode="auto">
        <a:xfrm rot="10800000">
          <a:off x="723900" y="8331200"/>
          <a:ext cx="2473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190500</xdr:colOff>
      <xdr:row>66</xdr:row>
      <xdr:rowOff>0</xdr:rowOff>
    </xdr:from>
    <xdr:to>
      <xdr:col>12</xdr:col>
      <xdr:colOff>438150</xdr:colOff>
      <xdr:row>66</xdr:row>
      <xdr:rowOff>0</xdr:rowOff>
    </xdr:to>
    <xdr:sp macro="" textlink="">
      <xdr:nvSpPr>
        <xdr:cNvPr id="3" name="Pic1C">
          <a:extLst>
            <a:ext uri="{FF2B5EF4-FFF2-40B4-BE49-F238E27FC236}">
              <a16:creationId xmlns:a16="http://schemas.microsoft.com/office/drawing/2014/main" id="{00000000-0008-0000-1C00-000003000000}"/>
            </a:ext>
          </a:extLst>
        </xdr:cNvPr>
        <xdr:cNvSpPr>
          <a:spLocks noChangeShapeType="1"/>
        </xdr:cNvSpPr>
      </xdr:nvSpPr>
      <xdr:spPr bwMode="auto">
        <a:xfrm>
          <a:off x="5419725" y="6924675"/>
          <a:ext cx="1409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66</xdr:row>
      <xdr:rowOff>0</xdr:rowOff>
    </xdr:from>
    <xdr:to>
      <xdr:col>9</xdr:col>
      <xdr:colOff>574675</xdr:colOff>
      <xdr:row>66</xdr:row>
      <xdr:rowOff>0</xdr:rowOff>
    </xdr:to>
    <xdr:sp macro="" textlink="">
      <xdr:nvSpPr>
        <xdr:cNvPr id="4" name="Pic1B">
          <a:extLst>
            <a:ext uri="{FF2B5EF4-FFF2-40B4-BE49-F238E27FC236}">
              <a16:creationId xmlns:a16="http://schemas.microsoft.com/office/drawing/2014/main" id="{00000000-0008-0000-1C00-000004000000}"/>
            </a:ext>
          </a:extLst>
        </xdr:cNvPr>
        <xdr:cNvSpPr>
          <a:spLocks noChangeShapeType="1"/>
        </xdr:cNvSpPr>
      </xdr:nvSpPr>
      <xdr:spPr bwMode="auto">
        <a:xfrm>
          <a:off x="3632200" y="8331200"/>
          <a:ext cx="2174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28575</xdr:colOff>
      <xdr:row>9</xdr:row>
      <xdr:rowOff>19050</xdr:rowOff>
    </xdr:from>
    <xdr:to>
      <xdr:col>3</xdr:col>
      <xdr:colOff>114300</xdr:colOff>
      <xdr:row>9</xdr:row>
      <xdr:rowOff>276225</xdr:rowOff>
    </xdr:to>
    <xdr:sp macro="[0]!GOMAIN" textlink="">
      <xdr:nvSpPr>
        <xdr:cNvPr id="7" name="Rounded Rectangle 6">
          <a:extLst>
            <a:ext uri="{FF2B5EF4-FFF2-40B4-BE49-F238E27FC236}">
              <a16:creationId xmlns:a16="http://schemas.microsoft.com/office/drawing/2014/main" id="{00000000-0008-0000-1C00-000007000000}"/>
            </a:ext>
          </a:extLst>
        </xdr:cNvPr>
        <xdr:cNvSpPr/>
      </xdr:nvSpPr>
      <xdr:spPr>
        <a:xfrm>
          <a:off x="28575" y="1276350"/>
          <a:ext cx="12477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oneCellAnchor>
    <xdr:from>
      <xdr:col>12</xdr:col>
      <xdr:colOff>177801</xdr:colOff>
      <xdr:row>1</xdr:row>
      <xdr:rowOff>19051</xdr:rowOff>
    </xdr:from>
    <xdr:ext cx="317499" cy="371474"/>
    <xdr:pic macro="[0]!ImportLogo">
      <xdr:nvPicPr>
        <xdr:cNvPr id="8" name="PictureBD" descr="C:\Users\kc\Desktop\B_png.png" hidden="1">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73876" y="209551"/>
          <a:ext cx="317499" cy="371474"/>
        </a:xfrm>
        <a:prstGeom prst="rect">
          <a:avLst/>
        </a:prstGeom>
        <a:noFill/>
        <a:ln>
          <a:noFill/>
        </a:ln>
      </xdr:spPr>
    </xdr:pic>
    <xdr:clientData/>
  </xdr:oneCellAnchor>
  <xdr:twoCellAnchor>
    <xdr:from>
      <xdr:col>10</xdr:col>
      <xdr:colOff>190500</xdr:colOff>
      <xdr:row>130</xdr:row>
      <xdr:rowOff>0</xdr:rowOff>
    </xdr:from>
    <xdr:to>
      <xdr:col>12</xdr:col>
      <xdr:colOff>438150</xdr:colOff>
      <xdr:row>130</xdr:row>
      <xdr:rowOff>0</xdr:rowOff>
    </xdr:to>
    <xdr:sp macro="" textlink="">
      <xdr:nvSpPr>
        <xdr:cNvPr id="10" name="Pic2C">
          <a:extLst>
            <a:ext uri="{FF2B5EF4-FFF2-40B4-BE49-F238E27FC236}">
              <a16:creationId xmlns:a16="http://schemas.microsoft.com/office/drawing/2014/main" id="{00000000-0008-0000-1C00-00000A000000}"/>
            </a:ext>
          </a:extLst>
        </xdr:cNvPr>
        <xdr:cNvSpPr>
          <a:spLocks noChangeShapeType="1"/>
        </xdr:cNvSpPr>
      </xdr:nvSpPr>
      <xdr:spPr bwMode="auto">
        <a:xfrm>
          <a:off x="6029325" y="8334375"/>
          <a:ext cx="1714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130</xdr:row>
      <xdr:rowOff>0</xdr:rowOff>
    </xdr:from>
    <xdr:to>
      <xdr:col>9</xdr:col>
      <xdr:colOff>600075</xdr:colOff>
      <xdr:row>130</xdr:row>
      <xdr:rowOff>0</xdr:rowOff>
    </xdr:to>
    <xdr:sp macro="" textlink="">
      <xdr:nvSpPr>
        <xdr:cNvPr id="12" name="Pic2B">
          <a:extLst>
            <a:ext uri="{FF2B5EF4-FFF2-40B4-BE49-F238E27FC236}">
              <a16:creationId xmlns:a16="http://schemas.microsoft.com/office/drawing/2014/main" id="{00000000-0008-0000-1C00-00000C000000}"/>
            </a:ext>
          </a:extLst>
        </xdr:cNvPr>
        <xdr:cNvSpPr>
          <a:spLocks noChangeShapeType="1"/>
        </xdr:cNvSpPr>
      </xdr:nvSpPr>
      <xdr:spPr bwMode="auto">
        <a:xfrm>
          <a:off x="3648075" y="8334375"/>
          <a:ext cx="2190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194</xdr:row>
      <xdr:rowOff>0</xdr:rowOff>
    </xdr:from>
    <xdr:to>
      <xdr:col>5</xdr:col>
      <xdr:colOff>276225</xdr:colOff>
      <xdr:row>194</xdr:row>
      <xdr:rowOff>0</xdr:rowOff>
    </xdr:to>
    <xdr:sp macro="" textlink="">
      <xdr:nvSpPr>
        <xdr:cNvPr id="16" name="Pic3A">
          <a:extLst>
            <a:ext uri="{FF2B5EF4-FFF2-40B4-BE49-F238E27FC236}">
              <a16:creationId xmlns:a16="http://schemas.microsoft.com/office/drawing/2014/main" id="{00000000-0008-0000-1C00-000010000000}"/>
            </a:ext>
          </a:extLst>
        </xdr:cNvPr>
        <xdr:cNvSpPr>
          <a:spLocks noChangeShapeType="1"/>
        </xdr:cNvSpPr>
      </xdr:nvSpPr>
      <xdr:spPr bwMode="auto">
        <a:xfrm>
          <a:off x="723900" y="8334375"/>
          <a:ext cx="2486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190500</xdr:colOff>
      <xdr:row>194</xdr:row>
      <xdr:rowOff>0</xdr:rowOff>
    </xdr:from>
    <xdr:to>
      <xdr:col>12</xdr:col>
      <xdr:colOff>438150</xdr:colOff>
      <xdr:row>194</xdr:row>
      <xdr:rowOff>0</xdr:rowOff>
    </xdr:to>
    <xdr:sp macro="" textlink="">
      <xdr:nvSpPr>
        <xdr:cNvPr id="17" name="Pic3C">
          <a:extLst>
            <a:ext uri="{FF2B5EF4-FFF2-40B4-BE49-F238E27FC236}">
              <a16:creationId xmlns:a16="http://schemas.microsoft.com/office/drawing/2014/main" id="{00000000-0008-0000-1C00-000011000000}"/>
            </a:ext>
          </a:extLst>
        </xdr:cNvPr>
        <xdr:cNvSpPr>
          <a:spLocks noChangeShapeType="1"/>
        </xdr:cNvSpPr>
      </xdr:nvSpPr>
      <xdr:spPr bwMode="auto">
        <a:xfrm>
          <a:off x="6029325" y="8334375"/>
          <a:ext cx="1714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194</xdr:row>
      <xdr:rowOff>0</xdr:rowOff>
    </xdr:from>
    <xdr:to>
      <xdr:col>9</xdr:col>
      <xdr:colOff>600075</xdr:colOff>
      <xdr:row>194</xdr:row>
      <xdr:rowOff>0</xdr:rowOff>
    </xdr:to>
    <xdr:sp macro="" textlink="">
      <xdr:nvSpPr>
        <xdr:cNvPr id="18" name="Pic3B">
          <a:extLst>
            <a:ext uri="{FF2B5EF4-FFF2-40B4-BE49-F238E27FC236}">
              <a16:creationId xmlns:a16="http://schemas.microsoft.com/office/drawing/2014/main" id="{00000000-0008-0000-1C00-000012000000}"/>
            </a:ext>
          </a:extLst>
        </xdr:cNvPr>
        <xdr:cNvSpPr>
          <a:spLocks noChangeShapeType="1"/>
        </xdr:cNvSpPr>
      </xdr:nvSpPr>
      <xdr:spPr bwMode="auto">
        <a:xfrm>
          <a:off x="3648075" y="8334375"/>
          <a:ext cx="2190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258</xdr:row>
      <xdr:rowOff>0</xdr:rowOff>
    </xdr:from>
    <xdr:to>
      <xdr:col>5</xdr:col>
      <xdr:colOff>276225</xdr:colOff>
      <xdr:row>258</xdr:row>
      <xdr:rowOff>0</xdr:rowOff>
    </xdr:to>
    <xdr:sp macro="" textlink="">
      <xdr:nvSpPr>
        <xdr:cNvPr id="20" name="Pic4A">
          <a:extLst>
            <a:ext uri="{FF2B5EF4-FFF2-40B4-BE49-F238E27FC236}">
              <a16:creationId xmlns:a16="http://schemas.microsoft.com/office/drawing/2014/main" id="{00000000-0008-0000-1C00-000014000000}"/>
            </a:ext>
          </a:extLst>
        </xdr:cNvPr>
        <xdr:cNvSpPr>
          <a:spLocks noChangeShapeType="1"/>
        </xdr:cNvSpPr>
      </xdr:nvSpPr>
      <xdr:spPr bwMode="auto">
        <a:xfrm>
          <a:off x="723900" y="8334375"/>
          <a:ext cx="2486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190500</xdr:colOff>
      <xdr:row>258</xdr:row>
      <xdr:rowOff>0</xdr:rowOff>
    </xdr:from>
    <xdr:to>
      <xdr:col>12</xdr:col>
      <xdr:colOff>438150</xdr:colOff>
      <xdr:row>258</xdr:row>
      <xdr:rowOff>0</xdr:rowOff>
    </xdr:to>
    <xdr:sp macro="" textlink="">
      <xdr:nvSpPr>
        <xdr:cNvPr id="21" name="Pic4C">
          <a:extLst>
            <a:ext uri="{FF2B5EF4-FFF2-40B4-BE49-F238E27FC236}">
              <a16:creationId xmlns:a16="http://schemas.microsoft.com/office/drawing/2014/main" id="{00000000-0008-0000-1C00-000015000000}"/>
            </a:ext>
          </a:extLst>
        </xdr:cNvPr>
        <xdr:cNvSpPr>
          <a:spLocks noChangeShapeType="1"/>
        </xdr:cNvSpPr>
      </xdr:nvSpPr>
      <xdr:spPr bwMode="auto">
        <a:xfrm>
          <a:off x="6029325" y="8334375"/>
          <a:ext cx="1714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258</xdr:row>
      <xdr:rowOff>0</xdr:rowOff>
    </xdr:from>
    <xdr:to>
      <xdr:col>9</xdr:col>
      <xdr:colOff>600075</xdr:colOff>
      <xdr:row>258</xdr:row>
      <xdr:rowOff>0</xdr:rowOff>
    </xdr:to>
    <xdr:sp macro="" textlink="">
      <xdr:nvSpPr>
        <xdr:cNvPr id="22" name="Pic4B">
          <a:extLst>
            <a:ext uri="{FF2B5EF4-FFF2-40B4-BE49-F238E27FC236}">
              <a16:creationId xmlns:a16="http://schemas.microsoft.com/office/drawing/2014/main" id="{00000000-0008-0000-1C00-000016000000}"/>
            </a:ext>
          </a:extLst>
        </xdr:cNvPr>
        <xdr:cNvSpPr>
          <a:spLocks noChangeShapeType="1"/>
        </xdr:cNvSpPr>
      </xdr:nvSpPr>
      <xdr:spPr bwMode="auto">
        <a:xfrm>
          <a:off x="3648075" y="8334375"/>
          <a:ext cx="2190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322</xdr:row>
      <xdr:rowOff>0</xdr:rowOff>
    </xdr:from>
    <xdr:to>
      <xdr:col>5</xdr:col>
      <xdr:colOff>276225</xdr:colOff>
      <xdr:row>322</xdr:row>
      <xdr:rowOff>0</xdr:rowOff>
    </xdr:to>
    <xdr:sp macro="" textlink="">
      <xdr:nvSpPr>
        <xdr:cNvPr id="24" name="Pic5A">
          <a:extLst>
            <a:ext uri="{FF2B5EF4-FFF2-40B4-BE49-F238E27FC236}">
              <a16:creationId xmlns:a16="http://schemas.microsoft.com/office/drawing/2014/main" id="{00000000-0008-0000-1C00-000018000000}"/>
            </a:ext>
          </a:extLst>
        </xdr:cNvPr>
        <xdr:cNvSpPr>
          <a:spLocks noChangeShapeType="1"/>
        </xdr:cNvSpPr>
      </xdr:nvSpPr>
      <xdr:spPr bwMode="auto">
        <a:xfrm>
          <a:off x="723900" y="8334375"/>
          <a:ext cx="2486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190500</xdr:colOff>
      <xdr:row>322</xdr:row>
      <xdr:rowOff>0</xdr:rowOff>
    </xdr:from>
    <xdr:to>
      <xdr:col>12</xdr:col>
      <xdr:colOff>438150</xdr:colOff>
      <xdr:row>322</xdr:row>
      <xdr:rowOff>0</xdr:rowOff>
    </xdr:to>
    <xdr:sp macro="" textlink="">
      <xdr:nvSpPr>
        <xdr:cNvPr id="25" name="Pic5C">
          <a:extLst>
            <a:ext uri="{FF2B5EF4-FFF2-40B4-BE49-F238E27FC236}">
              <a16:creationId xmlns:a16="http://schemas.microsoft.com/office/drawing/2014/main" id="{00000000-0008-0000-1C00-000019000000}"/>
            </a:ext>
          </a:extLst>
        </xdr:cNvPr>
        <xdr:cNvSpPr>
          <a:spLocks noChangeShapeType="1"/>
        </xdr:cNvSpPr>
      </xdr:nvSpPr>
      <xdr:spPr bwMode="auto">
        <a:xfrm>
          <a:off x="6029325" y="8334375"/>
          <a:ext cx="1714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322</xdr:row>
      <xdr:rowOff>0</xdr:rowOff>
    </xdr:from>
    <xdr:to>
      <xdr:col>9</xdr:col>
      <xdr:colOff>600075</xdr:colOff>
      <xdr:row>322</xdr:row>
      <xdr:rowOff>0</xdr:rowOff>
    </xdr:to>
    <xdr:sp macro="" textlink="">
      <xdr:nvSpPr>
        <xdr:cNvPr id="26" name="Pic5B">
          <a:extLst>
            <a:ext uri="{FF2B5EF4-FFF2-40B4-BE49-F238E27FC236}">
              <a16:creationId xmlns:a16="http://schemas.microsoft.com/office/drawing/2014/main" id="{00000000-0008-0000-1C00-00001A000000}"/>
            </a:ext>
          </a:extLst>
        </xdr:cNvPr>
        <xdr:cNvSpPr>
          <a:spLocks noChangeShapeType="1"/>
        </xdr:cNvSpPr>
      </xdr:nvSpPr>
      <xdr:spPr bwMode="auto">
        <a:xfrm>
          <a:off x="3648075" y="8334375"/>
          <a:ext cx="2190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386</xdr:row>
      <xdr:rowOff>0</xdr:rowOff>
    </xdr:from>
    <xdr:to>
      <xdr:col>5</xdr:col>
      <xdr:colOff>276225</xdr:colOff>
      <xdr:row>386</xdr:row>
      <xdr:rowOff>0</xdr:rowOff>
    </xdr:to>
    <xdr:sp macro="" textlink="">
      <xdr:nvSpPr>
        <xdr:cNvPr id="28" name="Pic6A">
          <a:extLst>
            <a:ext uri="{FF2B5EF4-FFF2-40B4-BE49-F238E27FC236}">
              <a16:creationId xmlns:a16="http://schemas.microsoft.com/office/drawing/2014/main" id="{00000000-0008-0000-1C00-00001C000000}"/>
            </a:ext>
          </a:extLst>
        </xdr:cNvPr>
        <xdr:cNvSpPr>
          <a:spLocks noChangeShapeType="1"/>
        </xdr:cNvSpPr>
      </xdr:nvSpPr>
      <xdr:spPr bwMode="auto">
        <a:xfrm>
          <a:off x="723900" y="8334375"/>
          <a:ext cx="2486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190500</xdr:colOff>
      <xdr:row>386</xdr:row>
      <xdr:rowOff>0</xdr:rowOff>
    </xdr:from>
    <xdr:to>
      <xdr:col>12</xdr:col>
      <xdr:colOff>438150</xdr:colOff>
      <xdr:row>386</xdr:row>
      <xdr:rowOff>0</xdr:rowOff>
    </xdr:to>
    <xdr:sp macro="" textlink="">
      <xdr:nvSpPr>
        <xdr:cNvPr id="29" name="Pic6C">
          <a:extLst>
            <a:ext uri="{FF2B5EF4-FFF2-40B4-BE49-F238E27FC236}">
              <a16:creationId xmlns:a16="http://schemas.microsoft.com/office/drawing/2014/main" id="{00000000-0008-0000-1C00-00001D000000}"/>
            </a:ext>
          </a:extLst>
        </xdr:cNvPr>
        <xdr:cNvSpPr>
          <a:spLocks noChangeShapeType="1"/>
        </xdr:cNvSpPr>
      </xdr:nvSpPr>
      <xdr:spPr bwMode="auto">
        <a:xfrm>
          <a:off x="6029325" y="8334375"/>
          <a:ext cx="1714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386</xdr:row>
      <xdr:rowOff>0</xdr:rowOff>
    </xdr:from>
    <xdr:to>
      <xdr:col>9</xdr:col>
      <xdr:colOff>600075</xdr:colOff>
      <xdr:row>386</xdr:row>
      <xdr:rowOff>0</xdr:rowOff>
    </xdr:to>
    <xdr:sp macro="" textlink="">
      <xdr:nvSpPr>
        <xdr:cNvPr id="30" name="Pic6B">
          <a:extLst>
            <a:ext uri="{FF2B5EF4-FFF2-40B4-BE49-F238E27FC236}">
              <a16:creationId xmlns:a16="http://schemas.microsoft.com/office/drawing/2014/main" id="{00000000-0008-0000-1C00-00001E000000}"/>
            </a:ext>
          </a:extLst>
        </xdr:cNvPr>
        <xdr:cNvSpPr>
          <a:spLocks noChangeShapeType="1"/>
        </xdr:cNvSpPr>
      </xdr:nvSpPr>
      <xdr:spPr bwMode="auto">
        <a:xfrm>
          <a:off x="3648075" y="8334375"/>
          <a:ext cx="2190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10</xdr:col>
      <xdr:colOff>333952</xdr:colOff>
      <xdr:row>8</xdr:row>
      <xdr:rowOff>12700</xdr:rowOff>
    </xdr:from>
    <xdr:to>
      <xdr:col>11</xdr:col>
      <xdr:colOff>464127</xdr:colOff>
      <xdr:row>10</xdr:row>
      <xdr:rowOff>31748</xdr:rowOff>
    </xdr:to>
    <xdr:sp macro="" textlink="">
      <xdr:nvSpPr>
        <xdr:cNvPr id="5" name="TextBox 4">
          <a:extLst>
            <a:ext uri="{FF2B5EF4-FFF2-40B4-BE49-F238E27FC236}">
              <a16:creationId xmlns:a16="http://schemas.microsoft.com/office/drawing/2014/main" id="{00000000-0008-0000-1C00-000005000000}"/>
            </a:ext>
          </a:extLst>
        </xdr:cNvPr>
        <xdr:cNvSpPr txBox="1"/>
      </xdr:nvSpPr>
      <xdr:spPr>
        <a:xfrm>
          <a:off x="5529407" y="1207655"/>
          <a:ext cx="863311" cy="371185"/>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spcCol="0" rtlCol="0" anchor="ctr" anchorCtr="0"/>
        <a:lstStyle/>
        <a:p>
          <a:pPr algn="ctr"/>
          <a:r>
            <a:rPr lang="en-US" sz="700" b="0">
              <a:solidFill>
                <a:srgbClr val="FF0000"/>
              </a:solidFill>
              <a:latin typeface="Arial" panose="020B0604020202020204" pitchFamily="34" charset="0"/>
              <a:cs typeface="Arial" panose="020B0604020202020204" pitchFamily="34" charset="0"/>
            </a:rPr>
            <a:t>Scroll down to fill all grades of this barge.</a:t>
          </a:r>
        </a:p>
      </xdr:txBody>
    </xdr:sp>
    <xdr:clientData fPrintsWithSheet="0"/>
  </xdr:twoCellAnchor>
  <xdr:twoCellAnchor>
    <xdr:from>
      <xdr:col>1</xdr:col>
      <xdr:colOff>114300</xdr:colOff>
      <xdr:row>129</xdr:row>
      <xdr:rowOff>158750</xdr:rowOff>
    </xdr:from>
    <xdr:to>
      <xdr:col>5</xdr:col>
      <xdr:colOff>276225</xdr:colOff>
      <xdr:row>129</xdr:row>
      <xdr:rowOff>158750</xdr:rowOff>
    </xdr:to>
    <xdr:sp macro="" textlink="">
      <xdr:nvSpPr>
        <xdr:cNvPr id="32" name="Pic2A">
          <a:extLst>
            <a:ext uri="{FF2B5EF4-FFF2-40B4-BE49-F238E27FC236}">
              <a16:creationId xmlns:a16="http://schemas.microsoft.com/office/drawing/2014/main" id="{00000000-0008-0000-1C00-000020000000}"/>
            </a:ext>
          </a:extLst>
        </xdr:cNvPr>
        <xdr:cNvSpPr>
          <a:spLocks noChangeShapeType="1"/>
        </xdr:cNvSpPr>
      </xdr:nvSpPr>
      <xdr:spPr bwMode="auto">
        <a:xfrm rot="10800000">
          <a:off x="723900" y="15579725"/>
          <a:ext cx="2486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11</xdr:col>
          <xdr:colOff>495300</xdr:colOff>
          <xdr:row>9</xdr:row>
          <xdr:rowOff>9525</xdr:rowOff>
        </xdr:from>
        <xdr:to>
          <xdr:col>12</xdr:col>
          <xdr:colOff>561975</xdr:colOff>
          <xdr:row>9</xdr:row>
          <xdr:rowOff>295275</xdr:rowOff>
        </xdr:to>
        <xdr:sp macro="" textlink="">
          <xdr:nvSpPr>
            <xdr:cNvPr id="562178" name="List Box 2" hidden="1">
              <a:extLst>
                <a:ext uri="{63B3BB69-23CF-44E3-9099-C40C66FF867C}">
                  <a14:compatExt spid="_x0000_s562178"/>
                </a:ext>
                <a:ext uri="{FF2B5EF4-FFF2-40B4-BE49-F238E27FC236}">
                  <a16:creationId xmlns:a16="http://schemas.microsoft.com/office/drawing/2014/main" id="{00000000-0008-0000-1C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1</xdr:colOff>
      <xdr:row>235</xdr:row>
      <xdr:rowOff>3</xdr:rowOff>
    </xdr:from>
    <xdr:to>
      <xdr:col>7</xdr:col>
      <xdr:colOff>77151</xdr:colOff>
      <xdr:row>247</xdr:row>
      <xdr:rowOff>139698</xdr:rowOff>
    </xdr:to>
    <xdr:pic macro="InsertPhoto">
      <xdr:nvPicPr>
        <xdr:cNvPr id="562197" name="PicBEF4" descr="E:\BD XPS 6\Tank.png">
          <a:extLst>
            <a:ext uri="{FF2B5EF4-FFF2-40B4-BE49-F238E27FC236}">
              <a16:creationId xmlns:a16="http://schemas.microsoft.com/office/drawing/2014/main" id="{00000000-0008-0000-1C00-000015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36525203"/>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234951</xdr:colOff>
      <xdr:row>235</xdr:row>
      <xdr:rowOff>3</xdr:rowOff>
    </xdr:from>
    <xdr:to>
      <xdr:col>11</xdr:col>
      <xdr:colOff>732796</xdr:colOff>
      <xdr:row>247</xdr:row>
      <xdr:rowOff>139700</xdr:rowOff>
    </xdr:to>
    <xdr:pic macro="InsertPhoto">
      <xdr:nvPicPr>
        <xdr:cNvPr id="562198" name="PicAFTER4" descr="E:\BD XPS 6\Tank.png">
          <a:extLst>
            <a:ext uri="{FF2B5EF4-FFF2-40B4-BE49-F238E27FC236}">
              <a16:creationId xmlns:a16="http://schemas.microsoft.com/office/drawing/2014/main" id="{00000000-0008-0000-1C00-000016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7" y="36887730"/>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234952</xdr:colOff>
      <xdr:row>171</xdr:row>
      <xdr:rowOff>3</xdr:rowOff>
    </xdr:from>
    <xdr:to>
      <xdr:col>11</xdr:col>
      <xdr:colOff>732797</xdr:colOff>
      <xdr:row>183</xdr:row>
      <xdr:rowOff>139700</xdr:rowOff>
    </xdr:to>
    <xdr:pic macro="InsertPhoto">
      <xdr:nvPicPr>
        <xdr:cNvPr id="562200" name="PicAFTER3" descr="E:\BD XPS 6\Tank.png">
          <a:extLst>
            <a:ext uri="{FF2B5EF4-FFF2-40B4-BE49-F238E27FC236}">
              <a16:creationId xmlns:a16="http://schemas.microsoft.com/office/drawing/2014/main" id="{00000000-0008-0000-1C00-000018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8" y="26854730"/>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xdr:colOff>
      <xdr:row>171</xdr:row>
      <xdr:rowOff>3</xdr:rowOff>
    </xdr:from>
    <xdr:to>
      <xdr:col>7</xdr:col>
      <xdr:colOff>77151</xdr:colOff>
      <xdr:row>183</xdr:row>
      <xdr:rowOff>139698</xdr:rowOff>
    </xdr:to>
    <xdr:pic macro="InsertPhoto">
      <xdr:nvPicPr>
        <xdr:cNvPr id="562201" name="PicBEF3" descr="E:\BD XPS 6\Tank.png">
          <a:extLst>
            <a:ext uri="{FF2B5EF4-FFF2-40B4-BE49-F238E27FC236}">
              <a16:creationId xmlns:a16="http://schemas.microsoft.com/office/drawing/2014/main" id="{00000000-0008-0000-1C00-000019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26682703"/>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234952</xdr:colOff>
      <xdr:row>107</xdr:row>
      <xdr:rowOff>6</xdr:rowOff>
    </xdr:from>
    <xdr:to>
      <xdr:col>11</xdr:col>
      <xdr:colOff>732797</xdr:colOff>
      <xdr:row>119</xdr:row>
      <xdr:rowOff>139703</xdr:rowOff>
    </xdr:to>
    <xdr:pic macro="InsertPhoto">
      <xdr:nvPicPr>
        <xdr:cNvPr id="562202" name="PicAFTER2" descr="E:\BD XPS 6\Tank.png">
          <a:extLst>
            <a:ext uri="{FF2B5EF4-FFF2-40B4-BE49-F238E27FC236}">
              <a16:creationId xmlns:a16="http://schemas.microsoft.com/office/drawing/2014/main" id="{00000000-0008-0000-1C00-00001A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8" y="16821733"/>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xdr:colOff>
      <xdr:row>107</xdr:row>
      <xdr:rowOff>5</xdr:rowOff>
    </xdr:from>
    <xdr:to>
      <xdr:col>7</xdr:col>
      <xdr:colOff>77151</xdr:colOff>
      <xdr:row>119</xdr:row>
      <xdr:rowOff>139700</xdr:rowOff>
    </xdr:to>
    <xdr:pic macro="InsertPhoto">
      <xdr:nvPicPr>
        <xdr:cNvPr id="562203" name="PicBEF2" descr="E:\BD XPS 6\Tank.png">
          <a:extLst>
            <a:ext uri="{FF2B5EF4-FFF2-40B4-BE49-F238E27FC236}">
              <a16:creationId xmlns:a16="http://schemas.microsoft.com/office/drawing/2014/main" id="{00000000-0008-0000-1C00-00001B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16840205"/>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xdr:colOff>
      <xdr:row>43</xdr:row>
      <xdr:rowOff>3</xdr:rowOff>
    </xdr:from>
    <xdr:to>
      <xdr:col>7</xdr:col>
      <xdr:colOff>77151</xdr:colOff>
      <xdr:row>55</xdr:row>
      <xdr:rowOff>139698</xdr:rowOff>
    </xdr:to>
    <xdr:pic macro="InsertPhoto">
      <xdr:nvPicPr>
        <xdr:cNvPr id="562204" name="PicBEF1" descr="E:\BD XPS 6\Tank.png">
          <a:extLst>
            <a:ext uri="{FF2B5EF4-FFF2-40B4-BE49-F238E27FC236}">
              <a16:creationId xmlns:a16="http://schemas.microsoft.com/office/drawing/2014/main" id="{00000000-0008-0000-1C00-00001C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7131053"/>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234952</xdr:colOff>
      <xdr:row>43</xdr:row>
      <xdr:rowOff>4</xdr:rowOff>
    </xdr:from>
    <xdr:to>
      <xdr:col>11</xdr:col>
      <xdr:colOff>732797</xdr:colOff>
      <xdr:row>55</xdr:row>
      <xdr:rowOff>139701</xdr:rowOff>
    </xdr:to>
    <xdr:pic macro="InsertPhoto">
      <xdr:nvPicPr>
        <xdr:cNvPr id="562205" name="PicAFTER1" descr="E:\BD XPS 6\Tank.png">
          <a:extLst>
            <a:ext uri="{FF2B5EF4-FFF2-40B4-BE49-F238E27FC236}">
              <a16:creationId xmlns:a16="http://schemas.microsoft.com/office/drawing/2014/main" id="{00000000-0008-0000-1C00-00001D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8" y="6788731"/>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234951</xdr:colOff>
      <xdr:row>299</xdr:row>
      <xdr:rowOff>3</xdr:rowOff>
    </xdr:from>
    <xdr:to>
      <xdr:col>11</xdr:col>
      <xdr:colOff>732796</xdr:colOff>
      <xdr:row>311</xdr:row>
      <xdr:rowOff>139700</xdr:rowOff>
    </xdr:to>
    <xdr:pic macro="InsertPhoto">
      <xdr:nvPicPr>
        <xdr:cNvPr id="562206" name="PicAFTER5" descr="E:\BD XPS 6\Tank.png">
          <a:extLst>
            <a:ext uri="{FF2B5EF4-FFF2-40B4-BE49-F238E27FC236}">
              <a16:creationId xmlns:a16="http://schemas.microsoft.com/office/drawing/2014/main" id="{00000000-0008-0000-1C00-00001E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7" y="46920730"/>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xdr:colOff>
      <xdr:row>299</xdr:row>
      <xdr:rowOff>3</xdr:rowOff>
    </xdr:from>
    <xdr:to>
      <xdr:col>7</xdr:col>
      <xdr:colOff>77151</xdr:colOff>
      <xdr:row>311</xdr:row>
      <xdr:rowOff>139698</xdr:rowOff>
    </xdr:to>
    <xdr:pic macro="InsertPhoto">
      <xdr:nvPicPr>
        <xdr:cNvPr id="562207" name="PicBEF5" descr="E:\BD XPS 6\Tank.png">
          <a:extLst>
            <a:ext uri="{FF2B5EF4-FFF2-40B4-BE49-F238E27FC236}">
              <a16:creationId xmlns:a16="http://schemas.microsoft.com/office/drawing/2014/main" id="{00000000-0008-0000-1C00-00001F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46367703"/>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234951</xdr:colOff>
      <xdr:row>363</xdr:row>
      <xdr:rowOff>6</xdr:rowOff>
    </xdr:from>
    <xdr:to>
      <xdr:col>11</xdr:col>
      <xdr:colOff>732796</xdr:colOff>
      <xdr:row>375</xdr:row>
      <xdr:rowOff>139703</xdr:rowOff>
    </xdr:to>
    <xdr:pic macro="InsertPhoto">
      <xdr:nvPicPr>
        <xdr:cNvPr id="562208" name="PicAFTER6" descr="E:\BD XPS 6\Tank.png">
          <a:extLst>
            <a:ext uri="{FF2B5EF4-FFF2-40B4-BE49-F238E27FC236}">
              <a16:creationId xmlns:a16="http://schemas.microsoft.com/office/drawing/2014/main" id="{00000000-0008-0000-1C00-000020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8587" y="56953733"/>
          <a:ext cx="2962800" cy="2148606"/>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xdr:colOff>
      <xdr:row>363</xdr:row>
      <xdr:rowOff>6</xdr:rowOff>
    </xdr:from>
    <xdr:to>
      <xdr:col>7</xdr:col>
      <xdr:colOff>77151</xdr:colOff>
      <xdr:row>375</xdr:row>
      <xdr:rowOff>139701</xdr:rowOff>
    </xdr:to>
    <xdr:pic macro="InsertPhoto">
      <xdr:nvPicPr>
        <xdr:cNvPr id="562209" name="PicBEF6" descr="E:\BD XPS 6\Tank.png">
          <a:extLst>
            <a:ext uri="{FF2B5EF4-FFF2-40B4-BE49-F238E27FC236}">
              <a16:creationId xmlns:a16="http://schemas.microsoft.com/office/drawing/2014/main" id="{00000000-0008-0000-1C00-0000219408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7451" y="56210206"/>
          <a:ext cx="2966400" cy="2120895"/>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501770</xdr:colOff>
      <xdr:row>69</xdr:row>
      <xdr:rowOff>34638</xdr:rowOff>
    </xdr:from>
    <xdr:to>
      <xdr:col>13</xdr:col>
      <xdr:colOff>0</xdr:colOff>
      <xdr:row>74</xdr:row>
      <xdr:rowOff>73775</xdr:rowOff>
    </xdr:to>
    <xdr:pic macro="[0]!ImportLogo">
      <xdr:nvPicPr>
        <xdr:cNvPr id="60" name="PicSAC1" descr="F:\1.AMS-Marine\2.PRODUCTS\11.BunkerManager\PETRO\BM V1.11\SAC MARK 2019 - PETRO INSPECT.jpg">
          <a:extLst>
            <a:ext uri="{FF2B5EF4-FFF2-40B4-BE49-F238E27FC236}">
              <a16:creationId xmlns:a16="http://schemas.microsoft.com/office/drawing/2014/main" id="{00000000-0008-0000-1C00-00003C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64420" y="10674063"/>
          <a:ext cx="812680" cy="6106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498307</xdr:colOff>
      <xdr:row>133</xdr:row>
      <xdr:rowOff>36371</xdr:rowOff>
    </xdr:from>
    <xdr:to>
      <xdr:col>13</xdr:col>
      <xdr:colOff>0</xdr:colOff>
      <xdr:row>138</xdr:row>
      <xdr:rowOff>75508</xdr:rowOff>
    </xdr:to>
    <xdr:pic macro="[0]!ImportLogo">
      <xdr:nvPicPr>
        <xdr:cNvPr id="62" name="PicSAC2" descr="F:\1.AMS-Marine\2.PRODUCTS\11.BunkerManager\PETRO\BM V1.11\SAC MARK 2019 - PETRO INSPECT.jpg">
          <a:extLst>
            <a:ext uri="{FF2B5EF4-FFF2-40B4-BE49-F238E27FC236}">
              <a16:creationId xmlns:a16="http://schemas.microsoft.com/office/drawing/2014/main" id="{00000000-0008-0000-1C00-00003E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460957" y="20381771"/>
          <a:ext cx="816143" cy="6106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498307</xdr:colOff>
      <xdr:row>197</xdr:row>
      <xdr:rowOff>36371</xdr:rowOff>
    </xdr:from>
    <xdr:to>
      <xdr:col>13</xdr:col>
      <xdr:colOff>0</xdr:colOff>
      <xdr:row>202</xdr:row>
      <xdr:rowOff>75508</xdr:rowOff>
    </xdr:to>
    <xdr:pic macro="[0]!ImportLogo">
      <xdr:nvPicPr>
        <xdr:cNvPr id="64" name="PicSAC3" descr="F:\1.AMS-Marine\2.PRODUCTS\11.BunkerManager\PETRO\BM V1.11\SAC MARK 2019 - PETRO INSPECT.jpg">
          <a:extLst>
            <a:ext uri="{FF2B5EF4-FFF2-40B4-BE49-F238E27FC236}">
              <a16:creationId xmlns:a16="http://schemas.microsoft.com/office/drawing/2014/main" id="{00000000-0008-0000-1C00-000040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460957" y="30087746"/>
          <a:ext cx="816143" cy="6106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498307</xdr:colOff>
      <xdr:row>261</xdr:row>
      <xdr:rowOff>36370</xdr:rowOff>
    </xdr:from>
    <xdr:to>
      <xdr:col>13</xdr:col>
      <xdr:colOff>0</xdr:colOff>
      <xdr:row>266</xdr:row>
      <xdr:rowOff>75506</xdr:rowOff>
    </xdr:to>
    <xdr:pic macro="[0]!ImportLogo">
      <xdr:nvPicPr>
        <xdr:cNvPr id="66" name="PicSAC4" descr="F:\1.AMS-Marine\2.PRODUCTS\11.BunkerManager\PETRO\BM V1.11\SAC MARK 2019 - PETRO INSPECT.jpg">
          <a:extLst>
            <a:ext uri="{FF2B5EF4-FFF2-40B4-BE49-F238E27FC236}">
              <a16:creationId xmlns:a16="http://schemas.microsoft.com/office/drawing/2014/main" id="{00000000-0008-0000-1C00-000042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460957" y="39793720"/>
          <a:ext cx="816143" cy="610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498307</xdr:colOff>
      <xdr:row>325</xdr:row>
      <xdr:rowOff>36370</xdr:rowOff>
    </xdr:from>
    <xdr:to>
      <xdr:col>13</xdr:col>
      <xdr:colOff>0</xdr:colOff>
      <xdr:row>330</xdr:row>
      <xdr:rowOff>75506</xdr:rowOff>
    </xdr:to>
    <xdr:pic macro="[0]!ImportLogo">
      <xdr:nvPicPr>
        <xdr:cNvPr id="68" name="PicSAC5" descr="F:\1.AMS-Marine\2.PRODUCTS\11.BunkerManager\PETRO\BM V1.11\SAC MARK 2019 - PETRO INSPECT.jpg">
          <a:extLst>
            <a:ext uri="{FF2B5EF4-FFF2-40B4-BE49-F238E27FC236}">
              <a16:creationId xmlns:a16="http://schemas.microsoft.com/office/drawing/2014/main" id="{00000000-0008-0000-1C00-000044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460957" y="49499695"/>
          <a:ext cx="816143" cy="610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498307</xdr:colOff>
      <xdr:row>389</xdr:row>
      <xdr:rowOff>8660</xdr:rowOff>
    </xdr:from>
    <xdr:to>
      <xdr:col>13</xdr:col>
      <xdr:colOff>0</xdr:colOff>
      <xdr:row>394</xdr:row>
      <xdr:rowOff>47796</xdr:rowOff>
    </xdr:to>
    <xdr:pic macro="[0]!ImportLogo">
      <xdr:nvPicPr>
        <xdr:cNvPr id="72" name="PicSAC6" descr="F:\1.AMS-Marine\2.PRODUCTS\11.BunkerManager\PETRO\BM V1.11\SAC MARK 2019 - PETRO INSPECT.jpg">
          <a:extLst>
            <a:ext uri="{FF2B5EF4-FFF2-40B4-BE49-F238E27FC236}">
              <a16:creationId xmlns:a16="http://schemas.microsoft.com/office/drawing/2014/main" id="{00000000-0008-0000-1C00-000048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460957" y="10590935"/>
          <a:ext cx="816143" cy="610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114268</xdr:colOff>
      <xdr:row>1</xdr:row>
      <xdr:rowOff>95250</xdr:rowOff>
    </xdr:from>
    <xdr:to>
      <xdr:col>4</xdr:col>
      <xdr:colOff>254857</xdr:colOff>
      <xdr:row>6</xdr:row>
      <xdr:rowOff>118052</xdr:rowOff>
    </xdr:to>
    <xdr:pic macro="ImportLogo">
      <xdr:nvPicPr>
        <xdr:cNvPr id="43" name="PicLogo" descr="C:\Users\XPS-Takis\Desktop\BD XPS\PicPetro1.png">
          <a:extLst>
            <a:ext uri="{FF2B5EF4-FFF2-40B4-BE49-F238E27FC236}">
              <a16:creationId xmlns:a16="http://schemas.microsoft.com/office/drawing/2014/main" id="{00000000-0008-0000-1C00-00002B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4268" y="95250"/>
          <a:ext cx="1717929" cy="9829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oneCellAnchor>
    <xdr:from>
      <xdr:col>10</xdr:col>
      <xdr:colOff>266700</xdr:colOff>
      <xdr:row>0</xdr:row>
      <xdr:rowOff>28575</xdr:rowOff>
    </xdr:from>
    <xdr:ext cx="384175" cy="441325"/>
    <xdr:pic macro="[0]!ImportLogo">
      <xdr:nvPicPr>
        <xdr:cNvPr id="3" name="PictureBD" descr="C:\Users\kc\Desktop\B_png.png" hidden="1">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29375" y="28575"/>
          <a:ext cx="384175" cy="441325"/>
        </a:xfrm>
        <a:prstGeom prst="rect">
          <a:avLst/>
        </a:prstGeom>
        <a:noFill/>
        <a:ln>
          <a:noFill/>
        </a:ln>
      </xdr:spPr>
    </xdr:pic>
    <xdr:clientData/>
  </xdr:oneCellAnchor>
  <xdr:twoCellAnchor editAs="oneCell">
    <xdr:from>
      <xdr:col>1</xdr:col>
      <xdr:colOff>9525</xdr:colOff>
      <xdr:row>8</xdr:row>
      <xdr:rowOff>19050</xdr:rowOff>
    </xdr:from>
    <xdr:to>
      <xdr:col>2</xdr:col>
      <xdr:colOff>676275</xdr:colOff>
      <xdr:row>12</xdr:row>
      <xdr:rowOff>16764</xdr:rowOff>
    </xdr:to>
    <xdr:sp macro="[0]!GOMAIN" textlink="">
      <xdr:nvSpPr>
        <xdr:cNvPr id="5" name="Rounded Rectangle 4">
          <a:extLst>
            <a:ext uri="{FF2B5EF4-FFF2-40B4-BE49-F238E27FC236}">
              <a16:creationId xmlns:a16="http://schemas.microsoft.com/office/drawing/2014/main" id="{00000000-0008-0000-1D00-000005000000}"/>
            </a:ext>
          </a:extLst>
        </xdr:cNvPr>
        <xdr:cNvSpPr/>
      </xdr:nvSpPr>
      <xdr:spPr>
        <a:xfrm>
          <a:off x="38100" y="1295400"/>
          <a:ext cx="1352550" cy="283464"/>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xdr:col>
      <xdr:colOff>57111</xdr:colOff>
      <xdr:row>0</xdr:row>
      <xdr:rowOff>114294</xdr:rowOff>
    </xdr:from>
    <xdr:to>
      <xdr:col>3</xdr:col>
      <xdr:colOff>569175</xdr:colOff>
      <xdr:row>6</xdr:row>
      <xdr:rowOff>43047</xdr:rowOff>
    </xdr:to>
    <xdr:pic macro="ImportLogo">
      <xdr:nvPicPr>
        <xdr:cNvPr id="6" name="PicLogo" descr="C:\Users\XPS-Takis\Desktop\BD XPS\PicPetro1.png">
          <a:extLst>
            <a:ext uri="{FF2B5EF4-FFF2-40B4-BE49-F238E27FC236}">
              <a16:creationId xmlns:a16="http://schemas.microsoft.com/office/drawing/2014/main" id="{00000000-0008-0000-1D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971" y="114294"/>
          <a:ext cx="1746504" cy="965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oneCellAnchor>
    <xdr:from>
      <xdr:col>10</xdr:col>
      <xdr:colOff>285750</xdr:colOff>
      <xdr:row>0</xdr:row>
      <xdr:rowOff>28575</xdr:rowOff>
    </xdr:from>
    <xdr:ext cx="355600" cy="409575"/>
    <xdr:pic macro="[0]!ImportLogo">
      <xdr:nvPicPr>
        <xdr:cNvPr id="3" name="PictureBD" descr="C:\Users\kc\Desktop\B_png.png" hidden="1">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9875" y="28575"/>
          <a:ext cx="355600" cy="409575"/>
        </a:xfrm>
        <a:prstGeom prst="rect">
          <a:avLst/>
        </a:prstGeom>
        <a:noFill/>
        <a:ln>
          <a:noFill/>
        </a:ln>
      </xdr:spPr>
    </xdr:pic>
    <xdr:clientData/>
  </xdr:oneCellAnchor>
  <xdr:twoCellAnchor editAs="oneCell">
    <xdr:from>
      <xdr:col>8</xdr:col>
      <xdr:colOff>342900</xdr:colOff>
      <xdr:row>11</xdr:row>
      <xdr:rowOff>66674</xdr:rowOff>
    </xdr:from>
    <xdr:to>
      <xdr:col>10</xdr:col>
      <xdr:colOff>609600</xdr:colOff>
      <xdr:row>13</xdr:row>
      <xdr:rowOff>38099</xdr:rowOff>
    </xdr:to>
    <xdr:sp macro="[0]!GOMAIN" textlink="">
      <xdr:nvSpPr>
        <xdr:cNvPr id="8" name="Rounded Rectangle 7">
          <a:extLst>
            <a:ext uri="{FF2B5EF4-FFF2-40B4-BE49-F238E27FC236}">
              <a16:creationId xmlns:a16="http://schemas.microsoft.com/office/drawing/2014/main" id="{00000000-0008-0000-1E00-000008000000}"/>
            </a:ext>
          </a:extLst>
        </xdr:cNvPr>
        <xdr:cNvSpPr/>
      </xdr:nvSpPr>
      <xdr:spPr>
        <a:xfrm>
          <a:off x="5562600" y="1666874"/>
          <a:ext cx="138112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8</xdr:col>
      <xdr:colOff>342900</xdr:colOff>
      <xdr:row>13</xdr:row>
      <xdr:rowOff>104775</xdr:rowOff>
    </xdr:from>
    <xdr:to>
      <xdr:col>10</xdr:col>
      <xdr:colOff>609600</xdr:colOff>
      <xdr:row>14</xdr:row>
      <xdr:rowOff>142875</xdr:rowOff>
    </xdr:to>
    <xdr:sp macro="[0]!SHOWDIAGRAM" textlink="">
      <xdr:nvSpPr>
        <xdr:cNvPr id="2" name="Rounded Rectangle 1">
          <a:extLst>
            <a:ext uri="{FF2B5EF4-FFF2-40B4-BE49-F238E27FC236}">
              <a16:creationId xmlns:a16="http://schemas.microsoft.com/office/drawing/2014/main" id="{00000000-0008-0000-1E00-000002000000}"/>
            </a:ext>
          </a:extLst>
        </xdr:cNvPr>
        <xdr:cNvSpPr/>
      </xdr:nvSpPr>
      <xdr:spPr>
        <a:xfrm>
          <a:off x="5562600" y="1990725"/>
          <a:ext cx="1381125" cy="238125"/>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2"/>
              </a:solidFill>
            </a:rPr>
            <a:t>VIEW DIAGRAM</a:t>
          </a:r>
        </a:p>
      </xdr:txBody>
    </xdr:sp>
    <xdr:clientData fPrintsWithSheet="0"/>
  </xdr:twoCellAnchor>
  <mc:AlternateContent xmlns:mc="http://schemas.openxmlformats.org/markup-compatibility/2006">
    <mc:Choice xmlns:a14="http://schemas.microsoft.com/office/drawing/2010/main" Requires="a14">
      <xdr:twoCellAnchor editAs="oneCell">
        <xdr:from>
          <xdr:col>8</xdr:col>
          <xdr:colOff>342900</xdr:colOff>
          <xdr:row>15</xdr:row>
          <xdr:rowOff>38100</xdr:rowOff>
        </xdr:from>
        <xdr:to>
          <xdr:col>10</xdr:col>
          <xdr:colOff>619125</xdr:colOff>
          <xdr:row>16</xdr:row>
          <xdr:rowOff>123825</xdr:rowOff>
        </xdr:to>
        <xdr:sp macro="" textlink="">
          <xdr:nvSpPr>
            <xdr:cNvPr id="565250" name="List Box 2" hidden="1">
              <a:extLst>
                <a:ext uri="{63B3BB69-23CF-44E3-9099-C40C66FF867C}">
                  <a14:compatExt spid="_x0000_s565250"/>
                </a:ext>
                <a:ext uri="{FF2B5EF4-FFF2-40B4-BE49-F238E27FC236}">
                  <a16:creationId xmlns:a16="http://schemas.microsoft.com/office/drawing/2014/main" id="{00000000-0008-0000-1E00-000002A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xdr:col>
      <xdr:colOff>66636</xdr:colOff>
      <xdr:row>0</xdr:row>
      <xdr:rowOff>38091</xdr:rowOff>
    </xdr:from>
    <xdr:to>
      <xdr:col>3</xdr:col>
      <xdr:colOff>578700</xdr:colOff>
      <xdr:row>6</xdr:row>
      <xdr:rowOff>49394</xdr:rowOff>
    </xdr:to>
    <xdr:pic macro="ImportLogo">
      <xdr:nvPicPr>
        <xdr:cNvPr id="9" name="PicLogo" descr="C:\Users\XPS-Takis\Desktop\BD XPS\PicPetro1.png">
          <a:extLst>
            <a:ext uri="{FF2B5EF4-FFF2-40B4-BE49-F238E27FC236}">
              <a16:creationId xmlns:a16="http://schemas.microsoft.com/office/drawing/2014/main" id="{00000000-0008-0000-1E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116" y="38091"/>
          <a:ext cx="1746504" cy="994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40</xdr:row>
      <xdr:rowOff>0</xdr:rowOff>
    </xdr:from>
    <xdr:to>
      <xdr:col>5</xdr:col>
      <xdr:colOff>9525</xdr:colOff>
      <xdr:row>52</xdr:row>
      <xdr:rowOff>9525</xdr:rowOff>
    </xdr:to>
    <xdr:pic macro="InsertPhoto">
      <xdr:nvPicPr>
        <xdr:cNvPr id="565251" name="PicMGO">
          <a:extLst>
            <a:ext uri="{FF2B5EF4-FFF2-40B4-BE49-F238E27FC236}">
              <a16:creationId xmlns:a16="http://schemas.microsoft.com/office/drawing/2014/main" id="{00000000-0008-0000-1E00-000003A008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8100" y="6962775"/>
          <a:ext cx="3057525" cy="22860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40</xdr:row>
      <xdr:rowOff>0</xdr:rowOff>
    </xdr:from>
    <xdr:to>
      <xdr:col>11</xdr:col>
      <xdr:colOff>6351</xdr:colOff>
      <xdr:row>52</xdr:row>
      <xdr:rowOff>9525</xdr:rowOff>
    </xdr:to>
    <xdr:pic macro="InsertPhoto">
      <xdr:nvPicPr>
        <xdr:cNvPr id="4" name="PicFO">
          <a:extLst>
            <a:ext uri="{FF2B5EF4-FFF2-40B4-BE49-F238E27FC236}">
              <a16:creationId xmlns:a16="http://schemas.microsoft.com/office/drawing/2014/main" id="{00000000-0008-0000-1E00-000004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838576" y="6962775"/>
          <a:ext cx="3159125" cy="2286000"/>
        </a:xfrm>
        <a:prstGeom prst="rect">
          <a:avLst/>
        </a:prstGeom>
        <a:noFill/>
        <a:ln w="6350">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oneCellAnchor>
    <xdr:from>
      <xdr:col>10</xdr:col>
      <xdr:colOff>276225</xdr:colOff>
      <xdr:row>0</xdr:row>
      <xdr:rowOff>57150</xdr:rowOff>
    </xdr:from>
    <xdr:ext cx="384175" cy="441325"/>
    <xdr:pic macro="[0]!ImportLogo">
      <xdr:nvPicPr>
        <xdr:cNvPr id="2" name="PictureBD" descr="C:\Users\kc\Desktop\B_png.png" hidden="1">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1825" y="57150"/>
          <a:ext cx="384175" cy="441325"/>
        </a:xfrm>
        <a:prstGeom prst="rect">
          <a:avLst/>
        </a:prstGeom>
        <a:noFill/>
        <a:ln>
          <a:noFill/>
        </a:ln>
      </xdr:spPr>
    </xdr:pic>
    <xdr:clientData/>
  </xdr:oneCellAnchor>
  <xdr:twoCellAnchor editAs="oneCell">
    <xdr:from>
      <xdr:col>0</xdr:col>
      <xdr:colOff>19050</xdr:colOff>
      <xdr:row>8</xdr:row>
      <xdr:rowOff>38100</xdr:rowOff>
    </xdr:from>
    <xdr:to>
      <xdr:col>2</xdr:col>
      <xdr:colOff>0</xdr:colOff>
      <xdr:row>10</xdr:row>
      <xdr:rowOff>0</xdr:rowOff>
    </xdr:to>
    <xdr:sp macro="[0]!GOMAIN" textlink="">
      <xdr:nvSpPr>
        <xdr:cNvPr id="5" name="Rounded Rectangle 4">
          <a:extLst>
            <a:ext uri="{FF2B5EF4-FFF2-40B4-BE49-F238E27FC236}">
              <a16:creationId xmlns:a16="http://schemas.microsoft.com/office/drawing/2014/main" id="{00000000-0008-0000-1F00-000005000000}"/>
            </a:ext>
          </a:extLst>
        </xdr:cNvPr>
        <xdr:cNvSpPr/>
      </xdr:nvSpPr>
      <xdr:spPr>
        <a:xfrm>
          <a:off x="19050" y="1381125"/>
          <a:ext cx="1238250" cy="2476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0</xdr:col>
      <xdr:colOff>114261</xdr:colOff>
      <xdr:row>0</xdr:row>
      <xdr:rowOff>152394</xdr:rowOff>
    </xdr:from>
    <xdr:to>
      <xdr:col>3</xdr:col>
      <xdr:colOff>54825</xdr:colOff>
      <xdr:row>6</xdr:row>
      <xdr:rowOff>43047</xdr:rowOff>
    </xdr:to>
    <xdr:pic macro="ImportLogo">
      <xdr:nvPicPr>
        <xdr:cNvPr id="6" name="PicLogo" descr="C:\Users\XPS-Takis\Desktop\BD XPS\PicPetro1.png">
          <a:extLst>
            <a:ext uri="{FF2B5EF4-FFF2-40B4-BE49-F238E27FC236}">
              <a16:creationId xmlns:a16="http://schemas.microsoft.com/office/drawing/2014/main" id="{00000000-0008-0000-1F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261" y="152394"/>
          <a:ext cx="1685544" cy="926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oneCellAnchor>
    <xdr:from>
      <xdr:col>7</xdr:col>
      <xdr:colOff>596900</xdr:colOff>
      <xdr:row>9</xdr:row>
      <xdr:rowOff>9525</xdr:rowOff>
    </xdr:from>
    <xdr:ext cx="3600000" cy="209550"/>
    <xdr:sp macro="[0]!GOMAIN" textlink="">
      <xdr:nvSpPr>
        <xdr:cNvPr id="7" name="Rounded Rectangle 6">
          <a:extLst>
            <a:ext uri="{FF2B5EF4-FFF2-40B4-BE49-F238E27FC236}">
              <a16:creationId xmlns:a16="http://schemas.microsoft.com/office/drawing/2014/main" id="{00000000-0008-0000-2000-000007000000}"/>
            </a:ext>
          </a:extLst>
        </xdr:cNvPr>
        <xdr:cNvSpPr/>
      </xdr:nvSpPr>
      <xdr:spPr>
        <a:xfrm>
          <a:off x="4057650" y="1196975"/>
          <a:ext cx="3600000" cy="209550"/>
        </a:xfrm>
        <a:prstGeom prst="roundRect">
          <a:avLst/>
        </a:prstGeom>
        <a:solidFill>
          <a:srgbClr val="FFFF00"/>
        </a:solidFill>
        <a:ln/>
        <a:scene3d>
          <a:camera prst="orthographicFront">
            <a:rot lat="0" lon="0" rev="0"/>
          </a:camera>
          <a:lightRig rig="threePt" dir="t">
            <a:rot lat="0" lon="0" rev="1200000"/>
          </a:lightRig>
        </a:scene3d>
        <a:sp3d>
          <a:bevelT w="63500" h="254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oneCellAnchor>
  <xdr:twoCellAnchor>
    <xdr:from>
      <xdr:col>19</xdr:col>
      <xdr:colOff>361950</xdr:colOff>
      <xdr:row>1</xdr:row>
      <xdr:rowOff>38100</xdr:rowOff>
    </xdr:from>
    <xdr:to>
      <xdr:col>19</xdr:col>
      <xdr:colOff>658506</xdr:colOff>
      <xdr:row>3</xdr:row>
      <xdr:rowOff>9525</xdr:rowOff>
    </xdr:to>
    <xdr:pic macro="[0]!ImportLogo">
      <xdr:nvPicPr>
        <xdr:cNvPr id="6" name="PictureBD" descr="C:\Users\kc\Desktop\B_png.png" hidden="1">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228600"/>
          <a:ext cx="296556" cy="35242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10</xdr:col>
          <xdr:colOff>142875</xdr:colOff>
          <xdr:row>13</xdr:row>
          <xdr:rowOff>38100</xdr:rowOff>
        </xdr:from>
        <xdr:to>
          <xdr:col>13</xdr:col>
          <xdr:colOff>219075</xdr:colOff>
          <xdr:row>14</xdr:row>
          <xdr:rowOff>133350</xdr:rowOff>
        </xdr:to>
        <xdr:sp macro="" textlink="">
          <xdr:nvSpPr>
            <xdr:cNvPr id="382980" name="List Box 4" hidden="1">
              <a:extLst>
                <a:ext uri="{63B3BB69-23CF-44E3-9099-C40C66FF867C}">
                  <a14:compatExt spid="_x0000_s382980"/>
                </a:ext>
                <a:ext uri="{FF2B5EF4-FFF2-40B4-BE49-F238E27FC236}">
                  <a16:creationId xmlns:a16="http://schemas.microsoft.com/office/drawing/2014/main" id="{00000000-0008-0000-2000-000004D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xdr:row>
          <xdr:rowOff>9525</xdr:rowOff>
        </xdr:from>
        <xdr:to>
          <xdr:col>9</xdr:col>
          <xdr:colOff>523875</xdr:colOff>
          <xdr:row>15</xdr:row>
          <xdr:rowOff>38100</xdr:rowOff>
        </xdr:to>
        <xdr:sp macro="" textlink="">
          <xdr:nvSpPr>
            <xdr:cNvPr id="382981" name="List Box 5" hidden="1">
              <a:extLst>
                <a:ext uri="{63B3BB69-23CF-44E3-9099-C40C66FF867C}">
                  <a14:compatExt spid="_x0000_s382981"/>
                </a:ext>
                <a:ext uri="{FF2B5EF4-FFF2-40B4-BE49-F238E27FC236}">
                  <a16:creationId xmlns:a16="http://schemas.microsoft.com/office/drawing/2014/main" id="{00000000-0008-0000-2000-000005D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13</xdr:row>
          <xdr:rowOff>38100</xdr:rowOff>
        </xdr:from>
        <xdr:to>
          <xdr:col>15</xdr:col>
          <xdr:colOff>0</xdr:colOff>
          <xdr:row>14</xdr:row>
          <xdr:rowOff>133350</xdr:rowOff>
        </xdr:to>
        <xdr:sp macro="" textlink="">
          <xdr:nvSpPr>
            <xdr:cNvPr id="382982" name="List Box 6" hidden="1">
              <a:extLst>
                <a:ext uri="{63B3BB69-23CF-44E3-9099-C40C66FF867C}">
                  <a14:compatExt spid="_x0000_s382982"/>
                </a:ext>
                <a:ext uri="{FF2B5EF4-FFF2-40B4-BE49-F238E27FC236}">
                  <a16:creationId xmlns:a16="http://schemas.microsoft.com/office/drawing/2014/main" id="{00000000-0008-0000-2000-000006D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2</xdr:col>
      <xdr:colOff>85704</xdr:colOff>
      <xdr:row>1</xdr:row>
      <xdr:rowOff>57141</xdr:rowOff>
    </xdr:from>
    <xdr:to>
      <xdr:col>4</xdr:col>
      <xdr:colOff>353293</xdr:colOff>
      <xdr:row>6</xdr:row>
      <xdr:rowOff>90669</xdr:rowOff>
    </xdr:to>
    <xdr:pic macro="ImportLogo">
      <xdr:nvPicPr>
        <xdr:cNvPr id="8" name="PicLogo" descr="C:\Users\XPS-Takis\Desktop\BD XPS\PicPetro1.png">
          <a:extLst>
            <a:ext uri="{FF2B5EF4-FFF2-40B4-BE49-F238E27FC236}">
              <a16:creationId xmlns:a16="http://schemas.microsoft.com/office/drawing/2014/main" id="{00000000-0008-0000-20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04" y="57141"/>
          <a:ext cx="1723009" cy="986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oneCellAnchor>
    <xdr:from>
      <xdr:col>11</xdr:col>
      <xdr:colOff>304800</xdr:colOff>
      <xdr:row>0</xdr:row>
      <xdr:rowOff>19050</xdr:rowOff>
    </xdr:from>
    <xdr:ext cx="346075" cy="409575"/>
    <xdr:pic macro="[0]!ImportLogo">
      <xdr:nvPicPr>
        <xdr:cNvPr id="2" name="PictureBD" descr="C:\Users\kc\Desktop\B_png.png" hidden="1">
          <a:extLst>
            <a:ext uri="{FF2B5EF4-FFF2-40B4-BE49-F238E27FC236}">
              <a16:creationId xmlns:a16="http://schemas.microsoft.com/office/drawing/2014/main" id="{00000000-0008-0000-2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48575" y="19050"/>
          <a:ext cx="346075" cy="409575"/>
        </a:xfrm>
        <a:prstGeom prst="rect">
          <a:avLst/>
        </a:prstGeom>
        <a:noFill/>
        <a:ln>
          <a:noFill/>
        </a:ln>
      </xdr:spPr>
    </xdr:pic>
    <xdr:clientData/>
  </xdr:oneCellAnchor>
  <xdr:twoCellAnchor editAs="oneCell">
    <xdr:from>
      <xdr:col>0</xdr:col>
      <xdr:colOff>1</xdr:colOff>
      <xdr:row>8</xdr:row>
      <xdr:rowOff>38100</xdr:rowOff>
    </xdr:from>
    <xdr:to>
      <xdr:col>2</xdr:col>
      <xdr:colOff>1</xdr:colOff>
      <xdr:row>10</xdr:row>
      <xdr:rowOff>38100</xdr:rowOff>
    </xdr:to>
    <xdr:sp macro="[0]!GOMAIN" textlink="">
      <xdr:nvSpPr>
        <xdr:cNvPr id="6" name="Rounded Rectangle 5">
          <a:extLst>
            <a:ext uri="{FF2B5EF4-FFF2-40B4-BE49-F238E27FC236}">
              <a16:creationId xmlns:a16="http://schemas.microsoft.com/office/drawing/2014/main" id="{00000000-0008-0000-2100-000006000000}"/>
            </a:ext>
          </a:extLst>
        </xdr:cNvPr>
        <xdr:cNvSpPr/>
      </xdr:nvSpPr>
      <xdr:spPr>
        <a:xfrm>
          <a:off x="1" y="1257300"/>
          <a:ext cx="1295400" cy="285750"/>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3</xdr:col>
      <xdr:colOff>995</xdr:colOff>
      <xdr:row>23</xdr:row>
      <xdr:rowOff>9525</xdr:rowOff>
    </xdr:from>
    <xdr:to>
      <xdr:col>5</xdr:col>
      <xdr:colOff>1</xdr:colOff>
      <xdr:row>24</xdr:row>
      <xdr:rowOff>107950</xdr:rowOff>
    </xdr:to>
    <xdr:sp macro="[0]!GOCONSUM" textlink="">
      <xdr:nvSpPr>
        <xdr:cNvPr id="7" name="Rounded Rectangle 6">
          <a:extLst>
            <a:ext uri="{FF2B5EF4-FFF2-40B4-BE49-F238E27FC236}">
              <a16:creationId xmlns:a16="http://schemas.microsoft.com/office/drawing/2014/main" id="{00000000-0008-0000-2100-000007000000}"/>
            </a:ext>
          </a:extLst>
        </xdr:cNvPr>
        <xdr:cNvSpPr/>
      </xdr:nvSpPr>
      <xdr:spPr>
        <a:xfrm>
          <a:off x="2236195" y="3921125"/>
          <a:ext cx="1453156" cy="288925"/>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200" b="1">
              <a:solidFill>
                <a:srgbClr val="002060"/>
              </a:solidFill>
              <a:effectLst/>
            </a:rPr>
            <a:t>Ship's Declaration</a:t>
          </a:r>
        </a:p>
      </xdr:txBody>
    </xdr:sp>
    <xdr:clientData fPrintsWithSheet="0"/>
  </xdr:twoCellAnchor>
  <xdr:twoCellAnchor editAs="oneCell">
    <xdr:from>
      <xdr:col>0</xdr:col>
      <xdr:colOff>104736</xdr:colOff>
      <xdr:row>0</xdr:row>
      <xdr:rowOff>85715</xdr:rowOff>
    </xdr:from>
    <xdr:to>
      <xdr:col>2</xdr:col>
      <xdr:colOff>693000</xdr:colOff>
      <xdr:row>6</xdr:row>
      <xdr:rowOff>100193</xdr:rowOff>
    </xdr:to>
    <xdr:pic macro="ImportLogo">
      <xdr:nvPicPr>
        <xdr:cNvPr id="8" name="PicLogo" descr="C:\Users\XPS-Takis\Desktop\BD XPS\PicPetro1.png">
          <a:extLst>
            <a:ext uri="{FF2B5EF4-FFF2-40B4-BE49-F238E27FC236}">
              <a16:creationId xmlns:a16="http://schemas.microsoft.com/office/drawing/2014/main" id="{00000000-0008-0000-2100-000008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36" y="85715"/>
          <a:ext cx="1754124" cy="997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oneCellAnchor>
    <xdr:from>
      <xdr:col>7</xdr:col>
      <xdr:colOff>600075</xdr:colOff>
      <xdr:row>0</xdr:row>
      <xdr:rowOff>28575</xdr:rowOff>
    </xdr:from>
    <xdr:ext cx="346075" cy="409575"/>
    <xdr:pic macro="[0]!ImportLogo">
      <xdr:nvPicPr>
        <xdr:cNvPr id="3" name="PictureBD" descr="C:\Users\kc\Desktop\B_png.png" hidden="1">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572375" y="28575"/>
          <a:ext cx="346075" cy="409575"/>
        </a:xfrm>
        <a:prstGeom prst="rect">
          <a:avLst/>
        </a:prstGeom>
        <a:noFill/>
        <a:ln>
          <a:noFill/>
        </a:ln>
      </xdr:spPr>
    </xdr:pic>
    <xdr:clientData/>
  </xdr:oneCellAnchor>
  <xdr:twoCellAnchor editAs="oneCell">
    <xdr:from>
      <xdr:col>0</xdr:col>
      <xdr:colOff>47625</xdr:colOff>
      <xdr:row>12</xdr:row>
      <xdr:rowOff>47625</xdr:rowOff>
    </xdr:from>
    <xdr:to>
      <xdr:col>0</xdr:col>
      <xdr:colOff>1181100</xdr:colOff>
      <xdr:row>14</xdr:row>
      <xdr:rowOff>66674</xdr:rowOff>
    </xdr:to>
    <xdr:sp macro="[0]!GOMAIN" textlink="">
      <xdr:nvSpPr>
        <xdr:cNvPr id="7" name="Rounded Rectangle 6">
          <a:extLst>
            <a:ext uri="{FF2B5EF4-FFF2-40B4-BE49-F238E27FC236}">
              <a16:creationId xmlns:a16="http://schemas.microsoft.com/office/drawing/2014/main" id="{00000000-0008-0000-2200-000007000000}"/>
            </a:ext>
          </a:extLst>
        </xdr:cNvPr>
        <xdr:cNvSpPr/>
      </xdr:nvSpPr>
      <xdr:spPr>
        <a:xfrm>
          <a:off x="47625" y="1638300"/>
          <a:ext cx="1133475"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6</xdr:col>
      <xdr:colOff>628650</xdr:colOff>
      <xdr:row>12</xdr:row>
      <xdr:rowOff>38099</xdr:rowOff>
    </xdr:from>
    <xdr:to>
      <xdr:col>7</xdr:col>
      <xdr:colOff>923925</xdr:colOff>
      <xdr:row>14</xdr:row>
      <xdr:rowOff>28574</xdr:rowOff>
    </xdr:to>
    <xdr:sp macro="[0]!INSTRDAMAGE" textlink="">
      <xdr:nvSpPr>
        <xdr:cNvPr id="8" name="Rounded Rectangle 7">
          <a:extLst>
            <a:ext uri="{FF2B5EF4-FFF2-40B4-BE49-F238E27FC236}">
              <a16:creationId xmlns:a16="http://schemas.microsoft.com/office/drawing/2014/main" id="{00000000-0008-0000-2200-000008000000}"/>
            </a:ext>
          </a:extLst>
        </xdr:cNvPr>
        <xdr:cNvSpPr/>
      </xdr:nvSpPr>
      <xdr:spPr>
        <a:xfrm>
          <a:off x="6638925" y="1628774"/>
          <a:ext cx="1257300" cy="238125"/>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Instructions</a:t>
          </a:r>
        </a:p>
      </xdr:txBody>
    </xdr:sp>
    <xdr:clientData fPrintsWithSheet="0"/>
  </xdr:twoCellAnchor>
  <xdr:twoCellAnchor editAs="oneCell">
    <xdr:from>
      <xdr:col>3</xdr:col>
      <xdr:colOff>952500</xdr:colOff>
      <xdr:row>12</xdr:row>
      <xdr:rowOff>38100</xdr:rowOff>
    </xdr:from>
    <xdr:to>
      <xdr:col>5</xdr:col>
      <xdr:colOff>523875</xdr:colOff>
      <xdr:row>14</xdr:row>
      <xdr:rowOff>47625</xdr:rowOff>
    </xdr:to>
    <xdr:sp macro="[0]!GOCONSUM" textlink="">
      <xdr:nvSpPr>
        <xdr:cNvPr id="9" name="Rounded Rectangle 8">
          <a:extLst>
            <a:ext uri="{FF2B5EF4-FFF2-40B4-BE49-F238E27FC236}">
              <a16:creationId xmlns:a16="http://schemas.microsoft.com/office/drawing/2014/main" id="{00000000-0008-0000-2200-000009000000}"/>
            </a:ext>
          </a:extLst>
        </xdr:cNvPr>
        <xdr:cNvSpPr/>
      </xdr:nvSpPr>
      <xdr:spPr>
        <a:xfrm>
          <a:off x="4076700" y="1628775"/>
          <a:ext cx="1495425" cy="257175"/>
        </a:xfrm>
        <a:prstGeom prst="roundRect">
          <a:avLst/>
        </a:prstGeom>
        <a:solidFill>
          <a:srgbClr val="FFCC00"/>
        </a:solidFill>
        <a:ln>
          <a:noFill/>
        </a:ln>
        <a:effectLst>
          <a:outerShdw blurRad="107950" dist="12700" dir="5400000" algn="ctr">
            <a:srgbClr val="000000"/>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Ship's Declaration</a:t>
          </a:r>
        </a:p>
      </xdr:txBody>
    </xdr:sp>
    <xdr:clientData fPrintsWithSheet="0"/>
  </xdr:twoCellAnchor>
  <xdr:twoCellAnchor editAs="oneCell">
    <xdr:from>
      <xdr:col>0</xdr:col>
      <xdr:colOff>95211</xdr:colOff>
      <xdr:row>0</xdr:row>
      <xdr:rowOff>142866</xdr:rowOff>
    </xdr:from>
    <xdr:to>
      <xdr:col>1</xdr:col>
      <xdr:colOff>778725</xdr:colOff>
      <xdr:row>6</xdr:row>
      <xdr:rowOff>81144</xdr:rowOff>
    </xdr:to>
    <xdr:pic macro="ImportLogo">
      <xdr:nvPicPr>
        <xdr:cNvPr id="10" name="PicLogo" descr="C:\Users\XPS-Takis\Desktop\BD XPS\PicPetro1.png">
          <a:extLst>
            <a:ext uri="{FF2B5EF4-FFF2-40B4-BE49-F238E27FC236}">
              <a16:creationId xmlns:a16="http://schemas.microsoft.com/office/drawing/2014/main" id="{00000000-0008-0000-2200-00000A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11" y="142866"/>
          <a:ext cx="1765554" cy="997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11</xdr:col>
      <xdr:colOff>285750</xdr:colOff>
      <xdr:row>0</xdr:row>
      <xdr:rowOff>19050</xdr:rowOff>
    </xdr:from>
    <xdr:ext cx="355600" cy="409575"/>
    <xdr:pic macro="[0]!ImportLogo">
      <xdr:nvPicPr>
        <xdr:cNvPr id="3" name="PictureBD" descr="C:\Users\kc\Desktop\B_png.png" hidden="1">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72325" y="19050"/>
          <a:ext cx="355600" cy="409575"/>
        </a:xfrm>
        <a:prstGeom prst="rect">
          <a:avLst/>
        </a:prstGeom>
        <a:noFill/>
        <a:ln>
          <a:noFill/>
        </a:ln>
      </xdr:spPr>
    </xdr:pic>
    <xdr:clientData/>
  </xdr:oneCellAnchor>
  <xdr:twoCellAnchor editAs="oneCell">
    <xdr:from>
      <xdr:col>10</xdr:col>
      <xdr:colOff>276225</xdr:colOff>
      <xdr:row>10</xdr:row>
      <xdr:rowOff>38100</xdr:rowOff>
    </xdr:from>
    <xdr:to>
      <xdr:col>11</xdr:col>
      <xdr:colOff>657225</xdr:colOff>
      <xdr:row>11</xdr:row>
      <xdr:rowOff>142874</xdr:rowOff>
    </xdr:to>
    <xdr:sp macro="[0]!GOMAIN" textlink="">
      <xdr:nvSpPr>
        <xdr:cNvPr id="5" name="Rounded Rectangle 4">
          <a:extLst>
            <a:ext uri="{FF2B5EF4-FFF2-40B4-BE49-F238E27FC236}">
              <a16:creationId xmlns:a16="http://schemas.microsoft.com/office/drawing/2014/main" id="{00000000-0008-0000-2300-000005000000}"/>
            </a:ext>
          </a:extLst>
        </xdr:cNvPr>
        <xdr:cNvSpPr/>
      </xdr:nvSpPr>
      <xdr:spPr>
        <a:xfrm>
          <a:off x="6467475" y="1552575"/>
          <a:ext cx="1076325"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10</xdr:col>
      <xdr:colOff>276224</xdr:colOff>
      <xdr:row>12</xdr:row>
      <xdr:rowOff>38100</xdr:rowOff>
    </xdr:from>
    <xdr:to>
      <xdr:col>11</xdr:col>
      <xdr:colOff>676274</xdr:colOff>
      <xdr:row>13</xdr:row>
      <xdr:rowOff>104775</xdr:rowOff>
    </xdr:to>
    <xdr:sp macro="[0]!CLEARBLUE" textlink="">
      <xdr:nvSpPr>
        <xdr:cNvPr id="6" name="Rounded Rectangle 5">
          <a:extLst>
            <a:ext uri="{FF2B5EF4-FFF2-40B4-BE49-F238E27FC236}">
              <a16:creationId xmlns:a16="http://schemas.microsoft.com/office/drawing/2014/main" id="{00000000-0008-0000-2300-000006000000}"/>
            </a:ext>
          </a:extLst>
        </xdr:cNvPr>
        <xdr:cNvSpPr/>
      </xdr:nvSpPr>
      <xdr:spPr>
        <a:xfrm>
          <a:off x="6467474" y="1876425"/>
          <a:ext cx="1095375" cy="228600"/>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0</xdr:col>
      <xdr:colOff>47595</xdr:colOff>
      <xdr:row>0</xdr:row>
      <xdr:rowOff>123824</xdr:rowOff>
    </xdr:from>
    <xdr:to>
      <xdr:col>2</xdr:col>
      <xdr:colOff>826359</xdr:colOff>
      <xdr:row>6</xdr:row>
      <xdr:rowOff>104774</xdr:rowOff>
    </xdr:to>
    <xdr:pic macro="ImportLogo">
      <xdr:nvPicPr>
        <xdr:cNvPr id="7" name="PicLogo" descr="C:\Users\XPS-Takis\Desktop\BD XPS\PicPetro1.png">
          <a:extLst>
            <a:ext uri="{FF2B5EF4-FFF2-40B4-BE49-F238E27FC236}">
              <a16:creationId xmlns:a16="http://schemas.microsoft.com/office/drawing/2014/main" id="{00000000-0008-0000-2300-000007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595" y="123824"/>
          <a:ext cx="1769364" cy="10401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12</xdr:col>
      <xdr:colOff>514350</xdr:colOff>
      <xdr:row>0</xdr:row>
      <xdr:rowOff>9526</xdr:rowOff>
    </xdr:from>
    <xdr:ext cx="336550" cy="400049"/>
    <xdr:pic macro="[0]!ImportLogo">
      <xdr:nvPicPr>
        <xdr:cNvPr id="3" name="PictureBD" descr="C:\Users\kc\Desktop\B_png.png" hidden="1">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9525" y="9526"/>
          <a:ext cx="336550" cy="400049"/>
        </a:xfrm>
        <a:prstGeom prst="rect">
          <a:avLst/>
        </a:prstGeom>
        <a:noFill/>
        <a:ln>
          <a:noFill/>
        </a:ln>
      </xdr:spPr>
    </xdr:pic>
    <xdr:clientData/>
  </xdr:oneCellAnchor>
  <xdr:twoCellAnchor editAs="oneCell">
    <xdr:from>
      <xdr:col>9</xdr:col>
      <xdr:colOff>9525</xdr:colOff>
      <xdr:row>10</xdr:row>
      <xdr:rowOff>76200</xdr:rowOff>
    </xdr:from>
    <xdr:to>
      <xdr:col>10</xdr:col>
      <xdr:colOff>809625</xdr:colOff>
      <xdr:row>12</xdr:row>
      <xdr:rowOff>76200</xdr:rowOff>
    </xdr:to>
    <xdr:sp macro="[0]!GOMAIN" textlink="">
      <xdr:nvSpPr>
        <xdr:cNvPr id="7" name="Rounded Rectangle 6">
          <a:extLst>
            <a:ext uri="{FF2B5EF4-FFF2-40B4-BE49-F238E27FC236}">
              <a16:creationId xmlns:a16="http://schemas.microsoft.com/office/drawing/2014/main" id="{00000000-0008-0000-2400-000007000000}"/>
            </a:ext>
          </a:extLst>
        </xdr:cNvPr>
        <xdr:cNvSpPr/>
      </xdr:nvSpPr>
      <xdr:spPr>
        <a:xfrm>
          <a:off x="4438650" y="1609725"/>
          <a:ext cx="1781175" cy="2571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9</xdr:col>
      <xdr:colOff>38099</xdr:colOff>
      <xdr:row>17</xdr:row>
      <xdr:rowOff>95250</xdr:rowOff>
    </xdr:from>
    <xdr:to>
      <xdr:col>10</xdr:col>
      <xdr:colOff>819150</xdr:colOff>
      <xdr:row>19</xdr:row>
      <xdr:rowOff>19050</xdr:rowOff>
    </xdr:to>
    <xdr:sp macro="[0]!GOCONSUMBC" textlink="">
      <xdr:nvSpPr>
        <xdr:cNvPr id="8" name="Rounded Rectangle 7">
          <a:extLst>
            <a:ext uri="{FF2B5EF4-FFF2-40B4-BE49-F238E27FC236}">
              <a16:creationId xmlns:a16="http://schemas.microsoft.com/office/drawing/2014/main" id="{00000000-0008-0000-2400-000008000000}"/>
            </a:ext>
          </a:extLst>
        </xdr:cNvPr>
        <xdr:cNvSpPr/>
      </xdr:nvSpPr>
      <xdr:spPr>
        <a:xfrm>
          <a:off x="4467224" y="2752725"/>
          <a:ext cx="1762126" cy="285750"/>
        </a:xfrm>
        <a:prstGeom prst="roundRect">
          <a:avLst/>
        </a:prstGeom>
        <a:solidFill>
          <a:srgbClr val="FFCC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Ship's Declaration</a:t>
          </a:r>
        </a:p>
      </xdr:txBody>
    </xdr:sp>
    <xdr:clientData fPrintsWithSheet="0"/>
  </xdr:twoCellAnchor>
  <xdr:twoCellAnchor editAs="oneCell">
    <xdr:from>
      <xdr:col>1</xdr:col>
      <xdr:colOff>19050</xdr:colOff>
      <xdr:row>20</xdr:row>
      <xdr:rowOff>19050</xdr:rowOff>
    </xdr:from>
    <xdr:to>
      <xdr:col>1</xdr:col>
      <xdr:colOff>1143000</xdr:colOff>
      <xdr:row>21</xdr:row>
      <xdr:rowOff>95250</xdr:rowOff>
    </xdr:to>
    <xdr:sp macro="[0]!CLEARBLUE" textlink="">
      <xdr:nvSpPr>
        <xdr:cNvPr id="6" name="Rounded Rectangle 5">
          <a:extLst>
            <a:ext uri="{FF2B5EF4-FFF2-40B4-BE49-F238E27FC236}">
              <a16:creationId xmlns:a16="http://schemas.microsoft.com/office/drawing/2014/main" id="{00000000-0008-0000-2400-000006000000}"/>
            </a:ext>
          </a:extLst>
        </xdr:cNvPr>
        <xdr:cNvSpPr/>
      </xdr:nvSpPr>
      <xdr:spPr>
        <a:xfrm>
          <a:off x="200025" y="3124200"/>
          <a:ext cx="1123950" cy="238125"/>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xdr:twoCellAnchor editAs="oneCell">
    <xdr:from>
      <xdr:col>0</xdr:col>
      <xdr:colOff>158077</xdr:colOff>
      <xdr:row>0</xdr:row>
      <xdr:rowOff>114292</xdr:rowOff>
    </xdr:from>
    <xdr:to>
      <xdr:col>3</xdr:col>
      <xdr:colOff>254851</xdr:colOff>
      <xdr:row>6</xdr:row>
      <xdr:rowOff>100195</xdr:rowOff>
    </xdr:to>
    <xdr:pic macro="ImportLogo">
      <xdr:nvPicPr>
        <xdr:cNvPr id="9" name="PicLogo" descr="C:\Users\XPS-Takis\Desktop\BD XPS\PicPetro1.png">
          <a:extLst>
            <a:ext uri="{FF2B5EF4-FFF2-40B4-BE49-F238E27FC236}">
              <a16:creationId xmlns:a16="http://schemas.microsoft.com/office/drawing/2014/main" id="{00000000-0008-0000-24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077" y="114292"/>
          <a:ext cx="1719834" cy="1045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18</xdr:col>
      <xdr:colOff>219075</xdr:colOff>
      <xdr:row>0</xdr:row>
      <xdr:rowOff>161925</xdr:rowOff>
    </xdr:from>
    <xdr:to>
      <xdr:col>18</xdr:col>
      <xdr:colOff>515631</xdr:colOff>
      <xdr:row>2</xdr:row>
      <xdr:rowOff>133350</xdr:rowOff>
    </xdr:to>
    <xdr:pic macro="[0]!ImportLogo">
      <xdr:nvPicPr>
        <xdr:cNvPr id="3" name="PictureBD" descr="C:\Users\kc\Desktop\B_png.png" hidden="1">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67775" y="161925"/>
          <a:ext cx="296556" cy="352425"/>
        </a:xfrm>
        <a:prstGeom prst="rect">
          <a:avLst/>
        </a:prstGeom>
        <a:noFill/>
        <a:ln>
          <a:noFill/>
        </a:ln>
      </xdr:spPr>
    </xdr:pic>
    <xdr:clientData/>
  </xdr:twoCellAnchor>
  <xdr:twoCellAnchor editAs="oneCell">
    <xdr:from>
      <xdr:col>3</xdr:col>
      <xdr:colOff>38100</xdr:colOff>
      <xdr:row>9</xdr:row>
      <xdr:rowOff>9525</xdr:rowOff>
    </xdr:from>
    <xdr:to>
      <xdr:col>4</xdr:col>
      <xdr:colOff>590550</xdr:colOff>
      <xdr:row>10</xdr:row>
      <xdr:rowOff>9525</xdr:rowOff>
    </xdr:to>
    <xdr:sp macro="[0]!GOMAIN" textlink="">
      <xdr:nvSpPr>
        <xdr:cNvPr id="5" name="Rounded Rectangle 4">
          <a:extLst>
            <a:ext uri="{FF2B5EF4-FFF2-40B4-BE49-F238E27FC236}">
              <a16:creationId xmlns:a16="http://schemas.microsoft.com/office/drawing/2014/main" id="{00000000-0008-0000-2500-000005000000}"/>
            </a:ext>
          </a:extLst>
        </xdr:cNvPr>
        <xdr:cNvSpPr/>
      </xdr:nvSpPr>
      <xdr:spPr>
        <a:xfrm>
          <a:off x="38100" y="1257300"/>
          <a:ext cx="1200150" cy="23812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3</xdr:col>
      <xdr:colOff>0</xdr:colOff>
      <xdr:row>24</xdr:row>
      <xdr:rowOff>1</xdr:rowOff>
    </xdr:from>
    <xdr:to>
      <xdr:col>7</xdr:col>
      <xdr:colOff>1947</xdr:colOff>
      <xdr:row>24</xdr:row>
      <xdr:rowOff>219457</xdr:rowOff>
    </xdr:to>
    <xdr:sp macro="[0]!GOSTANDARDSETT" textlink="">
      <xdr:nvSpPr>
        <xdr:cNvPr id="6" name="Rectangle 5">
          <a:extLst>
            <a:ext uri="{FF2B5EF4-FFF2-40B4-BE49-F238E27FC236}">
              <a16:creationId xmlns:a16="http://schemas.microsoft.com/office/drawing/2014/main" id="{00000000-0008-0000-2500-000006000000}"/>
            </a:ext>
          </a:extLst>
        </xdr:cNvPr>
        <xdr:cNvSpPr/>
      </xdr:nvSpPr>
      <xdr:spPr>
        <a:xfrm>
          <a:off x="895350" y="3924301"/>
          <a:ext cx="2112264" cy="219456"/>
        </a:xfrm>
        <a:prstGeom prst="rect">
          <a:avLst/>
        </a:prstGeom>
        <a:solidFill>
          <a:schemeClr val="bg1">
            <a:lumMod val="85000"/>
          </a:schemeClr>
        </a:solidFill>
        <a:ln w="3175">
          <a:noFill/>
        </a:ln>
        <a:effectLst/>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a:latin typeface="Arial" panose="020B0604020202020204" pitchFamily="34" charset="0"/>
              <a:cs typeface="Arial" panose="020B0604020202020204" pitchFamily="34" charset="0"/>
            </a:rPr>
            <a:t>Activities</a:t>
          </a:r>
        </a:p>
      </xdr:txBody>
    </xdr:sp>
    <xdr:clientData fPrintsWithSheet="0"/>
  </xdr:twoCellAnchor>
  <xdr:twoCellAnchor editAs="oneCell">
    <xdr:from>
      <xdr:col>16</xdr:col>
      <xdr:colOff>352425</xdr:colOff>
      <xdr:row>9</xdr:row>
      <xdr:rowOff>9525</xdr:rowOff>
    </xdr:from>
    <xdr:to>
      <xdr:col>18</xdr:col>
      <xdr:colOff>523875</xdr:colOff>
      <xdr:row>9</xdr:row>
      <xdr:rowOff>219076</xdr:rowOff>
    </xdr:to>
    <xdr:sp macro="[0]!CLEARBLUE" textlink="">
      <xdr:nvSpPr>
        <xdr:cNvPr id="7" name="Rounded Rectangle 6">
          <a:extLst>
            <a:ext uri="{FF2B5EF4-FFF2-40B4-BE49-F238E27FC236}">
              <a16:creationId xmlns:a16="http://schemas.microsoft.com/office/drawing/2014/main" id="{00000000-0008-0000-2500-000007000000}"/>
            </a:ext>
          </a:extLst>
        </xdr:cNvPr>
        <xdr:cNvSpPr/>
      </xdr:nvSpPr>
      <xdr:spPr>
        <a:xfrm>
          <a:off x="7524750" y="1257300"/>
          <a:ext cx="1295400" cy="209551"/>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sp3d/>
        </a:bodyPr>
        <a:lstStyle/>
        <a:p>
          <a:pPr algn="ctr"/>
          <a:r>
            <a:rPr lang="en-US" sz="1100" b="1">
              <a:solidFill>
                <a:srgbClr val="002060"/>
              </a:solidFill>
              <a:effectLst/>
            </a:rPr>
            <a:t>CLEAR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9525</xdr:colOff>
          <xdr:row>17</xdr:row>
          <xdr:rowOff>19050</xdr:rowOff>
        </xdr:from>
        <xdr:to>
          <xdr:col>5</xdr:col>
          <xdr:colOff>0</xdr:colOff>
          <xdr:row>18</xdr:row>
          <xdr:rowOff>123825</xdr:rowOff>
        </xdr:to>
        <xdr:sp macro="" textlink="">
          <xdr:nvSpPr>
            <xdr:cNvPr id="572418" name="ListBoxTLR" hidden="1">
              <a:extLst>
                <a:ext uri="{63B3BB69-23CF-44E3-9099-C40C66FF867C}">
                  <a14:compatExt spid="_x0000_s572418"/>
                </a:ext>
                <a:ext uri="{FF2B5EF4-FFF2-40B4-BE49-F238E27FC236}">
                  <a16:creationId xmlns:a16="http://schemas.microsoft.com/office/drawing/2014/main" id="{00000000-0008-0000-2500-000002B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9525</xdr:colOff>
      <xdr:row>21</xdr:row>
      <xdr:rowOff>38100</xdr:rowOff>
    </xdr:from>
    <xdr:to>
      <xdr:col>7</xdr:col>
      <xdr:colOff>2328</xdr:colOff>
      <xdr:row>21</xdr:row>
      <xdr:rowOff>239268</xdr:rowOff>
    </xdr:to>
    <xdr:sp macro="[0]!BUPTIMELOG" textlink="">
      <xdr:nvSpPr>
        <xdr:cNvPr id="10" name="BUPBUTTON">
          <a:extLst>
            <a:ext uri="{FF2B5EF4-FFF2-40B4-BE49-F238E27FC236}">
              <a16:creationId xmlns:a16="http://schemas.microsoft.com/office/drawing/2014/main" id="{00000000-0008-0000-2500-00000A000000}"/>
            </a:ext>
          </a:extLst>
        </xdr:cNvPr>
        <xdr:cNvSpPr/>
      </xdr:nvSpPr>
      <xdr:spPr>
        <a:xfrm>
          <a:off x="904875" y="3295650"/>
          <a:ext cx="2103120"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latin typeface="Arial" panose="020B0604020202020204" pitchFamily="34" charset="0"/>
              <a:cs typeface="Arial" panose="020B0604020202020204" pitchFamily="34" charset="0"/>
            </a:rPr>
            <a:t>Save All Time Log Table</a:t>
          </a:r>
          <a:endParaRPr lang="en-US" sz="800">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19050</xdr:colOff>
      <xdr:row>21</xdr:row>
      <xdr:rowOff>38100</xdr:rowOff>
    </xdr:from>
    <xdr:to>
      <xdr:col>18</xdr:col>
      <xdr:colOff>553974</xdr:colOff>
      <xdr:row>21</xdr:row>
      <xdr:rowOff>239268</xdr:rowOff>
    </xdr:to>
    <xdr:grpSp>
      <xdr:nvGrpSpPr>
        <xdr:cNvPr id="2" name="RESTBUTTONS">
          <a:extLst>
            <a:ext uri="{FF2B5EF4-FFF2-40B4-BE49-F238E27FC236}">
              <a16:creationId xmlns:a16="http://schemas.microsoft.com/office/drawing/2014/main" id="{00000000-0008-0000-2500-000002000000}"/>
            </a:ext>
          </a:extLst>
        </xdr:cNvPr>
        <xdr:cNvGrpSpPr/>
      </xdr:nvGrpSpPr>
      <xdr:grpSpPr>
        <a:xfrm>
          <a:off x="2135717" y="3318933"/>
          <a:ext cx="6705007" cy="201168"/>
          <a:chOff x="2133600" y="3295650"/>
          <a:chExt cx="6716649" cy="201168"/>
        </a:xfrm>
      </xdr:grpSpPr>
      <xdr:sp macro="[0]!TLRESTORE1" textlink="">
        <xdr:nvSpPr>
          <xdr:cNvPr id="11" name="RESTBUTTON1">
            <a:extLst>
              <a:ext uri="{FF2B5EF4-FFF2-40B4-BE49-F238E27FC236}">
                <a16:creationId xmlns:a16="http://schemas.microsoft.com/office/drawing/2014/main" id="{00000000-0008-0000-2500-00000B000000}"/>
              </a:ext>
            </a:extLst>
          </xdr:cNvPr>
          <xdr:cNvSpPr/>
        </xdr:nvSpPr>
        <xdr:spPr>
          <a:xfrm>
            <a:off x="2133600"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solidFill>
                  <a:schemeClr val="dk1"/>
                </a:solidFill>
                <a:effectLst/>
                <a:latin typeface="Arial" panose="020B0604020202020204" pitchFamily="34" charset="0"/>
                <a:ea typeface="+mn-ea"/>
                <a:cs typeface="Arial" panose="020B0604020202020204" pitchFamily="34" charset="0"/>
              </a:rPr>
              <a:t>Restore Time Log</a:t>
            </a:r>
            <a:endParaRPr lang="en-US" sz="800">
              <a:effectLst/>
              <a:latin typeface="Arial" panose="020B0604020202020204" pitchFamily="34" charset="0"/>
              <a:cs typeface="Arial" panose="020B0604020202020204" pitchFamily="34" charset="0"/>
            </a:endParaRPr>
          </a:p>
        </xdr:txBody>
      </xdr:sp>
      <xdr:sp macro="[0]!TLRESTORE2" textlink="">
        <xdr:nvSpPr>
          <xdr:cNvPr id="12" name="RESTBUTTON2">
            <a:extLst>
              <a:ext uri="{FF2B5EF4-FFF2-40B4-BE49-F238E27FC236}">
                <a16:creationId xmlns:a16="http://schemas.microsoft.com/office/drawing/2014/main" id="{00000000-0008-0000-2500-00000C000000}"/>
              </a:ext>
            </a:extLst>
          </xdr:cNvPr>
          <xdr:cNvSpPr/>
        </xdr:nvSpPr>
        <xdr:spPr>
          <a:xfrm>
            <a:off x="3257550"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latin typeface="Arial" panose="020B0604020202020204" pitchFamily="34" charset="0"/>
                <a:cs typeface="Arial" panose="020B0604020202020204" pitchFamily="34" charset="0"/>
              </a:rPr>
              <a:t>Restore Time Log</a:t>
            </a:r>
            <a:endParaRPr lang="en-US" sz="800">
              <a:latin typeface="Arial" panose="020B0604020202020204" pitchFamily="34" charset="0"/>
              <a:cs typeface="Arial" panose="020B0604020202020204" pitchFamily="34" charset="0"/>
            </a:endParaRPr>
          </a:p>
        </xdr:txBody>
      </xdr:sp>
      <xdr:sp macro="[0]!TLRESTORE3" textlink="">
        <xdr:nvSpPr>
          <xdr:cNvPr id="13" name="RESTBUTTON3">
            <a:extLst>
              <a:ext uri="{FF2B5EF4-FFF2-40B4-BE49-F238E27FC236}">
                <a16:creationId xmlns:a16="http://schemas.microsoft.com/office/drawing/2014/main" id="{00000000-0008-0000-2500-00000D000000}"/>
              </a:ext>
            </a:extLst>
          </xdr:cNvPr>
          <xdr:cNvSpPr/>
        </xdr:nvSpPr>
        <xdr:spPr>
          <a:xfrm>
            <a:off x="4381500"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solidFill>
                  <a:schemeClr val="dk1"/>
                </a:solidFill>
                <a:effectLst/>
                <a:latin typeface="Arial" panose="020B0604020202020204" pitchFamily="34" charset="0"/>
                <a:ea typeface="+mn-ea"/>
                <a:cs typeface="Arial" panose="020B0604020202020204" pitchFamily="34" charset="0"/>
              </a:rPr>
              <a:t>Restore Time Log</a:t>
            </a:r>
            <a:endParaRPr lang="en-US" sz="800">
              <a:effectLst/>
              <a:latin typeface="Arial" panose="020B0604020202020204" pitchFamily="34" charset="0"/>
              <a:cs typeface="Arial" panose="020B0604020202020204" pitchFamily="34" charset="0"/>
            </a:endParaRPr>
          </a:p>
        </xdr:txBody>
      </xdr:sp>
      <xdr:sp macro="[0]!TLRESTORE4" textlink="">
        <xdr:nvSpPr>
          <xdr:cNvPr id="14" name="RESTBUTTON4">
            <a:extLst>
              <a:ext uri="{FF2B5EF4-FFF2-40B4-BE49-F238E27FC236}">
                <a16:creationId xmlns:a16="http://schemas.microsoft.com/office/drawing/2014/main" id="{00000000-0008-0000-2500-00000E000000}"/>
              </a:ext>
            </a:extLst>
          </xdr:cNvPr>
          <xdr:cNvSpPr/>
        </xdr:nvSpPr>
        <xdr:spPr>
          <a:xfrm>
            <a:off x="5505450"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solidFill>
                  <a:schemeClr val="dk1"/>
                </a:solidFill>
                <a:effectLst/>
                <a:latin typeface="Arial" panose="020B0604020202020204" pitchFamily="34" charset="0"/>
                <a:ea typeface="+mn-ea"/>
                <a:cs typeface="Arial" panose="020B0604020202020204" pitchFamily="34" charset="0"/>
              </a:rPr>
              <a:t>Restore Time Log</a:t>
            </a:r>
            <a:endParaRPr lang="en-US" sz="800">
              <a:effectLst/>
              <a:latin typeface="Arial" panose="020B0604020202020204" pitchFamily="34" charset="0"/>
              <a:cs typeface="Arial" panose="020B0604020202020204" pitchFamily="34" charset="0"/>
            </a:endParaRPr>
          </a:p>
        </xdr:txBody>
      </xdr:sp>
      <xdr:sp macro="[0]!TLRESTORE5" textlink="">
        <xdr:nvSpPr>
          <xdr:cNvPr id="15" name="RESTBUTTON5">
            <a:extLst>
              <a:ext uri="{FF2B5EF4-FFF2-40B4-BE49-F238E27FC236}">
                <a16:creationId xmlns:a16="http://schemas.microsoft.com/office/drawing/2014/main" id="{00000000-0008-0000-2500-00000F000000}"/>
              </a:ext>
            </a:extLst>
          </xdr:cNvPr>
          <xdr:cNvSpPr/>
        </xdr:nvSpPr>
        <xdr:spPr>
          <a:xfrm>
            <a:off x="6619875"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solidFill>
                  <a:schemeClr val="dk1"/>
                </a:solidFill>
                <a:effectLst/>
                <a:latin typeface="Arial" panose="020B0604020202020204" pitchFamily="34" charset="0"/>
                <a:ea typeface="+mn-ea"/>
                <a:cs typeface="Arial" panose="020B0604020202020204" pitchFamily="34" charset="0"/>
              </a:rPr>
              <a:t>Restore Time Log</a:t>
            </a:r>
            <a:endParaRPr lang="en-US" sz="800">
              <a:effectLst/>
              <a:latin typeface="Arial" panose="020B0604020202020204" pitchFamily="34" charset="0"/>
              <a:cs typeface="Arial" panose="020B0604020202020204" pitchFamily="34" charset="0"/>
            </a:endParaRPr>
          </a:p>
        </xdr:txBody>
      </xdr:sp>
      <xdr:sp macro="[0]!TLRESTORE6" textlink="">
        <xdr:nvSpPr>
          <xdr:cNvPr id="16" name="RESTBUTTON6">
            <a:extLst>
              <a:ext uri="{FF2B5EF4-FFF2-40B4-BE49-F238E27FC236}">
                <a16:creationId xmlns:a16="http://schemas.microsoft.com/office/drawing/2014/main" id="{00000000-0008-0000-2500-000010000000}"/>
              </a:ext>
            </a:extLst>
          </xdr:cNvPr>
          <xdr:cNvSpPr/>
        </xdr:nvSpPr>
        <xdr:spPr>
          <a:xfrm>
            <a:off x="7743825" y="3295650"/>
            <a:ext cx="1106424" cy="201168"/>
          </a:xfrm>
          <a:prstGeom prst="rect">
            <a:avLst/>
          </a:prstGeom>
          <a:solidFill>
            <a:schemeClr val="bg1">
              <a:lumMod val="85000"/>
            </a:schemeClr>
          </a:solidFill>
          <a:ln w="3175">
            <a:noFill/>
          </a:ln>
          <a:scene3d>
            <a:camera prst="orthographicFront"/>
            <a:lightRig rig="threePt" dir="t"/>
          </a:scene3d>
          <a:sp3d>
            <a:bevel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baseline="0">
                <a:solidFill>
                  <a:schemeClr val="dk1"/>
                </a:solidFill>
                <a:effectLst/>
                <a:latin typeface="Arial" panose="020B0604020202020204" pitchFamily="34" charset="0"/>
                <a:ea typeface="+mn-ea"/>
                <a:cs typeface="Arial" panose="020B0604020202020204" pitchFamily="34" charset="0"/>
              </a:rPr>
              <a:t>Restore Time Log</a:t>
            </a:r>
            <a:endParaRPr lang="en-US" sz="800">
              <a:effectLst/>
              <a:latin typeface="Arial" panose="020B0604020202020204" pitchFamily="34" charset="0"/>
              <a:cs typeface="Arial" panose="020B0604020202020204" pitchFamily="34" charset="0"/>
            </a:endParaRPr>
          </a:p>
        </xdr:txBody>
      </xdr:sp>
    </xdr:grpSp>
    <xdr:clientData fPrintsWithSheet="0"/>
  </xdr:twoCellAnchor>
  <mc:AlternateContent xmlns:mc="http://schemas.openxmlformats.org/markup-compatibility/2006">
    <mc:Choice xmlns:a14="http://schemas.microsoft.com/office/drawing/2010/main" Requires="a14">
      <xdr:twoCellAnchor editAs="oneCell">
        <xdr:from>
          <xdr:col>3</xdr:col>
          <xdr:colOff>9525</xdr:colOff>
          <xdr:row>18</xdr:row>
          <xdr:rowOff>142875</xdr:rowOff>
        </xdr:from>
        <xdr:to>
          <xdr:col>5</xdr:col>
          <xdr:colOff>0</xdr:colOff>
          <xdr:row>21</xdr:row>
          <xdr:rowOff>9525</xdr:rowOff>
        </xdr:to>
        <xdr:sp macro="" textlink="">
          <xdr:nvSpPr>
            <xdr:cNvPr id="572420" name="ListBoxTLP" hidden="1">
              <a:extLst>
                <a:ext uri="{63B3BB69-23CF-44E3-9099-C40C66FF867C}">
                  <a14:compatExt spid="_x0000_s572420"/>
                </a:ext>
                <a:ext uri="{FF2B5EF4-FFF2-40B4-BE49-F238E27FC236}">
                  <a16:creationId xmlns:a16="http://schemas.microsoft.com/office/drawing/2014/main" id="{00000000-0008-0000-2500-000004B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17</xdr:col>
      <xdr:colOff>126832</xdr:colOff>
      <xdr:row>155</xdr:row>
      <xdr:rowOff>28576</xdr:rowOff>
    </xdr:from>
    <xdr:to>
      <xdr:col>19</xdr:col>
      <xdr:colOff>0</xdr:colOff>
      <xdr:row>160</xdr:row>
      <xdr:rowOff>95251</xdr:rowOff>
    </xdr:to>
    <xdr:pic macro="[0]!ImportLogo">
      <xdr:nvPicPr>
        <xdr:cNvPr id="21" name="PicSAC" descr="F:\1.AMS-Marine\2.PRODUCTS\11.BunkerManager\PETRO\BM V1.11\SAC MARK 2019 - PETRO INSPECT.jpg">
          <a:extLst>
            <a:ext uri="{FF2B5EF4-FFF2-40B4-BE49-F238E27FC236}">
              <a16:creationId xmlns:a16="http://schemas.microsoft.com/office/drawing/2014/main" id="{00000000-0008-0000-2500-000015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61132" y="14239876"/>
          <a:ext cx="997118"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104746</xdr:colOff>
      <xdr:row>1</xdr:row>
      <xdr:rowOff>38091</xdr:rowOff>
    </xdr:from>
    <xdr:to>
      <xdr:col>6</xdr:col>
      <xdr:colOff>26260</xdr:colOff>
      <xdr:row>6</xdr:row>
      <xdr:rowOff>71619</xdr:rowOff>
    </xdr:to>
    <xdr:pic macro="ImportLogo">
      <xdr:nvPicPr>
        <xdr:cNvPr id="18" name="PicLogo" descr="C:\Users\XPS-Takis\Desktop\BD XPS\PicPetro1.png">
          <a:extLst>
            <a:ext uri="{FF2B5EF4-FFF2-40B4-BE49-F238E27FC236}">
              <a16:creationId xmlns:a16="http://schemas.microsoft.com/office/drawing/2014/main" id="{00000000-0008-0000-2500-000012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4746" y="38091"/>
          <a:ext cx="1681734" cy="10012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oneCellAnchor>
    <xdr:from>
      <xdr:col>9</xdr:col>
      <xdr:colOff>400050</xdr:colOff>
      <xdr:row>1</xdr:row>
      <xdr:rowOff>28575</xdr:rowOff>
    </xdr:from>
    <xdr:ext cx="384175" cy="441325"/>
    <xdr:pic macro="[0]!ImportLogo">
      <xdr:nvPicPr>
        <xdr:cNvPr id="2" name="PictureBD" descr="C:\Users\kc\Desktop\B_png.png" hidden="1">
          <a:extLst>
            <a:ext uri="{FF2B5EF4-FFF2-40B4-BE49-F238E27FC236}">
              <a16:creationId xmlns:a16="http://schemas.microsoft.com/office/drawing/2014/main" id="{00000000-0008-0000-2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62775" y="314325"/>
          <a:ext cx="384175" cy="441325"/>
        </a:xfrm>
        <a:prstGeom prst="rect">
          <a:avLst/>
        </a:prstGeom>
        <a:noFill/>
        <a:ln>
          <a:noFill/>
        </a:ln>
      </xdr:spPr>
    </xdr:pic>
    <xdr:clientData/>
  </xdr:oneCellAnchor>
  <xdr:twoCellAnchor editAs="oneCell">
    <xdr:from>
      <xdr:col>4</xdr:col>
      <xdr:colOff>361950</xdr:colOff>
      <xdr:row>10</xdr:row>
      <xdr:rowOff>0</xdr:rowOff>
    </xdr:from>
    <xdr:to>
      <xdr:col>6</xdr:col>
      <xdr:colOff>933450</xdr:colOff>
      <xdr:row>10</xdr:row>
      <xdr:rowOff>257174</xdr:rowOff>
    </xdr:to>
    <xdr:sp macro="[0]!GOMAIN" textlink="">
      <xdr:nvSpPr>
        <xdr:cNvPr id="5" name="Rounded Rectangle 4">
          <a:extLst>
            <a:ext uri="{FF2B5EF4-FFF2-40B4-BE49-F238E27FC236}">
              <a16:creationId xmlns:a16="http://schemas.microsoft.com/office/drawing/2014/main" id="{00000000-0008-0000-2600-000005000000}"/>
            </a:ext>
          </a:extLst>
        </xdr:cNvPr>
        <xdr:cNvSpPr/>
      </xdr:nvSpPr>
      <xdr:spPr>
        <a:xfrm>
          <a:off x="2971800" y="1314450"/>
          <a:ext cx="1676400" cy="257174"/>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200" b="1">
              <a:solidFill>
                <a:srgbClr val="002060"/>
              </a:solidFill>
              <a:effectLst/>
            </a:rPr>
            <a:t>MAIN</a:t>
          </a:r>
        </a:p>
      </xdr:txBody>
    </xdr:sp>
    <xdr:clientData fPrintsWithSheet="0"/>
  </xdr:twoCellAnchor>
  <xdr:twoCellAnchor editAs="oneCell">
    <xdr:from>
      <xdr:col>0</xdr:col>
      <xdr:colOff>142845</xdr:colOff>
      <xdr:row>1</xdr:row>
      <xdr:rowOff>142875</xdr:rowOff>
    </xdr:from>
    <xdr:to>
      <xdr:col>2</xdr:col>
      <xdr:colOff>654909</xdr:colOff>
      <xdr:row>7</xdr:row>
      <xdr:rowOff>104775</xdr:rowOff>
    </xdr:to>
    <xdr:pic macro="ImportLogo">
      <xdr:nvPicPr>
        <xdr:cNvPr id="6" name="PicLogo" descr="C:\Users\XPS-Takis\Desktop\BD XPS\PicPetro1.png">
          <a:extLst>
            <a:ext uri="{FF2B5EF4-FFF2-40B4-BE49-F238E27FC236}">
              <a16:creationId xmlns:a16="http://schemas.microsoft.com/office/drawing/2014/main" id="{00000000-0008-0000-26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2845" y="142875"/>
          <a:ext cx="1746504"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323851</xdr:colOff>
      <xdr:row>3</xdr:row>
      <xdr:rowOff>44450</xdr:rowOff>
    </xdr:from>
    <xdr:to>
      <xdr:col>6</xdr:col>
      <xdr:colOff>57151</xdr:colOff>
      <xdr:row>7</xdr:row>
      <xdr:rowOff>57150</xdr:rowOff>
    </xdr:to>
    <xdr:sp macro="" textlink="">
      <xdr:nvSpPr>
        <xdr:cNvPr id="2" name="Rectangle 4">
          <a:extLst>
            <a:ext uri="{FF2B5EF4-FFF2-40B4-BE49-F238E27FC236}">
              <a16:creationId xmlns:a16="http://schemas.microsoft.com/office/drawing/2014/main" id="{00000000-0008-0000-2700-000002000000}"/>
            </a:ext>
          </a:extLst>
        </xdr:cNvPr>
        <xdr:cNvSpPr>
          <a:spLocks noChangeArrowheads="1"/>
        </xdr:cNvSpPr>
      </xdr:nvSpPr>
      <xdr:spPr bwMode="auto">
        <a:xfrm>
          <a:off x="349251" y="444500"/>
          <a:ext cx="2692400" cy="5461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323851</xdr:colOff>
      <xdr:row>7</xdr:row>
      <xdr:rowOff>133350</xdr:rowOff>
    </xdr:from>
    <xdr:to>
      <xdr:col>6</xdr:col>
      <xdr:colOff>57151</xdr:colOff>
      <xdr:row>19</xdr:row>
      <xdr:rowOff>57150</xdr:rowOff>
    </xdr:to>
    <xdr:sp macro="" textlink="">
      <xdr:nvSpPr>
        <xdr:cNvPr id="3" name="Rectangle 5">
          <a:extLst>
            <a:ext uri="{FF2B5EF4-FFF2-40B4-BE49-F238E27FC236}">
              <a16:creationId xmlns:a16="http://schemas.microsoft.com/office/drawing/2014/main" id="{00000000-0008-0000-2700-000003000000}"/>
            </a:ext>
          </a:extLst>
        </xdr:cNvPr>
        <xdr:cNvSpPr>
          <a:spLocks noChangeArrowheads="1"/>
        </xdr:cNvSpPr>
      </xdr:nvSpPr>
      <xdr:spPr bwMode="auto">
        <a:xfrm>
          <a:off x="349251" y="1066800"/>
          <a:ext cx="2692400" cy="15240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95249</xdr:colOff>
      <xdr:row>7</xdr:row>
      <xdr:rowOff>133350</xdr:rowOff>
    </xdr:from>
    <xdr:to>
      <xdr:col>17</xdr:col>
      <xdr:colOff>57150</xdr:colOff>
      <xdr:row>19</xdr:row>
      <xdr:rowOff>57150</xdr:rowOff>
    </xdr:to>
    <xdr:sp macro="" textlink="">
      <xdr:nvSpPr>
        <xdr:cNvPr id="4" name="Rectangle 6">
          <a:extLst>
            <a:ext uri="{FF2B5EF4-FFF2-40B4-BE49-F238E27FC236}">
              <a16:creationId xmlns:a16="http://schemas.microsoft.com/office/drawing/2014/main" id="{00000000-0008-0000-2700-000004000000}"/>
            </a:ext>
          </a:extLst>
        </xdr:cNvPr>
        <xdr:cNvSpPr>
          <a:spLocks noChangeArrowheads="1"/>
        </xdr:cNvSpPr>
      </xdr:nvSpPr>
      <xdr:spPr bwMode="auto">
        <a:xfrm>
          <a:off x="3333749" y="1066800"/>
          <a:ext cx="4032251" cy="15240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323851</xdr:colOff>
      <xdr:row>19</xdr:row>
      <xdr:rowOff>139700</xdr:rowOff>
    </xdr:from>
    <xdr:to>
      <xdr:col>6</xdr:col>
      <xdr:colOff>57151</xdr:colOff>
      <xdr:row>31</xdr:row>
      <xdr:rowOff>66675</xdr:rowOff>
    </xdr:to>
    <xdr:sp macro="" textlink="">
      <xdr:nvSpPr>
        <xdr:cNvPr id="5" name="Rectangle 7">
          <a:extLst>
            <a:ext uri="{FF2B5EF4-FFF2-40B4-BE49-F238E27FC236}">
              <a16:creationId xmlns:a16="http://schemas.microsoft.com/office/drawing/2014/main" id="{00000000-0008-0000-2700-000005000000}"/>
            </a:ext>
          </a:extLst>
        </xdr:cNvPr>
        <xdr:cNvSpPr>
          <a:spLocks noChangeArrowheads="1"/>
        </xdr:cNvSpPr>
      </xdr:nvSpPr>
      <xdr:spPr bwMode="auto">
        <a:xfrm>
          <a:off x="349251" y="2667000"/>
          <a:ext cx="2692400" cy="1533525"/>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47625</xdr:colOff>
      <xdr:row>3</xdr:row>
      <xdr:rowOff>44450</xdr:rowOff>
    </xdr:from>
    <xdr:to>
      <xdr:col>15</xdr:col>
      <xdr:colOff>76200</xdr:colOff>
      <xdr:row>7</xdr:row>
      <xdr:rowOff>57150</xdr:rowOff>
    </xdr:to>
    <xdr:sp macro="" textlink="">
      <xdr:nvSpPr>
        <xdr:cNvPr id="6" name="Rectangle 16">
          <a:extLst>
            <a:ext uri="{FF2B5EF4-FFF2-40B4-BE49-F238E27FC236}">
              <a16:creationId xmlns:a16="http://schemas.microsoft.com/office/drawing/2014/main" id="{00000000-0008-0000-2700-000006000000}"/>
            </a:ext>
          </a:extLst>
        </xdr:cNvPr>
        <xdr:cNvSpPr>
          <a:spLocks noChangeArrowheads="1"/>
        </xdr:cNvSpPr>
      </xdr:nvSpPr>
      <xdr:spPr bwMode="auto">
        <a:xfrm>
          <a:off x="4092575" y="444500"/>
          <a:ext cx="2536825" cy="5461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13</xdr:col>
          <xdr:colOff>0</xdr:colOff>
          <xdr:row>5</xdr:row>
          <xdr:rowOff>19050</xdr:rowOff>
        </xdr:to>
        <xdr:sp macro="" textlink="">
          <xdr:nvSpPr>
            <xdr:cNvPr id="580612" name="Drop Down 4" hidden="1">
              <a:extLst>
                <a:ext uri="{63B3BB69-23CF-44E3-9099-C40C66FF867C}">
                  <a14:compatExt spid="_x0000_s580612"/>
                </a:ext>
                <a:ext uri="{FF2B5EF4-FFF2-40B4-BE49-F238E27FC236}">
                  <a16:creationId xmlns:a16="http://schemas.microsoft.com/office/drawing/2014/main" id="{00000000-0008-0000-2700-000004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6</xdr:col>
          <xdr:colOff>0</xdr:colOff>
          <xdr:row>7</xdr:row>
          <xdr:rowOff>0</xdr:rowOff>
        </xdr:to>
        <xdr:sp macro="" textlink="">
          <xdr:nvSpPr>
            <xdr:cNvPr id="580613" name="Drop Down 5" hidden="1">
              <a:extLst>
                <a:ext uri="{63B3BB69-23CF-44E3-9099-C40C66FF867C}">
                  <a14:compatExt spid="_x0000_s580613"/>
                </a:ext>
                <a:ext uri="{FF2B5EF4-FFF2-40B4-BE49-F238E27FC236}">
                  <a16:creationId xmlns:a16="http://schemas.microsoft.com/office/drawing/2014/main" id="{00000000-0008-0000-2700-000005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9525</xdr:rowOff>
        </xdr:from>
        <xdr:to>
          <xdr:col>4</xdr:col>
          <xdr:colOff>0</xdr:colOff>
          <xdr:row>20</xdr:row>
          <xdr:rowOff>219075</xdr:rowOff>
        </xdr:to>
        <xdr:sp macro="" textlink="">
          <xdr:nvSpPr>
            <xdr:cNvPr id="580614" name="Drop Down 6" hidden="1">
              <a:extLst>
                <a:ext uri="{63B3BB69-23CF-44E3-9099-C40C66FF867C}">
                  <a14:compatExt spid="_x0000_s580614"/>
                </a:ext>
                <a:ext uri="{FF2B5EF4-FFF2-40B4-BE49-F238E27FC236}">
                  <a16:creationId xmlns:a16="http://schemas.microsoft.com/office/drawing/2014/main" id="{00000000-0008-0000-2700-000006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0</xdr:colOff>
          <xdr:row>5</xdr:row>
          <xdr:rowOff>19050</xdr:rowOff>
        </xdr:to>
        <xdr:sp macro="" textlink="">
          <xdr:nvSpPr>
            <xdr:cNvPr id="580615" name="Drop Down 7" hidden="1">
              <a:extLst>
                <a:ext uri="{63B3BB69-23CF-44E3-9099-C40C66FF867C}">
                  <a14:compatExt spid="_x0000_s580615"/>
                </a:ext>
                <a:ext uri="{FF2B5EF4-FFF2-40B4-BE49-F238E27FC236}">
                  <a16:creationId xmlns:a16="http://schemas.microsoft.com/office/drawing/2014/main" id="{00000000-0008-0000-2700-000007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22</xdr:row>
          <xdr:rowOff>0</xdr:rowOff>
        </xdr:from>
        <xdr:to>
          <xdr:col>9</xdr:col>
          <xdr:colOff>0</xdr:colOff>
          <xdr:row>22</xdr:row>
          <xdr:rowOff>228600</xdr:rowOff>
        </xdr:to>
        <xdr:sp macro="" textlink="">
          <xdr:nvSpPr>
            <xdr:cNvPr id="580616" name="Drop Down 8" hidden="1">
              <a:extLst>
                <a:ext uri="{63B3BB69-23CF-44E3-9099-C40C66FF867C}">
                  <a14:compatExt spid="_x0000_s580616"/>
                </a:ext>
                <a:ext uri="{FF2B5EF4-FFF2-40B4-BE49-F238E27FC236}">
                  <a16:creationId xmlns:a16="http://schemas.microsoft.com/office/drawing/2014/main" id="{00000000-0008-0000-2700-000008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xdr:twoCellAnchor>
    <xdr:from>
      <xdr:col>7</xdr:col>
      <xdr:colOff>88900</xdr:colOff>
      <xdr:row>19</xdr:row>
      <xdr:rowOff>139700</xdr:rowOff>
    </xdr:from>
    <xdr:to>
      <xdr:col>9</xdr:col>
      <xdr:colOff>47625</xdr:colOff>
      <xdr:row>24</xdr:row>
      <xdr:rowOff>0</xdr:rowOff>
    </xdr:to>
    <xdr:sp macro="" textlink="">
      <xdr:nvSpPr>
        <xdr:cNvPr id="12" name="Rectangle 16">
          <a:extLst>
            <a:ext uri="{FF2B5EF4-FFF2-40B4-BE49-F238E27FC236}">
              <a16:creationId xmlns:a16="http://schemas.microsoft.com/office/drawing/2014/main" id="{00000000-0008-0000-2700-00000C000000}"/>
            </a:ext>
          </a:extLst>
        </xdr:cNvPr>
        <xdr:cNvSpPr>
          <a:spLocks noChangeArrowheads="1"/>
        </xdr:cNvSpPr>
      </xdr:nvSpPr>
      <xdr:spPr bwMode="auto">
        <a:xfrm>
          <a:off x="3327400" y="2667000"/>
          <a:ext cx="765175" cy="5334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323851</xdr:colOff>
      <xdr:row>32</xdr:row>
      <xdr:rowOff>9525</xdr:rowOff>
    </xdr:from>
    <xdr:to>
      <xdr:col>6</xdr:col>
      <xdr:colOff>57151</xdr:colOff>
      <xdr:row>36</xdr:row>
      <xdr:rowOff>47625</xdr:rowOff>
    </xdr:to>
    <xdr:sp macro="" textlink="">
      <xdr:nvSpPr>
        <xdr:cNvPr id="13" name="Rectangle 16">
          <a:extLst>
            <a:ext uri="{FF2B5EF4-FFF2-40B4-BE49-F238E27FC236}">
              <a16:creationId xmlns:a16="http://schemas.microsoft.com/office/drawing/2014/main" id="{00000000-0008-0000-2700-00000D000000}"/>
            </a:ext>
          </a:extLst>
        </xdr:cNvPr>
        <xdr:cNvSpPr>
          <a:spLocks noChangeArrowheads="1"/>
        </xdr:cNvSpPr>
      </xdr:nvSpPr>
      <xdr:spPr bwMode="auto">
        <a:xfrm>
          <a:off x="349251" y="4276725"/>
          <a:ext cx="2692400" cy="57150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8</xdr:col>
          <xdr:colOff>0</xdr:colOff>
          <xdr:row>28</xdr:row>
          <xdr:rowOff>0</xdr:rowOff>
        </xdr:from>
        <xdr:to>
          <xdr:col>9</xdr:col>
          <xdr:colOff>0</xdr:colOff>
          <xdr:row>28</xdr:row>
          <xdr:rowOff>228600</xdr:rowOff>
        </xdr:to>
        <xdr:sp macro="" textlink="">
          <xdr:nvSpPr>
            <xdr:cNvPr id="580618" name="Drop Down 10" hidden="1">
              <a:extLst>
                <a:ext uri="{63B3BB69-23CF-44E3-9099-C40C66FF867C}">
                  <a14:compatExt spid="_x0000_s580618"/>
                </a:ext>
                <a:ext uri="{FF2B5EF4-FFF2-40B4-BE49-F238E27FC236}">
                  <a16:creationId xmlns:a16="http://schemas.microsoft.com/office/drawing/2014/main" id="{00000000-0008-0000-2700-00000ADC08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xdr:twoCellAnchor>
    <xdr:from>
      <xdr:col>7</xdr:col>
      <xdr:colOff>88900</xdr:colOff>
      <xdr:row>25</xdr:row>
      <xdr:rowOff>0</xdr:rowOff>
    </xdr:from>
    <xdr:to>
      <xdr:col>9</xdr:col>
      <xdr:colOff>47625</xdr:colOff>
      <xdr:row>30</xdr:row>
      <xdr:rowOff>0</xdr:rowOff>
    </xdr:to>
    <xdr:sp macro="" textlink="">
      <xdr:nvSpPr>
        <xdr:cNvPr id="16" name="Rectangle 16">
          <a:extLst>
            <a:ext uri="{FF2B5EF4-FFF2-40B4-BE49-F238E27FC236}">
              <a16:creationId xmlns:a16="http://schemas.microsoft.com/office/drawing/2014/main" id="{00000000-0008-0000-2700-000010000000}"/>
            </a:ext>
          </a:extLst>
        </xdr:cNvPr>
        <xdr:cNvSpPr>
          <a:spLocks noChangeArrowheads="1"/>
        </xdr:cNvSpPr>
      </xdr:nvSpPr>
      <xdr:spPr bwMode="auto">
        <a:xfrm>
          <a:off x="3327400" y="3333750"/>
          <a:ext cx="765175" cy="666750"/>
        </a:xfrm>
        <a:prstGeom prst="rect">
          <a:avLst/>
        </a:prstGeom>
        <a:noFill/>
        <a:ln w="6350" algn="ctr">
          <a:solidFill>
            <a:srgbClr val="385D8A"/>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25400</xdr:colOff>
      <xdr:row>1</xdr:row>
      <xdr:rowOff>25400</xdr:rowOff>
    </xdr:from>
    <xdr:to>
      <xdr:col>2</xdr:col>
      <xdr:colOff>603250</xdr:colOff>
      <xdr:row>1</xdr:row>
      <xdr:rowOff>285750</xdr:rowOff>
    </xdr:to>
    <xdr:sp macro="[0]!GOMAIN" textlink="">
      <xdr:nvSpPr>
        <xdr:cNvPr id="18" name="Rounded Rectangle 5">
          <a:extLst>
            <a:ext uri="{FF2B5EF4-FFF2-40B4-BE49-F238E27FC236}">
              <a16:creationId xmlns:a16="http://schemas.microsoft.com/office/drawing/2014/main" id="{00000000-0008-0000-2700-000012000000}"/>
            </a:ext>
          </a:extLst>
        </xdr:cNvPr>
        <xdr:cNvSpPr/>
      </xdr:nvSpPr>
      <xdr:spPr>
        <a:xfrm>
          <a:off x="50800" y="31750"/>
          <a:ext cx="952500" cy="260350"/>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16</xdr:col>
      <xdr:colOff>57150</xdr:colOff>
      <xdr:row>1</xdr:row>
      <xdr:rowOff>25400</xdr:rowOff>
    </xdr:from>
    <xdr:to>
      <xdr:col>17</xdr:col>
      <xdr:colOff>355600</xdr:colOff>
      <xdr:row>1</xdr:row>
      <xdr:rowOff>285750</xdr:rowOff>
    </xdr:to>
    <xdr:sp macro="[0]!GOMAIN" textlink="">
      <xdr:nvSpPr>
        <xdr:cNvPr id="19" name="Rounded Rectangle 1">
          <a:extLst>
            <a:ext uri="{FF2B5EF4-FFF2-40B4-BE49-F238E27FC236}">
              <a16:creationId xmlns:a16="http://schemas.microsoft.com/office/drawing/2014/main" id="{00000000-0008-0000-2700-000013000000}"/>
            </a:ext>
          </a:extLst>
        </xdr:cNvPr>
        <xdr:cNvSpPr/>
      </xdr:nvSpPr>
      <xdr:spPr>
        <a:xfrm>
          <a:off x="6711950" y="31750"/>
          <a:ext cx="952500" cy="260350"/>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twoCellAnchor editAs="oneCell">
    <xdr:from>
      <xdr:col>10</xdr:col>
      <xdr:colOff>438150</xdr:colOff>
      <xdr:row>34</xdr:row>
      <xdr:rowOff>19050</xdr:rowOff>
    </xdr:from>
    <xdr:to>
      <xdr:col>17</xdr:col>
      <xdr:colOff>0</xdr:colOff>
      <xdr:row>35</xdr:row>
      <xdr:rowOff>98425</xdr:rowOff>
    </xdr:to>
    <xdr:sp macro="[0]!ABOUT_SASTM" textlink="">
      <xdr:nvSpPr>
        <xdr:cNvPr id="20" name="Rounded Rectangle 1">
          <a:extLst>
            <a:ext uri="{FF2B5EF4-FFF2-40B4-BE49-F238E27FC236}">
              <a16:creationId xmlns:a16="http://schemas.microsoft.com/office/drawing/2014/main" id="{00000000-0008-0000-2700-000014000000}"/>
            </a:ext>
          </a:extLst>
        </xdr:cNvPr>
        <xdr:cNvSpPr/>
      </xdr:nvSpPr>
      <xdr:spPr>
        <a:xfrm>
          <a:off x="4572000" y="4657725"/>
          <a:ext cx="2733675" cy="260350"/>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sp3d/>
        </a:bodyPr>
        <a:lstStyle/>
        <a:p>
          <a:pPr algn="ctr"/>
          <a:r>
            <a:rPr lang="en-US" sz="1100" b="1">
              <a:solidFill>
                <a:srgbClr val="002060"/>
              </a:solidFill>
              <a:effectLst/>
            </a:rPr>
            <a:t>About Super ASTM...</a:t>
          </a:r>
        </a:p>
      </xdr:txBody>
    </xdr:sp>
    <xdr:clientData fPrintsWithSheet="0"/>
  </xdr:twoCellAnchor>
  <xdr:twoCellAnchor editAs="oneCell">
    <xdr:from>
      <xdr:col>10</xdr:col>
      <xdr:colOff>463536</xdr:colOff>
      <xdr:row>19</xdr:row>
      <xdr:rowOff>165099</xdr:rowOff>
    </xdr:from>
    <xdr:to>
      <xdr:col>16</xdr:col>
      <xdr:colOff>469886</xdr:colOff>
      <xdr:row>30</xdr:row>
      <xdr:rowOff>203199</xdr:rowOff>
    </xdr:to>
    <xdr:pic macro="ImportLogo">
      <xdr:nvPicPr>
        <xdr:cNvPr id="21" name="PicLogo" descr="C:\Users\XPS-Takis\Desktop\BD XPS\PicPetro1.png">
          <a:extLst>
            <a:ext uri="{FF2B5EF4-FFF2-40B4-BE49-F238E27FC236}">
              <a16:creationId xmlns:a16="http://schemas.microsoft.com/office/drawing/2014/main" id="{00000000-0008-0000-2700-00001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89716" y="2786379"/>
          <a:ext cx="2269490" cy="1623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7</xdr:col>
      <xdr:colOff>161925</xdr:colOff>
      <xdr:row>0</xdr:row>
      <xdr:rowOff>38100</xdr:rowOff>
    </xdr:from>
    <xdr:to>
      <xdr:col>9</xdr:col>
      <xdr:colOff>581025</xdr:colOff>
      <xdr:row>1</xdr:row>
      <xdr:rowOff>142874</xdr:rowOff>
    </xdr:to>
    <xdr:sp macro="[0]!GOMAIN" textlink="">
      <xdr:nvSpPr>
        <xdr:cNvPr id="3" name="Rounded Rectangle 2">
          <a:extLst>
            <a:ext uri="{FF2B5EF4-FFF2-40B4-BE49-F238E27FC236}">
              <a16:creationId xmlns:a16="http://schemas.microsoft.com/office/drawing/2014/main" id="{00000000-0008-0000-2800-000003000000}"/>
            </a:ext>
          </a:extLst>
        </xdr:cNvPr>
        <xdr:cNvSpPr/>
      </xdr:nvSpPr>
      <xdr:spPr>
        <a:xfrm>
          <a:off x="3638550" y="38100"/>
          <a:ext cx="1295400" cy="266699"/>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wsDr>
</file>

<file path=xl/drawings/drawing36.xml><?xml version="1.0" encoding="utf-8"?>
<xdr:wsDr xmlns:xdr="http://schemas.openxmlformats.org/drawingml/2006/spreadsheetDrawing" xmlns:a="http://schemas.openxmlformats.org/drawingml/2006/main">
  <xdr:twoCellAnchor editAs="oneCell">
    <xdr:from>
      <xdr:col>2</xdr:col>
      <xdr:colOff>28574</xdr:colOff>
      <xdr:row>3</xdr:row>
      <xdr:rowOff>23328</xdr:rowOff>
    </xdr:from>
    <xdr:to>
      <xdr:col>3</xdr:col>
      <xdr:colOff>1028700</xdr:colOff>
      <xdr:row>17</xdr:row>
      <xdr:rowOff>171449</xdr:rowOff>
    </xdr:to>
    <xdr:pic>
      <xdr:nvPicPr>
        <xdr:cNvPr id="2" name="PictureShip">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33449" y="861528"/>
          <a:ext cx="1190626" cy="2948471"/>
        </a:xfrm>
        <a:prstGeom prst="rect">
          <a:avLst/>
        </a:prstGeom>
        <a:noFill/>
      </xdr:spPr>
    </xdr:pic>
    <xdr:clientData/>
  </xdr:twoCellAnchor>
  <xdr:twoCellAnchor editAs="oneCell">
    <xdr:from>
      <xdr:col>8</xdr:col>
      <xdr:colOff>19050</xdr:colOff>
      <xdr:row>2</xdr:row>
      <xdr:rowOff>39158</xdr:rowOff>
    </xdr:from>
    <xdr:to>
      <xdr:col>18</xdr:col>
      <xdr:colOff>200025</xdr:colOff>
      <xdr:row>13</xdr:row>
      <xdr:rowOff>172508</xdr:rowOff>
    </xdr:to>
    <xdr:pic>
      <xdr:nvPicPr>
        <xdr:cNvPr id="3" name="Picture 3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29200" y="620183"/>
          <a:ext cx="6353175" cy="2390775"/>
        </a:xfrm>
        <a:prstGeom prst="rect">
          <a:avLst/>
        </a:prstGeom>
        <a:noFill/>
        <a:ln w="3175">
          <a:solidFill>
            <a:sysClr val="windowText" lastClr="000000"/>
          </a:solid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8</xdr:col>
      <xdr:colOff>19051</xdr:colOff>
      <xdr:row>14</xdr:row>
      <xdr:rowOff>10583</xdr:rowOff>
    </xdr:from>
    <xdr:to>
      <xdr:col>18</xdr:col>
      <xdr:colOff>201861</xdr:colOff>
      <xdr:row>18</xdr:row>
      <xdr:rowOff>343818</xdr:rowOff>
    </xdr:to>
    <xdr:pic>
      <xdr:nvPicPr>
        <xdr:cNvPr id="4" name="Picture 3">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3"/>
        <a:stretch>
          <a:fillRect/>
        </a:stretch>
      </xdr:blipFill>
      <xdr:spPr>
        <a:xfrm>
          <a:off x="5029201" y="3049058"/>
          <a:ext cx="6355010" cy="1123810"/>
        </a:xfrm>
        <a:prstGeom prst="rect">
          <a:avLst/>
        </a:prstGeom>
        <a:ln w="3175">
          <a:solidFill>
            <a:schemeClr val="tx1"/>
          </a:solidFill>
        </a:ln>
      </xdr:spPr>
    </xdr:pic>
    <xdr:clientData/>
  </xdr:twoCellAnchor>
  <xdr:twoCellAnchor editAs="oneCell">
    <xdr:from>
      <xdr:col>0</xdr:col>
      <xdr:colOff>19050</xdr:colOff>
      <xdr:row>0</xdr:row>
      <xdr:rowOff>28576</xdr:rowOff>
    </xdr:from>
    <xdr:to>
      <xdr:col>2</xdr:col>
      <xdr:colOff>0</xdr:colOff>
      <xdr:row>0</xdr:row>
      <xdr:rowOff>361950</xdr:rowOff>
    </xdr:to>
    <xdr:sp macro="[0]!GOMAIN" textlink="">
      <xdr:nvSpPr>
        <xdr:cNvPr id="6" name="Rounded Rectangle 5">
          <a:extLst>
            <a:ext uri="{FF2B5EF4-FFF2-40B4-BE49-F238E27FC236}">
              <a16:creationId xmlns:a16="http://schemas.microsoft.com/office/drawing/2014/main" id="{00000000-0008-0000-2900-000006000000}"/>
            </a:ext>
          </a:extLst>
        </xdr:cNvPr>
        <xdr:cNvSpPr/>
      </xdr:nvSpPr>
      <xdr:spPr>
        <a:xfrm>
          <a:off x="19050" y="28576"/>
          <a:ext cx="771525" cy="333374"/>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wsDr>
</file>

<file path=xl/drawings/drawing37.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647700</xdr:colOff>
      <xdr:row>0</xdr:row>
      <xdr:rowOff>257175</xdr:rowOff>
    </xdr:to>
    <xdr:sp macro="[0]!GOMAIN" textlink="">
      <xdr:nvSpPr>
        <xdr:cNvPr id="3" name="Rounded Rectangle 2">
          <a:extLst>
            <a:ext uri="{FF2B5EF4-FFF2-40B4-BE49-F238E27FC236}">
              <a16:creationId xmlns:a16="http://schemas.microsoft.com/office/drawing/2014/main" id="{00000000-0008-0000-2A00-000003000000}"/>
            </a:ext>
          </a:extLst>
        </xdr:cNvPr>
        <xdr:cNvSpPr/>
      </xdr:nvSpPr>
      <xdr:spPr>
        <a:xfrm>
          <a:off x="28575" y="38100"/>
          <a:ext cx="619125" cy="219075"/>
        </a:xfrm>
        <a:prstGeom prst="roundRect">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r>
            <a:rPr lang="en-US" sz="1100" b="1">
              <a:solidFill>
                <a:srgbClr val="002060"/>
              </a:solidFill>
              <a:effectLst/>
            </a:rPr>
            <a:t>MAIN</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pPr>
      <a:bodyPr vertOverflow="clip" horzOverflow="clip" lIns="0" tIns="0" rIns="0" bIns="0" rtlCol="0" anchor="ctr">
        <a:sp3d/>
      </a:bodyPr>
      <a:lstStyle>
        <a:defPPr algn="ctr">
          <a:defRPr sz="1000" b="1">
            <a:solidFill>
              <a:srgbClr val="002060"/>
            </a:solidFill>
            <a:effectLst/>
          </a:defRPr>
        </a:defPPr>
      </a:lstStyle>
      <a:style>
        <a:lnRef idx="0">
          <a:schemeClr val="accent6"/>
        </a:lnRef>
        <a:fillRef idx="3">
          <a:schemeClr val="accent6"/>
        </a:fillRef>
        <a:effectRef idx="3">
          <a:schemeClr val="accent6"/>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3.xml"/><Relationship Id="rId16"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vmlDrawing" Target="../drawings/vmlDrawing7.vml"/><Relationship Id="rId21" Type="http://schemas.openxmlformats.org/officeDocument/2006/relationships/ctrlProp" Target="../ctrlProps/ctrlProp36.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drawing" Target="../drawings/drawing7.xml"/><Relationship Id="rId16" Type="http://schemas.openxmlformats.org/officeDocument/2006/relationships/ctrlProp" Target="../ctrlProps/ctrlProp31.xml"/><Relationship Id="rId20" Type="http://schemas.openxmlformats.org/officeDocument/2006/relationships/ctrlProp" Target="../ctrlProps/ctrlProp35.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5" Type="http://schemas.openxmlformats.org/officeDocument/2006/relationships/ctrlProp" Target="../ctrlProps/ctrlProp20.xml"/><Relationship Id="rId15" Type="http://schemas.openxmlformats.org/officeDocument/2006/relationships/ctrlProp" Target="../ctrlProps/ctrlProp30.xml"/><Relationship Id="rId23" Type="http://schemas.openxmlformats.org/officeDocument/2006/relationships/ctrlProp" Target="../ctrlProps/ctrlProp38.xml"/><Relationship Id="rId10" Type="http://schemas.openxmlformats.org/officeDocument/2006/relationships/ctrlProp" Target="../ctrlProps/ctrlProp25.xml"/><Relationship Id="rId19" Type="http://schemas.openxmlformats.org/officeDocument/2006/relationships/ctrlProp" Target="../ctrlProps/ctrlProp34.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18" Type="http://schemas.openxmlformats.org/officeDocument/2006/relationships/ctrlProp" Target="../ctrlProps/ctrlProp54.xml"/><Relationship Id="rId26" Type="http://schemas.openxmlformats.org/officeDocument/2006/relationships/ctrlProp" Target="../ctrlProps/ctrlProp62.xml"/><Relationship Id="rId3" Type="http://schemas.openxmlformats.org/officeDocument/2006/relationships/vmlDrawing" Target="../drawings/vmlDrawing8.vml"/><Relationship Id="rId21" Type="http://schemas.openxmlformats.org/officeDocument/2006/relationships/ctrlProp" Target="../ctrlProps/ctrlProp57.xml"/><Relationship Id="rId7" Type="http://schemas.openxmlformats.org/officeDocument/2006/relationships/ctrlProp" Target="../ctrlProps/ctrlProp43.xml"/><Relationship Id="rId12" Type="http://schemas.openxmlformats.org/officeDocument/2006/relationships/ctrlProp" Target="../ctrlProps/ctrlProp48.xml"/><Relationship Id="rId17" Type="http://schemas.openxmlformats.org/officeDocument/2006/relationships/ctrlProp" Target="../ctrlProps/ctrlProp53.xml"/><Relationship Id="rId25" Type="http://schemas.openxmlformats.org/officeDocument/2006/relationships/ctrlProp" Target="../ctrlProps/ctrlProp61.xml"/><Relationship Id="rId2" Type="http://schemas.openxmlformats.org/officeDocument/2006/relationships/drawing" Target="../drawings/drawing8.xml"/><Relationship Id="rId16" Type="http://schemas.openxmlformats.org/officeDocument/2006/relationships/ctrlProp" Target="../ctrlProps/ctrlProp52.xml"/><Relationship Id="rId20" Type="http://schemas.openxmlformats.org/officeDocument/2006/relationships/ctrlProp" Target="../ctrlProps/ctrlProp56.xml"/><Relationship Id="rId1" Type="http://schemas.openxmlformats.org/officeDocument/2006/relationships/printerSettings" Target="../printerSettings/printerSettings10.bin"/><Relationship Id="rId6" Type="http://schemas.openxmlformats.org/officeDocument/2006/relationships/ctrlProp" Target="../ctrlProps/ctrlProp42.xml"/><Relationship Id="rId11" Type="http://schemas.openxmlformats.org/officeDocument/2006/relationships/ctrlProp" Target="../ctrlProps/ctrlProp47.xml"/><Relationship Id="rId24" Type="http://schemas.openxmlformats.org/officeDocument/2006/relationships/ctrlProp" Target="../ctrlProps/ctrlProp60.xml"/><Relationship Id="rId5" Type="http://schemas.openxmlformats.org/officeDocument/2006/relationships/ctrlProp" Target="../ctrlProps/ctrlProp41.xml"/><Relationship Id="rId15" Type="http://schemas.openxmlformats.org/officeDocument/2006/relationships/ctrlProp" Target="../ctrlProps/ctrlProp51.xml"/><Relationship Id="rId23" Type="http://schemas.openxmlformats.org/officeDocument/2006/relationships/ctrlProp" Target="../ctrlProps/ctrlProp59.xml"/><Relationship Id="rId10" Type="http://schemas.openxmlformats.org/officeDocument/2006/relationships/ctrlProp" Target="../ctrlProps/ctrlProp46.xml"/><Relationship Id="rId19" Type="http://schemas.openxmlformats.org/officeDocument/2006/relationships/ctrlProp" Target="../ctrlProps/ctrlProp55.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 Id="rId22" Type="http://schemas.openxmlformats.org/officeDocument/2006/relationships/ctrlProp" Target="../ctrlProps/ctrlProp5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6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9.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4.bin"/><Relationship Id="rId4" Type="http://schemas.openxmlformats.org/officeDocument/2006/relationships/ctrlProp" Target="../ctrlProps/ctrlProp7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27.bin"/><Relationship Id="rId4" Type="http://schemas.openxmlformats.org/officeDocument/2006/relationships/ctrlProp" Target="../ctrlProps/ctrlProp79.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5.xml"/><Relationship Id="rId1" Type="http://schemas.openxmlformats.org/officeDocument/2006/relationships/printerSettings" Target="../printerSettings/printerSettings29.bin"/><Relationship Id="rId4" Type="http://schemas.openxmlformats.org/officeDocument/2006/relationships/ctrlProp" Target="../ctrlProps/ctrlProp80.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7.xml"/><Relationship Id="rId1" Type="http://schemas.openxmlformats.org/officeDocument/2006/relationships/printerSettings" Target="../printerSettings/printerSettings31.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6.bin"/><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vmlDrawing" Target="../drawings/vmlDrawing24.vml"/><Relationship Id="rId7" Type="http://schemas.openxmlformats.org/officeDocument/2006/relationships/ctrlProp" Target="../ctrlProps/ctrlProp8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trlProp" Target="../ctrlProps/ctrlProp88.xml"/><Relationship Id="rId5" Type="http://schemas.openxmlformats.org/officeDocument/2006/relationships/ctrlProp" Target="../ctrlProps/ctrlProp87.xml"/><Relationship Id="rId10" Type="http://schemas.openxmlformats.org/officeDocument/2006/relationships/comments" Target="../comments1.xml"/><Relationship Id="rId4" Type="http://schemas.openxmlformats.org/officeDocument/2006/relationships/ctrlProp" Target="../ctrlProps/ctrlProp86.xml"/><Relationship Id="rId9"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4">
    <tabColor rgb="FF00B0F0"/>
    <pageSetUpPr fitToPage="1"/>
  </sheetPr>
  <dimension ref="A1:BG35"/>
  <sheetViews>
    <sheetView showGridLines="0" showRowColHeaders="0" zoomScaleNormal="100" zoomScaleSheetLayoutView="100" workbookViewId="0">
      <pane xSplit="7" ySplit="5" topLeftCell="X6" activePane="bottomRight" state="frozen"/>
      <selection activeCell="E1" sqref="E1"/>
      <selection pane="topRight" activeCell="H1" sqref="H1"/>
      <selection pane="bottomLeft" activeCell="E6" sqref="E6"/>
      <selection pane="bottomRight" activeCell="Y7" sqref="Y7"/>
    </sheetView>
  </sheetViews>
  <sheetFormatPr defaultColWidth="0" defaultRowHeight="12.75" zeroHeight="1"/>
  <cols>
    <col min="1" max="1" width="0.5" style="973" hidden="1" customWidth="1"/>
    <col min="2" max="3" width="15.375" style="973" hidden="1" customWidth="1"/>
    <col min="4" max="4" width="14.25" style="973" hidden="1" customWidth="1"/>
    <col min="5" max="5" width="14.625" style="973" bestFit="1" customWidth="1"/>
    <col min="6" max="6" width="9.5" style="973" customWidth="1"/>
    <col min="7" max="7" width="9.125" style="973" customWidth="1"/>
    <col min="8" max="8" width="1.25" style="973" customWidth="1"/>
    <col min="9" max="9" width="34.875" style="973" bestFit="1" customWidth="1"/>
    <col min="10" max="10" width="1.25" style="973" customWidth="1"/>
    <col min="11" max="30" width="56" style="973" customWidth="1"/>
    <col min="31" max="31" width="0.375" style="973" customWidth="1"/>
    <col min="32" max="36" width="9" style="973" hidden="1" customWidth="1"/>
    <col min="37" max="37" width="10" style="973" hidden="1" customWidth="1"/>
    <col min="38" max="55" width="9" style="973" hidden="1" customWidth="1"/>
    <col min="56" max="56" width="27.875" style="973" hidden="1" customWidth="1"/>
    <col min="57" max="57" width="5.125" style="973" hidden="1" customWidth="1"/>
    <col min="58" max="58" width="9" style="973" hidden="1" customWidth="1"/>
    <col min="59" max="59" width="27.875" style="973" hidden="1" customWidth="1"/>
    <col min="60" max="16384" width="9" style="973" hidden="1"/>
  </cols>
  <sheetData>
    <row r="1" spans="4:37" ht="12.6" customHeight="1">
      <c r="I1" s="2246" t="s">
        <v>1281</v>
      </c>
      <c r="K1" s="2240" t="s">
        <v>1281</v>
      </c>
      <c r="L1" s="2241"/>
      <c r="M1" s="2241"/>
      <c r="N1" s="2241"/>
      <c r="O1" s="2240" t="s">
        <v>1281</v>
      </c>
      <c r="P1" s="2241"/>
      <c r="Q1" s="2241"/>
      <c r="R1" s="2241"/>
      <c r="S1" s="2240" t="s">
        <v>1281</v>
      </c>
      <c r="T1" s="2241"/>
      <c r="U1" s="2241"/>
      <c r="V1" s="2241"/>
      <c r="W1" s="2240" t="s">
        <v>1281</v>
      </c>
      <c r="X1" s="2241"/>
      <c r="Y1" s="2241"/>
      <c r="Z1" s="2241"/>
      <c r="AA1" s="2240" t="s">
        <v>1281</v>
      </c>
      <c r="AB1" s="2241"/>
      <c r="AC1" s="2241"/>
      <c r="AD1" s="2241"/>
      <c r="AI1" s="1873" t="s">
        <v>1138</v>
      </c>
      <c r="AJ1" s="1874" t="s">
        <v>284</v>
      </c>
      <c r="AK1" s="973" t="s">
        <v>1456</v>
      </c>
    </row>
    <row r="2" spans="4:37" ht="12.6" customHeight="1">
      <c r="I2" s="2247"/>
      <c r="K2" s="2242"/>
      <c r="L2" s="2243"/>
      <c r="M2" s="2243"/>
      <c r="N2" s="2243"/>
      <c r="O2" s="2242"/>
      <c r="P2" s="2243"/>
      <c r="Q2" s="2243"/>
      <c r="R2" s="2243"/>
      <c r="S2" s="2242"/>
      <c r="T2" s="2243"/>
      <c r="U2" s="2243"/>
      <c r="V2" s="2243"/>
      <c r="W2" s="2242"/>
      <c r="X2" s="2243"/>
      <c r="Y2" s="2243"/>
      <c r="Z2" s="2243"/>
      <c r="AA2" s="2242"/>
      <c r="AB2" s="2243"/>
      <c r="AC2" s="2243"/>
      <c r="AD2" s="2243"/>
      <c r="AI2" s="1873" t="s">
        <v>1463</v>
      </c>
      <c r="AJ2" s="2244">
        <v>2</v>
      </c>
    </row>
    <row r="3" spans="4:37" ht="9" customHeight="1">
      <c r="K3" s="1872"/>
      <c r="L3" s="1872"/>
      <c r="AI3" s="1873" t="s">
        <v>1464</v>
      </c>
      <c r="AJ3" s="2245"/>
    </row>
    <row r="4" spans="4:37">
      <c r="E4" s="2250" t="s">
        <v>1231</v>
      </c>
      <c r="F4" s="2251"/>
      <c r="G4" s="2252"/>
      <c r="I4" s="1879" t="s">
        <v>1283</v>
      </c>
      <c r="K4" s="2239" t="s">
        <v>486</v>
      </c>
      <c r="L4" s="2239" t="s">
        <v>487</v>
      </c>
      <c r="M4" s="2239" t="s">
        <v>488</v>
      </c>
      <c r="N4" s="2239" t="s">
        <v>489</v>
      </c>
      <c r="O4" s="2239" t="s">
        <v>1465</v>
      </c>
      <c r="P4" s="2239" t="s">
        <v>1466</v>
      </c>
      <c r="Q4" s="2239" t="s">
        <v>1467</v>
      </c>
      <c r="R4" s="2239" t="s">
        <v>1468</v>
      </c>
      <c r="S4" s="2239" t="s">
        <v>1469</v>
      </c>
      <c r="T4" s="2239" t="s">
        <v>1470</v>
      </c>
      <c r="U4" s="2239" t="s">
        <v>1471</v>
      </c>
      <c r="V4" s="2239" t="s">
        <v>1472</v>
      </c>
      <c r="W4" s="2239" t="s">
        <v>1473</v>
      </c>
      <c r="X4" s="2239" t="s">
        <v>1474</v>
      </c>
      <c r="Y4" s="2239" t="s">
        <v>1475</v>
      </c>
      <c r="Z4" s="2239" t="s">
        <v>1476</v>
      </c>
      <c r="AA4" s="2239" t="s">
        <v>1477</v>
      </c>
      <c r="AB4" s="2239" t="s">
        <v>1478</v>
      </c>
      <c r="AC4" s="2239" t="s">
        <v>1479</v>
      </c>
      <c r="AD4" s="2239" t="s">
        <v>1480</v>
      </c>
    </row>
    <row r="5" spans="4:37">
      <c r="E5" s="1878" t="s">
        <v>327</v>
      </c>
      <c r="F5" s="1878" t="s">
        <v>328</v>
      </c>
      <c r="G5" s="1878" t="s">
        <v>326</v>
      </c>
      <c r="I5" s="1880" t="s">
        <v>1284</v>
      </c>
      <c r="K5" s="2239"/>
      <c r="L5" s="2239"/>
      <c r="M5" s="2239"/>
      <c r="N5" s="2239"/>
      <c r="O5" s="2239"/>
      <c r="P5" s="2239"/>
      <c r="Q5" s="2239"/>
      <c r="R5" s="2239"/>
      <c r="S5" s="2239"/>
      <c r="T5" s="2239"/>
      <c r="U5" s="2239"/>
      <c r="V5" s="2239"/>
      <c r="W5" s="2239"/>
      <c r="X5" s="2239"/>
      <c r="Y5" s="2239"/>
      <c r="Z5" s="2239"/>
      <c r="AA5" s="2239"/>
      <c r="AB5" s="2239"/>
      <c r="AC5" s="2239"/>
      <c r="AD5" s="2239"/>
    </row>
    <row r="6" spans="4:37">
      <c r="D6" s="974"/>
      <c r="E6" s="1868" t="s">
        <v>295</v>
      </c>
      <c r="F6" s="1868" t="s">
        <v>296</v>
      </c>
      <c r="G6" s="1869">
        <v>6.2898100000000001</v>
      </c>
      <c r="I6" s="1875" t="s">
        <v>621</v>
      </c>
      <c r="K6" s="1174" t="s">
        <v>436</v>
      </c>
      <c r="L6" s="1174" t="s">
        <v>437</v>
      </c>
      <c r="M6" s="1174" t="s">
        <v>438</v>
      </c>
      <c r="N6" s="1174" t="s">
        <v>439</v>
      </c>
      <c r="O6" s="1174" t="s">
        <v>1481</v>
      </c>
      <c r="P6" s="1174" t="s">
        <v>1482</v>
      </c>
      <c r="Q6" s="1174" t="s">
        <v>1483</v>
      </c>
      <c r="R6" s="1174" t="s">
        <v>1484</v>
      </c>
      <c r="S6" s="1174" t="s">
        <v>1485</v>
      </c>
      <c r="T6" s="1174" t="s">
        <v>1486</v>
      </c>
      <c r="U6" s="1174" t="s">
        <v>1487</v>
      </c>
      <c r="V6" s="1174" t="s">
        <v>1488</v>
      </c>
      <c r="W6" s="1174" t="s">
        <v>1489</v>
      </c>
      <c r="X6" s="1174" t="s">
        <v>1510</v>
      </c>
      <c r="Y6" s="1174" t="s">
        <v>1528</v>
      </c>
      <c r="Z6" s="1174"/>
      <c r="AA6" s="1174"/>
      <c r="AB6" s="1174"/>
      <c r="AC6" s="1174"/>
      <c r="AD6" s="1174"/>
    </row>
    <row r="7" spans="4:37">
      <c r="D7" s="974"/>
      <c r="E7" s="1868" t="s">
        <v>33</v>
      </c>
      <c r="F7" s="1868" t="s">
        <v>353</v>
      </c>
      <c r="G7" s="1869">
        <v>3.28084</v>
      </c>
      <c r="K7" s="969" t="s">
        <v>1008</v>
      </c>
      <c r="L7" s="969" t="s">
        <v>1009</v>
      </c>
      <c r="M7" s="969" t="s">
        <v>1243</v>
      </c>
      <c r="N7" s="969" t="s">
        <v>1237</v>
      </c>
      <c r="O7" s="969" t="s">
        <v>1524</v>
      </c>
      <c r="P7" s="969"/>
      <c r="Q7" s="969"/>
      <c r="R7" s="969" t="s">
        <v>1520</v>
      </c>
      <c r="S7" s="969"/>
      <c r="T7" s="969"/>
      <c r="U7" s="969"/>
      <c r="V7" s="969"/>
      <c r="W7" s="969" t="s">
        <v>1518</v>
      </c>
      <c r="X7" s="969" t="s">
        <v>1511</v>
      </c>
      <c r="Y7" s="969" t="s">
        <v>1528</v>
      </c>
      <c r="Z7" s="969"/>
      <c r="AA7" s="969"/>
      <c r="AB7" s="969"/>
      <c r="AC7" s="969"/>
      <c r="AD7" s="969"/>
    </row>
    <row r="8" spans="4:37">
      <c r="D8" s="974"/>
      <c r="E8" s="1868" t="s">
        <v>166</v>
      </c>
      <c r="F8" s="1868" t="s">
        <v>325</v>
      </c>
      <c r="G8" s="1869">
        <v>0.39370100000000002</v>
      </c>
      <c r="I8" s="1879" t="s">
        <v>1461</v>
      </c>
      <c r="K8" s="970" t="s">
        <v>14</v>
      </c>
      <c r="L8" s="970" t="s">
        <v>1010</v>
      </c>
      <c r="M8" s="970" t="s">
        <v>1241</v>
      </c>
      <c r="N8" s="2203" t="s">
        <v>1238</v>
      </c>
      <c r="O8" s="2203" t="s">
        <v>1525</v>
      </c>
      <c r="P8" s="2203"/>
      <c r="Q8" s="2203"/>
      <c r="R8" s="2203" t="s">
        <v>1521</v>
      </c>
      <c r="S8" s="2203"/>
      <c r="T8" s="2203"/>
      <c r="U8" s="2203"/>
      <c r="V8" s="2203"/>
      <c r="W8" s="2203" t="s">
        <v>1516</v>
      </c>
      <c r="X8" s="2203" t="s">
        <v>1512</v>
      </c>
      <c r="Y8" s="2203" t="s">
        <v>1212</v>
      </c>
      <c r="Z8" s="2203"/>
      <c r="AA8" s="2203"/>
      <c r="AB8" s="2203"/>
      <c r="AC8" s="2203"/>
      <c r="AD8" s="970"/>
    </row>
    <row r="9" spans="4:37">
      <c r="D9" s="974"/>
      <c r="E9" s="1868"/>
      <c r="F9" s="1868"/>
      <c r="G9" s="1869"/>
      <c r="I9" s="1880" t="s">
        <v>1462</v>
      </c>
      <c r="K9" s="970" t="s">
        <v>13</v>
      </c>
      <c r="L9" s="970" t="s">
        <v>1011</v>
      </c>
      <c r="M9" s="970" t="s">
        <v>1242</v>
      </c>
      <c r="N9" s="2203" t="s">
        <v>1239</v>
      </c>
      <c r="O9" s="2203" t="s">
        <v>1526</v>
      </c>
      <c r="P9" s="2203"/>
      <c r="Q9" s="2203"/>
      <c r="R9" s="2203" t="s">
        <v>1522</v>
      </c>
      <c r="S9" s="2203"/>
      <c r="T9" s="2203"/>
      <c r="U9" s="2203"/>
      <c r="V9" s="2203"/>
      <c r="W9" s="2203" t="s">
        <v>1517</v>
      </c>
      <c r="X9" s="2203" t="s">
        <v>1513</v>
      </c>
      <c r="Y9" s="2203"/>
      <c r="Z9" s="2203"/>
      <c r="AA9" s="2203"/>
      <c r="AB9" s="2203"/>
      <c r="AC9" s="2203"/>
      <c r="AD9" s="970"/>
    </row>
    <row r="10" spans="4:37">
      <c r="D10" s="974"/>
      <c r="E10" s="1868"/>
      <c r="F10" s="1868"/>
      <c r="G10" s="1869"/>
      <c r="I10" s="2248" t="str">
        <f>INDEX(AI2:AI3,SMALLLOGOSEL,1)</f>
        <v>Hide Additional Logo on Top of pages</v>
      </c>
      <c r="K10" s="970" t="s">
        <v>1012</v>
      </c>
      <c r="L10" s="970" t="s">
        <v>1013</v>
      </c>
      <c r="M10" s="971"/>
      <c r="N10" s="2204" t="s">
        <v>1240</v>
      </c>
      <c r="O10" s="2204" t="s">
        <v>1527</v>
      </c>
      <c r="P10" s="2204"/>
      <c r="Q10" s="2204"/>
      <c r="R10" s="2204" t="s">
        <v>1523</v>
      </c>
      <c r="S10" s="2204"/>
      <c r="T10" s="2204"/>
      <c r="U10" s="2204"/>
      <c r="V10" s="2204"/>
      <c r="W10" s="2204" t="s">
        <v>1519</v>
      </c>
      <c r="X10" s="2204" t="s">
        <v>1514</v>
      </c>
      <c r="Y10" s="2204"/>
      <c r="Z10" s="2204"/>
      <c r="AA10" s="2204"/>
      <c r="AB10" s="2204"/>
      <c r="AC10" s="2204"/>
      <c r="AD10" s="970"/>
    </row>
    <row r="11" spans="4:37">
      <c r="D11" s="974"/>
      <c r="I11" s="2249"/>
      <c r="K11" s="1889" t="s">
        <v>1001</v>
      </c>
      <c r="L11" s="1889" t="s">
        <v>1001</v>
      </c>
      <c r="M11" s="1889" t="s">
        <v>1001</v>
      </c>
      <c r="N11" s="1889" t="s">
        <v>1001</v>
      </c>
      <c r="O11" s="1889" t="s">
        <v>1001</v>
      </c>
      <c r="P11" s="1889" t="s">
        <v>1001</v>
      </c>
      <c r="Q11" s="1889" t="s">
        <v>1001</v>
      </c>
      <c r="R11" s="1889" t="s">
        <v>1001</v>
      </c>
      <c r="S11" s="1889" t="s">
        <v>1001</v>
      </c>
      <c r="T11" s="1889" t="s">
        <v>1001</v>
      </c>
      <c r="U11" s="1889" t="s">
        <v>1001</v>
      </c>
      <c r="V11" s="1889" t="s">
        <v>1001</v>
      </c>
      <c r="W11" s="1889" t="s">
        <v>1001</v>
      </c>
      <c r="X11" s="1889" t="s">
        <v>1001</v>
      </c>
      <c r="Y11" s="1889" t="s">
        <v>1001</v>
      </c>
      <c r="Z11" s="1889" t="s">
        <v>1001</v>
      </c>
      <c r="AA11" s="1889" t="s">
        <v>1001</v>
      </c>
      <c r="AB11" s="1889" t="s">
        <v>1001</v>
      </c>
      <c r="AC11" s="1889" t="s">
        <v>1001</v>
      </c>
      <c r="AD11" s="1889" t="s">
        <v>1001</v>
      </c>
    </row>
    <row r="12" spans="4:37">
      <c r="D12" s="974"/>
      <c r="E12" s="1883" t="s">
        <v>737</v>
      </c>
      <c r="F12" s="1884" t="s">
        <v>485</v>
      </c>
      <c r="G12" s="1885"/>
      <c r="K12" s="2198" t="s">
        <v>1002</v>
      </c>
      <c r="L12" s="2198" t="s">
        <v>1015</v>
      </c>
      <c r="M12" s="2198" t="s">
        <v>1236</v>
      </c>
      <c r="N12" s="2198" t="s">
        <v>1014</v>
      </c>
      <c r="O12" s="2198"/>
      <c r="P12" s="2198"/>
      <c r="Q12" s="2198"/>
      <c r="R12" s="2198"/>
      <c r="S12" s="2198"/>
      <c r="T12" s="2198"/>
      <c r="U12" s="2198"/>
      <c r="V12" s="2198"/>
      <c r="W12" s="2198"/>
      <c r="X12" s="2198" t="s">
        <v>1515</v>
      </c>
      <c r="Y12" s="2198"/>
      <c r="Z12" s="2198"/>
      <c r="AA12" s="2198"/>
      <c r="AB12" s="2198"/>
      <c r="AC12" s="2198"/>
      <c r="AD12" s="2198"/>
    </row>
    <row r="13" spans="4:37">
      <c r="D13" s="974"/>
      <c r="E13" s="1880" t="s">
        <v>738</v>
      </c>
      <c r="F13" s="1878" t="s">
        <v>297</v>
      </c>
      <c r="G13" s="1878" t="s">
        <v>309</v>
      </c>
      <c r="K13" s="1889" t="s">
        <v>1497</v>
      </c>
      <c r="L13" s="1889" t="s">
        <v>1497</v>
      </c>
      <c r="M13" s="1889" t="s">
        <v>1497</v>
      </c>
      <c r="N13" s="1889" t="s">
        <v>1497</v>
      </c>
      <c r="O13" s="1889" t="s">
        <v>1497</v>
      </c>
      <c r="P13" s="1889" t="s">
        <v>1497</v>
      </c>
      <c r="Q13" s="1889" t="s">
        <v>1497</v>
      </c>
      <c r="R13" s="1889" t="s">
        <v>1497</v>
      </c>
      <c r="S13" s="1889" t="s">
        <v>1497</v>
      </c>
      <c r="T13" s="1889" t="s">
        <v>1497</v>
      </c>
      <c r="U13" s="1889" t="s">
        <v>1497</v>
      </c>
      <c r="V13" s="1889" t="s">
        <v>1497</v>
      </c>
      <c r="W13" s="1889" t="s">
        <v>1497</v>
      </c>
      <c r="X13" s="1889" t="s">
        <v>1497</v>
      </c>
      <c r="Y13" s="1889" t="s">
        <v>1497</v>
      </c>
      <c r="Z13" s="1889" t="s">
        <v>1497</v>
      </c>
      <c r="AA13" s="1889" t="s">
        <v>1497</v>
      </c>
      <c r="AB13" s="1889" t="s">
        <v>1497</v>
      </c>
      <c r="AC13" s="1889" t="s">
        <v>1497</v>
      </c>
      <c r="AD13" s="1889" t="s">
        <v>1497</v>
      </c>
    </row>
    <row r="14" spans="4:37">
      <c r="D14" s="974"/>
      <c r="E14" s="1881" t="s">
        <v>1282</v>
      </c>
      <c r="F14" s="1868">
        <v>0.99099999999999999</v>
      </c>
      <c r="G14" s="1868">
        <v>0.89</v>
      </c>
      <c r="K14" s="2253"/>
      <c r="L14" s="2253"/>
      <c r="M14" s="2253"/>
      <c r="N14" s="2236"/>
      <c r="O14" s="2236"/>
      <c r="P14" s="2236"/>
      <c r="Q14" s="2236"/>
      <c r="R14" s="2236"/>
      <c r="S14" s="2236"/>
      <c r="T14" s="2236"/>
      <c r="U14" s="2236"/>
      <c r="V14" s="2236"/>
      <c r="W14" s="2236"/>
      <c r="X14" s="2236"/>
      <c r="Y14" s="2236"/>
      <c r="Z14" s="2236"/>
      <c r="AA14" s="2236"/>
      <c r="AB14" s="2236"/>
      <c r="AC14" s="2236"/>
      <c r="AD14" s="2236"/>
    </row>
    <row r="15" spans="4:37">
      <c r="D15" s="974"/>
      <c r="E15" s="1882" t="s">
        <v>709</v>
      </c>
      <c r="F15" s="1870">
        <v>380</v>
      </c>
      <c r="G15" s="1870">
        <v>6</v>
      </c>
      <c r="K15" s="2237"/>
      <c r="L15" s="2237"/>
      <c r="M15" s="2237"/>
      <c r="N15" s="2237"/>
      <c r="O15" s="2237"/>
      <c r="P15" s="2237"/>
      <c r="Q15" s="2237"/>
      <c r="R15" s="2237"/>
      <c r="S15" s="2237"/>
      <c r="T15" s="2237"/>
      <c r="U15" s="2237"/>
      <c r="V15" s="2237"/>
      <c r="W15" s="2237"/>
      <c r="X15" s="2237"/>
      <c r="Y15" s="2237"/>
      <c r="Z15" s="2237"/>
      <c r="AA15" s="2237"/>
      <c r="AB15" s="2237"/>
      <c r="AC15" s="2237"/>
      <c r="AD15" s="2237"/>
    </row>
    <row r="16" spans="4:37">
      <c r="D16" s="974"/>
      <c r="E16" s="1882" t="s">
        <v>708</v>
      </c>
      <c r="F16" s="1871">
        <v>0.5</v>
      </c>
      <c r="G16" s="1871">
        <v>0.6</v>
      </c>
      <c r="K16" s="2237"/>
      <c r="L16" s="2237"/>
      <c r="M16" s="2237"/>
      <c r="N16" s="2237"/>
      <c r="O16" s="2237"/>
      <c r="P16" s="2237"/>
      <c r="Q16" s="2237"/>
      <c r="R16" s="2237"/>
      <c r="S16" s="2237"/>
      <c r="T16" s="2237"/>
      <c r="U16" s="2237"/>
      <c r="V16" s="2237"/>
      <c r="W16" s="2237"/>
      <c r="X16" s="2237"/>
      <c r="Y16" s="2237"/>
      <c r="Z16" s="2237"/>
      <c r="AA16" s="2237"/>
      <c r="AB16" s="2237"/>
      <c r="AC16" s="2237"/>
      <c r="AD16" s="2237"/>
    </row>
    <row r="17" spans="4:30">
      <c r="D17" s="974"/>
      <c r="E17" s="1882" t="s">
        <v>1502</v>
      </c>
      <c r="F17" s="1871">
        <v>0.5</v>
      </c>
      <c r="G17" s="1871">
        <v>0.5</v>
      </c>
      <c r="K17" s="2237"/>
      <c r="L17" s="2237"/>
      <c r="M17" s="2237"/>
      <c r="N17" s="2237"/>
      <c r="O17" s="2237"/>
      <c r="P17" s="2237"/>
      <c r="Q17" s="2237"/>
      <c r="R17" s="2237"/>
      <c r="S17" s="2237"/>
      <c r="T17" s="2237"/>
      <c r="U17" s="2237"/>
      <c r="V17" s="2237"/>
      <c r="W17" s="2237"/>
      <c r="X17" s="2237"/>
      <c r="Y17" s="2237"/>
      <c r="Z17" s="2237"/>
      <c r="AA17" s="2237"/>
      <c r="AB17" s="2237"/>
      <c r="AC17" s="2237"/>
      <c r="AD17" s="2237"/>
    </row>
    <row r="18" spans="4:30">
      <c r="D18" s="974"/>
      <c r="K18" s="2237"/>
      <c r="L18" s="2237"/>
      <c r="M18" s="2237"/>
      <c r="N18" s="2237"/>
      <c r="O18" s="2237"/>
      <c r="P18" s="2237"/>
      <c r="Q18" s="2237"/>
      <c r="R18" s="2237"/>
      <c r="S18" s="2237"/>
      <c r="T18" s="2237"/>
      <c r="U18" s="2237"/>
      <c r="V18" s="2237"/>
      <c r="W18" s="2237"/>
      <c r="X18" s="2237"/>
      <c r="Y18" s="2237"/>
      <c r="Z18" s="2237"/>
      <c r="AA18" s="2237"/>
      <c r="AB18" s="2237"/>
      <c r="AC18" s="2237"/>
      <c r="AD18" s="2237"/>
    </row>
    <row r="19" spans="4:30">
      <c r="D19" s="974"/>
      <c r="E19" s="1886"/>
      <c r="F19" s="1887" t="s">
        <v>484</v>
      </c>
      <c r="G19" s="1887"/>
      <c r="K19" s="2238"/>
      <c r="L19" s="2238"/>
      <c r="M19" s="2238"/>
      <c r="N19" s="2238"/>
      <c r="O19" s="2238"/>
      <c r="P19" s="2238"/>
      <c r="Q19" s="2238"/>
      <c r="R19" s="2238"/>
      <c r="S19" s="2238"/>
      <c r="T19" s="2238"/>
      <c r="U19" s="2238"/>
      <c r="V19" s="2238"/>
      <c r="W19" s="2238"/>
      <c r="X19" s="2238"/>
      <c r="Y19" s="2238"/>
      <c r="Z19" s="2238"/>
      <c r="AA19" s="2238"/>
      <c r="AB19" s="2238"/>
      <c r="AC19" s="2238"/>
      <c r="AD19" s="2238"/>
    </row>
    <row r="20" spans="4:30">
      <c r="D20" s="974"/>
      <c r="E20" s="1888" t="s">
        <v>290</v>
      </c>
      <c r="F20" s="1888" t="s">
        <v>1233</v>
      </c>
      <c r="G20" s="1888" t="s">
        <v>795</v>
      </c>
    </row>
    <row r="21" spans="4:30">
      <c r="D21" s="974"/>
      <c r="E21" s="972"/>
      <c r="F21" s="972"/>
      <c r="G21" s="972"/>
    </row>
    <row r="22" spans="4:30">
      <c r="D22" s="974"/>
      <c r="E22" s="972" t="s">
        <v>284</v>
      </c>
      <c r="F22" s="1508" t="s">
        <v>25</v>
      </c>
      <c r="G22" s="972" t="s">
        <v>907</v>
      </c>
    </row>
    <row r="23" spans="4:30">
      <c r="D23" s="974"/>
      <c r="E23" s="972" t="s">
        <v>270</v>
      </c>
      <c r="F23" s="972" t="s">
        <v>16</v>
      </c>
      <c r="G23" s="972" t="s">
        <v>796</v>
      </c>
    </row>
    <row r="24" spans="4:30">
      <c r="D24" s="974"/>
      <c r="F24" s="972" t="s">
        <v>22</v>
      </c>
      <c r="G24" s="972" t="s">
        <v>908</v>
      </c>
    </row>
    <row r="25" spans="4:30">
      <c r="D25" s="974"/>
      <c r="F25" s="972" t="s">
        <v>269</v>
      </c>
      <c r="G25" s="972" t="s">
        <v>909</v>
      </c>
    </row>
    <row r="26" spans="4:30" ht="2.25" customHeight="1">
      <c r="D26" s="974"/>
    </row>
    <row r="27" spans="4:30" ht="12.75" hidden="1" customHeight="1">
      <c r="D27" s="974"/>
    </row>
    <row r="28" spans="4:30" ht="12.75" hidden="1" customHeight="1">
      <c r="D28" s="974"/>
    </row>
    <row r="29" spans="4:30" hidden="1">
      <c r="D29" s="974"/>
    </row>
    <row r="30" spans="4:30" hidden="1">
      <c r="D30" s="974"/>
    </row>
    <row r="31" spans="4:30" hidden="1">
      <c r="D31" s="974"/>
    </row>
    <row r="32" spans="4:30" hidden="1">
      <c r="D32" s="974"/>
    </row>
    <row r="33" spans="4:4" hidden="1">
      <c r="D33" s="974"/>
    </row>
    <row r="34" spans="4:4" hidden="1">
      <c r="D34" s="974"/>
    </row>
    <row r="35" spans="4:4" hidden="1">
      <c r="D35" s="974"/>
    </row>
  </sheetData>
  <sheetProtection algorithmName="SHA-512" hashValue="u39pH0dKlJotqcalnNos/Vl2d5wMsLK4WRhzS6r+CWMTX6ip7U1MXE/SUpq/9WnNn8b6PsuTT0UPDA9DVcpVMA==" saltValue="ZeNpgcXyauZcX0ORznDPGA==" spinCount="100000" sheet="1" objects="1" scenarios="1" autoFilter="0"/>
  <mergeCells count="49">
    <mergeCell ref="E4:G4"/>
    <mergeCell ref="W4:W5"/>
    <mergeCell ref="AB14:AB19"/>
    <mergeCell ref="X4:X5"/>
    <mergeCell ref="Y4:Y5"/>
    <mergeCell ref="Z4:Z5"/>
    <mergeCell ref="AA4:AA5"/>
    <mergeCell ref="AB4:AB5"/>
    <mergeCell ref="W14:W19"/>
    <mergeCell ref="X14:X19"/>
    <mergeCell ref="Y14:Y19"/>
    <mergeCell ref="Z14:Z19"/>
    <mergeCell ref="V4:V5"/>
    <mergeCell ref="K14:K19"/>
    <mergeCell ref="L14:L19"/>
    <mergeCell ref="M14:M19"/>
    <mergeCell ref="S14:S19"/>
    <mergeCell ref="AD14:AD19"/>
    <mergeCell ref="U14:U19"/>
    <mergeCell ref="AJ2:AJ3"/>
    <mergeCell ref="I1:I2"/>
    <mergeCell ref="I10:I11"/>
    <mergeCell ref="K4:K5"/>
    <mergeCell ref="L4:L5"/>
    <mergeCell ref="M4:M5"/>
    <mergeCell ref="AD4:AD5"/>
    <mergeCell ref="N4:N5"/>
    <mergeCell ref="O4:O5"/>
    <mergeCell ref="P4:P5"/>
    <mergeCell ref="Q4:Q5"/>
    <mergeCell ref="R4:R5"/>
    <mergeCell ref="S4:S5"/>
    <mergeCell ref="N14:N19"/>
    <mergeCell ref="P14:P19"/>
    <mergeCell ref="O14:O19"/>
    <mergeCell ref="Q14:Q19"/>
    <mergeCell ref="R14:R19"/>
    <mergeCell ref="K1:N2"/>
    <mergeCell ref="O1:R2"/>
    <mergeCell ref="S1:V2"/>
    <mergeCell ref="W1:Z2"/>
    <mergeCell ref="AA1:AD2"/>
    <mergeCell ref="T14:T19"/>
    <mergeCell ref="U4:U5"/>
    <mergeCell ref="V14:V19"/>
    <mergeCell ref="AA14:AA19"/>
    <mergeCell ref="AC14:AC19"/>
    <mergeCell ref="AC4:AC5"/>
    <mergeCell ref="T4:T5"/>
  </mergeCells>
  <phoneticPr fontId="172" type="noConversion"/>
  <dataValidations disablePrompts="1" count="5">
    <dataValidation type="list" allowBlank="1" showInputMessage="1" showErrorMessage="1" errorTitle="Summary Calculation" error="Choose Yes or No from list." sqref="I6" xr:uid="{00000000-0002-0000-0000-000000000000}">
      <formula1>"Yes, No"</formula1>
    </dataValidation>
    <dataValidation type="decimal" allowBlank="1" showInputMessage="1" showErrorMessage="1" errorTitle="Density" error="This Density is not valid." sqref="F14:G14" xr:uid="{00000000-0002-0000-0000-000001000000}">
      <formula1>0.5</formula1>
      <formula2>2</formula2>
    </dataValidation>
    <dataValidation allowBlank="1" showInputMessage="1" showErrorMessage="1" prompt="Shown in Liability Note." sqref="K12:AD12" xr:uid="{00000000-0002-0000-0000-000002000000}"/>
    <dataValidation type="list" allowBlank="1" showInputMessage="1" showErrorMessage="1" sqref="AJ1" xr:uid="{00000000-0002-0000-0000-000003000000}">
      <formula1>"Y,N"</formula1>
    </dataValidation>
    <dataValidation allowBlank="1" showInputMessage="1" showErrorMessage="1" prompt="This cell is reserved only for &quot;U&quot; Method!" sqref="F22" xr:uid="{00000000-0002-0000-0000-000004000000}"/>
  </dataValidations>
  <printOptions horizontalCentered="1"/>
  <pageMargins left="0.31496062992125984" right="0.31496062992125984" top="0.19685039370078741" bottom="0.31496062992125984" header="0" footer="0"/>
  <pageSetup paperSize="9" fitToWidth="0" orientation="landscape" r:id="rId1"/>
  <headerFooter>
    <oddFooter>&amp;L&amp;"-,Regular"BunkerManager, v1.00&amp;C&amp;"-,Regular"BunkerManager by AMS-Marine Software</oddFooter>
  </headerFooter>
  <colBreaks count="2" manualBreakCount="2">
    <brk id="10" max="1048575" man="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List Box 10">
              <controlPr defaultSize="0" print="0" autoLine="0" autoPict="0" macro="[0]!SmallLogo">
                <anchor moveWithCells="1">
                  <from>
                    <xdr:col>8</xdr:col>
                    <xdr:colOff>9525</xdr:colOff>
                    <xdr:row>9</xdr:row>
                    <xdr:rowOff>19050</xdr:rowOff>
                  </from>
                  <to>
                    <xdr:col>8</xdr:col>
                    <xdr:colOff>2647950</xdr:colOff>
                    <xdr:row>10</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05">
    <tabColor rgb="FF00B0F0"/>
    <pageSetUpPr fitToPage="1"/>
  </sheetPr>
  <dimension ref="A1:O66"/>
  <sheetViews>
    <sheetView showGridLines="0" showRowColHeaders="0" topLeftCell="B1" zoomScaleNormal="100" zoomScaleSheetLayoutView="100" workbookViewId="0">
      <pane xSplit="2" ySplit="5" topLeftCell="D6" activePane="bottomRight" state="frozen"/>
      <selection activeCell="B1" sqref="B1"/>
      <selection pane="topRight" activeCell="D1" sqref="D1"/>
      <selection pane="bottomLeft" activeCell="B6" sqref="B6"/>
      <selection pane="bottomRight" activeCell="B4" sqref="B4:C4"/>
    </sheetView>
  </sheetViews>
  <sheetFormatPr defaultColWidth="0" defaultRowHeight="13.5" zeroHeight="1"/>
  <cols>
    <col min="1" max="1" width="14.25" style="935" hidden="1" customWidth="1"/>
    <col min="2" max="3" width="12.75" style="935" customWidth="1"/>
    <col min="4" max="4" width="1.25" style="935" customWidth="1"/>
    <col min="5" max="5" width="22.375" style="935" bestFit="1" customWidth="1"/>
    <col min="6" max="6" width="1.25" style="935" customWidth="1"/>
    <col min="7" max="7" width="3.5" style="935" customWidth="1"/>
    <col min="8" max="8" width="10.5" style="935" customWidth="1"/>
    <col min="9" max="9" width="9.25" style="935" customWidth="1"/>
    <col min="10" max="10" width="1.25" style="935" customWidth="1"/>
    <col min="11" max="11" width="22.375" style="935" bestFit="1" customWidth="1"/>
    <col min="12" max="12" width="20.5" style="935" bestFit="1" customWidth="1"/>
    <col min="13" max="13" width="0.5" style="935" customWidth="1"/>
    <col min="14" max="14" width="2.75" style="935" hidden="1" customWidth="1"/>
    <col min="15" max="16384" width="9" style="935" hidden="1"/>
  </cols>
  <sheetData>
    <row r="1" spans="2:15" ht="12.6" customHeight="1">
      <c r="E1" s="2295" t="s">
        <v>1285</v>
      </c>
      <c r="F1" s="2296"/>
      <c r="G1" s="2296"/>
      <c r="H1" s="2296"/>
      <c r="I1" s="2296"/>
      <c r="J1" s="2296"/>
      <c r="K1" s="2296"/>
      <c r="L1" s="2297"/>
      <c r="O1" s="1814" t="b">
        <v>1</v>
      </c>
    </row>
    <row r="2" spans="2:15" ht="12.6" customHeight="1">
      <c r="E2" s="2298"/>
      <c r="F2" s="2299"/>
      <c r="G2" s="2299"/>
      <c r="H2" s="2299"/>
      <c r="I2" s="2299"/>
      <c r="J2" s="2299"/>
      <c r="K2" s="2299"/>
      <c r="L2" s="2300"/>
    </row>
    <row r="3" spans="2:15" ht="7.5" customHeight="1"/>
    <row r="4" spans="2:15">
      <c r="B4" s="2301" t="s">
        <v>509</v>
      </c>
      <c r="C4" s="2301"/>
      <c r="E4" s="1395" t="s">
        <v>365</v>
      </c>
      <c r="G4" s="2263" t="s">
        <v>688</v>
      </c>
      <c r="H4" s="2264"/>
      <c r="I4" s="2264"/>
      <c r="J4" s="2265"/>
      <c r="K4" s="1395" t="s">
        <v>686</v>
      </c>
      <c r="L4" s="1395" t="s">
        <v>682</v>
      </c>
    </row>
    <row r="5" spans="2:15">
      <c r="B5" s="1890" t="s">
        <v>508</v>
      </c>
      <c r="C5" s="1890" t="s">
        <v>510</v>
      </c>
      <c r="E5" s="1396" t="s">
        <v>619</v>
      </c>
      <c r="G5" s="2266" t="s">
        <v>619</v>
      </c>
      <c r="H5" s="2267"/>
      <c r="I5" s="2267"/>
      <c r="J5" s="2268"/>
      <c r="K5" s="1396" t="s">
        <v>202</v>
      </c>
      <c r="L5" s="1396" t="s">
        <v>202</v>
      </c>
    </row>
    <row r="6" spans="2:15">
      <c r="B6" s="512"/>
      <c r="C6" s="512"/>
      <c r="E6" s="512"/>
      <c r="G6" s="2269" t="s">
        <v>663</v>
      </c>
      <c r="H6" s="2270"/>
      <c r="I6" s="2270"/>
      <c r="J6" s="2271"/>
      <c r="K6" s="934" t="s">
        <v>988</v>
      </c>
      <c r="L6" s="934" t="s">
        <v>189</v>
      </c>
    </row>
    <row r="7" spans="2:15">
      <c r="B7" s="512" t="s">
        <v>29</v>
      </c>
      <c r="C7" s="512" t="s">
        <v>29</v>
      </c>
      <c r="E7" s="512" t="s">
        <v>987</v>
      </c>
      <c r="G7" s="2269" t="s">
        <v>662</v>
      </c>
      <c r="H7" s="2270"/>
      <c r="I7" s="2270"/>
      <c r="J7" s="2271"/>
      <c r="K7" s="934" t="s">
        <v>197</v>
      </c>
      <c r="L7" s="934" t="s">
        <v>196</v>
      </c>
    </row>
    <row r="8" spans="2:15">
      <c r="B8" s="512" t="s">
        <v>28</v>
      </c>
      <c r="C8" s="512" t="s">
        <v>28</v>
      </c>
      <c r="E8" s="512" t="s">
        <v>618</v>
      </c>
      <c r="G8" s="2269" t="s">
        <v>1018</v>
      </c>
      <c r="H8" s="2270"/>
      <c r="I8" s="2270"/>
      <c r="J8" s="2271"/>
      <c r="K8" s="934" t="s">
        <v>1023</v>
      </c>
      <c r="L8" s="934" t="s">
        <v>1024</v>
      </c>
    </row>
    <row r="9" spans="2:15">
      <c r="B9" s="512" t="s">
        <v>27</v>
      </c>
      <c r="C9" s="512" t="s">
        <v>27</v>
      </c>
      <c r="E9" s="512" t="s">
        <v>617</v>
      </c>
      <c r="G9" s="2269" t="s">
        <v>1019</v>
      </c>
      <c r="H9" s="2270"/>
      <c r="I9" s="2270"/>
      <c r="J9" s="2271"/>
      <c r="K9" s="934" t="s">
        <v>1025</v>
      </c>
      <c r="L9" s="934" t="s">
        <v>1026</v>
      </c>
    </row>
    <row r="10" spans="2:15">
      <c r="B10" s="512" t="s">
        <v>26</v>
      </c>
      <c r="C10" s="512" t="s">
        <v>26</v>
      </c>
      <c r="E10" s="512" t="s">
        <v>986</v>
      </c>
      <c r="G10" s="2269" t="s">
        <v>1020</v>
      </c>
      <c r="H10" s="2270"/>
      <c r="I10" s="2270"/>
      <c r="J10" s="2271"/>
      <c r="K10" s="934" t="s">
        <v>1027</v>
      </c>
      <c r="L10" s="934" t="s">
        <v>1028</v>
      </c>
    </row>
    <row r="11" spans="2:15">
      <c r="B11" s="512" t="s">
        <v>24</v>
      </c>
      <c r="C11" s="512" t="s">
        <v>24</v>
      </c>
      <c r="E11" s="512" t="s">
        <v>989</v>
      </c>
      <c r="G11" s="2269" t="s">
        <v>1021</v>
      </c>
      <c r="H11" s="2270"/>
      <c r="I11" s="2270"/>
      <c r="J11" s="2271"/>
      <c r="K11" s="934" t="s">
        <v>1029</v>
      </c>
      <c r="L11" s="934" t="s">
        <v>1030</v>
      </c>
    </row>
    <row r="12" spans="2:15">
      <c r="B12" s="512" t="s">
        <v>23</v>
      </c>
      <c r="C12" s="512" t="s">
        <v>23</v>
      </c>
      <c r="E12" s="512" t="s">
        <v>189</v>
      </c>
      <c r="G12" s="2269" t="s">
        <v>1022</v>
      </c>
      <c r="H12" s="2270"/>
      <c r="I12" s="2270"/>
      <c r="J12" s="2271"/>
      <c r="K12" s="934" t="s">
        <v>1031</v>
      </c>
      <c r="L12" s="934" t="s">
        <v>1032</v>
      </c>
    </row>
    <row r="13" spans="2:15">
      <c r="B13" s="512" t="s">
        <v>259</v>
      </c>
      <c r="C13" s="512" t="s">
        <v>259</v>
      </c>
      <c r="E13" s="512" t="s">
        <v>1017</v>
      </c>
    </row>
    <row r="14" spans="2:15">
      <c r="B14" s="512" t="s">
        <v>258</v>
      </c>
      <c r="C14" s="512" t="s">
        <v>258</v>
      </c>
      <c r="E14" s="512" t="s">
        <v>199</v>
      </c>
      <c r="G14" s="2260" t="s">
        <v>1214</v>
      </c>
      <c r="H14" s="2261"/>
      <c r="I14" s="2262"/>
      <c r="K14" s="2260" t="s">
        <v>1215</v>
      </c>
      <c r="L14" s="2262"/>
    </row>
    <row r="15" spans="2:15" ht="15">
      <c r="B15" s="512" t="s">
        <v>298</v>
      </c>
      <c r="C15" s="512" t="s">
        <v>298</v>
      </c>
      <c r="E15" s="512" t="s">
        <v>990</v>
      </c>
      <c r="G15" s="1891" t="s">
        <v>542</v>
      </c>
      <c r="H15" s="1891" t="s">
        <v>308</v>
      </c>
      <c r="I15" s="1892" t="s">
        <v>1457</v>
      </c>
      <c r="K15" s="1891" t="s">
        <v>297</v>
      </c>
      <c r="L15" s="1891" t="s">
        <v>309</v>
      </c>
      <c r="N15" s="1398" t="s">
        <v>542</v>
      </c>
      <c r="O15" s="1398" t="s">
        <v>1216</v>
      </c>
    </row>
    <row r="16" spans="2:15">
      <c r="B16" s="512" t="s">
        <v>299</v>
      </c>
      <c r="C16" s="512" t="s">
        <v>299</v>
      </c>
      <c r="E16" s="512" t="s">
        <v>991</v>
      </c>
      <c r="G16" s="968">
        <v>1</v>
      </c>
      <c r="H16" s="968" t="s">
        <v>30</v>
      </c>
      <c r="I16" s="2197">
        <v>280.12299999999999</v>
      </c>
      <c r="K16" s="968" t="s">
        <v>30</v>
      </c>
      <c r="L16" s="968" t="s">
        <v>20</v>
      </c>
      <c r="N16" s="1876">
        <v>1</v>
      </c>
      <c r="O16" s="1397" t="str">
        <f t="shared" ref="O16:O19" si="0">IF(ISERROR(MATCH($N16,$G$16:$G$21,0)),"",INDEX($H$16:$H$21,MATCH($N16,$G$16:$G$21,0),1))</f>
        <v>HSFO</v>
      </c>
    </row>
    <row r="17" spans="2:15">
      <c r="B17" s="512" t="s">
        <v>511</v>
      </c>
      <c r="C17" s="512" t="s">
        <v>511</v>
      </c>
      <c r="E17" s="512" t="s">
        <v>992</v>
      </c>
      <c r="G17" s="968">
        <v>2</v>
      </c>
      <c r="H17" s="968" t="s">
        <v>21</v>
      </c>
      <c r="I17" s="2197">
        <v>320.12299999999999</v>
      </c>
      <c r="K17" s="968" t="s">
        <v>21</v>
      </c>
      <c r="L17" s="968" t="s">
        <v>19</v>
      </c>
      <c r="N17" s="1876">
        <v>2</v>
      </c>
      <c r="O17" s="1397" t="str">
        <f t="shared" si="0"/>
        <v>LSFO</v>
      </c>
    </row>
    <row r="18" spans="2:15">
      <c r="B18" s="512" t="s">
        <v>512</v>
      </c>
      <c r="C18" s="512" t="s">
        <v>512</v>
      </c>
      <c r="E18" s="512" t="s">
        <v>198</v>
      </c>
      <c r="G18" s="968">
        <v>3</v>
      </c>
      <c r="H18" s="968" t="s">
        <v>20</v>
      </c>
      <c r="I18" s="2197">
        <v>450.12299999999999</v>
      </c>
      <c r="K18" s="968"/>
      <c r="L18" s="968" t="s">
        <v>18</v>
      </c>
      <c r="N18" s="1876">
        <v>3</v>
      </c>
      <c r="O18" s="1397" t="str">
        <f t="shared" si="0"/>
        <v>MDO</v>
      </c>
    </row>
    <row r="19" spans="2:15">
      <c r="B19" s="512" t="s">
        <v>566</v>
      </c>
      <c r="C19" s="512"/>
      <c r="E19" s="512" t="s">
        <v>197</v>
      </c>
      <c r="G19" s="968">
        <v>4</v>
      </c>
      <c r="H19" s="968" t="s">
        <v>19</v>
      </c>
      <c r="I19" s="2197">
        <v>500.12299999999999</v>
      </c>
      <c r="K19" s="968"/>
      <c r="L19" s="968" t="s">
        <v>17</v>
      </c>
      <c r="N19" s="1877">
        <v>4</v>
      </c>
      <c r="O19" s="1397" t="str">
        <f t="shared" si="0"/>
        <v>LSMDO</v>
      </c>
    </row>
    <row r="20" spans="2:15">
      <c r="B20" s="512" t="s">
        <v>567</v>
      </c>
      <c r="C20" s="512"/>
      <c r="E20" s="512" t="s">
        <v>196</v>
      </c>
      <c r="G20" s="968">
        <v>5</v>
      </c>
      <c r="H20" s="968" t="s">
        <v>18</v>
      </c>
      <c r="I20" s="2197">
        <v>450.12299999999999</v>
      </c>
      <c r="K20" s="968"/>
      <c r="L20" s="968"/>
      <c r="N20" s="1877">
        <v>5</v>
      </c>
      <c r="O20" s="1397" t="str">
        <f>IF(ISERROR(MATCH($N20,$G$16:$G$21,0)),"",INDEX($H$16:$H$21,MATCH($N20,$G$16:$G$21,0),1))</f>
        <v>MGO</v>
      </c>
    </row>
    <row r="21" spans="2:15">
      <c r="B21" s="512" t="s">
        <v>568</v>
      </c>
      <c r="C21" s="512"/>
      <c r="E21" s="512" t="s">
        <v>195</v>
      </c>
      <c r="G21" s="968">
        <v>6</v>
      </c>
      <c r="H21" s="968" t="s">
        <v>17</v>
      </c>
      <c r="I21" s="2197">
        <v>500.12299999999999</v>
      </c>
      <c r="K21" s="968"/>
      <c r="L21" s="968"/>
      <c r="N21" s="1877">
        <v>6</v>
      </c>
      <c r="O21" s="1397" t="str">
        <f t="shared" ref="O21" si="1">IF(ISERROR(MATCH($N21,$G$16:$G$21,0)),"",INDEX($H$16:$H$21,MATCH($N21,$G$16:$G$21,0),1))</f>
        <v>LSMGO</v>
      </c>
    </row>
    <row r="22" spans="2:15">
      <c r="B22" s="512" t="s">
        <v>569</v>
      </c>
      <c r="C22" s="512" t="s">
        <v>578</v>
      </c>
      <c r="E22" s="512" t="s">
        <v>194</v>
      </c>
    </row>
    <row r="23" spans="2:15">
      <c r="B23" s="512" t="s">
        <v>570</v>
      </c>
      <c r="C23" s="512" t="s">
        <v>579</v>
      </c>
      <c r="E23" s="512" t="s">
        <v>193</v>
      </c>
    </row>
    <row r="24" spans="2:15">
      <c r="B24" s="512" t="s">
        <v>571</v>
      </c>
      <c r="C24" s="512" t="s">
        <v>580</v>
      </c>
      <c r="E24" s="512" t="s">
        <v>192</v>
      </c>
      <c r="G24" s="2272" t="s">
        <v>515</v>
      </c>
      <c r="H24" s="2273"/>
      <c r="I24" s="2273"/>
      <c r="J24" s="2273"/>
      <c r="K24" s="2273"/>
      <c r="L24" s="2274"/>
    </row>
    <row r="25" spans="2:15">
      <c r="B25" s="512" t="s">
        <v>572</v>
      </c>
      <c r="C25" s="512" t="s">
        <v>581</v>
      </c>
      <c r="E25" s="512" t="s">
        <v>993</v>
      </c>
      <c r="G25" s="2275" t="s">
        <v>517</v>
      </c>
      <c r="H25" s="2276"/>
      <c r="I25" s="2276"/>
      <c r="J25" s="2277"/>
      <c r="K25" s="2318" t="s">
        <v>98</v>
      </c>
      <c r="L25" s="2319"/>
    </row>
    <row r="26" spans="2:15">
      <c r="B26" s="512" t="s">
        <v>573</v>
      </c>
      <c r="C26" s="512" t="s">
        <v>582</v>
      </c>
      <c r="E26" s="512" t="s">
        <v>191</v>
      </c>
      <c r="G26" s="2275" t="s">
        <v>516</v>
      </c>
      <c r="H26" s="2276"/>
      <c r="I26" s="2276"/>
      <c r="J26" s="2277"/>
      <c r="K26" s="2318" t="s">
        <v>95</v>
      </c>
      <c r="L26" s="2319"/>
    </row>
    <row r="27" spans="2:15">
      <c r="B27" s="512" t="s">
        <v>574</v>
      </c>
      <c r="C27" s="512" t="s">
        <v>583</v>
      </c>
      <c r="E27" s="512" t="s">
        <v>190</v>
      </c>
    </row>
    <row r="28" spans="2:15">
      <c r="B28" s="512" t="s">
        <v>575</v>
      </c>
      <c r="C28" s="512"/>
      <c r="E28" s="512" t="s">
        <v>1017</v>
      </c>
    </row>
    <row r="29" spans="2:15">
      <c r="B29" s="512" t="s">
        <v>576</v>
      </c>
      <c r="C29" s="512"/>
      <c r="E29" s="512" t="s">
        <v>1023</v>
      </c>
      <c r="G29" s="2260" t="s">
        <v>1213</v>
      </c>
      <c r="H29" s="2261"/>
      <c r="I29" s="2261"/>
      <c r="J29" s="2261"/>
      <c r="K29" s="2261"/>
      <c r="L29" s="2262"/>
    </row>
    <row r="30" spans="2:15">
      <c r="B30" s="512" t="s">
        <v>577</v>
      </c>
      <c r="C30" s="512"/>
      <c r="E30" s="512" t="s">
        <v>1024</v>
      </c>
      <c r="G30" s="2284" t="s">
        <v>528</v>
      </c>
      <c r="H30" s="2285"/>
      <c r="I30" s="2285"/>
      <c r="J30" s="2286"/>
      <c r="K30" s="2310" t="s">
        <v>1212</v>
      </c>
      <c r="L30" s="2311"/>
    </row>
    <row r="31" spans="2:15">
      <c r="B31" s="512"/>
      <c r="C31" s="512"/>
      <c r="E31" s="512" t="s">
        <v>1025</v>
      </c>
      <c r="G31" s="2287" t="s">
        <v>529</v>
      </c>
      <c r="H31" s="2288"/>
      <c r="I31" s="2288"/>
      <c r="J31" s="2289"/>
      <c r="K31" s="2308" t="s">
        <v>550</v>
      </c>
      <c r="L31" s="2309"/>
    </row>
    <row r="32" spans="2:15">
      <c r="B32" s="512" t="s">
        <v>578</v>
      </c>
      <c r="C32" s="512"/>
      <c r="E32" s="512" t="s">
        <v>1026</v>
      </c>
      <c r="G32" s="2290" t="s">
        <v>532</v>
      </c>
      <c r="H32" s="2291"/>
      <c r="I32" s="2291"/>
      <c r="J32" s="2292"/>
      <c r="K32" s="2293" t="s">
        <v>534</v>
      </c>
      <c r="L32" s="2294"/>
    </row>
    <row r="33" spans="2:12">
      <c r="B33" s="512" t="s">
        <v>579</v>
      </c>
      <c r="C33" s="512"/>
      <c r="E33" s="512" t="s">
        <v>1027</v>
      </c>
      <c r="G33" s="2281" t="s">
        <v>722</v>
      </c>
      <c r="H33" s="2282"/>
      <c r="I33" s="2282"/>
      <c r="J33" s="2283"/>
      <c r="K33" s="2293" t="s">
        <v>535</v>
      </c>
      <c r="L33" s="2294"/>
    </row>
    <row r="34" spans="2:12">
      <c r="B34" s="512" t="s">
        <v>580</v>
      </c>
      <c r="C34" s="512"/>
      <c r="E34" s="512" t="s">
        <v>1028</v>
      </c>
      <c r="G34" s="2278" t="s">
        <v>533</v>
      </c>
      <c r="H34" s="2279"/>
      <c r="I34" s="2279"/>
      <c r="J34" s="2280"/>
      <c r="K34" s="2312" t="s">
        <v>624</v>
      </c>
      <c r="L34" s="2313"/>
    </row>
    <row r="35" spans="2:12">
      <c r="B35" s="512" t="s">
        <v>581</v>
      </c>
      <c r="C35" s="512"/>
      <c r="E35" s="512" t="s">
        <v>1029</v>
      </c>
      <c r="G35" s="2254"/>
      <c r="H35" s="2255"/>
      <c r="I35" s="2255"/>
      <c r="J35" s="2256"/>
      <c r="K35" s="2314"/>
      <c r="L35" s="2315"/>
    </row>
    <row r="36" spans="2:12">
      <c r="B36" s="512" t="s">
        <v>582</v>
      </c>
      <c r="C36" s="512"/>
      <c r="E36" s="512" t="s">
        <v>1030</v>
      </c>
      <c r="G36" s="2254"/>
      <c r="H36" s="2255"/>
      <c r="I36" s="2255"/>
      <c r="J36" s="2256"/>
      <c r="K36" s="2314"/>
      <c r="L36" s="2315"/>
    </row>
    <row r="37" spans="2:12">
      <c r="B37" s="512" t="s">
        <v>583</v>
      </c>
      <c r="C37" s="512"/>
      <c r="E37" s="512" t="s">
        <v>1031</v>
      </c>
      <c r="G37" s="2254"/>
      <c r="H37" s="2255"/>
      <c r="I37" s="2255"/>
      <c r="J37" s="2256"/>
      <c r="K37" s="2314"/>
      <c r="L37" s="2315"/>
    </row>
    <row r="38" spans="2:12">
      <c r="B38" s="512" t="s">
        <v>584</v>
      </c>
      <c r="C38" s="512"/>
      <c r="E38" s="512" t="s">
        <v>1032</v>
      </c>
      <c r="G38" s="2257"/>
      <c r="H38" s="2258"/>
      <c r="I38" s="2258"/>
      <c r="J38" s="2259"/>
      <c r="K38" s="2316"/>
      <c r="L38" s="2317"/>
    </row>
    <row r="39" spans="2:12">
      <c r="B39" s="512" t="s">
        <v>585</v>
      </c>
      <c r="C39" s="512"/>
      <c r="E39" s="512"/>
      <c r="G39" s="2278" t="s">
        <v>724</v>
      </c>
      <c r="H39" s="2279"/>
      <c r="I39" s="2279"/>
      <c r="J39" s="2280"/>
      <c r="K39" s="2320" t="s">
        <v>726</v>
      </c>
      <c r="L39" s="2321"/>
    </row>
    <row r="40" spans="2:12">
      <c r="B40" s="512" t="s">
        <v>586</v>
      </c>
      <c r="C40" s="512"/>
      <c r="E40" s="512"/>
      <c r="G40" s="2257"/>
      <c r="H40" s="2258"/>
      <c r="I40" s="2258"/>
      <c r="J40" s="2259"/>
      <c r="K40" s="2302"/>
      <c r="L40" s="2303"/>
    </row>
    <row r="41" spans="2:12">
      <c r="B41" s="512" t="s">
        <v>587</v>
      </c>
      <c r="C41" s="512"/>
      <c r="E41" s="1208"/>
      <c r="G41" s="2281" t="s">
        <v>723</v>
      </c>
      <c r="H41" s="2282"/>
      <c r="I41" s="2282"/>
      <c r="J41" s="2283"/>
      <c r="K41" s="2306" t="str">
        <f>SURVEYOR</f>
        <v>MEHMET EROĞLU</v>
      </c>
      <c r="L41" s="2307"/>
    </row>
    <row r="42" spans="2:12">
      <c r="B42" s="512" t="s">
        <v>588</v>
      </c>
      <c r="C42" s="512"/>
      <c r="E42" s="512"/>
      <c r="G42" s="2278" t="s">
        <v>725</v>
      </c>
      <c r="H42" s="2279"/>
      <c r="I42" s="2279"/>
      <c r="J42" s="2280"/>
      <c r="K42" s="2322" t="s">
        <v>727</v>
      </c>
      <c r="L42" s="2323"/>
    </row>
    <row r="43" spans="2:12">
      <c r="B43" s="512" t="s">
        <v>589</v>
      </c>
      <c r="C43" s="512"/>
      <c r="E43" s="512"/>
      <c r="G43" s="2254"/>
      <c r="H43" s="2255"/>
      <c r="I43" s="2255"/>
      <c r="J43" s="2256"/>
      <c r="K43" s="2304" t="s">
        <v>728</v>
      </c>
      <c r="L43" s="2305"/>
    </row>
    <row r="44" spans="2:12">
      <c r="B44" s="512"/>
      <c r="C44" s="512"/>
      <c r="E44" s="512"/>
      <c r="G44" s="2254"/>
      <c r="H44" s="2255"/>
      <c r="I44" s="2255"/>
      <c r="J44" s="2256"/>
      <c r="K44" s="2304" t="s">
        <v>729</v>
      </c>
      <c r="L44" s="2305"/>
    </row>
    <row r="45" spans="2:12">
      <c r="B45" s="512" t="s">
        <v>590</v>
      </c>
      <c r="C45" s="512"/>
      <c r="E45" s="512"/>
      <c r="G45" s="2257"/>
      <c r="H45" s="2258"/>
      <c r="I45" s="2258"/>
      <c r="J45" s="2259"/>
      <c r="K45" s="2302" t="s">
        <v>730</v>
      </c>
      <c r="L45" s="2303"/>
    </row>
    <row r="46" spans="2:12">
      <c r="B46" s="512" t="s">
        <v>591</v>
      </c>
      <c r="C46" s="512"/>
      <c r="E46" s="512"/>
    </row>
    <row r="47" spans="2:12">
      <c r="B47" s="512" t="s">
        <v>592</v>
      </c>
      <c r="C47" s="512"/>
      <c r="E47" s="512"/>
    </row>
    <row r="48" spans="2:12">
      <c r="B48" s="512" t="s">
        <v>593</v>
      </c>
      <c r="C48" s="512"/>
      <c r="E48" s="512"/>
    </row>
    <row r="49" spans="2:5">
      <c r="B49" s="512" t="s">
        <v>594</v>
      </c>
      <c r="C49" s="512"/>
      <c r="E49" s="512"/>
    </row>
    <row r="50" spans="2:5">
      <c r="B50" s="512" t="s">
        <v>595</v>
      </c>
      <c r="C50" s="512"/>
      <c r="E50" s="512"/>
    </row>
    <row r="51" spans="2:5">
      <c r="B51" s="512" t="s">
        <v>596</v>
      </c>
      <c r="C51" s="512"/>
      <c r="E51" s="512"/>
    </row>
    <row r="52" spans="2:5">
      <c r="B52" s="512"/>
      <c r="C52" s="512"/>
      <c r="E52" s="512"/>
    </row>
    <row r="53" spans="2:5">
      <c r="B53" s="512" t="s">
        <v>597</v>
      </c>
      <c r="C53" s="512"/>
      <c r="E53" s="512"/>
    </row>
    <row r="54" spans="2:5">
      <c r="B54" s="512" t="s">
        <v>598</v>
      </c>
      <c r="C54" s="512"/>
      <c r="E54" s="512"/>
    </row>
    <row r="55" spans="2:5">
      <c r="B55" s="512" t="s">
        <v>599</v>
      </c>
      <c r="C55" s="512"/>
      <c r="E55" s="512"/>
    </row>
    <row r="56" spans="2:5">
      <c r="B56" s="512" t="s">
        <v>600</v>
      </c>
      <c r="C56" s="512"/>
      <c r="E56" s="512"/>
    </row>
    <row r="57" spans="2:5">
      <c r="B57" s="512"/>
      <c r="C57" s="512"/>
      <c r="E57" s="512"/>
    </row>
    <row r="58" spans="2:5">
      <c r="B58" s="512" t="s">
        <v>601</v>
      </c>
      <c r="C58" s="512"/>
      <c r="E58" s="512"/>
    </row>
    <row r="59" spans="2:5">
      <c r="B59" s="512" t="s">
        <v>602</v>
      </c>
      <c r="C59" s="512"/>
      <c r="E59" s="512"/>
    </row>
    <row r="60" spans="2:5">
      <c r="B60" s="512"/>
      <c r="C60" s="512"/>
      <c r="E60" s="512"/>
    </row>
    <row r="61" spans="2:5">
      <c r="B61" s="512" t="s">
        <v>603</v>
      </c>
      <c r="C61" s="512"/>
      <c r="E61" s="512"/>
    </row>
    <row r="62" spans="2:5">
      <c r="B62" s="512" t="s">
        <v>604</v>
      </c>
      <c r="C62" s="512"/>
      <c r="E62" s="512"/>
    </row>
    <row r="63" spans="2:5">
      <c r="B63" s="512" t="s">
        <v>605</v>
      </c>
      <c r="C63" s="512"/>
      <c r="E63" s="512"/>
    </row>
    <row r="64" spans="2:5">
      <c r="B64" s="512" t="s">
        <v>606</v>
      </c>
      <c r="C64" s="512"/>
      <c r="E64" s="512"/>
    </row>
    <row r="65" spans="2:5">
      <c r="B65" s="512"/>
      <c r="C65" s="512"/>
      <c r="E65" s="512"/>
    </row>
    <row r="66" spans="2:5" ht="3" customHeight="1"/>
  </sheetData>
  <sheetProtection algorithmName="SHA-512" hashValue="vh1MdxT15LvIxHEamum+79LmUn+voFvKyYm9eZxGKITqDx/spFQOJxysu3U1LyZZtG85BAWuFKO9G8dn9EJC9g==" saltValue="IHzpQAc0QjW9JaNo7qsBWA==" spinCount="100000" sheet="1" objects="1" scenarios="1" autoFilter="0"/>
  <mergeCells count="47">
    <mergeCell ref="E1:L2"/>
    <mergeCell ref="B4:C4"/>
    <mergeCell ref="K14:L14"/>
    <mergeCell ref="K45:L45"/>
    <mergeCell ref="K44:L44"/>
    <mergeCell ref="K41:L41"/>
    <mergeCell ref="K31:L31"/>
    <mergeCell ref="K30:L30"/>
    <mergeCell ref="K34:L38"/>
    <mergeCell ref="K32:L32"/>
    <mergeCell ref="K25:L25"/>
    <mergeCell ref="K26:L26"/>
    <mergeCell ref="K39:L39"/>
    <mergeCell ref="K40:L40"/>
    <mergeCell ref="K42:L42"/>
    <mergeCell ref="K43:L43"/>
    <mergeCell ref="K33:L33"/>
    <mergeCell ref="G42:J42"/>
    <mergeCell ref="G33:J33"/>
    <mergeCell ref="G34:J34"/>
    <mergeCell ref="G35:J35"/>
    <mergeCell ref="G36:J36"/>
    <mergeCell ref="G37:J37"/>
    <mergeCell ref="G26:J26"/>
    <mergeCell ref="G38:J38"/>
    <mergeCell ref="G39:J39"/>
    <mergeCell ref="G40:J40"/>
    <mergeCell ref="G41:J41"/>
    <mergeCell ref="G30:J30"/>
    <mergeCell ref="G31:J31"/>
    <mergeCell ref="G32:J32"/>
    <mergeCell ref="G43:J43"/>
    <mergeCell ref="G44:J44"/>
    <mergeCell ref="G45:J45"/>
    <mergeCell ref="G29:L29"/>
    <mergeCell ref="G4:J4"/>
    <mergeCell ref="G5:J5"/>
    <mergeCell ref="G6:J6"/>
    <mergeCell ref="G7:J7"/>
    <mergeCell ref="G8:J8"/>
    <mergeCell ref="G9:J9"/>
    <mergeCell ref="G10:J10"/>
    <mergeCell ref="G11:J11"/>
    <mergeCell ref="G12:J12"/>
    <mergeCell ref="G14:I14"/>
    <mergeCell ref="G24:L24"/>
    <mergeCell ref="G25:J25"/>
  </mergeCells>
  <conditionalFormatting sqref="L16:L21">
    <cfRule type="duplicateValues" dxfId="183" priority="4"/>
    <cfRule type="expression" dxfId="182" priority="9">
      <formula>ISERROR(MATCH($L16,RESIDUALS,0))=FALSE</formula>
    </cfRule>
  </conditionalFormatting>
  <conditionalFormatting sqref="K16:K21">
    <cfRule type="duplicateValues" dxfId="181" priority="5"/>
    <cfRule type="expression" dxfId="180" priority="8">
      <formula>ISERROR(MATCH($K16,DISTILLATES,0))=FALSE</formula>
    </cfRule>
  </conditionalFormatting>
  <conditionalFormatting sqref="K16:L21">
    <cfRule type="expression" dxfId="179" priority="7">
      <formula>AND(K16&lt;&gt;"",ISERROR(MATCH(K16,$H$16:$H$21,0))=TRUE)</formula>
    </cfRule>
  </conditionalFormatting>
  <conditionalFormatting sqref="G16:G21">
    <cfRule type="duplicateValues" dxfId="178" priority="3"/>
  </conditionalFormatting>
  <conditionalFormatting sqref="H16:H21">
    <cfRule type="duplicateValues" dxfId="177" priority="1"/>
    <cfRule type="expression" dxfId="176" priority="2">
      <formula>AND($H16&lt;&gt;"",COUNTIF($K$16:$L$21,$H16)=0)</formula>
    </cfRule>
  </conditionalFormatting>
  <dataValidations xWindow="1146" yWindow="261" count="3">
    <dataValidation type="list" allowBlank="1" showInputMessage="1" errorTitle="Operation" error="Choose Operation from list or edit yours." promptTitle="Operation" prompt="Choose Operation from list or edit yours." sqref="K6:L12" xr:uid="{00000000-0002-0000-0100-000000000000}">
      <formula1>$E$6:$E$65</formula1>
    </dataValidation>
    <dataValidation type="list" allowBlank="1" showInputMessage="1" showErrorMessage="1" error="Please choose from list!" promptTitle="Grades" prompt="Please categorize the Grades available in Grades Management on the left, into Residuals or Distillates." sqref="K16:L21" xr:uid="{00000000-0002-0000-0100-000001000000}">
      <formula1>GRADESLISTINI</formula1>
    </dataValidation>
    <dataValidation type="list" allowBlank="1" showInputMessage="1" showErrorMessage="1" errorTitle="Grade Order" error="Please choose from list." promptTitle="Grade Order" prompt="Choose order from list. To hide a Grade, delete its number." sqref="G16:G21" xr:uid="{00000000-0002-0000-0100-000002000000}">
      <formula1>"1,2,3,4,5,6"</formula1>
    </dataValidation>
  </dataValidations>
  <printOptions horizontalCentered="1"/>
  <pageMargins left="0.3" right="0.3" top="0.2" bottom="0.3" header="0.31496062992125984" footer="0.1"/>
  <pageSetup paperSize="9" scale="77" orientation="portrait" r:id="rId1"/>
  <headerFooter>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macro="[0]!BEEPER" altText="Show Prices in Summary Report">
                <anchor moveWithCells="1">
                  <from>
                    <xdr:col>6</xdr:col>
                    <xdr:colOff>9525</xdr:colOff>
                    <xdr:row>21</xdr:row>
                    <xdr:rowOff>28575</xdr:rowOff>
                  </from>
                  <to>
                    <xdr:col>8</xdr:col>
                    <xdr:colOff>685800</xdr:colOff>
                    <xdr:row>22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09">
    <tabColor theme="1"/>
    <pageSetUpPr fitToPage="1"/>
  </sheetPr>
  <dimension ref="A1:BM52"/>
  <sheetViews>
    <sheetView showGridLines="0" showRowColHeaders="0" topLeftCell="A4" zoomScaleNormal="100" zoomScaleSheetLayoutView="100" workbookViewId="0">
      <selection activeCell="R19" sqref="R19"/>
    </sheetView>
  </sheetViews>
  <sheetFormatPr defaultColWidth="0" defaultRowHeight="12.75" zeroHeight="1"/>
  <cols>
    <col min="1" max="12" width="4.375" style="208" customWidth="1"/>
    <col min="13" max="13" width="5.25" style="208" customWidth="1"/>
    <col min="14" max="24" width="4.375" style="208" customWidth="1"/>
    <col min="25" max="25" width="0.25" style="208" customWidth="1"/>
    <col min="26" max="27" width="6.875" style="208" hidden="1" customWidth="1"/>
    <col min="28" max="30" width="6.625" style="208" hidden="1" customWidth="1"/>
    <col min="31" max="31" width="10.375" style="208" hidden="1" customWidth="1"/>
    <col min="32" max="32" width="6.125" style="208" hidden="1" customWidth="1"/>
    <col min="33" max="33" width="19.25" style="208" hidden="1" customWidth="1"/>
    <col min="34" max="34" width="19.75" style="208" hidden="1" customWidth="1"/>
    <col min="35" max="35" width="5.25" style="208" hidden="1" customWidth="1"/>
    <col min="36" max="36" width="8.375" style="208" hidden="1" customWidth="1"/>
    <col min="37" max="37" width="20.25" style="208" hidden="1" customWidth="1"/>
    <col min="38" max="38" width="19.625" style="208" hidden="1" customWidth="1"/>
    <col min="39" max="40" width="9.375" style="208" hidden="1" customWidth="1"/>
    <col min="41" max="41" width="3.75" style="208" hidden="1" customWidth="1"/>
    <col min="42" max="42" width="19.625" style="208" hidden="1" customWidth="1"/>
    <col min="43" max="43" width="6.625" style="208" hidden="1" customWidth="1"/>
    <col min="44" max="44" width="6.125" style="208" hidden="1" customWidth="1"/>
    <col min="45" max="45" width="20.75" style="208" hidden="1" customWidth="1"/>
    <col min="46" max="46" width="19.25" style="208" hidden="1" customWidth="1"/>
    <col min="47" max="47" width="23.25" style="208" hidden="1" customWidth="1"/>
    <col min="48" max="48" width="18" style="208" hidden="1" customWidth="1"/>
    <col min="49" max="49" width="54.75" style="208" hidden="1" customWidth="1"/>
    <col min="50" max="50" width="9" style="208" hidden="1" customWidth="1"/>
    <col min="51" max="51" width="17.125" style="208" hidden="1" customWidth="1"/>
    <col min="52" max="52" width="59.625" style="208" hidden="1" customWidth="1"/>
    <col min="53" max="54" width="9" style="208" hidden="1" customWidth="1"/>
    <col min="55" max="55" width="13" style="208" hidden="1" customWidth="1"/>
    <col min="56" max="56" width="10.75" style="208" hidden="1" customWidth="1"/>
    <col min="57" max="57" width="7.75" style="208" hidden="1" customWidth="1"/>
    <col min="58" max="58" width="10.625" style="208" hidden="1" customWidth="1"/>
    <col min="59" max="59" width="25.125" style="208" hidden="1" customWidth="1"/>
    <col min="60" max="60" width="17.5" style="208" hidden="1" customWidth="1"/>
    <col min="61" max="61" width="15.375" style="208" hidden="1" customWidth="1"/>
    <col min="62" max="62" width="13.875" style="208" hidden="1" customWidth="1"/>
    <col min="63" max="63" width="20.5" style="208" hidden="1" customWidth="1"/>
    <col min="64" max="64" width="9" style="208" hidden="1" customWidth="1"/>
    <col min="65" max="65" width="20.5" style="208" hidden="1" customWidth="1"/>
    <col min="66" max="16384" width="9" style="208" hidden="1"/>
  </cols>
  <sheetData>
    <row r="1" spans="1:65" ht="15.75">
      <c r="A1" s="793"/>
      <c r="B1" s="794"/>
      <c r="C1" s="794"/>
      <c r="D1" s="794"/>
      <c r="E1" s="794"/>
      <c r="F1" s="794"/>
      <c r="G1" s="794"/>
      <c r="H1" s="794"/>
      <c r="I1" s="794"/>
      <c r="J1" s="794"/>
      <c r="K1" s="794"/>
      <c r="L1" s="749"/>
      <c r="M1" s="749" t="s">
        <v>525</v>
      </c>
      <c r="N1" s="794"/>
      <c r="O1" s="794"/>
      <c r="P1" s="794"/>
      <c r="Q1" s="794"/>
      <c r="R1" s="794"/>
      <c r="S1" s="794"/>
      <c r="T1" s="794"/>
      <c r="U1" s="794"/>
      <c r="V1" s="1894"/>
      <c r="W1" s="1895"/>
      <c r="X1" s="1896"/>
      <c r="AA1" s="1019" t="s">
        <v>1498</v>
      </c>
      <c r="AB1" s="209" t="b">
        <f>IF(SPORESEL=TRUE,TRUE,FALSE)</f>
        <v>0</v>
      </c>
      <c r="AC1" s="606" t="b">
        <v>0</v>
      </c>
      <c r="AD1" s="208" t="s">
        <v>1178</v>
      </c>
      <c r="AE1" s="208" t="s">
        <v>1170</v>
      </c>
      <c r="AI1" s="1210" t="s">
        <v>1109</v>
      </c>
      <c r="AJ1" s="1210" t="s">
        <v>1110</v>
      </c>
      <c r="AP1" s="606">
        <v>2</v>
      </c>
      <c r="AQ1" s="209" t="s">
        <v>465</v>
      </c>
      <c r="AR1" s="210">
        <v>0</v>
      </c>
      <c r="AT1" s="210">
        <v>0</v>
      </c>
      <c r="AU1" s="210">
        <v>2</v>
      </c>
      <c r="AV1" s="210">
        <v>1</v>
      </c>
      <c r="AW1" s="206" t="str">
        <f>INDEX(AV2:AV4,SURVEYMODE,1)</f>
        <v>BOTH BQS &amp; ROB SURVEYS</v>
      </c>
      <c r="AY1" s="210">
        <v>15</v>
      </c>
      <c r="AZ1" s="209" t="str">
        <f>IF(INDEX('POWER SETT'!$K$6:$AD$10,1,$AY$1)=0,"",INDEX('POWER SETT'!$K$6:$AD$10,1,$AY$1))</f>
        <v>Petro Inspect International</v>
      </c>
      <c r="BB1" s="1209">
        <v>1</v>
      </c>
      <c r="BC1" s="208" t="s">
        <v>1065</v>
      </c>
      <c r="BD1" s="208" t="s">
        <v>1066</v>
      </c>
      <c r="BE1" s="208" t="s">
        <v>1067</v>
      </c>
      <c r="BF1" s="208" t="s">
        <v>1068</v>
      </c>
      <c r="BG1" s="208" t="s">
        <v>1069</v>
      </c>
      <c r="BM1" s="1209">
        <v>1</v>
      </c>
    </row>
    <row r="2" spans="1:65" s="1227" customFormat="1">
      <c r="A2" s="1224"/>
      <c r="B2" s="1225"/>
      <c r="C2" s="1225"/>
      <c r="D2" s="1225"/>
      <c r="E2" s="1225"/>
      <c r="F2" s="1225"/>
      <c r="G2" s="1225"/>
      <c r="H2" s="1225"/>
      <c r="I2" s="1225"/>
      <c r="J2" s="1225"/>
      <c r="K2" s="1225"/>
      <c r="L2" s="1226"/>
      <c r="M2" s="1226" t="s">
        <v>1490</v>
      </c>
      <c r="N2" s="1225"/>
      <c r="O2" s="1225"/>
      <c r="P2" s="1225"/>
      <c r="Q2" s="1225"/>
      <c r="R2" s="1225"/>
      <c r="S2" s="1225"/>
      <c r="T2" s="1225"/>
      <c r="U2" s="1225"/>
      <c r="V2" s="1225"/>
      <c r="W2" s="1897" t="s">
        <v>1297</v>
      </c>
      <c r="X2" s="1898" t="str">
        <f>VERNO</f>
        <v>1.12</v>
      </c>
      <c r="AA2" s="1019" t="s">
        <v>1292</v>
      </c>
      <c r="AB2" s="1228" t="s">
        <v>968</v>
      </c>
      <c r="AC2" s="606" t="b">
        <v>0</v>
      </c>
      <c r="AF2" s="1530">
        <f>COUNTIF(AF5:AF52,TRUE)</f>
        <v>24</v>
      </c>
      <c r="AI2" s="1510" t="s">
        <v>1095</v>
      </c>
      <c r="AJ2" s="1510" t="s">
        <v>898</v>
      </c>
      <c r="AL2" s="1530">
        <f>IF(SPORE=TRUE,SUMPRODUCT((AF5:AF52=TRUE)*(AN5:AN52="Y")),SUMPRODUCT((AF5:AF52=TRUE)*(AM5:AM52="Y")))</f>
        <v>16</v>
      </c>
      <c r="AQ2" s="1228" t="s">
        <v>359</v>
      </c>
      <c r="AR2" s="1229">
        <v>0</v>
      </c>
      <c r="AT2" s="1230" t="s">
        <v>676</v>
      </c>
      <c r="AU2" s="1228" t="str">
        <f>YEAR(DATESURVC)&amp;"-"&amp;RIGHT(0&amp;MONTH(DATESURVC),2)&amp;"-"&amp;RIGHT(0&amp;DAY(DATESURVC),2)&amp;" "&amp;IF(SURVEYMODE=1,AQ2&amp;"-"&amp;AQ3,IF(SURVEYMODE=2,AQ2,AQ3))&amp;IF(AND(SURVEYMODE&lt;&gt;3,BARGESEL&gt;1),IF(BARGECALC=1," Main Report,"," Barge "&amp;BARGECALC&amp;" Report,"),"")&amp;" "&amp;PORT</f>
        <v>2022-08-19 BQS-ROB ISTANBUL / TURKEY</v>
      </c>
      <c r="AV2" s="1230" t="s">
        <v>287</v>
      </c>
      <c r="AW2" s="1230" t="s">
        <v>288</v>
      </c>
      <c r="AY2" s="2206" t="str">
        <f>IF('POWER SETT'!K$6=0,"",'POWER SETT'!K$6)</f>
        <v>Singapore Office</v>
      </c>
      <c r="AZ2" s="1228" t="str">
        <f>IF(INDEX('POWER SETT'!$K$6:$AD$10,2,$AY$1)=0,"",INDEX('POWER SETT'!$K$6:$AD$10,2,$AY$1))</f>
        <v>Petro Inspect International</v>
      </c>
      <c r="BB2" s="1231" t="s">
        <v>1037</v>
      </c>
      <c r="BC2" s="1231" t="str">
        <f>IF(BARGESEL&gt;=1,"Barge 1","")</f>
        <v>Barge 1</v>
      </c>
      <c r="BD2" s="1231" t="str">
        <f>IF($BC2="","",'Cover Page'!$I52)</f>
        <v>M/T YALÇIN 2</v>
      </c>
      <c r="BE2" s="1231" t="str">
        <f>IF($BC2="","",'Cover Page'!$I53)</f>
        <v>SB 788H</v>
      </c>
      <c r="BF2" s="1231" t="str">
        <f>IF($BC2="","",'Cover Page'!$I54)</f>
        <v>TEMEL KALYONCU</v>
      </c>
      <c r="BG2" s="1231" t="str">
        <f>IF($BC2="","",'Cover Page'!$I55)</f>
        <v>ENERGY</v>
      </c>
      <c r="BH2" s="1231" t="str">
        <f t="shared" ref="BH2:BH7" si="0">IF(BD2="","",", "&amp;BD2)</f>
        <v>, M/T YALÇIN 2</v>
      </c>
      <c r="BM2" s="1231" t="str">
        <f>IF(AND(BC2&lt;&gt;"",BD2&lt;&gt;""),BC2&amp;" (Main) - "&amp;BD2,"")</f>
        <v>Barge 1 (Main) - M/T YALÇIN 2</v>
      </c>
    </row>
    <row r="3" spans="1:65" ht="3" customHeight="1">
      <c r="A3" s="943"/>
      <c r="B3" s="943"/>
      <c r="C3" s="943"/>
      <c r="D3" s="943"/>
      <c r="E3" s="943"/>
      <c r="F3" s="943"/>
      <c r="G3" s="943"/>
      <c r="H3" s="943"/>
      <c r="I3" s="943"/>
      <c r="J3" s="943"/>
      <c r="K3" s="943"/>
      <c r="L3" s="943"/>
      <c r="M3" s="943"/>
      <c r="N3" s="943"/>
      <c r="O3" s="943"/>
      <c r="P3" s="943"/>
      <c r="Q3" s="943"/>
      <c r="R3" s="943"/>
      <c r="S3" s="943"/>
      <c r="T3" s="943"/>
      <c r="U3" s="943"/>
      <c r="V3" s="943"/>
      <c r="W3" s="943"/>
      <c r="X3" s="943"/>
      <c r="AQ3" s="209" t="s">
        <v>358</v>
      </c>
      <c r="AR3" s="210">
        <v>0</v>
      </c>
      <c r="AT3" s="207" t="s">
        <v>678</v>
      </c>
      <c r="AV3" s="207" t="s">
        <v>286</v>
      </c>
      <c r="AW3" s="207" t="s">
        <v>158</v>
      </c>
      <c r="AY3" s="2207" t="str">
        <f>IF('POWER SETT'!L$6=0,"",'POWER SETT'!L$6)</f>
        <v>Canada Office</v>
      </c>
      <c r="AZ3" s="209" t="str">
        <f>IF(INDEX('POWER SETT'!$K$6:$AD$10,3,$AY$1)=0,"",INDEX('POWER SETT'!$K$6:$AD$10,3,$AY$1))</f>
        <v>ops@petro-inspect.com</v>
      </c>
      <c r="BB3" s="1210" t="s">
        <v>1038</v>
      </c>
      <c r="BC3" s="1210" t="str">
        <f>IF(BARGESEL&gt;=2,"Barge 2","")</f>
        <v/>
      </c>
      <c r="BD3" s="1210" t="str">
        <f>IF($BC3="","",'Cover Page'!$I58)</f>
        <v/>
      </c>
      <c r="BE3" s="1210" t="str">
        <f>IF($BC3="","",'Cover Page'!$I59)</f>
        <v/>
      </c>
      <c r="BF3" s="1210" t="str">
        <f>IF($BC3="","",'Cover Page'!$I60)</f>
        <v/>
      </c>
      <c r="BG3" s="1210" t="str">
        <f>IF($BC3="","",'Cover Page'!$I61)</f>
        <v/>
      </c>
      <c r="BH3" s="1210" t="str">
        <f t="shared" si="0"/>
        <v/>
      </c>
      <c r="BM3" s="1210" t="str">
        <f>IF(AND(BC3&lt;&gt;"",BD3&lt;&gt;""),BC3&amp;" (Add.) - "&amp;BD3,"")</f>
        <v/>
      </c>
    </row>
    <row r="4" spans="1:65" ht="15" customHeight="1" thickBot="1">
      <c r="A4" s="944"/>
      <c r="B4" s="944"/>
      <c r="C4" s="944"/>
      <c r="D4" s="944"/>
      <c r="E4" s="944"/>
      <c r="F4" s="944"/>
      <c r="G4" s="944"/>
      <c r="H4" s="944"/>
      <c r="I4" s="2324" t="s">
        <v>463</v>
      </c>
      <c r="J4" s="2325"/>
      <c r="K4" s="2325"/>
      <c r="L4" s="2325"/>
      <c r="M4" s="2325"/>
      <c r="N4" s="2325"/>
      <c r="O4" s="2325"/>
      <c r="P4" s="2326"/>
      <c r="Q4" s="944"/>
      <c r="R4" s="944"/>
      <c r="S4" s="944"/>
      <c r="T4" s="944"/>
      <c r="U4" s="944"/>
      <c r="V4" s="944"/>
      <c r="W4" s="944"/>
      <c r="X4" s="944"/>
      <c r="Z4" s="208" t="s">
        <v>674</v>
      </c>
      <c r="AA4" s="208" t="s">
        <v>675</v>
      </c>
      <c r="AB4" s="208" t="s">
        <v>544</v>
      </c>
      <c r="AC4" s="208" t="s">
        <v>545</v>
      </c>
      <c r="AD4" s="208" t="s">
        <v>546</v>
      </c>
      <c r="AE4" s="208" t="s">
        <v>1313</v>
      </c>
      <c r="AF4" s="208" t="s">
        <v>543</v>
      </c>
      <c r="AG4" s="208" t="s">
        <v>1094</v>
      </c>
      <c r="AH4" s="208" t="s">
        <v>1251</v>
      </c>
      <c r="AI4" s="1510">
        <f>ERROUTTURN</f>
        <v>0</v>
      </c>
      <c r="AJ4" s="1510" t="s">
        <v>1246</v>
      </c>
      <c r="AK4" s="208" t="s">
        <v>1252</v>
      </c>
      <c r="AL4" s="208" t="s">
        <v>1253</v>
      </c>
      <c r="AM4" s="208" t="s">
        <v>1264</v>
      </c>
      <c r="AN4" s="208" t="s">
        <v>1265</v>
      </c>
      <c r="AO4" s="1510">
        <v>1</v>
      </c>
      <c r="AP4" s="1515" t="s">
        <v>1146</v>
      </c>
      <c r="AQ4" s="1514" t="s">
        <v>363</v>
      </c>
      <c r="AR4" s="210">
        <v>0</v>
      </c>
      <c r="AT4" s="207" t="s">
        <v>677</v>
      </c>
      <c r="AV4" s="207" t="s">
        <v>285</v>
      </c>
      <c r="AW4" s="207" t="s">
        <v>289</v>
      </c>
      <c r="AY4" s="2207" t="str">
        <f>IF('POWER SETT'!M$6=0,"",'POWER SETT'!M$6)</f>
        <v>Panama Office</v>
      </c>
      <c r="AZ4" s="209" t="str">
        <f>IF(INDEX('POWER SETT'!$K$6:$AD$10,4,$AY$1)=0,"",INDEX('POWER SETT'!$K$6:$AD$10,4,$AY$1))</f>
        <v/>
      </c>
      <c r="BB4" s="1210" t="s">
        <v>1039</v>
      </c>
      <c r="BC4" s="1210" t="str">
        <f>IF(BARGESEL&gt;=3,"Barge 3","")</f>
        <v/>
      </c>
      <c r="BD4" s="1210" t="str">
        <f>IF($BC4="","",'Cover Page'!$I64)</f>
        <v/>
      </c>
      <c r="BE4" s="1210" t="str">
        <f>IF($BC4="","",'Cover Page'!$I65)</f>
        <v/>
      </c>
      <c r="BF4" s="1210" t="str">
        <f>IF($BC4="","",'Cover Page'!$I66)</f>
        <v/>
      </c>
      <c r="BG4" s="1210" t="str">
        <f>IF($BC4="","",'Cover Page'!$I67)</f>
        <v/>
      </c>
      <c r="BH4" s="1210" t="str">
        <f t="shared" si="0"/>
        <v/>
      </c>
      <c r="BM4" s="1210" t="str">
        <f>IF(AND(BC4&lt;&gt;"",BD4&lt;&gt;""),BC4&amp;" (Add.) - "&amp;BD4,"")</f>
        <v/>
      </c>
    </row>
    <row r="5" spans="1:65" ht="15" customHeight="1">
      <c r="A5" s="944"/>
      <c r="B5" s="2324" t="s">
        <v>462</v>
      </c>
      <c r="C5" s="2325"/>
      <c r="D5" s="2325"/>
      <c r="E5" s="2325"/>
      <c r="F5" s="2326"/>
      <c r="G5" s="944"/>
      <c r="H5" s="944"/>
      <c r="I5" s="944"/>
      <c r="J5" s="944"/>
      <c r="K5" s="944"/>
      <c r="L5" s="944"/>
      <c r="M5" s="944"/>
      <c r="N5" s="944"/>
      <c r="O5" s="944"/>
      <c r="P5" s="944"/>
      <c r="Q5" s="944"/>
      <c r="R5" s="944"/>
      <c r="S5" s="2324" t="s">
        <v>464</v>
      </c>
      <c r="T5" s="2325"/>
      <c r="U5" s="2325"/>
      <c r="V5" s="2325"/>
      <c r="W5" s="2326"/>
      <c r="X5" s="944"/>
      <c r="Z5" s="513" t="b">
        <v>1</v>
      </c>
      <c r="AA5" s="514" t="b">
        <v>0</v>
      </c>
      <c r="AB5" s="513" t="b">
        <v>1</v>
      </c>
      <c r="AC5" s="514" t="b">
        <v>1</v>
      </c>
      <c r="AD5" s="514" t="b">
        <v>1</v>
      </c>
      <c r="AE5" s="514" t="b">
        <v>0</v>
      </c>
      <c r="AF5" s="514" t="b">
        <v>1</v>
      </c>
      <c r="AG5" s="515" t="s">
        <v>0</v>
      </c>
      <c r="AH5" s="515" t="str">
        <f t="shared" ref="AH5:AH11" si="1">IF($AG5="","",IF(IF(BARGECALC&gt;1,$AE5,INDEX($AB5:$AD5,1,SURVEYMODE))=TRUE,SYMTRUE,SYMFALSE)&amp;" "&amp;$AG5)</f>
        <v>® Cover Page</v>
      </c>
      <c r="AI5" s="1509">
        <f>ERRCOVER</f>
        <v>5</v>
      </c>
      <c r="AJ5" s="518" t="s">
        <v>547</v>
      </c>
      <c r="AK5" s="515" t="s">
        <v>0</v>
      </c>
      <c r="AL5" s="515" t="str">
        <f t="shared" ref="AL5:AL52" si="2">IF(AND(AF5=TRUE,OR(AND(SPORE=TRUE,AN5="Y"),AND(SPORE&lt;&gt;TRUE,AM5="Y"))),AK5,INDEX($AK$5:$AK$52,MATCH(TRUE,$AF$5:$AF$52,0),1))</f>
        <v>Cover Page</v>
      </c>
      <c r="AM5" s="515" t="s">
        <v>284</v>
      </c>
      <c r="AN5" s="515" t="s">
        <v>284</v>
      </c>
      <c r="AO5" s="1510">
        <v>2</v>
      </c>
      <c r="AP5" s="1516" t="s">
        <v>1147</v>
      </c>
      <c r="AQ5" s="1514" t="s">
        <v>752</v>
      </c>
      <c r="AR5" s="210">
        <v>0</v>
      </c>
      <c r="AU5" s="209" t="s">
        <v>363</v>
      </c>
      <c r="AY5" s="2208" t="str">
        <f>IF('POWER SETT'!N$6=0,"",'POWER SETT'!N$6)</f>
        <v>UAE Office</v>
      </c>
      <c r="AZ5" s="2205" t="str">
        <f>IF(INDEX('POWER SETT'!$K$6:$AD$10,5,$AY$1)=0,"",INDEX('POWER SETT'!$K$6:$AD$10,5,$AY$1))</f>
        <v/>
      </c>
      <c r="BB5" s="1210" t="s">
        <v>1040</v>
      </c>
      <c r="BC5" s="1210" t="str">
        <f>IF(BARGESEL&gt;=4,"Barge 4","")</f>
        <v/>
      </c>
      <c r="BD5" s="1210" t="str">
        <f>IF($BC5="","",'Cover Page'!$I70)</f>
        <v/>
      </c>
      <c r="BE5" s="1210" t="str">
        <f>IF($BC5="","",'Cover Page'!$I71)</f>
        <v/>
      </c>
      <c r="BF5" s="1210" t="str">
        <f>IF($BC5="","",'Cover Page'!$I72)</f>
        <v/>
      </c>
      <c r="BG5" s="1210" t="str">
        <f>IF($BC5="","",'Cover Page'!$I73)</f>
        <v/>
      </c>
      <c r="BH5" s="1210" t="str">
        <f t="shared" si="0"/>
        <v/>
      </c>
      <c r="BM5" s="1210" t="str">
        <f>IF(AND(BC5&lt;&gt;"",BD5&lt;&gt;""),BC5&amp;" (Add.) - "&amp;BD5,"")</f>
        <v/>
      </c>
    </row>
    <row r="6" spans="1:65" ht="15" customHeight="1">
      <c r="A6" s="944"/>
      <c r="B6" s="944"/>
      <c r="C6" s="944"/>
      <c r="D6" s="944"/>
      <c r="E6" s="944"/>
      <c r="F6" s="944"/>
      <c r="G6" s="944"/>
      <c r="H6" s="944"/>
      <c r="I6" s="944"/>
      <c r="J6" s="944"/>
      <c r="K6" s="944"/>
      <c r="L6" s="944"/>
      <c r="M6" s="944"/>
      <c r="N6" s="944"/>
      <c r="O6" s="944"/>
      <c r="P6" s="944"/>
      <c r="Q6" s="944"/>
      <c r="R6" s="944"/>
      <c r="S6" s="944"/>
      <c r="T6" s="944"/>
      <c r="U6" s="944"/>
      <c r="V6" s="944"/>
      <c r="W6" s="944"/>
      <c r="X6" s="944"/>
      <c r="Z6" s="517" t="b">
        <v>1</v>
      </c>
      <c r="AA6" s="1266" t="b">
        <v>0</v>
      </c>
      <c r="AB6" s="517" t="b">
        <v>0</v>
      </c>
      <c r="AC6" s="1266" t="b">
        <v>0</v>
      </c>
      <c r="AD6" s="1266" t="b">
        <v>0</v>
      </c>
      <c r="AE6" s="1266" t="b">
        <v>0</v>
      </c>
      <c r="AF6" s="1266" t="b">
        <v>0</v>
      </c>
      <c r="AG6" s="1210" t="s">
        <v>1134</v>
      </c>
      <c r="AH6" s="1210" t="str">
        <f t="shared" si="1"/>
        <v xml:space="preserve">  - Drafts</v>
      </c>
      <c r="AI6" s="1210">
        <f>IF(OR(SURVEYMODE=3,GRADESQTYMAX&lt;2,AND(BARGESEL&gt;1, BARGECALC&gt;1,GRADESQTY&lt;2)),0,ERRDRAFTS)</f>
        <v>20</v>
      </c>
      <c r="AJ6" s="518" t="s">
        <v>547</v>
      </c>
      <c r="AK6" s="1210" t="s">
        <v>1134</v>
      </c>
      <c r="AL6" s="1210" t="str">
        <f t="shared" si="2"/>
        <v>Cover Page</v>
      </c>
      <c r="AM6" s="1210" t="s">
        <v>284</v>
      </c>
      <c r="AN6" s="1210" t="s">
        <v>284</v>
      </c>
      <c r="AO6" s="1510">
        <v>3</v>
      </c>
      <c r="AP6" s="1517" t="s">
        <v>1148</v>
      </c>
      <c r="AU6" s="209" t="s">
        <v>548</v>
      </c>
      <c r="AV6" s="606">
        <v>1</v>
      </c>
      <c r="AY6" s="2208" t="str">
        <f>IF('POWER SETT'!O$6=0,"",'POWER SETT'!O$6)</f>
        <v>USA Office</v>
      </c>
      <c r="AZ6" s="2205" t="str">
        <f>IF(INDEX('POWER SETT'!$K$6:$AD$12,7,$AY$1)=0,"",INDEX('POWER SETT'!$K$6:$AD$12,7,$AY$1))</f>
        <v/>
      </c>
      <c r="BB6" s="1210" t="s">
        <v>1041</v>
      </c>
      <c r="BC6" s="1210" t="str">
        <f>IF(BARGESEL&gt;=5,"Barge 5","")</f>
        <v/>
      </c>
      <c r="BD6" s="1210" t="str">
        <f>IF($BC6="","",'Cover Page'!$I76)</f>
        <v/>
      </c>
      <c r="BE6" s="1210" t="str">
        <f>IF($BC6="","",'Cover Page'!$I77)</f>
        <v/>
      </c>
      <c r="BF6" s="1210" t="str">
        <f>IF($BC6="","",'Cover Page'!$I78)</f>
        <v/>
      </c>
      <c r="BG6" s="1210" t="str">
        <f>IF($BC6="","",'Cover Page'!$I79)</f>
        <v/>
      </c>
      <c r="BH6" s="1210" t="str">
        <f t="shared" si="0"/>
        <v/>
      </c>
      <c r="BM6" s="1210" t="str">
        <f>IF(AND(BC6&lt;&gt;"",BD6&lt;&gt;""),BC6&amp;" (Add.) - "&amp;BD6,"")</f>
        <v/>
      </c>
    </row>
    <row r="7" spans="1:65" ht="6.75" customHeight="1">
      <c r="A7" s="944"/>
      <c r="B7" s="944"/>
      <c r="C7" s="944"/>
      <c r="D7" s="944"/>
      <c r="E7" s="944"/>
      <c r="F7" s="944"/>
      <c r="G7" s="944"/>
      <c r="H7" s="944"/>
      <c r="I7" s="944"/>
      <c r="J7" s="944"/>
      <c r="K7" s="944"/>
      <c r="L7" s="944"/>
      <c r="M7" s="944"/>
      <c r="N7" s="944"/>
      <c r="O7" s="944"/>
      <c r="P7" s="944"/>
      <c r="Q7" s="944"/>
      <c r="R7" s="944"/>
      <c r="S7" s="944"/>
      <c r="T7" s="944"/>
      <c r="U7" s="944"/>
      <c r="V7" s="944"/>
      <c r="W7" s="944"/>
      <c r="X7" s="944"/>
      <c r="Z7" s="517" t="b">
        <v>1</v>
      </c>
      <c r="AA7" s="1266" t="b">
        <v>0</v>
      </c>
      <c r="AB7" s="517" t="b">
        <v>0</v>
      </c>
      <c r="AC7" s="1266" t="b">
        <v>0</v>
      </c>
      <c r="AD7" s="1266" t="b">
        <v>0</v>
      </c>
      <c r="AE7" s="1266" t="b">
        <v>0</v>
      </c>
      <c r="AF7" s="1266" t="b">
        <v>0</v>
      </c>
      <c r="AG7" s="1210" t="s">
        <v>1180</v>
      </c>
      <c r="AH7" s="1210" t="str">
        <f t="shared" si="1"/>
        <v xml:space="preserve">  - Ship's Declaration</v>
      </c>
      <c r="AI7" s="1210">
        <v>0</v>
      </c>
      <c r="AJ7" s="518" t="s">
        <v>547</v>
      </c>
      <c r="AK7" s="1210" t="s">
        <v>1254</v>
      </c>
      <c r="AL7" s="1210" t="str">
        <f t="shared" si="2"/>
        <v>Cover Page</v>
      </c>
      <c r="AM7" s="1210" t="s">
        <v>284</v>
      </c>
      <c r="AN7" s="1210" t="s">
        <v>284</v>
      </c>
      <c r="AO7" s="1510">
        <v>4</v>
      </c>
      <c r="AP7" s="1518" t="s">
        <v>1149</v>
      </c>
      <c r="AU7" s="209" t="s">
        <v>526</v>
      </c>
      <c r="AV7" s="209" t="s">
        <v>564</v>
      </c>
      <c r="AY7" s="2208" t="str">
        <f>IF('POWER SETT'!P$6=0,"",'POWER SETT'!P$6)</f>
        <v>Hong Kong Office</v>
      </c>
      <c r="BB7" s="1210" t="s">
        <v>1042</v>
      </c>
      <c r="BC7" s="1210" t="str">
        <f>IF(BARGESEL&gt;=6,"Barge 6","")</f>
        <v/>
      </c>
      <c r="BD7" s="1210" t="str">
        <f>IF($BC7="","",'Cover Page'!$I82)</f>
        <v/>
      </c>
      <c r="BE7" s="1210" t="str">
        <f>IF($BC7="","",'Cover Page'!$I83)</f>
        <v/>
      </c>
      <c r="BF7" s="1210" t="str">
        <f>IF($BC7="","",'Cover Page'!$I84)</f>
        <v/>
      </c>
      <c r="BG7" s="1210" t="str">
        <f>IF($BC7="","",'Cover Page'!$I85)</f>
        <v/>
      </c>
      <c r="BH7" s="1210" t="str">
        <f t="shared" si="0"/>
        <v/>
      </c>
      <c r="BM7" s="1210" t="str">
        <f>IF(AND(BC7&lt;&gt;"",BD7&lt;&gt;""),BC7&amp;" (Add.) - "&amp;BD7,"")</f>
        <v/>
      </c>
    </row>
    <row r="8" spans="1:65" ht="15" customHeight="1">
      <c r="A8" s="944"/>
      <c r="B8" s="944"/>
      <c r="C8" s="944"/>
      <c r="D8" s="944"/>
      <c r="E8" s="944"/>
      <c r="F8" s="944"/>
      <c r="G8" s="944"/>
      <c r="H8" s="944"/>
      <c r="I8" s="2324" t="s">
        <v>1509</v>
      </c>
      <c r="J8" s="2325"/>
      <c r="K8" s="2325"/>
      <c r="L8" s="2325"/>
      <c r="M8" s="2325"/>
      <c r="N8" s="2325"/>
      <c r="O8" s="2325"/>
      <c r="P8" s="2326"/>
      <c r="Q8" s="944"/>
      <c r="R8" s="944"/>
      <c r="S8" s="944"/>
      <c r="T8" s="944"/>
      <c r="U8" s="944"/>
      <c r="V8" s="944"/>
      <c r="W8" s="944"/>
      <c r="X8" s="944"/>
      <c r="Z8" s="517" t="b">
        <v>1</v>
      </c>
      <c r="AA8" s="1266" t="b">
        <v>0</v>
      </c>
      <c r="AB8" s="517" t="b">
        <v>1</v>
      </c>
      <c r="AC8" s="1266" t="b">
        <v>1</v>
      </c>
      <c r="AD8" s="1266" t="b">
        <v>1</v>
      </c>
      <c r="AE8" s="1266" t="b">
        <v>1</v>
      </c>
      <c r="AF8" s="1266" t="b">
        <v>1</v>
      </c>
      <c r="AG8" s="1210" t="s">
        <v>554</v>
      </c>
      <c r="AH8" s="1210" t="str">
        <f t="shared" si="1"/>
        <v>® Vessel Gauging Data</v>
      </c>
      <c r="AI8" s="1210">
        <f>ERRVSLSUM</f>
        <v>0</v>
      </c>
      <c r="AJ8" s="518" t="s">
        <v>547</v>
      </c>
      <c r="AK8" s="1210" t="s">
        <v>554</v>
      </c>
      <c r="AL8" s="1210" t="str">
        <f t="shared" si="2"/>
        <v>Vessel Gauging Data</v>
      </c>
      <c r="AM8" s="1210" t="s">
        <v>284</v>
      </c>
      <c r="AN8" s="1210" t="s">
        <v>284</v>
      </c>
      <c r="AO8" s="1510">
        <v>5</v>
      </c>
      <c r="AP8" s="1519" t="s">
        <v>1150</v>
      </c>
      <c r="AU8" s="209" t="s">
        <v>527</v>
      </c>
      <c r="AV8" s="209" t="s">
        <v>565</v>
      </c>
      <c r="AY8" s="2208" t="str">
        <f>IF('POWER SETT'!Q$6=0,"",'POWER SETT'!Q$6)</f>
        <v>Malaysia Office</v>
      </c>
      <c r="BH8" s="1210" t="str">
        <f>CONCATENATE(BH2,BH3,BH4,BH5,BH6,BH7)</f>
        <v>, M/T YALÇIN 2</v>
      </c>
    </row>
    <row r="9" spans="1:65">
      <c r="A9" s="944"/>
      <c r="B9" s="944"/>
      <c r="C9" s="944"/>
      <c r="D9" s="944"/>
      <c r="E9" s="944"/>
      <c r="F9" s="944"/>
      <c r="G9" s="944"/>
      <c r="H9" s="944"/>
      <c r="I9" s="944"/>
      <c r="J9" s="944"/>
      <c r="K9" s="944"/>
      <c r="L9" s="944"/>
      <c r="M9" s="944"/>
      <c r="N9" s="944"/>
      <c r="O9" s="944"/>
      <c r="P9" s="944"/>
      <c r="Q9" s="944"/>
      <c r="R9" s="944"/>
      <c r="S9" s="944"/>
      <c r="T9" s="944"/>
      <c r="U9" s="944"/>
      <c r="V9" s="944"/>
      <c r="W9" s="944"/>
      <c r="X9" s="944"/>
      <c r="Z9" s="517" t="b">
        <v>1</v>
      </c>
      <c r="AA9" s="1266" t="b">
        <v>0</v>
      </c>
      <c r="AB9" s="517" t="b">
        <v>1</v>
      </c>
      <c r="AC9" s="1266" t="b">
        <v>1</v>
      </c>
      <c r="AD9" s="1266" t="b">
        <v>0</v>
      </c>
      <c r="AE9" s="1266" t="b">
        <v>1</v>
      </c>
      <c r="AF9" s="1266" t="b">
        <v>1</v>
      </c>
      <c r="AG9" s="1210" t="s">
        <v>555</v>
      </c>
      <c r="AH9" s="1210" t="str">
        <f t="shared" si="1"/>
        <v>® Barge Gauging Data</v>
      </c>
      <c r="AI9" s="1210">
        <f>IF(SURVEYMODE=3,0,'Barge Gauging Data'!ERRVSLSUM_2)</f>
        <v>0</v>
      </c>
      <c r="AJ9" s="518" t="s">
        <v>547</v>
      </c>
      <c r="AK9" s="1210" t="s">
        <v>555</v>
      </c>
      <c r="AL9" s="1210" t="str">
        <f t="shared" si="2"/>
        <v>Barge Gauging Data</v>
      </c>
      <c r="AM9" s="1210" t="s">
        <v>284</v>
      </c>
      <c r="AN9" s="1210" t="s">
        <v>284</v>
      </c>
      <c r="AO9" s="1510">
        <v>6</v>
      </c>
      <c r="AP9" s="1520" t="s">
        <v>1151</v>
      </c>
      <c r="AU9" s="209" t="s">
        <v>623</v>
      </c>
      <c r="AY9" s="2208" t="str">
        <f>IF('POWER SETT'!R$6=0,"",'POWER SETT'!R$6)</f>
        <v>Brazil Office</v>
      </c>
      <c r="BC9" s="1210" t="str">
        <f t="shared" ref="BC9:BG9" si="3">INDEX(BC2:BC7,BARGECALC,1)</f>
        <v>Barge 1</v>
      </c>
      <c r="BD9" s="1210" t="str">
        <f t="shared" si="3"/>
        <v>M/T YALÇIN 2</v>
      </c>
      <c r="BE9" s="1210" t="str">
        <f t="shared" si="3"/>
        <v>SB 788H</v>
      </c>
      <c r="BF9" s="1210" t="str">
        <f t="shared" si="3"/>
        <v>TEMEL KALYONCU</v>
      </c>
      <c r="BG9" s="1210" t="str">
        <f t="shared" si="3"/>
        <v>ENERGY</v>
      </c>
      <c r="BH9" s="1210" t="str">
        <f>RIGHT(BH8,LEN(BH8)-2)</f>
        <v>M/T YALÇIN 2</v>
      </c>
    </row>
    <row r="10" spans="1:65">
      <c r="A10" s="944"/>
      <c r="B10" s="944"/>
      <c r="C10" s="944"/>
      <c r="D10" s="944"/>
      <c r="E10" s="944"/>
      <c r="F10" s="944"/>
      <c r="G10" s="944"/>
      <c r="H10" s="944"/>
      <c r="I10" s="944"/>
      <c r="J10" s="944"/>
      <c r="K10" s="944"/>
      <c r="L10" s="944"/>
      <c r="M10" s="944"/>
      <c r="N10" s="944"/>
      <c r="O10" s="944"/>
      <c r="P10" s="944"/>
      <c r="Q10" s="944"/>
      <c r="R10" s="944"/>
      <c r="S10" s="944"/>
      <c r="T10" s="944"/>
      <c r="U10" s="944"/>
      <c r="V10" s="944"/>
      <c r="W10" s="944"/>
      <c r="X10" s="944"/>
      <c r="Z10" s="517" t="b">
        <v>1</v>
      </c>
      <c r="AA10" s="1266" t="b">
        <v>0</v>
      </c>
      <c r="AB10" s="517" t="b">
        <v>1</v>
      </c>
      <c r="AC10" s="1266" t="b">
        <v>1</v>
      </c>
      <c r="AD10" s="1266" t="b">
        <v>1</v>
      </c>
      <c r="AE10" s="1266" t="b">
        <v>0</v>
      </c>
      <c r="AF10" s="1266" t="b">
        <v>1</v>
      </c>
      <c r="AG10" s="1210" t="s">
        <v>161</v>
      </c>
      <c r="AH10" s="1210" t="str">
        <f t="shared" si="1"/>
        <v>® Preliminary Report</v>
      </c>
      <c r="AI10" s="1210">
        <v>0</v>
      </c>
      <c r="AJ10" s="518" t="s">
        <v>547</v>
      </c>
      <c r="AK10" s="1210" t="s">
        <v>161</v>
      </c>
      <c r="AL10" s="1210" t="str">
        <f t="shared" si="2"/>
        <v>Preliminary Report</v>
      </c>
      <c r="AM10" s="1210" t="s">
        <v>284</v>
      </c>
      <c r="AN10" s="1210" t="s">
        <v>284</v>
      </c>
      <c r="AO10" s="1510">
        <v>7</v>
      </c>
      <c r="AP10" s="1521" t="s">
        <v>1152</v>
      </c>
      <c r="AU10" s="209" t="s">
        <v>622</v>
      </c>
      <c r="AY10" s="2208" t="str">
        <f>IF('POWER SETT'!S$6=0,"",'POWER SETT'!S$6)</f>
        <v>Gibraltar Office</v>
      </c>
    </row>
    <row r="11" spans="1:65" ht="9.75" customHeight="1" thickBot="1">
      <c r="A11" s="944"/>
      <c r="B11" s="944"/>
      <c r="C11" s="944"/>
      <c r="D11" s="944"/>
      <c r="E11" s="944"/>
      <c r="F11" s="944"/>
      <c r="G11" s="944"/>
      <c r="H11" s="944"/>
      <c r="I11" s="944"/>
      <c r="J11" s="944"/>
      <c r="K11" s="944"/>
      <c r="L11" s="944"/>
      <c r="M11" s="944"/>
      <c r="N11" s="944"/>
      <c r="O11" s="944"/>
      <c r="P11" s="944"/>
      <c r="Q11" s="944"/>
      <c r="R11" s="944"/>
      <c r="S11" s="944"/>
      <c r="T11" s="944"/>
      <c r="U11" s="944"/>
      <c r="V11" s="944"/>
      <c r="W11" s="944"/>
      <c r="X11" s="944"/>
      <c r="Z11" s="519" t="b">
        <v>1</v>
      </c>
      <c r="AA11" s="520" t="b">
        <v>0</v>
      </c>
      <c r="AB11" s="519" t="b">
        <v>1</v>
      </c>
      <c r="AC11" s="520" t="b">
        <v>1</v>
      </c>
      <c r="AD11" s="520" t="b">
        <v>1</v>
      </c>
      <c r="AE11" s="520" t="b">
        <v>0</v>
      </c>
      <c r="AF11" s="520" t="b">
        <v>1</v>
      </c>
      <c r="AG11" s="521" t="s">
        <v>707</v>
      </c>
      <c r="AH11" s="521" t="str">
        <f t="shared" si="1"/>
        <v>® Summary Report</v>
      </c>
      <c r="AI11" s="521">
        <v>0</v>
      </c>
      <c r="AJ11" s="522" t="s">
        <v>547</v>
      </c>
      <c r="AK11" s="521" t="s">
        <v>707</v>
      </c>
      <c r="AL11" s="521" t="str">
        <f t="shared" si="2"/>
        <v>Summary Report</v>
      </c>
      <c r="AM11" s="521" t="s">
        <v>284</v>
      </c>
      <c r="AN11" s="521" t="s">
        <v>284</v>
      </c>
      <c r="AO11" s="1510">
        <v>8</v>
      </c>
      <c r="AP11" s="1522" t="s">
        <v>1153</v>
      </c>
      <c r="AY11" s="2208" t="str">
        <f>IF('POWER SETT'!T$6=0,"",'POWER SETT'!T$6)</f>
        <v>Athens Office</v>
      </c>
    </row>
    <row r="12" spans="1:65" s="1233" customFormat="1" ht="5.25">
      <c r="A12" s="1232"/>
      <c r="B12" s="1232"/>
      <c r="C12" s="1232"/>
      <c r="D12" s="1232"/>
      <c r="E12" s="1232"/>
      <c r="F12" s="1232"/>
      <c r="G12" s="1232"/>
      <c r="H12" s="1232"/>
      <c r="I12" s="1232"/>
      <c r="J12" s="1232"/>
      <c r="K12" s="1232"/>
      <c r="L12" s="1232"/>
      <c r="M12" s="1232"/>
      <c r="N12" s="1232"/>
      <c r="O12" s="1232"/>
      <c r="P12" s="1232"/>
      <c r="Q12" s="1232"/>
      <c r="R12" s="1232"/>
      <c r="S12" s="1232"/>
      <c r="T12" s="1232"/>
      <c r="U12" s="1232"/>
      <c r="V12" s="1232"/>
      <c r="W12" s="1232"/>
      <c r="X12" s="1232"/>
      <c r="Z12" s="1263" t="b">
        <v>1</v>
      </c>
      <c r="AA12" s="1264" t="b">
        <v>0</v>
      </c>
      <c r="AB12" s="1263" t="b">
        <v>1</v>
      </c>
      <c r="AC12" s="1264" t="b">
        <v>1</v>
      </c>
      <c r="AD12" s="1264" t="b">
        <v>0</v>
      </c>
      <c r="AE12" s="1264" t="b">
        <v>1</v>
      </c>
      <c r="AF12" s="1264" t="b">
        <v>1</v>
      </c>
      <c r="AG12" s="1265" t="s">
        <v>360</v>
      </c>
      <c r="AH12" s="1265" t="str">
        <f t="shared" ref="AH12:AH52" si="4">IF($AG12="","",IF(IF(BARGECALC&gt;1,$AE12,INDEX($AB12:$AD12,1,SURVEYMODE))=TRUE,SYMTRUE,SYMFALSE)&amp;" "&amp;$AG12)</f>
        <v>® Vessel BQS Report</v>
      </c>
      <c r="AI12" s="1265"/>
      <c r="AJ12" s="1237" t="s">
        <v>359</v>
      </c>
      <c r="AK12" s="1265" t="s">
        <v>360</v>
      </c>
      <c r="AL12" s="1265" t="str">
        <f t="shared" si="2"/>
        <v>Vessel BQS Report</v>
      </c>
      <c r="AM12" s="1265" t="s">
        <v>284</v>
      </c>
      <c r="AN12" s="1265" t="s">
        <v>270</v>
      </c>
      <c r="AO12" s="1523">
        <v>9</v>
      </c>
      <c r="AP12" s="1524" t="s">
        <v>1154</v>
      </c>
      <c r="AY12" s="2209" t="str">
        <f>IF('POWER SETT'!U$6=0,"",'POWER SETT'!U$6)</f>
        <v>Trinidad Office</v>
      </c>
    </row>
    <row r="13" spans="1:65" ht="18.75">
      <c r="A13" s="2327" t="str">
        <f>INDEX(MAIN!AW2:AW4,MAIN!AV1,1)</f>
        <v>BUNKER QUANTITY SURVEY (BQS) &amp; BUNKER ROB SURVEY (ROB)</v>
      </c>
      <c r="B13" s="2327"/>
      <c r="C13" s="2327"/>
      <c r="D13" s="2327"/>
      <c r="E13" s="2327"/>
      <c r="F13" s="2327"/>
      <c r="G13" s="2327"/>
      <c r="H13" s="2327"/>
      <c r="I13" s="2327"/>
      <c r="J13" s="2327"/>
      <c r="K13" s="2327"/>
      <c r="L13" s="2327"/>
      <c r="M13" s="2327"/>
      <c r="N13" s="2327"/>
      <c r="O13" s="2327"/>
      <c r="P13" s="2327"/>
      <c r="Q13" s="2327"/>
      <c r="R13" s="2327"/>
      <c r="S13" s="2327"/>
      <c r="T13" s="2327"/>
      <c r="U13" s="2327"/>
      <c r="V13" s="2327"/>
      <c r="W13" s="2327"/>
      <c r="X13" s="2327"/>
      <c r="Z13" s="517" t="b">
        <v>1</v>
      </c>
      <c r="AA13" s="512" t="b">
        <v>0</v>
      </c>
      <c r="AB13" s="517" t="b">
        <v>1</v>
      </c>
      <c r="AC13" s="512" t="b">
        <v>1</v>
      </c>
      <c r="AD13" s="512" t="b">
        <v>0</v>
      </c>
      <c r="AE13" s="512" t="b">
        <v>1</v>
      </c>
      <c r="AF13" s="512" t="b">
        <v>1</v>
      </c>
      <c r="AG13" s="209" t="s">
        <v>361</v>
      </c>
      <c r="AH13" s="209" t="str">
        <f t="shared" si="4"/>
        <v>® Barge BQS Report</v>
      </c>
      <c r="AI13" s="209"/>
      <c r="AJ13" s="518" t="s">
        <v>359</v>
      </c>
      <c r="AK13" s="209" t="s">
        <v>361</v>
      </c>
      <c r="AL13" s="209" t="str">
        <f t="shared" si="2"/>
        <v>Barge BQS Report</v>
      </c>
      <c r="AM13" s="209" t="s">
        <v>284</v>
      </c>
      <c r="AN13" s="209" t="s">
        <v>270</v>
      </c>
      <c r="AO13" s="1510">
        <v>10</v>
      </c>
      <c r="AP13" s="1525" t="s">
        <v>1155</v>
      </c>
      <c r="AY13" s="2208" t="str">
        <f>IF('POWER SETT'!V$6=0,"",'POWER SETT'!V$6)</f>
        <v>Russia Office</v>
      </c>
    </row>
    <row r="14" spans="1:65" s="1233" customFormat="1" ht="24" customHeight="1">
      <c r="A14" s="1232"/>
      <c r="B14" s="1232"/>
      <c r="C14" s="1232"/>
      <c r="D14" s="1232"/>
      <c r="E14" s="1232"/>
      <c r="F14" s="1232"/>
      <c r="G14" s="1232"/>
      <c r="H14" s="1232"/>
      <c r="I14" s="1232"/>
      <c r="J14" s="1232"/>
      <c r="K14" s="1232"/>
      <c r="L14" s="1232"/>
      <c r="M14" s="1232"/>
      <c r="N14" s="1232"/>
      <c r="O14" s="1232"/>
      <c r="P14" s="1232"/>
      <c r="Q14" s="1232"/>
      <c r="R14" s="1232"/>
      <c r="S14" s="1232"/>
      <c r="T14" s="1232"/>
      <c r="U14" s="1232"/>
      <c r="V14" s="1232"/>
      <c r="W14" s="1232"/>
      <c r="X14" s="1232"/>
      <c r="Z14" s="1236" t="b">
        <v>1</v>
      </c>
      <c r="AA14" s="1234" t="b">
        <v>0</v>
      </c>
      <c r="AB14" s="1236" t="b">
        <v>1</v>
      </c>
      <c r="AC14" s="1234" t="b">
        <v>1</v>
      </c>
      <c r="AD14" s="1234" t="b">
        <v>0</v>
      </c>
      <c r="AE14" s="1234" t="b">
        <v>1</v>
      </c>
      <c r="AF14" s="1234" t="b">
        <v>1</v>
      </c>
      <c r="AG14" s="1235" t="s">
        <v>536</v>
      </c>
      <c r="AH14" s="1235" t="str">
        <f t="shared" si="4"/>
        <v>® Bunker Sample Info</v>
      </c>
      <c r="AI14" s="1235"/>
      <c r="AJ14" s="1237" t="s">
        <v>359</v>
      </c>
      <c r="AK14" s="1235" t="s">
        <v>536</v>
      </c>
      <c r="AL14" s="1235" t="str">
        <f t="shared" si="2"/>
        <v>Bunker Sample Info</v>
      </c>
      <c r="AM14" s="1235" t="s">
        <v>284</v>
      </c>
      <c r="AN14" s="1235" t="s">
        <v>270</v>
      </c>
      <c r="AO14" s="1523">
        <v>11</v>
      </c>
      <c r="AP14" s="1526" t="s">
        <v>1156</v>
      </c>
      <c r="AY14" s="2209" t="str">
        <f>IF('POWER SETT'!W$6=0,"",'POWER SETT'!W$6)</f>
        <v>Netherlands Office</v>
      </c>
    </row>
    <row r="15" spans="1:65" ht="15" customHeight="1">
      <c r="A15" s="944"/>
      <c r="B15" s="2328" t="str">
        <f>IF(SURVEYMODE=3,"","NUMBER OF BARGES")</f>
        <v>NUMBER OF BARGES</v>
      </c>
      <c r="C15" s="2329"/>
      <c r="D15" s="2329"/>
      <c r="E15" s="2329"/>
      <c r="F15" s="2329"/>
      <c r="G15" s="2330"/>
      <c r="H15" s="944"/>
      <c r="I15" s="944"/>
      <c r="J15" s="1211"/>
      <c r="K15" s="2329" t="s">
        <v>1078</v>
      </c>
      <c r="L15" s="2329"/>
      <c r="M15" s="2329"/>
      <c r="N15" s="1213" t="s">
        <v>997</v>
      </c>
      <c r="O15" s="1212"/>
      <c r="P15" s="944"/>
      <c r="Q15" s="944"/>
      <c r="R15" s="2328" t="str">
        <f>IF(OR(SURVEYMODE=3,BARGESEL=1),"","CURRENT BARGE")</f>
        <v/>
      </c>
      <c r="S15" s="2329"/>
      <c r="T15" s="2329"/>
      <c r="U15" s="2329"/>
      <c r="V15" s="2329"/>
      <c r="W15" s="2330"/>
      <c r="X15" s="944"/>
      <c r="Z15" s="517" t="b">
        <v>1</v>
      </c>
      <c r="AA15" s="512" t="b">
        <v>0</v>
      </c>
      <c r="AB15" s="517" t="b">
        <v>1</v>
      </c>
      <c r="AC15" s="512" t="b">
        <v>1</v>
      </c>
      <c r="AD15" s="512" t="b">
        <v>0</v>
      </c>
      <c r="AE15" s="512" t="b">
        <v>0</v>
      </c>
      <c r="AF15" s="512" t="b">
        <v>1</v>
      </c>
      <c r="AG15" s="209" t="s">
        <v>537</v>
      </c>
      <c r="AH15" s="209" t="str">
        <f t="shared" si="4"/>
        <v>® Gravitation Declaration</v>
      </c>
      <c r="AI15" s="209"/>
      <c r="AJ15" s="518" t="s">
        <v>359</v>
      </c>
      <c r="AK15" s="209" t="s">
        <v>537</v>
      </c>
      <c r="AL15" s="209" t="str">
        <f t="shared" si="2"/>
        <v>Gravitation Declaration</v>
      </c>
      <c r="AM15" s="209" t="s">
        <v>284</v>
      </c>
      <c r="AN15" s="209" t="s">
        <v>284</v>
      </c>
      <c r="AO15" s="1510">
        <v>12</v>
      </c>
      <c r="AP15" s="1527" t="s">
        <v>1157</v>
      </c>
      <c r="AT15" s="1510"/>
      <c r="AU15" s="1510" t="s">
        <v>1245</v>
      </c>
      <c r="AY15" s="2208" t="str">
        <f>IF('POWER SETT'!X$6=0,"",'POWER SETT'!X$6)</f>
        <v>Lighthouse Office</v>
      </c>
    </row>
    <row r="16" spans="1:65">
      <c r="A16" s="944"/>
      <c r="B16" s="944"/>
      <c r="C16" s="944"/>
      <c r="D16" s="944"/>
      <c r="E16" s="944"/>
      <c r="F16" s="944"/>
      <c r="G16" s="944"/>
      <c r="H16" s="944"/>
      <c r="I16" s="944"/>
      <c r="J16" s="944"/>
      <c r="K16" s="944"/>
      <c r="L16" s="944"/>
      <c r="M16" s="944"/>
      <c r="N16" s="944"/>
      <c r="O16" s="944"/>
      <c r="P16" s="944"/>
      <c r="Q16" s="944"/>
      <c r="R16" s="944"/>
      <c r="S16" s="944"/>
      <c r="T16" s="944"/>
      <c r="U16" s="944"/>
      <c r="V16" s="944"/>
      <c r="W16" s="944"/>
      <c r="X16" s="944"/>
      <c r="Z16" s="517" t="b">
        <v>1</v>
      </c>
      <c r="AA16" s="512" t="b">
        <v>0</v>
      </c>
      <c r="AB16" s="517" t="b">
        <v>1</v>
      </c>
      <c r="AC16" s="512" t="b">
        <v>1</v>
      </c>
      <c r="AD16" s="512" t="b">
        <v>0</v>
      </c>
      <c r="AE16" s="512" t="b">
        <v>0</v>
      </c>
      <c r="AF16" s="512" t="b">
        <v>1</v>
      </c>
      <c r="AG16" s="209" t="s">
        <v>538</v>
      </c>
      <c r="AH16" s="209" t="str">
        <f t="shared" si="4"/>
        <v>® Valves Declaration</v>
      </c>
      <c r="AI16" s="209"/>
      <c r="AJ16" s="518" t="s">
        <v>359</v>
      </c>
      <c r="AK16" s="209" t="s">
        <v>538</v>
      </c>
      <c r="AL16" s="209" t="str">
        <f t="shared" si="2"/>
        <v>Valves Declaration</v>
      </c>
      <c r="AM16" s="209" t="s">
        <v>284</v>
      </c>
      <c r="AN16" s="209" t="s">
        <v>284</v>
      </c>
      <c r="AO16" s="1510">
        <v>13</v>
      </c>
      <c r="AP16" s="1528" t="s">
        <v>1158</v>
      </c>
      <c r="AT16" s="1510" t="s">
        <v>1248</v>
      </c>
      <c r="AU16" s="1512">
        <f t="array" ref="AU16">SUM(IF(ISERROR(AI4:AI52),0,AI4:AI52))</f>
        <v>25</v>
      </c>
      <c r="AY16" s="2208" t="str">
        <f>IF('POWER SETT'!Y$6=0,"",'POWER SETT'!Y$6)</f>
        <v>Petro Inspect International</v>
      </c>
    </row>
    <row r="17" spans="1:51">
      <c r="A17" s="944"/>
      <c r="B17" s="944"/>
      <c r="C17" s="944"/>
      <c r="D17" s="944"/>
      <c r="E17" s="944"/>
      <c r="F17" s="944"/>
      <c r="G17" s="944"/>
      <c r="H17" s="944"/>
      <c r="I17" s="944"/>
      <c r="J17" s="944"/>
      <c r="K17" s="944"/>
      <c r="L17" s="944"/>
      <c r="M17" s="944"/>
      <c r="N17" s="944"/>
      <c r="O17" s="944"/>
      <c r="P17" s="944"/>
      <c r="Q17" s="944"/>
      <c r="R17" s="944"/>
      <c r="S17" s="944"/>
      <c r="T17" s="944"/>
      <c r="U17" s="944"/>
      <c r="V17" s="944"/>
      <c r="W17" s="944"/>
      <c r="X17" s="944"/>
      <c r="Z17" s="517" t="b">
        <v>1</v>
      </c>
      <c r="AA17" s="512" t="b">
        <v>0</v>
      </c>
      <c r="AB17" s="517" t="b">
        <v>0</v>
      </c>
      <c r="AC17" s="512" t="b">
        <v>0</v>
      </c>
      <c r="AD17" s="512" t="b">
        <v>0</v>
      </c>
      <c r="AE17" s="512" t="b">
        <v>0</v>
      </c>
      <c r="AF17" s="512" t="b">
        <v>0</v>
      </c>
      <c r="AG17" s="209" t="s">
        <v>523</v>
      </c>
      <c r="AH17" s="209" t="str">
        <f t="shared" si="4"/>
        <v xml:space="preserve">  - Statement of Facts</v>
      </c>
      <c r="AI17" s="209"/>
      <c r="AJ17" s="518" t="s">
        <v>359</v>
      </c>
      <c r="AK17" s="209" t="s">
        <v>523</v>
      </c>
      <c r="AL17" s="209" t="str">
        <f t="shared" si="2"/>
        <v>Cover Page</v>
      </c>
      <c r="AM17" s="209" t="s">
        <v>284</v>
      </c>
      <c r="AN17" s="209" t="s">
        <v>284</v>
      </c>
      <c r="AO17" s="1510">
        <v>14</v>
      </c>
      <c r="AP17" s="1529" t="s">
        <v>1159</v>
      </c>
      <c r="AT17" s="1510" t="s">
        <v>1247</v>
      </c>
      <c r="AU17" s="1512">
        <f t="array" ref="AU17">COUNT(IF(ISERROR(AI5:AI37),1,""))</f>
        <v>0</v>
      </c>
      <c r="AY17" s="2208" t="str">
        <f>IF('POWER SETT'!Z$6=0,"",'POWER SETT'!Z$6)</f>
        <v/>
      </c>
    </row>
    <row r="18" spans="1:51" ht="18" customHeight="1">
      <c r="A18" s="944"/>
      <c r="B18" s="944"/>
      <c r="C18" s="944"/>
      <c r="D18" s="944"/>
      <c r="E18" s="944"/>
      <c r="F18" s="944"/>
      <c r="G18" s="944"/>
      <c r="H18" s="944"/>
      <c r="I18" s="944"/>
      <c r="J18" s="944"/>
      <c r="K18" s="944"/>
      <c r="L18" s="944"/>
      <c r="M18" s="944"/>
      <c r="N18" s="944"/>
      <c r="O18" s="944"/>
      <c r="P18" s="944"/>
      <c r="Q18" s="944"/>
      <c r="R18" s="944"/>
      <c r="S18" s="944"/>
      <c r="T18" s="944"/>
      <c r="U18" s="944"/>
      <c r="V18" s="944"/>
      <c r="W18" s="944"/>
      <c r="X18" s="944"/>
      <c r="Z18" s="517"/>
      <c r="AA18" s="512"/>
      <c r="AB18" s="517"/>
      <c r="AC18" s="512"/>
      <c r="AD18" s="512"/>
      <c r="AE18" s="512"/>
      <c r="AF18" s="512"/>
      <c r="AG18" s="209"/>
      <c r="AH18" s="209" t="str">
        <f t="shared" si="4"/>
        <v/>
      </c>
      <c r="AI18" s="209"/>
      <c r="AJ18" s="518" t="s">
        <v>359</v>
      </c>
      <c r="AK18" s="209"/>
      <c r="AL18" s="209" t="str">
        <f t="shared" si="2"/>
        <v>Cover Page</v>
      </c>
      <c r="AM18" s="209"/>
      <c r="AN18" s="209"/>
      <c r="AO18" s="1510">
        <v>15</v>
      </c>
      <c r="AP18" s="2215" t="s">
        <v>1493</v>
      </c>
      <c r="AY18" s="2208" t="str">
        <f>IF('POWER SETT'!AA$6=0,"",'POWER SETT'!AA$6)</f>
        <v/>
      </c>
    </row>
    <row r="19" spans="1:51" ht="27" customHeight="1">
      <c r="A19" s="944"/>
      <c r="B19" s="1284"/>
      <c r="C19" s="944"/>
      <c r="D19" s="944"/>
      <c r="E19" s="944"/>
      <c r="F19" s="944"/>
      <c r="G19" s="944"/>
      <c r="H19" s="944"/>
      <c r="I19" s="944"/>
      <c r="J19" s="944"/>
      <c r="K19" s="944"/>
      <c r="L19" s="944"/>
      <c r="M19" s="944"/>
      <c r="N19" s="944"/>
      <c r="O19" s="944"/>
      <c r="P19" s="944"/>
      <c r="Q19" s="944"/>
      <c r="R19" s="944"/>
      <c r="S19" s="2331" t="str">
        <f>IF(ERROUTTURN&gt;0,ERROUTTURN&amp;" Entries missing at Add. Barges Out-Turns! "
&amp;"","")</f>
        <v/>
      </c>
      <c r="T19" s="2332"/>
      <c r="U19" s="2332"/>
      <c r="V19" s="2333"/>
      <c r="W19" s="944"/>
      <c r="X19" s="944"/>
      <c r="Z19" s="517"/>
      <c r="AA19" s="512"/>
      <c r="AB19" s="517"/>
      <c r="AC19" s="512"/>
      <c r="AD19" s="512"/>
      <c r="AE19" s="512"/>
      <c r="AF19" s="512"/>
      <c r="AG19" s="209"/>
      <c r="AH19" s="209" t="str">
        <f t="shared" si="4"/>
        <v/>
      </c>
      <c r="AI19" s="209"/>
      <c r="AJ19" s="518" t="s">
        <v>359</v>
      </c>
      <c r="AK19" s="209"/>
      <c r="AL19" s="209" t="str">
        <f t="shared" si="2"/>
        <v>Cover Page</v>
      </c>
      <c r="AM19" s="209"/>
      <c r="AN19" s="209"/>
      <c r="AO19" s="1510">
        <v>16</v>
      </c>
      <c r="AP19" s="2210" t="s">
        <v>1492</v>
      </c>
      <c r="AY19" s="2208" t="str">
        <f>IF('POWER SETT'!AB$6=0,"",'POWER SETT'!AB$6)</f>
        <v/>
      </c>
    </row>
    <row r="20" spans="1:51" ht="4.5" customHeight="1">
      <c r="A20" s="944"/>
      <c r="B20" s="1284"/>
      <c r="C20" s="944"/>
      <c r="D20" s="944"/>
      <c r="E20" s="944"/>
      <c r="F20" s="944"/>
      <c r="G20" s="944"/>
      <c r="H20" s="944"/>
      <c r="I20" s="944"/>
      <c r="J20" s="944"/>
      <c r="K20" s="944"/>
      <c r="L20" s="944"/>
      <c r="M20" s="944"/>
      <c r="N20" s="944"/>
      <c r="O20" s="944"/>
      <c r="P20" s="944"/>
      <c r="Q20" s="944"/>
      <c r="R20" s="944"/>
      <c r="S20" s="944"/>
      <c r="T20" s="944"/>
      <c r="U20" s="944"/>
      <c r="V20" s="944"/>
      <c r="W20" s="944"/>
      <c r="X20" s="944"/>
      <c r="Z20" s="517"/>
      <c r="AA20" s="512"/>
      <c r="AB20" s="517"/>
      <c r="AC20" s="512"/>
      <c r="AD20" s="512"/>
      <c r="AE20" s="512"/>
      <c r="AF20" s="512"/>
      <c r="AG20" s="209"/>
      <c r="AH20" s="209" t="str">
        <f t="shared" si="4"/>
        <v/>
      </c>
      <c r="AI20" s="209"/>
      <c r="AJ20" s="518" t="s">
        <v>359</v>
      </c>
      <c r="AK20" s="209"/>
      <c r="AL20" s="209" t="str">
        <f t="shared" si="2"/>
        <v>Cover Page</v>
      </c>
      <c r="AM20" s="209"/>
      <c r="AN20" s="209"/>
      <c r="AO20" s="1510">
        <v>17</v>
      </c>
      <c r="AP20" s="2211" t="s">
        <v>1491</v>
      </c>
      <c r="AY20" s="2208" t="str">
        <f>IF('POWER SETT'!AC$6=0,"",'POWER SETT'!AC$6)</f>
        <v/>
      </c>
    </row>
    <row r="21" spans="1:51" ht="15" customHeight="1" thickBot="1">
      <c r="A21" s="944"/>
      <c r="B21" s="2328" t="str">
        <f>"BQS SURVEY REPORTS"&amp;IF(SPORE=TRUE," (SS-600)","")</f>
        <v>BQS SURVEY REPORTS</v>
      </c>
      <c r="C21" s="2329"/>
      <c r="D21" s="2329"/>
      <c r="E21" s="2329"/>
      <c r="F21" s="2329"/>
      <c r="G21" s="2330"/>
      <c r="H21" s="944"/>
      <c r="I21" s="944"/>
      <c r="J21" s="2328" t="s">
        <v>524</v>
      </c>
      <c r="K21" s="2329"/>
      <c r="L21" s="2329"/>
      <c r="M21" s="2329"/>
      <c r="N21" s="2329"/>
      <c r="O21" s="2330"/>
      <c r="P21" s="944"/>
      <c r="Q21" s="944"/>
      <c r="R21" s="2328" t="s">
        <v>466</v>
      </c>
      <c r="S21" s="2329"/>
      <c r="T21" s="2329"/>
      <c r="U21" s="2329"/>
      <c r="V21" s="2329"/>
      <c r="W21" s="2330"/>
      <c r="X21" s="944"/>
      <c r="Z21" s="519"/>
      <c r="AA21" s="520"/>
      <c r="AB21" s="519"/>
      <c r="AC21" s="520"/>
      <c r="AD21" s="520"/>
      <c r="AE21" s="520"/>
      <c r="AF21" s="520"/>
      <c r="AG21" s="521"/>
      <c r="AH21" s="521" t="str">
        <f t="shared" si="4"/>
        <v/>
      </c>
      <c r="AI21" s="521"/>
      <c r="AJ21" s="522" t="s">
        <v>359</v>
      </c>
      <c r="AK21" s="521"/>
      <c r="AL21" s="521" t="str">
        <f t="shared" si="2"/>
        <v>Cover Page</v>
      </c>
      <c r="AM21" s="521"/>
      <c r="AN21" s="521"/>
      <c r="AO21" s="1510">
        <v>18</v>
      </c>
      <c r="AP21" s="2212" t="s">
        <v>1494</v>
      </c>
      <c r="AY21" s="2207" t="str">
        <f>IF('POWER SETT'!AD$6=0,"",'POWER SETT'!AD$6)</f>
        <v/>
      </c>
    </row>
    <row r="22" spans="1:51">
      <c r="A22" s="944"/>
      <c r="B22" s="944"/>
      <c r="C22" s="944"/>
      <c r="D22" s="944"/>
      <c r="E22" s="944"/>
      <c r="F22" s="944"/>
      <c r="G22" s="944"/>
      <c r="H22" s="944"/>
      <c r="I22" s="944"/>
      <c r="J22" s="944"/>
      <c r="K22" s="944"/>
      <c r="L22" s="944"/>
      <c r="M22" s="944"/>
      <c r="N22" s="944"/>
      <c r="O22" s="944"/>
      <c r="P22" s="944"/>
      <c r="Q22" s="944"/>
      <c r="R22" s="944"/>
      <c r="S22" s="944"/>
      <c r="T22" s="944"/>
      <c r="U22" s="944"/>
      <c r="V22" s="944"/>
      <c r="W22" s="944"/>
      <c r="X22" s="944"/>
      <c r="Z22" s="513" t="b">
        <v>1</v>
      </c>
      <c r="AA22" s="514" t="b">
        <v>0</v>
      </c>
      <c r="AB22" s="513" t="b">
        <v>1</v>
      </c>
      <c r="AC22" s="514" t="b">
        <v>0</v>
      </c>
      <c r="AD22" s="514" t="b">
        <v>1</v>
      </c>
      <c r="AE22" s="514" t="b">
        <v>0</v>
      </c>
      <c r="AF22" s="514" t="b">
        <v>1</v>
      </c>
      <c r="AG22" s="515" t="s">
        <v>362</v>
      </c>
      <c r="AH22" s="515" t="str">
        <f t="shared" si="4"/>
        <v>® Vessel ROB Report</v>
      </c>
      <c r="AI22" s="515"/>
      <c r="AJ22" s="516" t="s">
        <v>358</v>
      </c>
      <c r="AK22" s="515" t="s">
        <v>362</v>
      </c>
      <c r="AL22" s="515" t="str">
        <f t="shared" si="2"/>
        <v>Vessel ROB Report</v>
      </c>
      <c r="AM22" s="515" t="s">
        <v>284</v>
      </c>
      <c r="AN22" s="515" t="s">
        <v>284</v>
      </c>
      <c r="AO22" s="1510">
        <v>19</v>
      </c>
      <c r="AP22" s="2214" t="s">
        <v>1496</v>
      </c>
    </row>
    <row r="23" spans="1:51">
      <c r="A23" s="944"/>
      <c r="B23" s="944"/>
      <c r="C23" s="944"/>
      <c r="D23" s="944"/>
      <c r="E23" s="944"/>
      <c r="F23" s="944"/>
      <c r="G23" s="944"/>
      <c r="H23" s="944"/>
      <c r="I23" s="944"/>
      <c r="J23" s="944"/>
      <c r="K23" s="944"/>
      <c r="L23" s="944"/>
      <c r="M23" s="944"/>
      <c r="N23" s="944"/>
      <c r="O23" s="944"/>
      <c r="P23" s="944"/>
      <c r="Q23" s="944"/>
      <c r="R23" s="944"/>
      <c r="S23" s="944"/>
      <c r="T23" s="944"/>
      <c r="U23" s="944"/>
      <c r="V23" s="944"/>
      <c r="W23" s="944"/>
      <c r="X23" s="944"/>
      <c r="Z23" s="517" t="b">
        <v>1</v>
      </c>
      <c r="AA23" s="512" t="b">
        <v>0</v>
      </c>
      <c r="AB23" s="517" t="b">
        <v>1</v>
      </c>
      <c r="AC23" s="512" t="b">
        <v>0</v>
      </c>
      <c r="AD23" s="512" t="b">
        <v>1</v>
      </c>
      <c r="AE23" s="512" t="b">
        <v>0</v>
      </c>
      <c r="AF23" s="512" t="b">
        <v>1</v>
      </c>
      <c r="AG23" s="209" t="s">
        <v>549</v>
      </c>
      <c r="AH23" s="209" t="str">
        <f t="shared" si="4"/>
        <v>® Vessel ROB Certificate</v>
      </c>
      <c r="AI23" s="209"/>
      <c r="AJ23" s="518" t="s">
        <v>358</v>
      </c>
      <c r="AK23" s="209" t="s">
        <v>549</v>
      </c>
      <c r="AL23" s="209" t="str">
        <f t="shared" si="2"/>
        <v>Vessel ROB Certificate</v>
      </c>
      <c r="AM23" s="209" t="s">
        <v>284</v>
      </c>
      <c r="AN23" s="209" t="s">
        <v>284</v>
      </c>
      <c r="AO23" s="1510">
        <v>20</v>
      </c>
      <c r="AP23" s="2213" t="s">
        <v>1495</v>
      </c>
    </row>
    <row r="24" spans="1:51">
      <c r="A24" s="944"/>
      <c r="B24" s="944"/>
      <c r="C24" s="944"/>
      <c r="D24" s="944"/>
      <c r="E24" s="944"/>
      <c r="F24" s="944"/>
      <c r="G24" s="944"/>
      <c r="H24" s="944"/>
      <c r="I24" s="944"/>
      <c r="J24" s="944"/>
      <c r="K24" s="944"/>
      <c r="L24" s="944"/>
      <c r="M24" s="944"/>
      <c r="N24" s="944"/>
      <c r="O24" s="944"/>
      <c r="P24" s="944"/>
      <c r="Q24" s="944"/>
      <c r="R24" s="944"/>
      <c r="S24" s="944"/>
      <c r="T24" s="944"/>
      <c r="U24" s="944"/>
      <c r="V24" s="944"/>
      <c r="W24" s="944"/>
      <c r="X24" s="944"/>
      <c r="Z24" s="517" t="b">
        <v>1</v>
      </c>
      <c r="AA24" s="512" t="b">
        <v>0</v>
      </c>
      <c r="AB24" s="517" t="b">
        <v>0</v>
      </c>
      <c r="AC24" s="512" t="b">
        <v>0</v>
      </c>
      <c r="AD24" s="512" t="b">
        <v>0</v>
      </c>
      <c r="AE24" s="512" t="b">
        <v>0</v>
      </c>
      <c r="AF24" s="512" t="b">
        <v>0</v>
      </c>
      <c r="AG24" s="209" t="s">
        <v>540</v>
      </c>
      <c r="AH24" s="209" t="str">
        <f t="shared" si="4"/>
        <v xml:space="preserve">  - On/Off Hire Certificate</v>
      </c>
      <c r="AI24" s="209"/>
      <c r="AJ24" s="518" t="s">
        <v>358</v>
      </c>
      <c r="AK24" s="209" t="s">
        <v>1255</v>
      </c>
      <c r="AL24" s="209" t="str">
        <f t="shared" si="2"/>
        <v>Cover Page</v>
      </c>
      <c r="AM24" s="209" t="s">
        <v>284</v>
      </c>
      <c r="AN24" s="209" t="s">
        <v>284</v>
      </c>
    </row>
    <row r="25" spans="1:51">
      <c r="A25" s="944"/>
      <c r="B25" s="944"/>
      <c r="C25" s="944"/>
      <c r="D25" s="944"/>
      <c r="E25" s="944"/>
      <c r="F25" s="944"/>
      <c r="G25" s="944"/>
      <c r="H25" s="944"/>
      <c r="I25" s="944"/>
      <c r="J25" s="944"/>
      <c r="K25" s="944"/>
      <c r="L25" s="944"/>
      <c r="M25" s="944"/>
      <c r="N25" s="944"/>
      <c r="O25" s="944"/>
      <c r="P25" s="944"/>
      <c r="Q25" s="944"/>
      <c r="R25" s="944"/>
      <c r="S25" s="944"/>
      <c r="T25" s="944"/>
      <c r="U25" s="944"/>
      <c r="V25" s="944"/>
      <c r="W25" s="944"/>
      <c r="X25" s="944"/>
      <c r="Z25" s="517"/>
      <c r="AA25" s="512"/>
      <c r="AB25" s="517"/>
      <c r="AC25" s="512"/>
      <c r="AD25" s="512"/>
      <c r="AE25" s="512"/>
      <c r="AF25" s="512"/>
      <c r="AG25" s="209"/>
      <c r="AH25" s="209" t="str">
        <f t="shared" si="4"/>
        <v/>
      </c>
      <c r="AI25" s="209"/>
      <c r="AJ25" s="518" t="s">
        <v>358</v>
      </c>
      <c r="AK25" s="209"/>
      <c r="AL25" s="209" t="str">
        <f t="shared" si="2"/>
        <v>Cover Page</v>
      </c>
      <c r="AM25" s="209"/>
      <c r="AN25" s="209"/>
    </row>
    <row r="26" spans="1:51">
      <c r="A26" s="944"/>
      <c r="B26" s="944"/>
      <c r="C26" s="944"/>
      <c r="D26" s="944"/>
      <c r="E26" s="944"/>
      <c r="F26" s="944"/>
      <c r="G26" s="944"/>
      <c r="H26" s="944"/>
      <c r="I26" s="944"/>
      <c r="J26" s="944"/>
      <c r="K26" s="944"/>
      <c r="L26" s="944"/>
      <c r="M26" s="944"/>
      <c r="N26" s="944"/>
      <c r="O26" s="944"/>
      <c r="P26" s="944"/>
      <c r="Q26" s="944"/>
      <c r="R26" s="944"/>
      <c r="S26" s="944"/>
      <c r="T26" s="944"/>
      <c r="U26" s="944"/>
      <c r="V26" s="944"/>
      <c r="W26" s="944"/>
      <c r="X26" s="944"/>
      <c r="Z26" s="517"/>
      <c r="AA26" s="512"/>
      <c r="AB26" s="517"/>
      <c r="AC26" s="512"/>
      <c r="AD26" s="512"/>
      <c r="AE26" s="512"/>
      <c r="AF26" s="512"/>
      <c r="AG26" s="209"/>
      <c r="AH26" s="209" t="str">
        <f t="shared" si="4"/>
        <v/>
      </c>
      <c r="AI26" s="209"/>
      <c r="AJ26" s="518" t="s">
        <v>358</v>
      </c>
      <c r="AK26" s="209"/>
      <c r="AL26" s="209" t="str">
        <f t="shared" si="2"/>
        <v>Cover Page</v>
      </c>
      <c r="AM26" s="209"/>
      <c r="AN26" s="209"/>
    </row>
    <row r="27" spans="1:51">
      <c r="A27" s="944"/>
      <c r="B27" s="944"/>
      <c r="C27" s="944"/>
      <c r="D27" s="944"/>
      <c r="E27" s="944"/>
      <c r="F27" s="944"/>
      <c r="G27" s="944"/>
      <c r="H27" s="944"/>
      <c r="I27" s="944"/>
      <c r="J27" s="944"/>
      <c r="K27" s="944"/>
      <c r="L27" s="944"/>
      <c r="M27" s="944"/>
      <c r="N27" s="944"/>
      <c r="O27" s="944"/>
      <c r="P27" s="944"/>
      <c r="Q27" s="944"/>
      <c r="R27" s="944"/>
      <c r="S27" s="944"/>
      <c r="T27" s="944"/>
      <c r="U27" s="944"/>
      <c r="V27" s="944"/>
      <c r="W27" s="944"/>
      <c r="X27" s="944"/>
      <c r="Z27" s="517"/>
      <c r="AA27" s="512"/>
      <c r="AB27" s="517"/>
      <c r="AC27" s="512"/>
      <c r="AD27" s="512"/>
      <c r="AE27" s="512"/>
      <c r="AF27" s="512"/>
      <c r="AG27" s="209"/>
      <c r="AH27" s="209" t="str">
        <f t="shared" si="4"/>
        <v/>
      </c>
      <c r="AI27" s="209"/>
      <c r="AJ27" s="518" t="s">
        <v>358</v>
      </c>
      <c r="AK27" s="209"/>
      <c r="AL27" s="209" t="str">
        <f t="shared" si="2"/>
        <v>Cover Page</v>
      </c>
      <c r="AM27" s="209"/>
      <c r="AN27" s="209"/>
    </row>
    <row r="28" spans="1:51">
      <c r="A28" s="944"/>
      <c r="B28" s="944"/>
      <c r="C28" s="944"/>
      <c r="D28" s="944"/>
      <c r="E28" s="944"/>
      <c r="F28" s="944"/>
      <c r="G28" s="944"/>
      <c r="H28" s="944"/>
      <c r="I28" s="944"/>
      <c r="J28" s="944"/>
      <c r="K28" s="944"/>
      <c r="L28" s="944"/>
      <c r="M28" s="944"/>
      <c r="N28" s="944"/>
      <c r="O28" s="944"/>
      <c r="P28" s="944"/>
      <c r="Q28" s="944"/>
      <c r="R28" s="944"/>
      <c r="S28" s="944"/>
      <c r="T28" s="944"/>
      <c r="U28" s="944"/>
      <c r="V28" s="944"/>
      <c r="W28" s="944"/>
      <c r="X28" s="944"/>
      <c r="Z28" s="517"/>
      <c r="AA28" s="512"/>
      <c r="AB28" s="517"/>
      <c r="AC28" s="512"/>
      <c r="AD28" s="512"/>
      <c r="AE28" s="512"/>
      <c r="AF28" s="512"/>
      <c r="AG28" s="209"/>
      <c r="AH28" s="209" t="str">
        <f t="shared" si="4"/>
        <v/>
      </c>
      <c r="AI28" s="209"/>
      <c r="AJ28" s="518" t="s">
        <v>358</v>
      </c>
      <c r="AK28" s="209"/>
      <c r="AL28" s="209" t="str">
        <f t="shared" si="2"/>
        <v>Cover Page</v>
      </c>
      <c r="AM28" s="209"/>
      <c r="AN28" s="209"/>
    </row>
    <row r="29" spans="1:51" ht="12" customHeight="1">
      <c r="A29" s="944"/>
      <c r="B29" s="944"/>
      <c r="C29" s="944"/>
      <c r="D29" s="944"/>
      <c r="E29" s="944"/>
      <c r="F29" s="944"/>
      <c r="G29" s="944"/>
      <c r="H29" s="944"/>
      <c r="I29" s="944"/>
      <c r="J29" s="944"/>
      <c r="K29" s="944"/>
      <c r="L29" s="944"/>
      <c r="M29" s="944"/>
      <c r="N29" s="944"/>
      <c r="O29" s="944"/>
      <c r="P29" s="944"/>
      <c r="Q29" s="944"/>
      <c r="R29" s="944"/>
      <c r="S29" s="944"/>
      <c r="T29" s="944"/>
      <c r="U29" s="944"/>
      <c r="V29" s="944"/>
      <c r="W29" s="944"/>
      <c r="X29" s="944"/>
      <c r="Z29" s="517"/>
      <c r="AA29" s="512"/>
      <c r="AB29" s="517"/>
      <c r="AC29" s="512"/>
      <c r="AD29" s="512"/>
      <c r="AE29" s="512"/>
      <c r="AF29" s="512"/>
      <c r="AG29" s="209"/>
      <c r="AH29" s="209" t="str">
        <f t="shared" si="4"/>
        <v/>
      </c>
      <c r="AI29" s="209"/>
      <c r="AJ29" s="518" t="s">
        <v>358</v>
      </c>
      <c r="AK29" s="209"/>
      <c r="AL29" s="209" t="str">
        <f t="shared" si="2"/>
        <v>Cover Page</v>
      </c>
      <c r="AM29" s="209"/>
      <c r="AN29" s="209"/>
    </row>
    <row r="30" spans="1:51">
      <c r="A30" s="944"/>
      <c r="B30" s="944"/>
      <c r="C30" s="944"/>
      <c r="D30" s="944"/>
      <c r="E30" s="944"/>
      <c r="F30" s="944"/>
      <c r="G30" s="944"/>
      <c r="H30" s="944"/>
      <c r="I30" s="944"/>
      <c r="J30" s="944"/>
      <c r="K30" s="944"/>
      <c r="L30" s="944"/>
      <c r="M30" s="944"/>
      <c r="N30" s="944"/>
      <c r="O30" s="944"/>
      <c r="P30" s="944"/>
      <c r="Q30" s="944"/>
      <c r="R30" s="944"/>
      <c r="S30" s="944"/>
      <c r="T30" s="944"/>
      <c r="U30" s="944"/>
      <c r="V30" s="944"/>
      <c r="W30" s="944"/>
      <c r="X30" s="944"/>
      <c r="Z30" s="517"/>
      <c r="AA30" s="512"/>
      <c r="AB30" s="517"/>
      <c r="AC30" s="512"/>
      <c r="AD30" s="512"/>
      <c r="AE30" s="512"/>
      <c r="AF30" s="512"/>
      <c r="AG30" s="209"/>
      <c r="AH30" s="209" t="str">
        <f t="shared" si="4"/>
        <v/>
      </c>
      <c r="AI30" s="209"/>
      <c r="AJ30" s="518" t="s">
        <v>358</v>
      </c>
      <c r="AK30" s="209"/>
      <c r="AL30" s="209" t="str">
        <f t="shared" si="2"/>
        <v>Cover Page</v>
      </c>
      <c r="AM30" s="209"/>
      <c r="AN30" s="209"/>
    </row>
    <row r="31" spans="1:51" ht="13.5" thickBot="1">
      <c r="A31" s="944"/>
      <c r="B31" s="1535" t="str">
        <f>SYMTRUE&amp;":"</f>
        <v>®:</v>
      </c>
      <c r="C31" s="1534" t="s">
        <v>1185</v>
      </c>
      <c r="D31" s="944"/>
      <c r="E31" s="944"/>
      <c r="F31" s="944"/>
      <c r="G31" s="944"/>
      <c r="H31" s="944"/>
      <c r="I31" s="944"/>
      <c r="J31" s="944"/>
      <c r="K31" s="944"/>
      <c r="L31" s="944"/>
      <c r="M31" s="944"/>
      <c r="N31" s="944"/>
      <c r="O31" s="944"/>
      <c r="P31" s="944"/>
      <c r="Q31" s="944"/>
      <c r="R31" s="944"/>
      <c r="S31" s="944"/>
      <c r="T31" s="944"/>
      <c r="U31" s="944"/>
      <c r="V31" s="944"/>
      <c r="W31" s="944"/>
      <c r="X31" s="944"/>
      <c r="Z31" s="519"/>
      <c r="AA31" s="520"/>
      <c r="AB31" s="519"/>
      <c r="AC31" s="520"/>
      <c r="AD31" s="520"/>
      <c r="AE31" s="520"/>
      <c r="AF31" s="520"/>
      <c r="AG31" s="521"/>
      <c r="AH31" s="521" t="str">
        <f t="shared" si="4"/>
        <v/>
      </c>
      <c r="AI31" s="521"/>
      <c r="AJ31" s="522" t="s">
        <v>358</v>
      </c>
      <c r="AK31" s="521"/>
      <c r="AL31" s="521" t="str">
        <f t="shared" si="2"/>
        <v>Cover Page</v>
      </c>
      <c r="AM31" s="521"/>
      <c r="AN31" s="521"/>
    </row>
    <row r="32" spans="1:51" ht="7.5" customHeight="1">
      <c r="A32" s="945"/>
      <c r="B32" s="944"/>
      <c r="C32" s="944"/>
      <c r="D32" s="944"/>
      <c r="E32" s="944"/>
      <c r="F32" s="944"/>
      <c r="G32" s="944"/>
      <c r="H32" s="944"/>
      <c r="I32" s="944"/>
      <c r="J32" s="944"/>
      <c r="K32" s="944"/>
      <c r="L32" s="944"/>
      <c r="M32" s="944"/>
      <c r="N32" s="944"/>
      <c r="O32" s="944"/>
      <c r="P32" s="944"/>
      <c r="Q32" s="944"/>
      <c r="R32" s="944"/>
      <c r="S32" s="944"/>
      <c r="T32" s="944"/>
      <c r="U32" s="944"/>
      <c r="V32" s="944"/>
      <c r="W32" s="944"/>
      <c r="X32" s="944"/>
      <c r="Z32" s="517" t="b">
        <v>1</v>
      </c>
      <c r="AA32" s="512" t="b">
        <v>0</v>
      </c>
      <c r="AB32" s="517" t="b">
        <v>0</v>
      </c>
      <c r="AC32" s="512" t="b">
        <v>0</v>
      </c>
      <c r="AD32" s="512" t="b">
        <v>0</v>
      </c>
      <c r="AE32" s="512" t="b">
        <v>0</v>
      </c>
      <c r="AF32" s="512" t="b">
        <v>0</v>
      </c>
      <c r="AG32" s="209" t="s">
        <v>364</v>
      </c>
      <c r="AH32" s="209" t="str">
        <f t="shared" si="4"/>
        <v xml:space="preserve">  - Sludge Retention</v>
      </c>
      <c r="AI32" s="209"/>
      <c r="AJ32" s="516" t="s">
        <v>363</v>
      </c>
      <c r="AK32" s="209" t="s">
        <v>364</v>
      </c>
      <c r="AL32" s="209" t="str">
        <f t="shared" si="2"/>
        <v>Cover Page</v>
      </c>
      <c r="AM32" s="209" t="s">
        <v>284</v>
      </c>
      <c r="AN32" s="209" t="s">
        <v>284</v>
      </c>
    </row>
    <row r="33" spans="1:40" ht="7.5" customHeight="1">
      <c r="A33" s="945"/>
      <c r="B33" s="944"/>
      <c r="C33" s="944"/>
      <c r="D33" s="944"/>
      <c r="E33" s="944"/>
      <c r="F33" s="944"/>
      <c r="G33" s="944"/>
      <c r="H33" s="944"/>
      <c r="I33" s="944"/>
      <c r="J33" s="944"/>
      <c r="K33" s="944"/>
      <c r="L33" s="944"/>
      <c r="M33" s="944"/>
      <c r="N33" s="944"/>
      <c r="O33" s="944"/>
      <c r="P33" s="944"/>
      <c r="Q33" s="944"/>
      <c r="R33" s="944"/>
      <c r="S33" s="944"/>
      <c r="T33" s="944"/>
      <c r="U33" s="944"/>
      <c r="V33" s="944"/>
      <c r="W33" s="944"/>
      <c r="X33" s="944"/>
      <c r="Z33" s="517" t="b">
        <v>1</v>
      </c>
      <c r="AA33" s="512" t="b">
        <v>0</v>
      </c>
      <c r="AB33" s="517" t="b">
        <v>0</v>
      </c>
      <c r="AC33" s="512" t="b">
        <v>0</v>
      </c>
      <c r="AD33" s="512" t="b">
        <v>0</v>
      </c>
      <c r="AE33" s="512" t="b">
        <v>0</v>
      </c>
      <c r="AF33" s="512" t="b">
        <v>0</v>
      </c>
      <c r="AG33" s="209" t="s">
        <v>366</v>
      </c>
      <c r="AH33" s="209" t="str">
        <f t="shared" si="4"/>
        <v xml:space="preserve">  - Bunker Consumption</v>
      </c>
      <c r="AI33" s="209"/>
      <c r="AJ33" s="518" t="s">
        <v>363</v>
      </c>
      <c r="AK33" s="209" t="s">
        <v>366</v>
      </c>
      <c r="AL33" s="209" t="str">
        <f t="shared" si="2"/>
        <v>Cover Page</v>
      </c>
      <c r="AM33" s="209" t="s">
        <v>284</v>
      </c>
      <c r="AN33" s="209" t="s">
        <v>284</v>
      </c>
    </row>
    <row r="34" spans="1:40" ht="7.5" customHeight="1">
      <c r="A34" s="945"/>
      <c r="B34" s="1222"/>
      <c r="C34" s="1221"/>
      <c r="D34" s="944"/>
      <c r="E34" s="944"/>
      <c r="F34" s="944"/>
      <c r="G34" s="944"/>
      <c r="H34" s="944"/>
      <c r="I34" s="944"/>
      <c r="J34" s="944"/>
      <c r="K34" s="944"/>
      <c r="L34" s="944"/>
      <c r="M34" s="944"/>
      <c r="N34" s="944"/>
      <c r="O34" s="944"/>
      <c r="P34" s="944"/>
      <c r="Q34" s="944"/>
      <c r="R34" s="944"/>
      <c r="S34" s="1223"/>
      <c r="T34" s="944"/>
      <c r="U34" s="944"/>
      <c r="V34" s="944"/>
      <c r="W34" s="944"/>
      <c r="X34" s="944"/>
      <c r="Z34" s="517" t="b">
        <v>1</v>
      </c>
      <c r="AA34" s="512" t="b">
        <v>0</v>
      </c>
      <c r="AB34" s="517" t="b">
        <v>1</v>
      </c>
      <c r="AC34" s="512" t="b">
        <v>1</v>
      </c>
      <c r="AD34" s="512" t="b">
        <v>0</v>
      </c>
      <c r="AE34" s="512" t="b">
        <v>0</v>
      </c>
      <c r="AF34" s="512" t="b">
        <v>1</v>
      </c>
      <c r="AG34" s="209" t="s">
        <v>365</v>
      </c>
      <c r="AH34" s="209" t="str">
        <f t="shared" si="4"/>
        <v>® Time Log</v>
      </c>
      <c r="AI34" s="209"/>
      <c r="AJ34" s="518" t="s">
        <v>363</v>
      </c>
      <c r="AK34" s="209" t="s">
        <v>365</v>
      </c>
      <c r="AL34" s="209" t="str">
        <f t="shared" si="2"/>
        <v>Time Log</v>
      </c>
      <c r="AM34" s="209" t="s">
        <v>284</v>
      </c>
      <c r="AN34" s="209" t="s">
        <v>284</v>
      </c>
    </row>
    <row r="35" spans="1:40" ht="2.25" customHeight="1">
      <c r="A35" s="1020"/>
      <c r="B35" s="943"/>
      <c r="C35" s="943"/>
      <c r="D35" s="943"/>
      <c r="E35" s="943"/>
      <c r="F35" s="943"/>
      <c r="G35" s="943"/>
      <c r="H35" s="943"/>
      <c r="I35" s="943"/>
      <c r="J35" s="943"/>
      <c r="K35" s="943"/>
      <c r="L35" s="943"/>
      <c r="M35" s="943"/>
      <c r="N35" s="943"/>
      <c r="O35" s="943"/>
      <c r="P35" s="943"/>
      <c r="Q35" s="943"/>
      <c r="R35" s="943"/>
      <c r="S35" s="943"/>
      <c r="T35" s="943"/>
      <c r="U35" s="943"/>
      <c r="V35" s="943"/>
      <c r="W35" s="943"/>
      <c r="X35" s="943"/>
      <c r="Z35" s="517" t="b">
        <v>1</v>
      </c>
      <c r="AA35" s="512" t="b">
        <v>0</v>
      </c>
      <c r="AB35" s="517" t="b">
        <v>1</v>
      </c>
      <c r="AC35" s="512" t="b">
        <v>1</v>
      </c>
      <c r="AD35" s="512" t="b">
        <v>0</v>
      </c>
      <c r="AE35" s="512" t="b">
        <v>1</v>
      </c>
      <c r="AF35" s="512" t="b">
        <v>1</v>
      </c>
      <c r="AG35" s="209" t="s">
        <v>673</v>
      </c>
      <c r="AH35" s="209" t="str">
        <f t="shared" si="4"/>
        <v>® Barge Evaluation</v>
      </c>
      <c r="AI35" s="209"/>
      <c r="AJ35" s="518" t="s">
        <v>363</v>
      </c>
      <c r="AK35" s="209" t="s">
        <v>673</v>
      </c>
      <c r="AL35" s="209" t="str">
        <f t="shared" si="2"/>
        <v>Barge Evaluation</v>
      </c>
      <c r="AM35" s="209" t="s">
        <v>284</v>
      </c>
      <c r="AN35" s="209" t="s">
        <v>284</v>
      </c>
    </row>
    <row r="36" spans="1:40" ht="15.75">
      <c r="A36" s="793"/>
      <c r="B36" s="794"/>
      <c r="C36" s="794"/>
      <c r="D36" s="794"/>
      <c r="E36" s="794"/>
      <c r="F36" s="794"/>
      <c r="G36" s="794"/>
      <c r="H36" s="794"/>
      <c r="I36" s="794"/>
      <c r="J36" s="794"/>
      <c r="K36" s="794"/>
      <c r="L36" s="749" t="s">
        <v>525</v>
      </c>
      <c r="M36" s="794"/>
      <c r="N36" s="794"/>
      <c r="O36" s="794"/>
      <c r="P36" s="794"/>
      <c r="Q36" s="794"/>
      <c r="R36" s="794"/>
      <c r="S36" s="794"/>
      <c r="T36" s="794"/>
      <c r="U36" s="794"/>
      <c r="V36" s="794"/>
      <c r="W36" s="794"/>
      <c r="X36" s="795"/>
      <c r="Z36" s="517" t="b">
        <v>1</v>
      </c>
      <c r="AA36" s="512" t="b">
        <v>0</v>
      </c>
      <c r="AB36" s="517" t="b">
        <v>0</v>
      </c>
      <c r="AC36" s="512" t="b">
        <v>0</v>
      </c>
      <c r="AD36" s="512" t="b">
        <v>0</v>
      </c>
      <c r="AE36" s="512" t="b">
        <v>0</v>
      </c>
      <c r="AF36" s="512" t="b">
        <v>0</v>
      </c>
      <c r="AG36" s="209" t="s">
        <v>1447</v>
      </c>
      <c r="AH36" s="209" t="str">
        <f t="shared" si="4"/>
        <v xml:space="preserve">  - SuperASTM</v>
      </c>
      <c r="AI36" s="209"/>
      <c r="AJ36" s="518" t="s">
        <v>363</v>
      </c>
      <c r="AK36" s="209" t="s">
        <v>1447</v>
      </c>
      <c r="AL36" s="209" t="str">
        <f t="shared" si="2"/>
        <v>Cover Page</v>
      </c>
      <c r="AM36" s="209" t="s">
        <v>284</v>
      </c>
      <c r="AN36" s="209" t="s">
        <v>284</v>
      </c>
    </row>
    <row r="37" spans="1:40">
      <c r="A37" s="796"/>
      <c r="B37" s="797"/>
      <c r="C37" s="797"/>
      <c r="D37" s="797"/>
      <c r="E37" s="797"/>
      <c r="F37" s="797"/>
      <c r="G37" s="797"/>
      <c r="H37" s="797"/>
      <c r="I37" s="797"/>
      <c r="J37" s="797"/>
      <c r="K37" s="797"/>
      <c r="L37" s="750" t="s">
        <v>732</v>
      </c>
      <c r="M37" s="797"/>
      <c r="N37" s="797"/>
      <c r="O37" s="797"/>
      <c r="P37" s="797"/>
      <c r="Q37" s="797"/>
      <c r="R37" s="797"/>
      <c r="S37" s="797"/>
      <c r="T37" s="797"/>
      <c r="U37" s="797"/>
      <c r="V37" s="797"/>
      <c r="W37" s="797"/>
      <c r="X37" s="798"/>
      <c r="Z37" s="517" t="b">
        <v>1</v>
      </c>
      <c r="AA37" s="512" t="b">
        <v>0</v>
      </c>
      <c r="AB37" s="517" t="b">
        <v>0</v>
      </c>
      <c r="AC37" s="512" t="b">
        <v>0</v>
      </c>
      <c r="AD37" s="512" t="b">
        <v>0</v>
      </c>
      <c r="AE37" s="512" t="b">
        <v>0</v>
      </c>
      <c r="AF37" s="512" t="b">
        <v>0</v>
      </c>
      <c r="AG37" s="209" t="s">
        <v>474</v>
      </c>
      <c r="AH37" s="209" t="str">
        <f t="shared" si="4"/>
        <v xml:space="preserve">  - Conversions Tool</v>
      </c>
      <c r="AI37" s="209"/>
      <c r="AJ37" s="518" t="s">
        <v>363</v>
      </c>
      <c r="AK37" s="209" t="s">
        <v>474</v>
      </c>
      <c r="AL37" s="209" t="str">
        <f t="shared" si="2"/>
        <v>Cover Page</v>
      </c>
      <c r="AM37" s="209" t="s">
        <v>284</v>
      </c>
      <c r="AN37" s="209" t="s">
        <v>284</v>
      </c>
    </row>
    <row r="38" spans="1:40" hidden="1">
      <c r="Z38" s="517" t="b">
        <v>1</v>
      </c>
      <c r="AA38" s="512" t="b">
        <v>0</v>
      </c>
      <c r="AB38" s="517" t="b">
        <v>0</v>
      </c>
      <c r="AC38" s="512" t="b">
        <v>0</v>
      </c>
      <c r="AD38" s="512" t="b">
        <v>0</v>
      </c>
      <c r="AE38" s="512" t="b">
        <v>0</v>
      </c>
      <c r="AF38" s="512" t="b">
        <v>0</v>
      </c>
      <c r="AG38" s="209" t="s">
        <v>1181</v>
      </c>
      <c r="AH38" s="209" t="str">
        <f t="shared" si="4"/>
        <v xml:space="preserve">  - Trim Correction Tool</v>
      </c>
      <c r="AI38" s="209"/>
      <c r="AJ38" s="518" t="s">
        <v>363</v>
      </c>
      <c r="AK38" s="209" t="s">
        <v>1256</v>
      </c>
      <c r="AL38" s="209" t="str">
        <f t="shared" si="2"/>
        <v>Cover Page</v>
      </c>
      <c r="AM38" s="209" t="s">
        <v>284</v>
      </c>
      <c r="AN38" s="209" t="s">
        <v>284</v>
      </c>
    </row>
    <row r="39" spans="1:40" hidden="1">
      <c r="Z39" s="517" t="b">
        <v>1</v>
      </c>
      <c r="AA39" s="512" t="b">
        <v>0</v>
      </c>
      <c r="AB39" s="517" t="b">
        <v>0</v>
      </c>
      <c r="AC39" s="512" t="b">
        <v>0</v>
      </c>
      <c r="AD39" s="512" t="b">
        <v>0</v>
      </c>
      <c r="AE39" s="512" t="b">
        <v>0</v>
      </c>
      <c r="AF39" s="512" t="b">
        <v>0</v>
      </c>
      <c r="AG39" s="209" t="s">
        <v>539</v>
      </c>
      <c r="AH39" s="209" t="str">
        <f t="shared" si="4"/>
        <v xml:space="preserve">  - Remarks Library</v>
      </c>
      <c r="AI39" s="209"/>
      <c r="AJ39" s="518" t="s">
        <v>363</v>
      </c>
      <c r="AK39" s="209" t="s">
        <v>539</v>
      </c>
      <c r="AL39" s="209" t="str">
        <f t="shared" si="2"/>
        <v>Cover Page</v>
      </c>
      <c r="AM39" s="209" t="s">
        <v>284</v>
      </c>
      <c r="AN39" s="209" t="s">
        <v>284</v>
      </c>
    </row>
    <row r="40" spans="1:40" hidden="1">
      <c r="Z40" s="517"/>
      <c r="AA40" s="512"/>
      <c r="AB40" s="517"/>
      <c r="AC40" s="512"/>
      <c r="AD40" s="512"/>
      <c r="AE40" s="512"/>
      <c r="AF40" s="512"/>
      <c r="AG40" s="209"/>
      <c r="AH40" s="209" t="str">
        <f t="shared" si="4"/>
        <v/>
      </c>
      <c r="AI40" s="209"/>
      <c r="AJ40" s="518" t="s">
        <v>363</v>
      </c>
      <c r="AK40" s="209"/>
      <c r="AL40" s="209" t="str">
        <f t="shared" si="2"/>
        <v>Cover Page</v>
      </c>
      <c r="AM40" s="209"/>
      <c r="AN40" s="209"/>
    </row>
    <row r="41" spans="1:40" ht="13.5" hidden="1" thickBot="1">
      <c r="Z41" s="519"/>
      <c r="AA41" s="520"/>
      <c r="AB41" s="519"/>
      <c r="AC41" s="520"/>
      <c r="AD41" s="520"/>
      <c r="AE41" s="520"/>
      <c r="AF41" s="520"/>
      <c r="AG41" s="521"/>
      <c r="AH41" s="521" t="str">
        <f t="shared" si="4"/>
        <v/>
      </c>
      <c r="AI41" s="521"/>
      <c r="AJ41" s="522" t="s">
        <v>363</v>
      </c>
      <c r="AK41" s="521"/>
      <c r="AL41" s="521" t="str">
        <f t="shared" si="2"/>
        <v>Cover Page</v>
      </c>
      <c r="AM41" s="521"/>
      <c r="AN41" s="521"/>
    </row>
    <row r="42" spans="1:40" hidden="1">
      <c r="Z42" s="513" t="b">
        <v>1</v>
      </c>
      <c r="AA42" s="514" t="b">
        <v>0</v>
      </c>
      <c r="AB42" s="513" t="b">
        <v>1</v>
      </c>
      <c r="AC42" s="514" t="b">
        <v>1</v>
      </c>
      <c r="AD42" s="514" t="b">
        <v>0</v>
      </c>
      <c r="AE42" s="514" t="b">
        <v>0</v>
      </c>
      <c r="AF42" s="512" t="b">
        <v>1</v>
      </c>
      <c r="AG42" s="209" t="s">
        <v>1186</v>
      </c>
      <c r="AH42" s="209" t="str">
        <f t="shared" si="4"/>
        <v>® Pre-Survey              (SS)</v>
      </c>
      <c r="AI42" s="209"/>
      <c r="AJ42" s="516" t="s">
        <v>752</v>
      </c>
      <c r="AK42" s="209" t="s">
        <v>1257</v>
      </c>
      <c r="AL42" s="209" t="str">
        <f t="shared" si="2"/>
        <v>Cover Page</v>
      </c>
      <c r="AM42" s="209" t="s">
        <v>270</v>
      </c>
      <c r="AN42" s="209" t="s">
        <v>284</v>
      </c>
    </row>
    <row r="43" spans="1:40" hidden="1">
      <c r="Z43" s="517" t="b">
        <v>1</v>
      </c>
      <c r="AA43" s="512" t="b">
        <v>0</v>
      </c>
      <c r="AB43" s="517" t="b">
        <v>1</v>
      </c>
      <c r="AC43" s="512" t="b">
        <v>1</v>
      </c>
      <c r="AD43" s="512" t="b">
        <v>0</v>
      </c>
      <c r="AE43" s="512" t="b">
        <v>1</v>
      </c>
      <c r="AF43" s="512" t="b">
        <v>1</v>
      </c>
      <c r="AG43" s="209" t="s">
        <v>1192</v>
      </c>
      <c r="AH43" s="209" t="str">
        <f t="shared" si="4"/>
        <v>® Vessel BQS Report  (SS)</v>
      </c>
      <c r="AI43" s="209"/>
      <c r="AJ43" s="518" t="s">
        <v>752</v>
      </c>
      <c r="AK43" s="209" t="s">
        <v>1258</v>
      </c>
      <c r="AL43" s="209" t="str">
        <f t="shared" si="2"/>
        <v>Cover Page</v>
      </c>
      <c r="AM43" s="209" t="s">
        <v>270</v>
      </c>
      <c r="AN43" s="209" t="s">
        <v>284</v>
      </c>
    </row>
    <row r="44" spans="1:40" hidden="1">
      <c r="Z44" s="517" t="b">
        <v>1</v>
      </c>
      <c r="AA44" s="512" t="b">
        <v>0</v>
      </c>
      <c r="AB44" s="517" t="b">
        <v>1</v>
      </c>
      <c r="AC44" s="512" t="b">
        <v>1</v>
      </c>
      <c r="AD44" s="512" t="b">
        <v>0</v>
      </c>
      <c r="AE44" s="512" t="b">
        <v>1</v>
      </c>
      <c r="AF44" s="512" t="b">
        <v>1</v>
      </c>
      <c r="AG44" s="209" t="s">
        <v>1187</v>
      </c>
      <c r="AH44" s="209" t="str">
        <f t="shared" si="4"/>
        <v>® Barge BQS Report   (SS)</v>
      </c>
      <c r="AI44" s="209"/>
      <c r="AJ44" s="518" t="s">
        <v>752</v>
      </c>
      <c r="AK44" s="209" t="s">
        <v>1259</v>
      </c>
      <c r="AL44" s="209" t="str">
        <f t="shared" si="2"/>
        <v>Cover Page</v>
      </c>
      <c r="AM44" s="209" t="s">
        <v>270</v>
      </c>
      <c r="AN44" s="209" t="s">
        <v>284</v>
      </c>
    </row>
    <row r="45" spans="1:40" hidden="1">
      <c r="Z45" s="517" t="b">
        <v>1</v>
      </c>
      <c r="AA45" s="512" t="b">
        <v>0</v>
      </c>
      <c r="AB45" s="517" t="b">
        <v>1</v>
      </c>
      <c r="AC45" s="512" t="b">
        <v>1</v>
      </c>
      <c r="AD45" s="512" t="b">
        <v>0</v>
      </c>
      <c r="AE45" s="512" t="b">
        <v>1</v>
      </c>
      <c r="AF45" s="512" t="b">
        <v>1</v>
      </c>
      <c r="AG45" s="209" t="s">
        <v>1188</v>
      </c>
      <c r="AH45" s="1021" t="str">
        <f t="shared" si="4"/>
        <v>® Sampling Report      (SS)</v>
      </c>
      <c r="AI45" s="1021"/>
      <c r="AJ45" s="518" t="s">
        <v>752</v>
      </c>
      <c r="AK45" s="209" t="s">
        <v>1260</v>
      </c>
      <c r="AL45" s="209" t="str">
        <f t="shared" si="2"/>
        <v>Cover Page</v>
      </c>
      <c r="AM45" s="209" t="s">
        <v>270</v>
      </c>
      <c r="AN45" s="209" t="s">
        <v>284</v>
      </c>
    </row>
    <row r="46" spans="1:40" hidden="1">
      <c r="Z46" s="517" t="b">
        <v>1</v>
      </c>
      <c r="AA46" s="512" t="b">
        <v>0</v>
      </c>
      <c r="AB46" s="517" t="b">
        <v>1</v>
      </c>
      <c r="AC46" s="512" t="b">
        <v>1</v>
      </c>
      <c r="AD46" s="512" t="b">
        <v>0</v>
      </c>
      <c r="AE46" s="512" t="b">
        <v>1</v>
      </c>
      <c r="AF46" s="512" t="b">
        <v>1</v>
      </c>
      <c r="AG46" s="209" t="s">
        <v>1191</v>
      </c>
      <c r="AH46" s="1021" t="str">
        <f t="shared" si="4"/>
        <v>® Barge Non-Cargo    (SS)</v>
      </c>
      <c r="AI46" s="1021"/>
      <c r="AJ46" s="518" t="s">
        <v>752</v>
      </c>
      <c r="AK46" s="209" t="s">
        <v>1261</v>
      </c>
      <c r="AL46" s="209" t="str">
        <f t="shared" si="2"/>
        <v>Cover Page</v>
      </c>
      <c r="AM46" s="209" t="s">
        <v>270</v>
      </c>
      <c r="AN46" s="209" t="s">
        <v>284</v>
      </c>
    </row>
    <row r="47" spans="1:40" hidden="1">
      <c r="Z47" s="517" t="b">
        <v>1</v>
      </c>
      <c r="AA47" s="512" t="b">
        <v>0</v>
      </c>
      <c r="AB47" s="517" t="b">
        <v>1</v>
      </c>
      <c r="AC47" s="512" t="b">
        <v>1</v>
      </c>
      <c r="AD47" s="512" t="b">
        <v>0</v>
      </c>
      <c r="AE47" s="512" t="b">
        <v>1</v>
      </c>
      <c r="AF47" s="512" t="b">
        <v>1</v>
      </c>
      <c r="AG47" s="209" t="s">
        <v>1189</v>
      </c>
      <c r="AH47" s="1021" t="str">
        <f t="shared" si="4"/>
        <v>® FlowMeter CL          (SS)</v>
      </c>
      <c r="AI47" s="1021"/>
      <c r="AJ47" s="518" t="s">
        <v>752</v>
      </c>
      <c r="AK47" s="209" t="s">
        <v>1262</v>
      </c>
      <c r="AL47" s="209" t="str">
        <f t="shared" si="2"/>
        <v>Cover Page</v>
      </c>
      <c r="AM47" s="209" t="s">
        <v>270</v>
      </c>
      <c r="AN47" s="209" t="s">
        <v>284</v>
      </c>
    </row>
    <row r="48" spans="1:40" hidden="1">
      <c r="Z48" s="517" t="b">
        <v>1</v>
      </c>
      <c r="AA48" s="512" t="b">
        <v>0</v>
      </c>
      <c r="AB48" s="517" t="b">
        <v>1</v>
      </c>
      <c r="AC48" s="512" t="b">
        <v>1</v>
      </c>
      <c r="AD48" s="512" t="b">
        <v>0</v>
      </c>
      <c r="AE48" s="512" t="b">
        <v>1</v>
      </c>
      <c r="AF48" s="512" t="b">
        <v>1</v>
      </c>
      <c r="AG48" s="209" t="s">
        <v>1190</v>
      </c>
      <c r="AH48" s="209" t="str">
        <f t="shared" si="4"/>
        <v>® FlowMeter               (SS)</v>
      </c>
      <c r="AI48" s="209"/>
      <c r="AJ48" s="518" t="s">
        <v>752</v>
      </c>
      <c r="AK48" s="209" t="s">
        <v>1263</v>
      </c>
      <c r="AL48" s="209" t="str">
        <f t="shared" si="2"/>
        <v>Cover Page</v>
      </c>
      <c r="AM48" s="209" t="s">
        <v>270</v>
      </c>
      <c r="AN48" s="209" t="s">
        <v>284</v>
      </c>
    </row>
    <row r="49" spans="26:40" hidden="1">
      <c r="Z49" s="517" t="b">
        <v>1</v>
      </c>
      <c r="AA49" s="512" t="b">
        <v>0</v>
      </c>
      <c r="AB49" s="517" t="b">
        <v>1</v>
      </c>
      <c r="AC49" s="512" t="b">
        <v>1</v>
      </c>
      <c r="AD49" s="512" t="b">
        <v>0</v>
      </c>
      <c r="AE49" s="512" t="b">
        <v>0</v>
      </c>
      <c r="AF49" s="512" t="b">
        <v>1</v>
      </c>
      <c r="AG49" s="209" t="s">
        <v>1314</v>
      </c>
      <c r="AH49" s="209" t="str">
        <f t="shared" si="4"/>
        <v>® Final Report            (SS)</v>
      </c>
      <c r="AI49" s="209"/>
      <c r="AJ49" s="518" t="s">
        <v>752</v>
      </c>
      <c r="AK49" s="209" t="s">
        <v>1315</v>
      </c>
      <c r="AL49" s="209" t="str">
        <f t="shared" si="2"/>
        <v>Cover Page</v>
      </c>
      <c r="AM49" s="209" t="s">
        <v>270</v>
      </c>
      <c r="AN49" s="209" t="s">
        <v>284</v>
      </c>
    </row>
    <row r="50" spans="26:40" hidden="1">
      <c r="Z50" s="517" t="b">
        <v>1</v>
      </c>
      <c r="AA50" s="512" t="b">
        <v>0</v>
      </c>
      <c r="AB50" s="517" t="b">
        <v>1</v>
      </c>
      <c r="AC50" s="512" t="b">
        <v>1</v>
      </c>
      <c r="AD50" s="512" t="b">
        <v>0</v>
      </c>
      <c r="AE50" s="512" t="b">
        <v>0</v>
      </c>
      <c r="AF50" s="512" t="b">
        <v>1</v>
      </c>
      <c r="AG50" s="209" t="s">
        <v>537</v>
      </c>
      <c r="AH50" s="209" t="str">
        <f t="shared" si="4"/>
        <v>® Gravitation Declaration</v>
      </c>
      <c r="AI50" s="209"/>
      <c r="AJ50" s="518" t="s">
        <v>752</v>
      </c>
      <c r="AK50" s="209" t="s">
        <v>537</v>
      </c>
      <c r="AL50" s="209" t="str">
        <f t="shared" si="2"/>
        <v>Gravitation Declaration</v>
      </c>
      <c r="AM50" s="209" t="s">
        <v>284</v>
      </c>
      <c r="AN50" s="209" t="s">
        <v>284</v>
      </c>
    </row>
    <row r="51" spans="26:40" hidden="1">
      <c r="Z51" s="517" t="b">
        <v>1</v>
      </c>
      <c r="AA51" s="512" t="b">
        <v>0</v>
      </c>
      <c r="AB51" s="517" t="b">
        <v>1</v>
      </c>
      <c r="AC51" s="512" t="b">
        <v>1</v>
      </c>
      <c r="AD51" s="512" t="b">
        <v>0</v>
      </c>
      <c r="AE51" s="512" t="b">
        <v>0</v>
      </c>
      <c r="AF51" s="512" t="b">
        <v>1</v>
      </c>
      <c r="AG51" s="209" t="s">
        <v>538</v>
      </c>
      <c r="AH51" s="209" t="str">
        <f t="shared" si="4"/>
        <v>® Valves Declaration</v>
      </c>
      <c r="AI51" s="209"/>
      <c r="AJ51" s="518" t="s">
        <v>752</v>
      </c>
      <c r="AK51" s="209" t="s">
        <v>538</v>
      </c>
      <c r="AL51" s="209" t="str">
        <f t="shared" si="2"/>
        <v>Valves Declaration</v>
      </c>
      <c r="AM51" s="209" t="s">
        <v>284</v>
      </c>
      <c r="AN51" s="209" t="s">
        <v>284</v>
      </c>
    </row>
    <row r="52" spans="26:40" ht="13.5" hidden="1" thickBot="1">
      <c r="Z52" s="519" t="b">
        <v>1</v>
      </c>
      <c r="AA52" s="520" t="b">
        <v>0</v>
      </c>
      <c r="AB52" s="519" t="b">
        <v>0</v>
      </c>
      <c r="AC52" s="520" t="b">
        <v>0</v>
      </c>
      <c r="AD52" s="520" t="b">
        <v>0</v>
      </c>
      <c r="AE52" s="520" t="b">
        <v>0</v>
      </c>
      <c r="AF52" s="520" t="b">
        <v>0</v>
      </c>
      <c r="AG52" s="521" t="s">
        <v>523</v>
      </c>
      <c r="AH52" s="521" t="str">
        <f t="shared" si="4"/>
        <v xml:space="preserve">  - Statement of Facts</v>
      </c>
      <c r="AI52" s="521"/>
      <c r="AJ52" s="522" t="s">
        <v>752</v>
      </c>
      <c r="AK52" s="521" t="s">
        <v>523</v>
      </c>
      <c r="AL52" s="521" t="str">
        <f t="shared" si="2"/>
        <v>Cover Page</v>
      </c>
      <c r="AM52" s="521" t="s">
        <v>284</v>
      </c>
      <c r="AN52" s="521" t="s">
        <v>284</v>
      </c>
    </row>
  </sheetData>
  <sheetProtection algorithmName="SHA-512" hashValue="vqi6wy9Q4c0t54qgq6lCEoIuJvCwJJ4Kh8rpReIAkl6PIzlDZIywjAjQFrFXeKDxbktyRx4wMJUAqu4sOpuNFg==" saltValue="AyXWHrkh/t8bmQssw6XFcg==" spinCount="100000" sheet="1" objects="1" scenarios="1" autoFilter="0"/>
  <mergeCells count="12">
    <mergeCell ref="I4:P4"/>
    <mergeCell ref="A13:X13"/>
    <mergeCell ref="J21:O21"/>
    <mergeCell ref="B21:G21"/>
    <mergeCell ref="R21:W21"/>
    <mergeCell ref="B5:F5"/>
    <mergeCell ref="S5:W5"/>
    <mergeCell ref="I8:P8"/>
    <mergeCell ref="B15:G15"/>
    <mergeCell ref="K15:M15"/>
    <mergeCell ref="R15:W15"/>
    <mergeCell ref="S19:V19"/>
  </mergeCells>
  <conditionalFormatting sqref="B15:G15">
    <cfRule type="expression" dxfId="175" priority="39">
      <formula>B$15=""</formula>
    </cfRule>
  </conditionalFormatting>
  <conditionalFormatting sqref="R15:W15">
    <cfRule type="expression" dxfId="174" priority="37">
      <formula>R$15=""</formula>
    </cfRule>
  </conditionalFormatting>
  <conditionalFormatting sqref="S19:V19">
    <cfRule type="expression" dxfId="173" priority="36">
      <formula>S19=""</formula>
    </cfRule>
  </conditionalFormatting>
  <conditionalFormatting sqref="N15">
    <cfRule type="expression" dxfId="172" priority="191">
      <formula>SUM($AI$5:$AI$11)&gt;0</formula>
    </cfRule>
  </conditionalFormatting>
  <conditionalFormatting sqref="A4:X12 A14:X17 A18:R18 W18:X18 A19:X34">
    <cfRule type="expression" dxfId="171" priority="2">
      <formula>MYCOLOR=1</formula>
    </cfRule>
  </conditionalFormatting>
  <conditionalFormatting sqref="S18:V18">
    <cfRule type="expression" dxfId="170" priority="8">
      <formula>MYCOLOR=1</formula>
    </cfRule>
    <cfRule type="expression" dxfId="169" priority="9">
      <formula>MYCOLOR=2</formula>
    </cfRule>
    <cfRule type="expression" dxfId="168" priority="10">
      <formula>MYCOLOR=3</formula>
    </cfRule>
    <cfRule type="expression" dxfId="167" priority="11">
      <formula>MYCOLOR=4</formula>
    </cfRule>
    <cfRule type="expression" dxfId="166" priority="12">
      <formula>MYCOLOR=5</formula>
    </cfRule>
    <cfRule type="expression" dxfId="165" priority="13">
      <formula>MYCOLOR=6</formula>
    </cfRule>
    <cfRule type="expression" dxfId="164" priority="14">
      <formula>MYCOLOR=7</formula>
    </cfRule>
    <cfRule type="expression" dxfId="163" priority="15">
      <formula>MYCOLOR=8</formula>
    </cfRule>
    <cfRule type="expression" dxfId="162" priority="16">
      <formula>MYCOLOR=9</formula>
    </cfRule>
    <cfRule type="expression" dxfId="161" priority="17">
      <formula>MYCOLOR=10</formula>
    </cfRule>
    <cfRule type="expression" dxfId="160" priority="18">
      <formula>MYCOLOR=11</formula>
    </cfRule>
    <cfRule type="expression" dxfId="159" priority="19">
      <formula>MYCOLOR=12</formula>
    </cfRule>
    <cfRule type="expression" dxfId="158" priority="20">
      <formula>MYCOLOR=13</formula>
    </cfRule>
    <cfRule type="expression" dxfId="157" priority="21">
      <formula>MYCOLOR=14</formula>
    </cfRule>
  </conditionalFormatting>
  <conditionalFormatting sqref="A4:X12 A14:X34">
    <cfRule type="expression" dxfId="156" priority="3">
      <formula>MYCOLOR=2</formula>
    </cfRule>
    <cfRule type="expression" dxfId="155" priority="4">
      <formula>MYCOLOR=3</formula>
    </cfRule>
    <cfRule type="expression" dxfId="154" priority="5">
      <formula>MYCOLOR=4</formula>
    </cfRule>
    <cfRule type="expression" dxfId="153" priority="6">
      <formula>MYCOLOR=5</formula>
    </cfRule>
    <cfRule type="expression" dxfId="152" priority="7">
      <formula>MYCOLOR=6</formula>
    </cfRule>
    <cfRule type="expression" dxfId="151" priority="22">
      <formula>MYCOLOR=7</formula>
    </cfRule>
    <cfRule type="expression" dxfId="150" priority="23">
      <formula>MYCOLOR=8</formula>
    </cfRule>
    <cfRule type="expression" dxfId="149" priority="24">
      <formula>MYCOLOR=9</formula>
    </cfRule>
    <cfRule type="expression" dxfId="148" priority="25">
      <formula>MYCOLOR=10</formula>
    </cfRule>
    <cfRule type="expression" dxfId="147" priority="26">
      <formula>MYCOLOR=11</formula>
    </cfRule>
    <cfRule type="expression" dxfId="146" priority="27">
      <formula>MYCOLOR=12</formula>
    </cfRule>
    <cfRule type="expression" dxfId="145" priority="28">
      <formula>MYCOLOR=13</formula>
    </cfRule>
    <cfRule type="expression" dxfId="144" priority="29">
      <formula>MYCOLOR=14</formula>
    </cfRule>
    <cfRule type="expression" dxfId="143" priority="30">
      <formula>MYCOLOR=15</formula>
    </cfRule>
    <cfRule type="expression" dxfId="142" priority="31">
      <formula>MYCOLOR=16</formula>
    </cfRule>
    <cfRule type="expression" dxfId="141" priority="32">
      <formula>MYCOLOR=17</formula>
    </cfRule>
    <cfRule type="expression" dxfId="140" priority="33">
      <formula>MYCOLOR=18</formula>
    </cfRule>
    <cfRule type="expression" dxfId="139" priority="34">
      <formula>MYCOLOR=19</formula>
    </cfRule>
    <cfRule type="expression" dxfId="138" priority="35">
      <formula>MYCOLOR=20</formula>
    </cfRule>
  </conditionalFormatting>
  <conditionalFormatting sqref="N15 S19">
    <cfRule type="expression" dxfId="137" priority="1">
      <formula>OR(MYCOLOR=16,MYCOLOR=17)</formula>
    </cfRule>
  </conditionalFormatting>
  <printOptions horizontalCentered="1"/>
  <pageMargins left="0.3" right="0.3" top="0.2" bottom="0.3" header="0.11811023622047245" footer="0.1"/>
  <pageSetup paperSize="9" orientation="landscape" r:id="rId1"/>
  <headerFooter>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List Box 1">
              <controlPr defaultSize="0" autoLine="0" autoPict="0" macro="[0]!ADMINLIST">
                <anchor moveWithCells="1">
                  <from>
                    <xdr:col>1</xdr:col>
                    <xdr:colOff>209550</xdr:colOff>
                    <xdr:row>7</xdr:row>
                    <xdr:rowOff>0</xdr:rowOff>
                  </from>
                  <to>
                    <xdr:col>5</xdr:col>
                    <xdr:colOff>123825</xdr:colOff>
                    <xdr:row>9</xdr:row>
                    <xdr:rowOff>57150</xdr:rowOff>
                  </to>
                </anchor>
              </controlPr>
            </control>
          </mc:Choice>
        </mc:AlternateContent>
        <mc:AlternateContent xmlns:mc="http://schemas.openxmlformats.org/markup-compatibility/2006">
          <mc:Choice Requires="x14">
            <control shapeId="165892" r:id="rId5" name="List Box 4">
              <controlPr defaultSize="0" autoLine="0" autoPict="0" macro="[0]!SELECTTYPE">
                <anchor moveWithCells="1">
                  <from>
                    <xdr:col>8</xdr:col>
                    <xdr:colOff>247650</xdr:colOff>
                    <xdr:row>4</xdr:row>
                    <xdr:rowOff>28575</xdr:rowOff>
                  </from>
                  <to>
                    <xdr:col>15</xdr:col>
                    <xdr:colOff>85725</xdr:colOff>
                    <xdr:row>6</xdr:row>
                    <xdr:rowOff>57150</xdr:rowOff>
                  </to>
                </anchor>
              </controlPr>
            </control>
          </mc:Choice>
        </mc:AlternateContent>
        <mc:AlternateContent xmlns:mc="http://schemas.openxmlformats.org/markup-compatibility/2006">
          <mc:Choice Requires="x14">
            <control shapeId="165893" r:id="rId6" name="ListBoxINT">
              <controlPr defaultSize="0" autoLine="0" autoPict="0" macro="[0]!BQSLIST">
                <anchor moveWithCells="1">
                  <from>
                    <xdr:col>1</xdr:col>
                    <xdr:colOff>171450</xdr:colOff>
                    <xdr:row>21</xdr:row>
                    <xdr:rowOff>28575</xdr:rowOff>
                  </from>
                  <to>
                    <xdr:col>6</xdr:col>
                    <xdr:colOff>152400</xdr:colOff>
                    <xdr:row>29</xdr:row>
                    <xdr:rowOff>142875</xdr:rowOff>
                  </to>
                </anchor>
              </controlPr>
            </control>
          </mc:Choice>
        </mc:AlternateContent>
        <mc:AlternateContent xmlns:mc="http://schemas.openxmlformats.org/markup-compatibility/2006">
          <mc:Choice Requires="x14">
            <control shapeId="165894" r:id="rId7" name="List Box 6">
              <controlPr defaultSize="0" autoLine="0" autoPict="0" macro="[0]!ROBLIST">
                <anchor moveWithCells="1">
                  <from>
                    <xdr:col>9</xdr:col>
                    <xdr:colOff>200025</xdr:colOff>
                    <xdr:row>21</xdr:row>
                    <xdr:rowOff>28575</xdr:rowOff>
                  </from>
                  <to>
                    <xdr:col>14</xdr:col>
                    <xdr:colOff>114300</xdr:colOff>
                    <xdr:row>29</xdr:row>
                    <xdr:rowOff>142875</xdr:rowOff>
                  </to>
                </anchor>
              </controlPr>
            </control>
          </mc:Choice>
        </mc:AlternateContent>
        <mc:AlternateContent xmlns:mc="http://schemas.openxmlformats.org/markup-compatibility/2006">
          <mc:Choice Requires="x14">
            <control shapeId="165895" r:id="rId8" name="List Box 7">
              <controlPr defaultSize="0" autoLine="0" autoPict="0" macro="[0]!OTHERLIST">
                <anchor moveWithCells="1">
                  <from>
                    <xdr:col>17</xdr:col>
                    <xdr:colOff>190500</xdr:colOff>
                    <xdr:row>21</xdr:row>
                    <xdr:rowOff>28575</xdr:rowOff>
                  </from>
                  <to>
                    <xdr:col>22</xdr:col>
                    <xdr:colOff>171450</xdr:colOff>
                    <xdr:row>29</xdr:row>
                    <xdr:rowOff>142875</xdr:rowOff>
                  </to>
                </anchor>
              </controlPr>
            </control>
          </mc:Choice>
        </mc:AlternateContent>
        <mc:AlternateContent xmlns:mc="http://schemas.openxmlformats.org/markup-compatibility/2006">
          <mc:Choice Requires="x14">
            <control shapeId="165899" r:id="rId9" name="List Box 11">
              <controlPr defaultSize="0" autoLine="0" autoPict="0" macro="[0]!INPUTLIST">
                <anchor moveWithCells="1">
                  <from>
                    <xdr:col>9</xdr:col>
                    <xdr:colOff>209550</xdr:colOff>
                    <xdr:row>15</xdr:row>
                    <xdr:rowOff>28575</xdr:rowOff>
                  </from>
                  <to>
                    <xdr:col>13</xdr:col>
                    <xdr:colOff>209550</xdr:colOff>
                    <xdr:row>19</xdr:row>
                    <xdr:rowOff>9525</xdr:rowOff>
                  </to>
                </anchor>
              </controlPr>
            </control>
          </mc:Choice>
        </mc:AlternateContent>
        <mc:AlternateContent xmlns:mc="http://schemas.openxmlformats.org/markup-compatibility/2006">
          <mc:Choice Requires="x14">
            <control shapeId="165901" r:id="rId10" name="DELLIST">
              <controlPr defaultSize="0" autoLine="0" autoPict="0" macro="[0]!INSTRDAMAGE2">
                <anchor moveWithCells="1">
                  <from>
                    <xdr:col>8</xdr:col>
                    <xdr:colOff>247650</xdr:colOff>
                    <xdr:row>8</xdr:row>
                    <xdr:rowOff>28575</xdr:rowOff>
                  </from>
                  <to>
                    <xdr:col>15</xdr:col>
                    <xdr:colOff>85725</xdr:colOff>
                    <xdr:row>10</xdr:row>
                    <xdr:rowOff>114300</xdr:rowOff>
                  </to>
                </anchor>
              </controlPr>
            </control>
          </mc:Choice>
        </mc:AlternateContent>
        <mc:AlternateContent xmlns:mc="http://schemas.openxmlformats.org/markup-compatibility/2006">
          <mc:Choice Requires="x14">
            <control shapeId="165903" r:id="rId11" name="ListBoxSPORE">
              <controlPr defaultSize="0" autoLine="0" autoPict="0" macro="[0]!SPORELIST">
                <anchor moveWithCells="1">
                  <from>
                    <xdr:col>1</xdr:col>
                    <xdr:colOff>171450</xdr:colOff>
                    <xdr:row>21</xdr:row>
                    <xdr:rowOff>28575</xdr:rowOff>
                  </from>
                  <to>
                    <xdr:col>6</xdr:col>
                    <xdr:colOff>152400</xdr:colOff>
                    <xdr:row>29</xdr:row>
                    <xdr:rowOff>142875</xdr:rowOff>
                  </to>
                </anchor>
              </controlPr>
            </control>
          </mc:Choice>
        </mc:AlternateContent>
        <mc:AlternateContent xmlns:mc="http://schemas.openxmlformats.org/markup-compatibility/2006">
          <mc:Choice Requires="x14">
            <control shapeId="165905" r:id="rId12" name="CheckBox600">
              <controlPr defaultSize="0" autoFill="0" autoLine="0" autoPict="0" macro="[0]!SPORE600">
                <anchor moveWithCells="1">
                  <from>
                    <xdr:col>17</xdr:col>
                    <xdr:colOff>276225</xdr:colOff>
                    <xdr:row>7</xdr:row>
                    <xdr:rowOff>9525</xdr:rowOff>
                  </from>
                  <to>
                    <xdr:col>23</xdr:col>
                    <xdr:colOff>85725</xdr:colOff>
                    <xdr:row>8</xdr:row>
                    <xdr:rowOff>66675</xdr:rowOff>
                  </to>
                </anchor>
              </controlPr>
            </control>
          </mc:Choice>
        </mc:AlternateContent>
        <mc:AlternateContent xmlns:mc="http://schemas.openxmlformats.org/markup-compatibility/2006">
          <mc:Choice Requires="x14">
            <control shapeId="165910" r:id="rId13" name="List Box 22">
              <controlPr defaultSize="0" autoLine="0" autoPict="0" macro="[0]!INPUTLIST">
                <anchor moveWithCells="1">
                  <from>
                    <xdr:col>13</xdr:col>
                    <xdr:colOff>47625</xdr:colOff>
                    <xdr:row>15</xdr:row>
                    <xdr:rowOff>28575</xdr:rowOff>
                  </from>
                  <to>
                    <xdr:col>14</xdr:col>
                    <xdr:colOff>114300</xdr:colOff>
                    <xdr:row>19</xdr:row>
                    <xdr:rowOff>9525</xdr:rowOff>
                  </to>
                </anchor>
              </controlPr>
            </control>
          </mc:Choice>
        </mc:AlternateContent>
        <mc:AlternateContent xmlns:mc="http://schemas.openxmlformats.org/markup-compatibility/2006">
          <mc:Choice Requires="x14">
            <control shapeId="165912" r:id="rId14" name="DropDownBARGEC">
              <controlPr defaultSize="0" autoLine="0" autoPict="0" macro="[0]!BARGEBEHAVE">
                <anchor moveWithCells="1">
                  <from>
                    <xdr:col>17</xdr:col>
                    <xdr:colOff>180975</xdr:colOff>
                    <xdr:row>15</xdr:row>
                    <xdr:rowOff>47625</xdr:rowOff>
                  </from>
                  <to>
                    <xdr:col>22</xdr:col>
                    <xdr:colOff>171450</xdr:colOff>
                    <xdr:row>16</xdr:row>
                    <xdr:rowOff>95250</xdr:rowOff>
                  </to>
                </anchor>
              </controlPr>
            </control>
          </mc:Choice>
        </mc:AlternateContent>
        <mc:AlternateContent xmlns:mc="http://schemas.openxmlformats.org/markup-compatibility/2006">
          <mc:Choice Requires="x14">
            <control shapeId="165913" r:id="rId15" name="DropDownBARGEN">
              <controlPr defaultSize="0" autoLine="0" autoPict="0" macro="[0]!BARGELIST">
                <anchor moveWithCells="1">
                  <from>
                    <xdr:col>1</xdr:col>
                    <xdr:colOff>180975</xdr:colOff>
                    <xdr:row>15</xdr:row>
                    <xdr:rowOff>47625</xdr:rowOff>
                  </from>
                  <to>
                    <xdr:col>6</xdr:col>
                    <xdr:colOff>171450</xdr:colOff>
                    <xdr:row>16</xdr:row>
                    <xdr:rowOff>95250</xdr:rowOff>
                  </to>
                </anchor>
              </controlPr>
            </control>
          </mc:Choice>
        </mc:AlternateContent>
        <mc:AlternateContent xmlns:mc="http://schemas.openxmlformats.org/markup-compatibility/2006">
          <mc:Choice Requires="x14">
            <control shapeId="165914" r:id="rId16" name="Drop Down 26">
              <controlPr defaultSize="0" autoLine="0" autoPict="0" macro="[0]!BEEPER">
                <anchor moveWithCells="1">
                  <from>
                    <xdr:col>1</xdr:col>
                    <xdr:colOff>0</xdr:colOff>
                    <xdr:row>5</xdr:row>
                    <xdr:rowOff>28575</xdr:rowOff>
                  </from>
                  <to>
                    <xdr:col>6</xdr:col>
                    <xdr:colOff>0</xdr:colOff>
                    <xdr:row>6</xdr:row>
                    <xdr:rowOff>47625</xdr:rowOff>
                  </to>
                </anchor>
              </controlPr>
            </control>
          </mc:Choice>
        </mc:AlternateContent>
        <mc:AlternateContent xmlns:mc="http://schemas.openxmlformats.org/markup-compatibility/2006">
          <mc:Choice Requires="x14">
            <control shapeId="165915" r:id="rId17" name="Drop Down 27">
              <controlPr defaultSize="0" autoLine="0" autoPict="0" macro="[0]!LISTOFFICE">
                <anchor moveWithCells="1">
                  <from>
                    <xdr:col>17</xdr:col>
                    <xdr:colOff>333375</xdr:colOff>
                    <xdr:row>5</xdr:row>
                    <xdr:rowOff>28575</xdr:rowOff>
                  </from>
                  <to>
                    <xdr:col>22</xdr:col>
                    <xdr:colOff>333375</xdr:colOff>
                    <xdr:row>6</xdr:row>
                    <xdr:rowOff>47625</xdr:rowOff>
                  </to>
                </anchor>
              </controlPr>
            </control>
          </mc:Choice>
        </mc:AlternateContent>
        <mc:AlternateContent xmlns:mc="http://schemas.openxmlformats.org/markup-compatibility/2006">
          <mc:Choice Requires="x14">
            <control shapeId="165918" r:id="rId18" name="CheckBoxSAC">
              <controlPr defaultSize="0" autoFill="0" autoLine="0" autoPict="0" macro="[0]!BottomLogo" altText="SAC">
                <anchor moveWithCells="1">
                  <from>
                    <xdr:col>17</xdr:col>
                    <xdr:colOff>276225</xdr:colOff>
                    <xdr:row>7</xdr:row>
                    <xdr:rowOff>180975</xdr:rowOff>
                  </from>
                  <to>
                    <xdr:col>23</xdr:col>
                    <xdr:colOff>85725</xdr:colOff>
                    <xdr:row>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10" filterMode="1">
    <tabColor rgb="FFFF0000"/>
    <pageSetUpPr fitToPage="1"/>
  </sheetPr>
  <dimension ref="A1:BB133"/>
  <sheetViews>
    <sheetView showGridLines="0" showRowColHeaders="0" topLeftCell="C8" zoomScaleNormal="100" zoomScaleSheetLayoutView="100" workbookViewId="0">
      <pane ySplit="9" topLeftCell="A51" activePane="bottomLeft" state="frozen"/>
      <selection activeCell="A13" sqref="A13:X13"/>
      <selection pane="bottomLeft" activeCell="J113" sqref="J113"/>
    </sheetView>
  </sheetViews>
  <sheetFormatPr defaultColWidth="0" defaultRowHeight="15" zeroHeight="1"/>
  <cols>
    <col min="1" max="1" width="4.125" style="1461" hidden="1" customWidth="1"/>
    <col min="2" max="2" width="4.375" style="1461" hidden="1" customWidth="1"/>
    <col min="3" max="3" width="4.125" style="1461" customWidth="1"/>
    <col min="4" max="4" width="6.25" style="1461" customWidth="1"/>
    <col min="5" max="5" width="15.25" style="1461" customWidth="1"/>
    <col min="6" max="6" width="13.625" style="1461" customWidth="1"/>
    <col min="7" max="7" width="13.75" style="1461" customWidth="1"/>
    <col min="8" max="8" width="1.5" style="1461" customWidth="1"/>
    <col min="9" max="14" width="7.5" style="1461" customWidth="1"/>
    <col min="15" max="16" width="3.25" style="1461" customWidth="1"/>
    <col min="17" max="17" width="4.125" style="1461" customWidth="1"/>
    <col min="18" max="18" width="0.375" style="1461" customWidth="1"/>
    <col min="19" max="16384" width="8.625" style="1461" hidden="1"/>
  </cols>
  <sheetData>
    <row r="1" spans="1:28">
      <c r="Y1" s="1462" t="s">
        <v>970</v>
      </c>
      <c r="AA1" s="1462" t="s">
        <v>1111</v>
      </c>
      <c r="AB1" s="1462" t="s">
        <v>1112</v>
      </c>
    </row>
    <row r="2" spans="1:28">
      <c r="Y2" s="1462" t="str">
        <f>IF(OR(CLIENT=0,A20&lt;&gt;"Y"),"",CLIENT)</f>
        <v/>
      </c>
      <c r="AA2" s="1462" t="s">
        <v>1108</v>
      </c>
      <c r="AB2" s="1462" t="str">
        <f>""</f>
        <v/>
      </c>
    </row>
    <row r="3" spans="1:28" ht="18.75">
      <c r="B3" s="1463">
        <v>14</v>
      </c>
      <c r="Y3" s="1462" t="str">
        <f>IF(OR(BUYER=0,A115&lt;&gt;"Y"),"",BUYER)</f>
        <v/>
      </c>
      <c r="AA3" s="1462" t="s">
        <v>1117</v>
      </c>
      <c r="AB3" s="1462" t="str">
        <f>""</f>
        <v/>
      </c>
    </row>
    <row r="4" spans="1:28" ht="18.75">
      <c r="B4" s="1463">
        <v>14</v>
      </c>
      <c r="Q4" s="1457" t="str">
        <f>COMPANY1</f>
        <v>Petro Inspect International</v>
      </c>
      <c r="Y4" s="1462" t="str">
        <f>IF(OR(OWNER=0,A117&lt;&gt;"Y"),"",OWNER)</f>
        <v>LEADER SHIPPING</v>
      </c>
      <c r="AA4" s="1462" t="s">
        <v>1115</v>
      </c>
      <c r="AB4" s="1462" t="s">
        <v>1114</v>
      </c>
    </row>
    <row r="5" spans="1:28">
      <c r="Q5" s="1458" t="str">
        <f>COMPANY2</f>
        <v>ops@petro-inspect.com</v>
      </c>
      <c r="Y5" s="1462" t="str">
        <f>IF(OR(DISPOWNER=0,A119&lt;&gt;"Y"),"",DISPOWNER)</f>
        <v/>
      </c>
      <c r="AA5" s="1462" t="s">
        <v>1116</v>
      </c>
      <c r="AB5" s="1462" t="s">
        <v>1113</v>
      </c>
    </row>
    <row r="6" spans="1:28">
      <c r="Q6" s="1458" t="str">
        <f>COMPANY3</f>
        <v/>
      </c>
      <c r="Y6" s="1462" t="str">
        <f>IF(OR(OPERATOR=0,A121&lt;&gt;"Y"),"",OPERATOR)</f>
        <v>EASTERN MEDTIRRANEAN MTME-LIE</v>
      </c>
    </row>
    <row r="7" spans="1:28">
      <c r="Q7" s="1458" t="str">
        <f>COMPANY4</f>
        <v/>
      </c>
      <c r="Y7" s="1462" t="str">
        <f>IF(OR(MANAGER=0,A123&lt;&gt;"Y"),"",MANAGER)</f>
        <v>EASTERN MEDTIRRANEAN MTME-LIE</v>
      </c>
    </row>
    <row r="8" spans="1:28" ht="2.25" customHeight="1" thickBot="1">
      <c r="A8" s="1464"/>
      <c r="B8" s="1464">
        <v>2</v>
      </c>
      <c r="C8" s="1464"/>
      <c r="D8" s="1464"/>
      <c r="E8" s="1464"/>
      <c r="F8" s="1464"/>
      <c r="G8" s="1464"/>
      <c r="H8" s="1464"/>
      <c r="I8" s="1464"/>
      <c r="J8" s="1464"/>
      <c r="K8" s="1464"/>
      <c r="L8" s="1464"/>
      <c r="M8" s="1464"/>
      <c r="N8" s="1464"/>
      <c r="O8" s="1464"/>
      <c r="P8" s="1464"/>
      <c r="Q8" s="1464"/>
      <c r="Y8" s="1462" t="str">
        <f>IF(OR(CHARTERER=0,A125&lt;&gt;"Y"),"",CHARTERER)</f>
        <v/>
      </c>
    </row>
    <row r="9" spans="1:28" s="1465" customFormat="1" ht="5.25">
      <c r="B9" s="1465">
        <v>2</v>
      </c>
      <c r="S9" s="1466">
        <f>ERRCOVERDIS_DENS+ERRCOVERRES_DENS+ERRCOVERDIS_VIS+ERRCOVERRES_VIS+ERRCOVERDIS_WTR+ERRCOVERRES_WTR+ERRCOVERDIS_SUL+ERRCOVERRES_SUL+ERRCOVER_ENTRIES</f>
        <v>5</v>
      </c>
      <c r="T9" s="1466">
        <f>SUMPRODUCT(($I$104:$N$104&gt;0)*($I$106:$N$106&lt;&gt;"")*(ISERROR(MATCH($I$88:$N$88,DISTILLATES,0))=FALSE)*($AW$106:$BB$106&gt;HIDIS_DEN))+IF(SURVEYMODE=3,0,SUMPRODUCT(($I$104:$N$104&gt;0)*($I$110:$N$110&lt;&gt;"")*(ISERROR(MATCH($I$88:$N$88,DISTILLATES,0))=FALSE)*($AW$109:$BB$109&gt;HIDIS_DEN)))</f>
        <v>0</v>
      </c>
      <c r="U9" s="1466">
        <f>SUMPRODUCT(($I$104:$N$104&gt;0)*($I$107:$N$107&lt;&gt;"")*(ISERROR(MATCH($I$88:$N$88,DISTILLATES,0))=FALSE)*($I$107:$N$107&gt;HIDIS_VIS))+IF(SURVEYMODE=3,0,SUMPRODUCT(($I$104:$N$104&gt;0)*($I$111:$N$111&lt;&gt;"")*(ISERROR(MATCH($I$88:$N$88,DISTILLATES,0))=FALSE)*($I$111:$N$111&gt;HIDIS_VIS)))</f>
        <v>0</v>
      </c>
      <c r="V9" s="1466">
        <f>SUMPRODUCT(($I$104:$N$104&gt;0)*($I$108:$N$108&lt;&gt;"")*(ISERROR(MATCH($I$88:$N$88,DISTILLATES,0))=FALSE)*($I$108:$N$108&gt;HIDIS_WTR))+IF(SURVEYMODE=3,0,SUMPRODUCT(($I$104:$N$104&gt;0)*($I$112:$N$112&lt;&gt;"")*(ISERROR(MATCH($I$88:$N$88,DISTILLATES,0))=FALSE)*($I$112:$N$112&gt;HIDIS_WTR)))</f>
        <v>0</v>
      </c>
      <c r="W9" s="1466">
        <f>SUMPRODUCT(($I$104:$N$104&gt;0)*($I$109:$N$109&lt;&gt;"")*(ISERROR(MATCH($I$88:$N$88,DISTILLATES,0))=FALSE)*($I$109:$N$109&gt;HIDIS_SUL))+IF(SURVEYMODE=3,0,SUMPRODUCT(($I$104:$N$104&gt;0)*($I$113:$N$113&lt;&gt;"")*(ISERROR(MATCH($I$88:$N$88,DISTILLATES,0))=FALSE)*($I$113:$N$113&gt;HIDIS_SUL)))</f>
        <v>0</v>
      </c>
      <c r="X9" s="1466" t="s">
        <v>959</v>
      </c>
      <c r="Y9" s="1466" t="str">
        <f>IF(OR(SUPPLIER=0,A55&lt;&gt;"Y"),"",SUPPLIER)</f>
        <v>ENERGY</v>
      </c>
    </row>
    <row r="10" spans="1:28" s="1465" customFormat="1" ht="5.25">
      <c r="B10" s="1465">
        <v>2</v>
      </c>
      <c r="S10" s="1466"/>
      <c r="T10" s="1466">
        <f>SUMPRODUCT(($I$104:$N$104&gt;0)*($I$106:$N$106&lt;&gt;"")*(ISERROR(MATCH($I$88:$N$88,RESIDUALS,0))=FALSE)*($AW$106:$BB$106&gt;HIRES_DEN))+IF(SURVEYMODE=3,0,SUMPRODUCT(($I$104:$N$104&gt;0)*($I$110:$N$110&lt;&gt;"")*(ISERROR(MATCH($I$88:$N$88,RESIDUALS,0))=FALSE)*($AW$109:$BB$109&gt;HIRES_DEN)))</f>
        <v>0</v>
      </c>
      <c r="U10" s="1466">
        <f>SUMPRODUCT(($I$104:$N$104&gt;0)*($I$107:$N$107&lt;&gt;"")*(ISERROR(MATCH($I$88:$N$88,RESIDUALS,0))=FALSE)*($I$107:$N$107&gt;HIRES_VIS))+IF(SURVEYMODE=3,0,SUMPRODUCT(($I$104:$N$104&gt;0)*($I$111:$N$111&lt;&gt;"")*(ISERROR(MATCH($I$88:$N$88,RESIDUALS,0))=FALSE)*($I$111:$N$111&gt;HIRES_VIS)))</f>
        <v>0</v>
      </c>
      <c r="V10" s="1466">
        <f>SUMPRODUCT(($I$104:$N$104&gt;0)*($I$108:$N$108&lt;&gt;"")*(ISERROR(MATCH($I$88:$N$88,RESIDUALS,0))=FALSE)*($I$108:$N$108&gt;HIRES_WTR))+IF(SURVEYMODE=3,0,SUMPRODUCT(($I$104:$N$104&gt;0)*($I$112:$N$112&lt;&gt;"")*(ISERROR(MATCH($I$88:$N$88,RESIDUALS,0))=FALSE)*($I$112:$N$112&gt;HIRES_WTR)))</f>
        <v>0</v>
      </c>
      <c r="W10" s="1466">
        <f>SUMPRODUCT(($I$104:$N$104&gt;0)*($I$109:$N$109&lt;&gt;"")*(ISERROR(MATCH($I$88:$N$88,RESIDUALS,0))=FALSE)*($I$109:$N$109&gt;HIRES_SUL))+IF(SURVEYMODE=3,0,SUMPRODUCT(($I$104:$N$104&gt;0)*($I$113:$N$113&lt;&gt;"")*(ISERROR(MATCH($I$88:$N$88,RESIDUALS,0))=FALSE)*($I$113:$N$113&gt;HIRES_SUL)))</f>
        <v>0</v>
      </c>
      <c r="X10" s="1466" t="s">
        <v>960</v>
      </c>
    </row>
    <row r="11" spans="1:28" s="1465" customFormat="1" ht="5.25">
      <c r="B11" s="1465">
        <v>2</v>
      </c>
    </row>
    <row r="12" spans="1:28" ht="19.5">
      <c r="H12" s="1459" t="str">
        <f>INDEX(MAIN!AW2:AW4,MAIN!AV1,1)</f>
        <v>BUNKER QUANTITY SURVEY (BQS) &amp; BUNKER ROB SURVEY (ROB)</v>
      </c>
      <c r="T12" s="1461" t="s">
        <v>1503</v>
      </c>
      <c r="U12" s="1461" t="s">
        <v>1504</v>
      </c>
      <c r="V12" s="1461" t="s">
        <v>1505</v>
      </c>
      <c r="W12" s="1461" t="s">
        <v>1506</v>
      </c>
    </row>
    <row r="13" spans="1:28" s="1465" customFormat="1" ht="5.25">
      <c r="B13" s="1465">
        <v>2</v>
      </c>
    </row>
    <row r="14" spans="1:28" s="1465" customFormat="1" ht="5.25">
      <c r="B14" s="1465">
        <v>2</v>
      </c>
    </row>
    <row r="15" spans="1:28" ht="21">
      <c r="A15" s="1461" t="s">
        <v>513</v>
      </c>
      <c r="B15" s="1461" t="s">
        <v>514</v>
      </c>
      <c r="H15" s="1460" t="str">
        <f>IF(I47=0,"Please insert details at the below list","''"&amp;I47&amp;"''")</f>
        <v>''MV PESSADA''</v>
      </c>
      <c r="S15" s="1462">
        <f>SUM(S16:S132)</f>
        <v>5</v>
      </c>
      <c r="T15" s="1462" t="s">
        <v>997</v>
      </c>
      <c r="U15" s="1462" t="s">
        <v>997</v>
      </c>
    </row>
    <row r="16" spans="1:28" s="1465" customFormat="1" ht="5.25">
      <c r="A16" s="1465" t="s">
        <v>284</v>
      </c>
      <c r="B16" s="1465">
        <v>2</v>
      </c>
      <c r="S16" s="1466"/>
      <c r="T16" s="1466"/>
      <c r="U16" s="1466"/>
    </row>
    <row r="17" spans="1:21" s="1465" customFormat="1" ht="5.25">
      <c r="A17" s="1465" t="s">
        <v>284</v>
      </c>
      <c r="B17" s="1465">
        <v>2</v>
      </c>
      <c r="S17" s="1466"/>
      <c r="T17" s="1466"/>
      <c r="U17" s="1466"/>
    </row>
    <row r="18" spans="1:21">
      <c r="A18" s="1461" t="s">
        <v>284</v>
      </c>
      <c r="B18" s="1461">
        <v>11</v>
      </c>
      <c r="E18" s="1467" t="s">
        <v>12</v>
      </c>
      <c r="F18" s="1467"/>
      <c r="G18" s="1467"/>
      <c r="H18" s="1468" t="s">
        <v>2</v>
      </c>
      <c r="I18" s="2336" t="s">
        <v>1562</v>
      </c>
      <c r="J18" s="2336"/>
      <c r="K18" s="2336"/>
      <c r="L18" s="2336"/>
      <c r="M18" s="2336"/>
      <c r="N18" s="2336"/>
      <c r="S18" s="1462">
        <f>COUNTIF(T18:U18,TRUE)</f>
        <v>0</v>
      </c>
      <c r="T18" s="1462" t="b">
        <f>AND($A18="Y",I18=0)</f>
        <v>0</v>
      </c>
      <c r="U18" s="1462"/>
    </row>
    <row r="19" spans="1:21" s="1465" customFormat="1" ht="5.25" hidden="1">
      <c r="A19" s="1465" t="s">
        <v>270</v>
      </c>
      <c r="B19" s="1465">
        <v>2</v>
      </c>
      <c r="E19" s="1469"/>
      <c r="F19" s="1469"/>
      <c r="G19" s="1469"/>
      <c r="H19" s="1470"/>
      <c r="I19" s="1482"/>
      <c r="J19" s="1482"/>
      <c r="K19" s="1482"/>
      <c r="L19" s="1482"/>
      <c r="M19" s="1482"/>
      <c r="N19" s="1482"/>
      <c r="S19" s="1466"/>
      <c r="T19" s="1466"/>
      <c r="U19" s="1466"/>
    </row>
    <row r="20" spans="1:21">
      <c r="A20" s="1461" t="s">
        <v>284</v>
      </c>
      <c r="B20" s="1461">
        <v>11</v>
      </c>
      <c r="E20" s="1467" t="s">
        <v>300</v>
      </c>
      <c r="F20" s="1467"/>
      <c r="G20" s="1467"/>
      <c r="H20" s="1468" t="s">
        <v>2</v>
      </c>
      <c r="I20" s="2337"/>
      <c r="J20" s="2337"/>
      <c r="K20" s="2337"/>
      <c r="L20" s="2337"/>
      <c r="M20" s="2337"/>
      <c r="N20" s="2337"/>
      <c r="S20" s="1462">
        <f>COUNTIF(T20:U20,TRUE)</f>
        <v>1</v>
      </c>
      <c r="T20" s="1462" t="b">
        <f>AND($A20="Y",I20=0)</f>
        <v>1</v>
      </c>
      <c r="U20" s="1462"/>
    </row>
    <row r="21" spans="1:21">
      <c r="A21" s="1461" t="s">
        <v>284</v>
      </c>
      <c r="B21" s="1461">
        <v>11</v>
      </c>
      <c r="E21" s="1467" t="s">
        <v>302</v>
      </c>
      <c r="F21" s="1467"/>
      <c r="G21" s="1467"/>
      <c r="H21" s="1468" t="s">
        <v>2</v>
      </c>
      <c r="I21" s="2336"/>
      <c r="J21" s="2336"/>
      <c r="K21" s="2336"/>
      <c r="L21" s="2336"/>
      <c r="M21" s="2336"/>
      <c r="N21" s="2336"/>
      <c r="S21" s="1462">
        <f>COUNTIF(T21:U21,TRUE)</f>
        <v>1</v>
      </c>
      <c r="T21" s="1462" t="b">
        <f>AND($A21="Y",I21=0)</f>
        <v>1</v>
      </c>
      <c r="U21" s="1462"/>
    </row>
    <row r="22" spans="1:21" s="1465" customFormat="1" ht="5.25">
      <c r="A22" s="1465" t="s">
        <v>284</v>
      </c>
      <c r="B22" s="1465">
        <v>2</v>
      </c>
      <c r="E22" s="1494" t="s">
        <v>1222</v>
      </c>
      <c r="F22" s="1494" t="s">
        <v>1222</v>
      </c>
      <c r="G22" s="1494" t="s">
        <v>1222</v>
      </c>
      <c r="H22" s="1495"/>
      <c r="I22" s="1483" t="s">
        <v>1223</v>
      </c>
      <c r="J22" s="1483" t="s">
        <v>1223</v>
      </c>
      <c r="K22" s="1483" t="s">
        <v>1223</v>
      </c>
      <c r="L22" s="1483" t="s">
        <v>1223</v>
      </c>
      <c r="M22" s="1483" t="s">
        <v>1223</v>
      </c>
      <c r="N22" s="1483" t="s">
        <v>1223</v>
      </c>
      <c r="S22" s="1466"/>
      <c r="T22" s="1466"/>
      <c r="U22" s="1466"/>
    </row>
    <row r="23" spans="1:21">
      <c r="A23" s="1461" t="s">
        <v>284</v>
      </c>
      <c r="B23" s="1461">
        <v>11</v>
      </c>
      <c r="E23" s="1467" t="s">
        <v>11</v>
      </c>
      <c r="F23" s="1467"/>
      <c r="G23" s="1467"/>
      <c r="H23" s="1468" t="s">
        <v>2</v>
      </c>
      <c r="I23" s="2337" t="s">
        <v>1529</v>
      </c>
      <c r="J23" s="2337"/>
      <c r="K23" s="2337"/>
      <c r="L23" s="2337"/>
      <c r="M23" s="2337"/>
      <c r="N23" s="2337"/>
      <c r="S23" s="1462">
        <f>COUNTIF(T23:U23,TRUE)</f>
        <v>0</v>
      </c>
      <c r="T23" s="1462" t="b">
        <f>AND($A23="Y",I23=0)</f>
        <v>0</v>
      </c>
      <c r="U23" s="1462"/>
    </row>
    <row r="24" spans="1:21" s="1465" customFormat="1" ht="5.25" hidden="1">
      <c r="A24" s="1465" t="s">
        <v>270</v>
      </c>
      <c r="B24" s="1465">
        <v>2</v>
      </c>
      <c r="E24" s="1469"/>
      <c r="F24" s="1469"/>
      <c r="G24" s="1469"/>
      <c r="H24" s="1470"/>
      <c r="I24" s="1482"/>
      <c r="J24" s="1482"/>
      <c r="K24" s="1482"/>
      <c r="L24" s="1482"/>
      <c r="M24" s="1482"/>
      <c r="N24" s="1482"/>
      <c r="S24" s="1466"/>
      <c r="T24" s="1466"/>
      <c r="U24" s="1466"/>
    </row>
    <row r="25" spans="1:21">
      <c r="A25" s="1461" t="s">
        <v>284</v>
      </c>
      <c r="B25" s="1461">
        <v>11</v>
      </c>
      <c r="E25" s="1467" t="s">
        <v>1249</v>
      </c>
      <c r="F25" s="1467"/>
      <c r="G25" s="1467"/>
      <c r="H25" s="1468" t="s">
        <v>2</v>
      </c>
      <c r="I25" s="2334">
        <v>44792</v>
      </c>
      <c r="J25" s="2334"/>
      <c r="K25" s="2334"/>
      <c r="L25" s="2335">
        <v>0.22916666666666666</v>
      </c>
      <c r="M25" s="2335"/>
      <c r="N25" s="2335"/>
      <c r="S25" s="1462">
        <f>COUNTIF(T25:U25,TRUE)</f>
        <v>0</v>
      </c>
      <c r="T25" s="1462" t="b">
        <f>AND($A25="Y",I25=0)</f>
        <v>0</v>
      </c>
      <c r="U25" s="1462" t="b">
        <f>AND($A25="Y",L25=0)</f>
        <v>0</v>
      </c>
    </row>
    <row r="26" spans="1:21" s="1465" customFormat="1" hidden="1">
      <c r="A26" s="1461" t="s">
        <v>270</v>
      </c>
      <c r="B26" s="1461">
        <v>11</v>
      </c>
      <c r="C26" s="1461"/>
      <c r="D26" s="1461"/>
      <c r="E26" s="1467" t="s">
        <v>1250</v>
      </c>
      <c r="F26" s="1467"/>
      <c r="G26" s="1467"/>
      <c r="H26" s="1468" t="s">
        <v>2</v>
      </c>
      <c r="I26" s="2334">
        <v>42109</v>
      </c>
      <c r="J26" s="2334"/>
      <c r="K26" s="2334"/>
      <c r="L26" s="2335">
        <v>0.26041666666666669</v>
      </c>
      <c r="M26" s="2335"/>
      <c r="N26" s="2335"/>
      <c r="O26" s="1461"/>
      <c r="P26" s="1461"/>
      <c r="Q26" s="1461"/>
      <c r="S26" s="1462">
        <f>COUNTIF(T26:U26,TRUE)</f>
        <v>0</v>
      </c>
      <c r="T26" s="1462" t="b">
        <f>AND($A26="Y",I26=0)</f>
        <v>0</v>
      </c>
      <c r="U26" s="1462" t="b">
        <f>AND($A26="Y",L26=0)</f>
        <v>0</v>
      </c>
    </row>
    <row r="27" spans="1:21" hidden="1">
      <c r="A27" s="1461" t="s">
        <v>270</v>
      </c>
      <c r="B27" s="1461">
        <v>11</v>
      </c>
      <c r="E27" s="1471" t="str">
        <f>"     Date/Time Vessel "&amp;IF(SURVEYMODE=3,"","Opening") &amp;" Gauging Started"</f>
        <v xml:space="preserve">     Date/Time Vessel Opening Gauging Started</v>
      </c>
      <c r="F27" s="1467"/>
      <c r="G27" s="1467"/>
      <c r="H27" s="1468" t="s">
        <v>2</v>
      </c>
      <c r="I27" s="2334">
        <v>42109</v>
      </c>
      <c r="J27" s="2334"/>
      <c r="K27" s="2334"/>
      <c r="L27" s="2335">
        <v>0.26041666666666669</v>
      </c>
      <c r="M27" s="2335"/>
      <c r="N27" s="2335"/>
      <c r="S27" s="1462">
        <f>COUNTIF(T27:U27,TRUE)</f>
        <v>0</v>
      </c>
      <c r="T27" s="1462" t="b">
        <f>AND($A27="Y",I27=0)</f>
        <v>0</v>
      </c>
      <c r="U27" s="1462" t="b">
        <f>AND($A27="Y",L27=0)</f>
        <v>0</v>
      </c>
    </row>
    <row r="28" spans="1:21" hidden="1">
      <c r="A28" s="1461" t="s">
        <v>270</v>
      </c>
      <c r="B28" s="1461">
        <v>11</v>
      </c>
      <c r="E28" s="1471" t="str">
        <f>"     Date/Time Vessel "&amp;IF(SURVEYMODE=3,"","Opening") &amp;" Gauging Completed"</f>
        <v xml:space="preserve">     Date/Time Vessel Opening Gauging Completed</v>
      </c>
      <c r="F28" s="1467"/>
      <c r="G28" s="1467"/>
      <c r="H28" s="1468" t="s">
        <v>2</v>
      </c>
      <c r="I28" s="2334">
        <v>42109</v>
      </c>
      <c r="J28" s="2334"/>
      <c r="K28" s="2334"/>
      <c r="L28" s="2335">
        <v>0.29166666666666669</v>
      </c>
      <c r="M28" s="2335"/>
      <c r="N28" s="2335"/>
      <c r="S28" s="1462">
        <f>COUNTIF(T28:U28,TRUE)</f>
        <v>0</v>
      </c>
      <c r="T28" s="1462" t="b">
        <f>AND($A28="Y",I28=0)</f>
        <v>0</v>
      </c>
      <c r="U28" s="1462" t="b">
        <f>AND($A28="Y",L28=0)</f>
        <v>0</v>
      </c>
    </row>
    <row r="29" spans="1:21" s="1465" customFormat="1" ht="5.25" hidden="1">
      <c r="A29" s="1465" t="s">
        <v>270</v>
      </c>
      <c r="B29" s="1465">
        <v>2</v>
      </c>
      <c r="E29" s="1469"/>
      <c r="F29" s="1469"/>
      <c r="G29" s="1469"/>
      <c r="H29" s="1470"/>
      <c r="I29" s="1511"/>
      <c r="J29" s="1511"/>
      <c r="K29" s="1511"/>
      <c r="L29" s="1511"/>
      <c r="M29" s="1511"/>
      <c r="N29" s="1511"/>
      <c r="S29" s="1466"/>
      <c r="T29" s="1466"/>
      <c r="U29" s="1466"/>
    </row>
    <row r="30" spans="1:21" hidden="1">
      <c r="A30" s="1461" t="s">
        <v>270</v>
      </c>
      <c r="B30" s="1461">
        <v>11</v>
      </c>
      <c r="E30" s="1471" t="s">
        <v>746</v>
      </c>
      <c r="F30" s="1467"/>
      <c r="G30" s="1467"/>
      <c r="H30" s="1468" t="s">
        <v>2</v>
      </c>
      <c r="I30" s="2334">
        <v>42109</v>
      </c>
      <c r="J30" s="2334"/>
      <c r="K30" s="2334"/>
      <c r="L30" s="2335">
        <v>0.375</v>
      </c>
      <c r="M30" s="2335"/>
      <c r="N30" s="2335"/>
      <c r="S30" s="1462">
        <f>COUNTIF(T30:U30,TRUE)</f>
        <v>0</v>
      </c>
      <c r="T30" s="1462" t="b">
        <f>AND($A30="Y",I30=0)</f>
        <v>0</v>
      </c>
      <c r="U30" s="1462" t="b">
        <f>AND($A30="Y",L30=0)</f>
        <v>0</v>
      </c>
    </row>
    <row r="31" spans="1:21" hidden="1">
      <c r="A31" s="1461" t="s">
        <v>270</v>
      </c>
      <c r="B31" s="1461">
        <v>11</v>
      </c>
      <c r="E31" s="1471" t="s">
        <v>747</v>
      </c>
      <c r="F31" s="1467"/>
      <c r="G31" s="1467"/>
      <c r="H31" s="1468" t="s">
        <v>2</v>
      </c>
      <c r="I31" s="2334">
        <v>42109</v>
      </c>
      <c r="J31" s="2334"/>
      <c r="K31" s="2334"/>
      <c r="L31" s="2335">
        <v>0.39583333333333331</v>
      </c>
      <c r="M31" s="2335"/>
      <c r="N31" s="2335"/>
      <c r="S31" s="1462">
        <f>COUNTIF(T31:U31,TRUE)</f>
        <v>0</v>
      </c>
      <c r="T31" s="1462" t="b">
        <f>AND($A31="Y",I31=0)</f>
        <v>0</v>
      </c>
      <c r="U31" s="1462" t="b">
        <f>AND($A31="Y",L31=0)</f>
        <v>0</v>
      </c>
    </row>
    <row r="32" spans="1:21" s="1465" customFormat="1" ht="5.25" hidden="1">
      <c r="A32" s="1465" t="s">
        <v>270</v>
      </c>
      <c r="B32" s="1465">
        <v>2</v>
      </c>
      <c r="E32" s="1469"/>
      <c r="F32" s="1469"/>
      <c r="G32" s="1469"/>
      <c r="H32" s="1470"/>
      <c r="I32" s="1511"/>
      <c r="J32" s="1511"/>
      <c r="K32" s="1511"/>
      <c r="L32" s="1511"/>
      <c r="M32" s="1511"/>
      <c r="N32" s="1511"/>
      <c r="S32" s="1466"/>
      <c r="T32" s="1466"/>
      <c r="U32" s="1466"/>
    </row>
    <row r="33" spans="1:21" hidden="1">
      <c r="A33" s="1461" t="s">
        <v>270</v>
      </c>
      <c r="B33" s="1461">
        <v>11</v>
      </c>
      <c r="E33" s="1471" t="s">
        <v>748</v>
      </c>
      <c r="F33" s="1467"/>
      <c r="G33" s="1467"/>
      <c r="H33" s="1468" t="s">
        <v>2</v>
      </c>
      <c r="I33" s="2334">
        <v>42109</v>
      </c>
      <c r="J33" s="2334"/>
      <c r="K33" s="2334"/>
      <c r="L33" s="2335">
        <v>0.29166666666666669</v>
      </c>
      <c r="M33" s="2335"/>
      <c r="N33" s="2335"/>
      <c r="S33" s="1462">
        <f>COUNTIF(T33:U33,TRUE)</f>
        <v>0</v>
      </c>
      <c r="T33" s="1462" t="b">
        <f>AND($A33="Y",I33=0)</f>
        <v>0</v>
      </c>
      <c r="U33" s="1462" t="b">
        <f>AND($A33="Y",L33=0)</f>
        <v>0</v>
      </c>
    </row>
    <row r="34" spans="1:21" hidden="1">
      <c r="A34" s="1461" t="s">
        <v>270</v>
      </c>
      <c r="B34" s="1461">
        <v>11</v>
      </c>
      <c r="E34" s="1471" t="s">
        <v>749</v>
      </c>
      <c r="F34" s="1467"/>
      <c r="G34" s="1467"/>
      <c r="H34" s="1468" t="s">
        <v>2</v>
      </c>
      <c r="I34" s="2334">
        <v>42109</v>
      </c>
      <c r="J34" s="2334"/>
      <c r="K34" s="2334"/>
      <c r="L34" s="2335">
        <v>0.3125</v>
      </c>
      <c r="M34" s="2335"/>
      <c r="N34" s="2335"/>
      <c r="S34" s="1462">
        <f>COUNTIF(T34:U34,TRUE)</f>
        <v>0</v>
      </c>
      <c r="T34" s="1462" t="b">
        <f>AND($A34="Y",I34=0)</f>
        <v>0</v>
      </c>
      <c r="U34" s="1462" t="b">
        <f>AND($A34="Y",L34=0)</f>
        <v>0</v>
      </c>
    </row>
    <row r="35" spans="1:21" s="1465" customFormat="1" ht="5.25" hidden="1">
      <c r="A35" s="1465" t="s">
        <v>270</v>
      </c>
      <c r="B35" s="1465">
        <v>2</v>
      </c>
      <c r="E35" s="1469"/>
      <c r="F35" s="1469"/>
      <c r="G35" s="1469"/>
      <c r="H35" s="1470"/>
      <c r="I35" s="1511"/>
      <c r="J35" s="1511"/>
      <c r="K35" s="1511"/>
      <c r="L35" s="1511"/>
      <c r="M35" s="1511"/>
      <c r="N35" s="1511"/>
      <c r="S35" s="1466"/>
      <c r="T35" s="1466"/>
      <c r="U35" s="1466"/>
    </row>
    <row r="36" spans="1:21" hidden="1">
      <c r="A36" s="1461" t="s">
        <v>270</v>
      </c>
      <c r="B36" s="1461">
        <v>11</v>
      </c>
      <c r="E36" s="1471" t="s">
        <v>750</v>
      </c>
      <c r="F36" s="1467"/>
      <c r="G36" s="1467"/>
      <c r="H36" s="1468" t="s">
        <v>2</v>
      </c>
      <c r="I36" s="2334">
        <v>42109</v>
      </c>
      <c r="J36" s="2334"/>
      <c r="K36" s="2334"/>
      <c r="L36" s="2335">
        <v>0.39583333333333331</v>
      </c>
      <c r="M36" s="2335"/>
      <c r="N36" s="2335"/>
      <c r="S36" s="1462">
        <f>COUNTIF(T36:U36,TRUE)</f>
        <v>0</v>
      </c>
      <c r="T36" s="1462" t="b">
        <f>AND($A36="Y",I36=0)</f>
        <v>0</v>
      </c>
      <c r="U36" s="1462" t="b">
        <f>AND($A36="Y",L36=0)</f>
        <v>0</v>
      </c>
    </row>
    <row r="37" spans="1:21" hidden="1">
      <c r="A37" s="1461" t="s">
        <v>270</v>
      </c>
      <c r="B37" s="1461">
        <v>11</v>
      </c>
      <c r="E37" s="1471" t="s">
        <v>751</v>
      </c>
      <c r="F37" s="1467"/>
      <c r="G37" s="1467"/>
      <c r="H37" s="1468" t="s">
        <v>2</v>
      </c>
      <c r="I37" s="2334">
        <v>42109</v>
      </c>
      <c r="J37" s="2334"/>
      <c r="K37" s="2334"/>
      <c r="L37" s="2335">
        <v>0.40625</v>
      </c>
      <c r="M37" s="2335"/>
      <c r="N37" s="2335"/>
      <c r="S37" s="1462">
        <f>COUNTIF(T37:U37,TRUE)</f>
        <v>0</v>
      </c>
      <c r="T37" s="1462" t="b">
        <f>AND($A37="Y",I37=0)</f>
        <v>0</v>
      </c>
      <c r="U37" s="1462" t="b">
        <f>AND($A37="Y",L37=0)</f>
        <v>0</v>
      </c>
    </row>
    <row r="38" spans="1:21" s="1465" customFormat="1" hidden="1">
      <c r="A38" s="1461" t="s">
        <v>270</v>
      </c>
      <c r="B38" s="1461">
        <v>11</v>
      </c>
      <c r="C38" s="1461"/>
      <c r="D38" s="1461"/>
      <c r="E38" s="1467" t="s">
        <v>1244</v>
      </c>
      <c r="F38" s="1467"/>
      <c r="G38" s="1467"/>
      <c r="H38" s="1468" t="s">
        <v>2</v>
      </c>
      <c r="I38" s="2334">
        <v>42373</v>
      </c>
      <c r="J38" s="2334"/>
      <c r="K38" s="2334"/>
      <c r="L38" s="2335">
        <v>4.1666666666666664E-2</v>
      </c>
      <c r="M38" s="2335"/>
      <c r="N38" s="2335"/>
      <c r="O38" s="1461"/>
      <c r="P38" s="1461"/>
      <c r="Q38" s="1461"/>
      <c r="S38" s="1462">
        <f>COUNTIF(T38:U38,TRUE)</f>
        <v>0</v>
      </c>
      <c r="T38" s="1462" t="b">
        <f>AND($A38="Y",I38=0)</f>
        <v>0</v>
      </c>
      <c r="U38" s="1462" t="b">
        <f>AND($A38="Y",L38=0)</f>
        <v>0</v>
      </c>
    </row>
    <row r="39" spans="1:21">
      <c r="A39" s="1461" t="s">
        <v>284</v>
      </c>
      <c r="B39" s="1461">
        <v>11</v>
      </c>
      <c r="E39" s="1467" t="s">
        <v>563</v>
      </c>
      <c r="F39" s="1467"/>
      <c r="G39" s="1467"/>
      <c r="H39" s="1468" t="s">
        <v>2</v>
      </c>
      <c r="I39" s="2334">
        <v>44792</v>
      </c>
      <c r="J39" s="2334"/>
      <c r="K39" s="2334"/>
      <c r="L39" s="2335">
        <v>0.27083333333333331</v>
      </c>
      <c r="M39" s="2335"/>
      <c r="N39" s="2335"/>
      <c r="S39" s="1462">
        <f>COUNTIF(T39:U39,TRUE)</f>
        <v>0</v>
      </c>
      <c r="T39" s="1462" t="b">
        <f>AND($A39="Y",I39=0)</f>
        <v>0</v>
      </c>
      <c r="U39" s="1462" t="b">
        <f>AND($A39="Y",L39=0)</f>
        <v>0</v>
      </c>
    </row>
    <row r="40" spans="1:21" s="1465" customFormat="1" ht="5.25" hidden="1">
      <c r="A40" s="1465" t="str">
        <f>IF(AND(REDEL&gt;1,SURVEYMODE&lt;&gt;2),"Y","ONOFF")</f>
        <v>ONOFF</v>
      </c>
      <c r="B40" s="1465">
        <v>2</v>
      </c>
      <c r="E40" s="1469"/>
      <c r="F40" s="1469"/>
      <c r="G40" s="1469"/>
      <c r="H40" s="1470"/>
      <c r="I40" s="1482"/>
      <c r="J40" s="1482"/>
      <c r="K40" s="1482"/>
      <c r="L40" s="1482"/>
      <c r="M40" s="1482"/>
      <c r="N40" s="1482"/>
      <c r="S40" s="1466"/>
      <c r="T40" s="1466"/>
      <c r="U40" s="1466"/>
    </row>
    <row r="41" spans="1:21" hidden="1">
      <c r="A41" s="1461" t="str">
        <f>IF(AND(REDEL&gt;1,SURVEYMODE&lt;&gt;2),"Y","ONOFF")</f>
        <v>ONOFF</v>
      </c>
      <c r="B41" s="1461">
        <v>11</v>
      </c>
      <c r="E41" s="1467" t="str">
        <f>IF(REDEL=3,"Date/Time of Re-delivery","Date/Time of Delivery")</f>
        <v>Date/Time of Delivery</v>
      </c>
      <c r="F41" s="1467"/>
      <c r="G41" s="1467"/>
      <c r="H41" s="1468" t="s">
        <v>2</v>
      </c>
      <c r="I41" s="2334">
        <v>43886</v>
      </c>
      <c r="J41" s="2334"/>
      <c r="K41" s="2334"/>
      <c r="L41" s="2335">
        <v>0.5</v>
      </c>
      <c r="M41" s="2335"/>
      <c r="N41" s="2335"/>
      <c r="S41" s="1462">
        <f>COUNTIF(T41:U41,TRUE)</f>
        <v>0</v>
      </c>
      <c r="T41" s="1462" t="b">
        <f>AND($A41="Y",I41=0)</f>
        <v>0</v>
      </c>
      <c r="U41" s="1462" t="b">
        <f>AND($A41="Y",L41=0)</f>
        <v>0</v>
      </c>
    </row>
    <row r="42" spans="1:21" hidden="1">
      <c r="A42" s="1461" t="s">
        <v>270</v>
      </c>
      <c r="B42" s="1461">
        <v>11</v>
      </c>
      <c r="E42" s="1467" t="s">
        <v>971</v>
      </c>
      <c r="F42" s="1467"/>
      <c r="G42" s="1467"/>
      <c r="H42" s="1468" t="s">
        <v>2</v>
      </c>
      <c r="I42" s="1484"/>
      <c r="J42" s="1484"/>
      <c r="K42" s="1484"/>
      <c r="L42" s="1484"/>
      <c r="M42" s="1484"/>
      <c r="N42" s="1484"/>
      <c r="S42" s="1462">
        <f>COUNTIF(T42:U42,TRUE)</f>
        <v>0</v>
      </c>
      <c r="T42" s="1462" t="b">
        <f>AND($A42="Y",I42=0)</f>
        <v>0</v>
      </c>
      <c r="U42" s="1462"/>
    </row>
    <row r="43" spans="1:21" hidden="1">
      <c r="A43" s="1461" t="str">
        <f>IF(AND(REDEL&gt;1,SURVEYMODE&lt;&gt;2),"Y","ONOFF")</f>
        <v>ONOFF</v>
      </c>
      <c r="B43" s="1461">
        <v>11</v>
      </c>
      <c r="E43" s="1467" t="str">
        <f>"Local Time at "&amp;E44</f>
        <v>Local Time at Place of Delivery</v>
      </c>
      <c r="F43" s="1467"/>
      <c r="G43" s="1467"/>
      <c r="H43" s="1468" t="s">
        <v>2</v>
      </c>
      <c r="I43" s="2337" t="s">
        <v>69</v>
      </c>
      <c r="J43" s="2337"/>
      <c r="K43" s="2337"/>
      <c r="L43" s="2337"/>
      <c r="M43" s="2337"/>
      <c r="N43" s="2337"/>
      <c r="S43" s="1462">
        <f>COUNTIF(T43:U43,TRUE)</f>
        <v>0</v>
      </c>
      <c r="T43" s="1462" t="b">
        <f>AND($A43="Y",I43=0)</f>
        <v>0</v>
      </c>
      <c r="U43" s="1462"/>
    </row>
    <row r="44" spans="1:21" hidden="1">
      <c r="A44" s="1461" t="str">
        <f>IF(AND(REDEL&gt;1,SURVEYMODE&lt;&gt;2),"Y","ONOFF")</f>
        <v>ONOFF</v>
      </c>
      <c r="B44" s="1461">
        <v>11</v>
      </c>
      <c r="E44" s="1467" t="str">
        <f>IF(REDEL=3,"Place of Re-delivery","Place of Delivery")</f>
        <v>Place of Delivery</v>
      </c>
      <c r="F44" s="1467"/>
      <c r="G44" s="1467"/>
      <c r="H44" s="1468" t="s">
        <v>2</v>
      </c>
      <c r="I44" s="2337" t="s">
        <v>620</v>
      </c>
      <c r="J44" s="2337"/>
      <c r="K44" s="2337"/>
      <c r="L44" s="2337"/>
      <c r="M44" s="2337"/>
      <c r="N44" s="2337"/>
      <c r="S44" s="1462">
        <f>COUNTIF(T44:U44,TRUE)</f>
        <v>0</v>
      </c>
      <c r="T44" s="1462" t="b">
        <f>AND($A44="Y",I44=0)</f>
        <v>0</v>
      </c>
      <c r="U44" s="1462"/>
    </row>
    <row r="45" spans="1:21" hidden="1">
      <c r="A45" s="1461" t="str">
        <f>IF(AND(REDEL&gt;1,SURVEYMODE&lt;&gt;2),"Y","ONOFF")</f>
        <v>ONOFF</v>
      </c>
      <c r="B45" s="1461">
        <v>11</v>
      </c>
      <c r="E45" s="1467" t="str">
        <f>IF(REDEL=3,"Re-delivery ","Delivery ")&amp;"Instructions by"</f>
        <v>Delivery Instructions by</v>
      </c>
      <c r="F45" s="1467"/>
      <c r="G45" s="1467"/>
      <c r="H45" s="1468" t="s">
        <v>2</v>
      </c>
      <c r="I45" s="2337" t="s">
        <v>929</v>
      </c>
      <c r="J45" s="2337"/>
      <c r="K45" s="2337"/>
      <c r="L45" s="2337"/>
      <c r="M45" s="2337"/>
      <c r="N45" s="2337"/>
      <c r="S45" s="1462">
        <f>COUNTIF(T45:U45,TRUE)</f>
        <v>0</v>
      </c>
      <c r="T45" s="1462" t="b">
        <f>AND($A45="Y",I45=0)</f>
        <v>0</v>
      </c>
      <c r="U45" s="1462"/>
    </row>
    <row r="46" spans="1:21" s="1465" customFormat="1" ht="5.25">
      <c r="A46" s="1465" t="s">
        <v>284</v>
      </c>
      <c r="B46" s="1465">
        <v>2</v>
      </c>
      <c r="E46" s="1494" t="s">
        <v>1222</v>
      </c>
      <c r="F46" s="1494" t="s">
        <v>1222</v>
      </c>
      <c r="G46" s="1494" t="s">
        <v>1222</v>
      </c>
      <c r="H46" s="1495"/>
      <c r="I46" s="1483" t="s">
        <v>1223</v>
      </c>
      <c r="J46" s="1483" t="s">
        <v>1223</v>
      </c>
      <c r="K46" s="1483" t="s">
        <v>1223</v>
      </c>
      <c r="L46" s="1483" t="s">
        <v>1223</v>
      </c>
      <c r="M46" s="1483" t="s">
        <v>1223</v>
      </c>
      <c r="N46" s="1483" t="s">
        <v>1223</v>
      </c>
      <c r="S46" s="1466"/>
      <c r="T46" s="1466"/>
      <c r="U46" s="1466"/>
    </row>
    <row r="47" spans="1:21">
      <c r="A47" s="1461" t="s">
        <v>284</v>
      </c>
      <c r="B47" s="1461">
        <v>11</v>
      </c>
      <c r="E47" s="1467" t="s">
        <v>160</v>
      </c>
      <c r="F47" s="1467"/>
      <c r="G47" s="1467"/>
      <c r="H47" s="1468" t="s">
        <v>2</v>
      </c>
      <c r="I47" s="2337" t="s">
        <v>1570</v>
      </c>
      <c r="J47" s="2337"/>
      <c r="K47" s="2337"/>
      <c r="L47" s="2337"/>
      <c r="M47" s="2337"/>
      <c r="N47" s="2337"/>
      <c r="S47" s="1462">
        <f>COUNTIF(T47:U47,TRUE)</f>
        <v>0</v>
      </c>
      <c r="T47" s="1462" t="b">
        <f>AND($A47="Y",I47=0)</f>
        <v>0</v>
      </c>
      <c r="U47" s="1462"/>
    </row>
    <row r="48" spans="1:21">
      <c r="A48" s="1461" t="s">
        <v>284</v>
      </c>
      <c r="B48" s="1461">
        <v>11</v>
      </c>
      <c r="E48" s="1467" t="s">
        <v>301</v>
      </c>
      <c r="F48" s="1467"/>
      <c r="G48" s="1467"/>
      <c r="H48" s="1468" t="s">
        <v>2</v>
      </c>
      <c r="I48" s="2337" t="s">
        <v>1540</v>
      </c>
      <c r="J48" s="2337"/>
      <c r="K48" s="2337"/>
      <c r="L48" s="2337"/>
      <c r="M48" s="2337"/>
      <c r="N48" s="2337"/>
      <c r="S48" s="1462">
        <f>COUNTIF(T48:U48,TRUE)</f>
        <v>0</v>
      </c>
      <c r="T48" s="1462" t="b">
        <f>AND($A48="Y",I48=0)</f>
        <v>0</v>
      </c>
      <c r="U48" s="1462"/>
    </row>
    <row r="49" spans="1:21">
      <c r="A49" s="1461" t="s">
        <v>284</v>
      </c>
      <c r="B49" s="1461">
        <v>11</v>
      </c>
      <c r="E49" s="1467" t="s">
        <v>8</v>
      </c>
      <c r="F49" s="1467"/>
      <c r="G49" s="1467"/>
      <c r="H49" s="1468" t="s">
        <v>2</v>
      </c>
      <c r="I49" s="2337" t="s">
        <v>1566</v>
      </c>
      <c r="J49" s="2337"/>
      <c r="K49" s="2337"/>
      <c r="L49" s="2337"/>
      <c r="M49" s="2337"/>
      <c r="N49" s="2337"/>
      <c r="S49" s="1462">
        <f>COUNTIF(T49:U49,TRUE)</f>
        <v>0</v>
      </c>
      <c r="T49" s="1462" t="b">
        <f>AND($A49="Y",I49=0)</f>
        <v>0</v>
      </c>
      <c r="U49" s="1462"/>
    </row>
    <row r="50" spans="1:21">
      <c r="A50" s="1461" t="s">
        <v>284</v>
      </c>
      <c r="B50" s="1461">
        <v>11</v>
      </c>
      <c r="E50" s="1467" t="s">
        <v>7</v>
      </c>
      <c r="F50" s="1467"/>
      <c r="G50" s="1467"/>
      <c r="H50" s="1468" t="s">
        <v>2</v>
      </c>
      <c r="I50" s="2336" t="s">
        <v>1563</v>
      </c>
      <c r="J50" s="2336"/>
      <c r="K50" s="2336"/>
      <c r="L50" s="2336"/>
      <c r="M50" s="2336"/>
      <c r="N50" s="2336"/>
      <c r="S50" s="1462">
        <f>COUNTIF(T50:U50,TRUE)</f>
        <v>0</v>
      </c>
      <c r="T50" s="1462" t="b">
        <f>AND($A50="Y",I50=0)</f>
        <v>0</v>
      </c>
      <c r="U50" s="1462"/>
    </row>
    <row r="51" spans="1:21" s="1465" customFormat="1" ht="5.25">
      <c r="A51" s="1465" t="str">
        <f>IF(SURVEYMODE=3,"BQS","Y")</f>
        <v>Y</v>
      </c>
      <c r="B51" s="1465">
        <v>2</v>
      </c>
      <c r="E51" s="1494" t="s">
        <v>1222</v>
      </c>
      <c r="F51" s="1494" t="s">
        <v>1222</v>
      </c>
      <c r="G51" s="1494" t="s">
        <v>1222</v>
      </c>
      <c r="H51" s="1495"/>
      <c r="I51" s="1483" t="s">
        <v>1223</v>
      </c>
      <c r="J51" s="1483" t="s">
        <v>1223</v>
      </c>
      <c r="K51" s="1483" t="s">
        <v>1223</v>
      </c>
      <c r="L51" s="1483" t="s">
        <v>1223</v>
      </c>
      <c r="M51" s="1483" t="s">
        <v>1223</v>
      </c>
      <c r="N51" s="1483" t="s">
        <v>1223</v>
      </c>
      <c r="S51" s="1466"/>
      <c r="T51" s="1466"/>
      <c r="U51" s="1466"/>
    </row>
    <row r="52" spans="1:21">
      <c r="A52" s="1461" t="str">
        <f>IF(SURVEYMODE=3,"BQS","Y")</f>
        <v>Y</v>
      </c>
      <c r="B52" s="1461">
        <v>11</v>
      </c>
      <c r="E52" s="1467" t="str">
        <f>IF(BARGESEL=1,"Barge Name","Barge 1, Name")</f>
        <v>Barge Name</v>
      </c>
      <c r="F52" s="1467"/>
      <c r="G52" s="1467"/>
      <c r="H52" s="1468" t="s">
        <v>2</v>
      </c>
      <c r="I52" s="2337" t="s">
        <v>1564</v>
      </c>
      <c r="J52" s="2337"/>
      <c r="K52" s="2337"/>
      <c r="L52" s="2337"/>
      <c r="M52" s="2337"/>
      <c r="N52" s="2337"/>
      <c r="S52" s="1462">
        <f>COUNTIF(T52:U52,TRUE)</f>
        <v>0</v>
      </c>
      <c r="T52" s="1462" t="b">
        <f>AND($A52="Y",I52=0)</f>
        <v>0</v>
      </c>
      <c r="U52" s="1462"/>
    </row>
    <row r="53" spans="1:21" hidden="1">
      <c r="A53" s="1461" t="str">
        <f>IF(AND(SURVEYMODE&lt;&gt;3,SPORE=TRUE),"Y","N")</f>
        <v>N</v>
      </c>
      <c r="B53" s="1461">
        <v>11</v>
      </c>
      <c r="E53" s="1467" t="str">
        <f>IF(BARGESEL=1,"Barge License No.","Barge 1, License No.")</f>
        <v>Barge License No.</v>
      </c>
      <c r="F53" s="1467"/>
      <c r="G53" s="1467"/>
      <c r="H53" s="1468" t="s">
        <v>2</v>
      </c>
      <c r="I53" s="2336" t="s">
        <v>1196</v>
      </c>
      <c r="J53" s="2336"/>
      <c r="K53" s="2336"/>
      <c r="L53" s="2336"/>
      <c r="M53" s="2336"/>
      <c r="N53" s="2336"/>
      <c r="S53" s="1462">
        <f>COUNTIF(T53:U53,TRUE)</f>
        <v>0</v>
      </c>
      <c r="T53" s="1462" t="b">
        <f>AND($A53="Y",I53=0)</f>
        <v>0</v>
      </c>
      <c r="U53" s="1462"/>
    </row>
    <row r="54" spans="1:21">
      <c r="A54" s="1461" t="str">
        <f>IF(SURVEYMODE=3,"BQS","Y")</f>
        <v>Y</v>
      </c>
      <c r="B54" s="1461">
        <v>11</v>
      </c>
      <c r="E54" s="1467" t="str">
        <f>IF(BARGESEL=1,"Barge Representative","Barge 1, Representative")</f>
        <v>Barge Representative</v>
      </c>
      <c r="F54" s="1467"/>
      <c r="G54" s="1467"/>
      <c r="H54" s="1468" t="s">
        <v>2</v>
      </c>
      <c r="I54" s="2337" t="s">
        <v>1574</v>
      </c>
      <c r="J54" s="2337"/>
      <c r="K54" s="2337"/>
      <c r="L54" s="2337"/>
      <c r="M54" s="2337"/>
      <c r="N54" s="2337"/>
      <c r="S54" s="1462">
        <f>COUNTIF(T54:U54,TRUE)</f>
        <v>0</v>
      </c>
      <c r="T54" s="1462" t="b">
        <f>AND($A54="Y",I54=0)</f>
        <v>0</v>
      </c>
      <c r="U54" s="1462"/>
    </row>
    <row r="55" spans="1:21">
      <c r="A55" s="1461" t="str">
        <f>IF(SURVEYMODE=3,"BQS","Y")</f>
        <v>Y</v>
      </c>
      <c r="B55" s="1461">
        <v>11</v>
      </c>
      <c r="E55" s="1467" t="str">
        <f>IF(BARGESEL=1,"Name of Supplier","Barge 1, Name of Supplier")</f>
        <v>Name of Supplier</v>
      </c>
      <c r="F55" s="1467"/>
      <c r="G55" s="1467"/>
      <c r="H55" s="1468" t="s">
        <v>2</v>
      </c>
      <c r="I55" s="2337" t="s">
        <v>1565</v>
      </c>
      <c r="J55" s="2337"/>
      <c r="K55" s="2337"/>
      <c r="L55" s="2337"/>
      <c r="M55" s="2337"/>
      <c r="N55" s="2337"/>
      <c r="S55" s="1462">
        <f>COUNTIF(T55:U55,TRUE)</f>
        <v>0</v>
      </c>
      <c r="T55" s="1462" t="b">
        <f>AND($A55="Y",I55=0)</f>
        <v>0</v>
      </c>
      <c r="U55" s="1462"/>
    </row>
    <row r="56" spans="1:21" hidden="1">
      <c r="A56" s="1461" t="s">
        <v>270</v>
      </c>
      <c r="B56" s="1461">
        <v>11</v>
      </c>
      <c r="E56" s="1467" t="str">
        <f>IF(BARGESEL=1,"Method of Calculation","Barge 1, Method of Calculation")</f>
        <v>Method of Calculation</v>
      </c>
      <c r="F56" s="1467"/>
      <c r="G56" s="1467"/>
      <c r="H56" s="1468" t="s">
        <v>2</v>
      </c>
      <c r="I56" s="1485"/>
      <c r="J56" s="1485"/>
      <c r="K56" s="1485"/>
      <c r="L56" s="1485"/>
      <c r="M56" s="1485"/>
      <c r="N56" s="1485"/>
      <c r="S56" s="1462">
        <f>COUNTIF(T56:U56,TRUE)</f>
        <v>0</v>
      </c>
      <c r="T56" s="1462" t="b">
        <f>AND($A56="Y",I56=0)</f>
        <v>0</v>
      </c>
      <c r="U56" s="1462"/>
    </row>
    <row r="57" spans="1:21" s="1465" customFormat="1" ht="5.25" hidden="1">
      <c r="A57" s="1465" t="str">
        <f>IF(SURVEYMODE=3,"BQS",IF(BARGESEL&lt;2,"N","Y"))</f>
        <v>N</v>
      </c>
      <c r="B57" s="1465">
        <v>2</v>
      </c>
      <c r="E57" s="1494" t="s">
        <v>1222</v>
      </c>
      <c r="F57" s="1494" t="s">
        <v>1222</v>
      </c>
      <c r="G57" s="1494" t="s">
        <v>1222</v>
      </c>
      <c r="H57" s="1495"/>
      <c r="I57" s="1483" t="s">
        <v>1223</v>
      </c>
      <c r="J57" s="1483" t="s">
        <v>1223</v>
      </c>
      <c r="K57" s="1483" t="s">
        <v>1223</v>
      </c>
      <c r="L57" s="1483" t="s">
        <v>1223</v>
      </c>
      <c r="M57" s="1483" t="s">
        <v>1223</v>
      </c>
      <c r="N57" s="1483" t="s">
        <v>1223</v>
      </c>
      <c r="S57" s="1466"/>
      <c r="T57" s="1466"/>
      <c r="U57" s="1466"/>
    </row>
    <row r="58" spans="1:21" hidden="1">
      <c r="A58" s="1461" t="str">
        <f>IF(SURVEYMODE=3,"BQS",IF(BARGESEL&lt;2,"N","Y"))</f>
        <v>N</v>
      </c>
      <c r="B58" s="1461">
        <v>11</v>
      </c>
      <c r="E58" s="1467" t="s">
        <v>1045</v>
      </c>
      <c r="F58" s="1467"/>
      <c r="G58" s="1467"/>
      <c r="H58" s="1468" t="s">
        <v>2</v>
      </c>
      <c r="I58" s="2337" t="s">
        <v>1537</v>
      </c>
      <c r="J58" s="2337"/>
      <c r="K58" s="2337"/>
      <c r="L58" s="2337"/>
      <c r="M58" s="2337"/>
      <c r="N58" s="2337"/>
      <c r="S58" s="1462">
        <f>COUNTIF(T58:U58,TRUE)</f>
        <v>0</v>
      </c>
      <c r="T58" s="1462" t="b">
        <f>AND($A58="Y",I58=0)</f>
        <v>0</v>
      </c>
      <c r="U58" s="1462"/>
    </row>
    <row r="59" spans="1:21" hidden="1">
      <c r="A59" s="1461" t="str">
        <f>IF(AND(SURVEYMODE&lt;&gt;3,SPORE=TRUE),IF(BARGESEL&lt;2,"N","Y"),"N")</f>
        <v>N</v>
      </c>
      <c r="B59" s="1461">
        <v>11</v>
      </c>
      <c r="E59" s="1467" t="s">
        <v>1046</v>
      </c>
      <c r="F59" s="1467"/>
      <c r="G59" s="1467"/>
      <c r="H59" s="1468" t="s">
        <v>2</v>
      </c>
      <c r="I59" s="2336" t="s">
        <v>1197</v>
      </c>
      <c r="J59" s="2336"/>
      <c r="K59" s="2336"/>
      <c r="L59" s="2336"/>
      <c r="M59" s="2336"/>
      <c r="N59" s="2336"/>
      <c r="S59" s="1462">
        <f>COUNTIF(T59:U59,TRUE)</f>
        <v>0</v>
      </c>
      <c r="T59" s="1462" t="b">
        <f>AND($A59="Y",I59=0)</f>
        <v>0</v>
      </c>
      <c r="U59" s="1462"/>
    </row>
    <row r="60" spans="1:21" hidden="1">
      <c r="A60" s="1461" t="str">
        <f>IF(SURVEYMODE=3,"BQS",IF(BARGESEL&lt;2,"N","Y"))</f>
        <v>N</v>
      </c>
      <c r="B60" s="1461">
        <v>11</v>
      </c>
      <c r="E60" s="1467" t="s">
        <v>1047</v>
      </c>
      <c r="F60" s="1467"/>
      <c r="G60" s="1467"/>
      <c r="H60" s="1468" t="s">
        <v>2</v>
      </c>
      <c r="I60" s="2337" t="s">
        <v>1539</v>
      </c>
      <c r="J60" s="2337"/>
      <c r="K60" s="2337"/>
      <c r="L60" s="2337"/>
      <c r="M60" s="2337"/>
      <c r="N60" s="2337"/>
      <c r="S60" s="1462">
        <f>COUNTIF(T60:U60,TRUE)</f>
        <v>0</v>
      </c>
      <c r="T60" s="1462" t="b">
        <f>AND($A60="Y",I60=0)</f>
        <v>0</v>
      </c>
      <c r="U60" s="1462"/>
    </row>
    <row r="61" spans="1:21" hidden="1">
      <c r="A61" s="1461" t="str">
        <f>IF(SURVEYMODE=3,"BQS",IF(BARGESEL&lt;2,"N","Y"))</f>
        <v>N</v>
      </c>
      <c r="B61" s="1461">
        <v>11</v>
      </c>
      <c r="E61" s="1467" t="s">
        <v>1048</v>
      </c>
      <c r="F61" s="1467"/>
      <c r="G61" s="1467"/>
      <c r="H61" s="1468" t="s">
        <v>2</v>
      </c>
      <c r="I61" s="2337" t="s">
        <v>1536</v>
      </c>
      <c r="J61" s="2337"/>
      <c r="K61" s="2337"/>
      <c r="L61" s="2337"/>
      <c r="M61" s="2337"/>
      <c r="N61" s="2337"/>
      <c r="S61" s="1462">
        <f>COUNTIF(T61:U61,TRUE)</f>
        <v>0</v>
      </c>
      <c r="T61" s="1462" t="b">
        <f>AND($A61="Y",I61=0)</f>
        <v>0</v>
      </c>
      <c r="U61" s="1462"/>
    </row>
    <row r="62" spans="1:21" hidden="1">
      <c r="A62" s="1461" t="s">
        <v>270</v>
      </c>
      <c r="B62" s="1461">
        <v>11</v>
      </c>
      <c r="E62" s="1467" t="s">
        <v>1228</v>
      </c>
      <c r="F62" s="1467"/>
      <c r="G62" s="1467"/>
      <c r="H62" s="1468" t="s">
        <v>2</v>
      </c>
      <c r="I62" s="1485"/>
      <c r="J62" s="1485"/>
      <c r="K62" s="1485"/>
      <c r="L62" s="1485"/>
      <c r="M62" s="1485"/>
      <c r="N62" s="1485"/>
      <c r="S62" s="1462">
        <f>COUNTIF(T62:U62,TRUE)</f>
        <v>0</v>
      </c>
      <c r="T62" s="1462" t="b">
        <f>AND($A62="Y",I62=0)</f>
        <v>0</v>
      </c>
      <c r="U62" s="1462"/>
    </row>
    <row r="63" spans="1:21" s="1465" customFormat="1" ht="5.25" hidden="1">
      <c r="A63" s="1465" t="str">
        <f>IF(SURVEYMODE=3,"BQS",IF(BARGESEL&lt;3,"N","Y"))</f>
        <v>N</v>
      </c>
      <c r="B63" s="1465">
        <v>2</v>
      </c>
      <c r="E63" s="1494" t="s">
        <v>1222</v>
      </c>
      <c r="F63" s="1494" t="s">
        <v>1222</v>
      </c>
      <c r="G63" s="1494" t="s">
        <v>1222</v>
      </c>
      <c r="H63" s="1495"/>
      <c r="I63" s="1483" t="s">
        <v>1223</v>
      </c>
      <c r="J63" s="1483" t="s">
        <v>1223</v>
      </c>
      <c r="K63" s="1483" t="s">
        <v>1223</v>
      </c>
      <c r="L63" s="1483" t="s">
        <v>1223</v>
      </c>
      <c r="M63" s="1483" t="s">
        <v>1223</v>
      </c>
      <c r="N63" s="1483" t="s">
        <v>1223</v>
      </c>
      <c r="S63" s="1466"/>
      <c r="T63" s="1466"/>
      <c r="U63" s="1466"/>
    </row>
    <row r="64" spans="1:21" hidden="1">
      <c r="A64" s="1461" t="str">
        <f>IF(SURVEYMODE=3,"BQS",IF(BARGESEL&lt;3,"N","Y"))</f>
        <v>N</v>
      </c>
      <c r="B64" s="1461">
        <v>11</v>
      </c>
      <c r="E64" s="1467" t="s">
        <v>1061</v>
      </c>
      <c r="F64" s="1467"/>
      <c r="G64" s="1467"/>
      <c r="H64" s="1468" t="s">
        <v>2</v>
      </c>
      <c r="I64" s="2337" t="s">
        <v>1537</v>
      </c>
      <c r="J64" s="2337"/>
      <c r="K64" s="2337"/>
      <c r="L64" s="2337"/>
      <c r="M64" s="2337"/>
      <c r="N64" s="2337"/>
      <c r="S64" s="1462">
        <f>COUNTIF(T64:U64,TRUE)</f>
        <v>0</v>
      </c>
      <c r="T64" s="1462" t="b">
        <f>AND($A64="Y",I64=0)</f>
        <v>0</v>
      </c>
      <c r="U64" s="1462"/>
    </row>
    <row r="65" spans="1:21" hidden="1">
      <c r="A65" s="1461" t="str">
        <f>IF(AND(SURVEYMODE&lt;&gt;3,SPORE=TRUE),IF(BARGESEL&lt;3,"N","Y"),"N")</f>
        <v>N</v>
      </c>
      <c r="B65" s="1461">
        <v>11</v>
      </c>
      <c r="E65" s="1467" t="s">
        <v>1062</v>
      </c>
      <c r="F65" s="1467"/>
      <c r="G65" s="1467"/>
      <c r="H65" s="1468" t="s">
        <v>2</v>
      </c>
      <c r="I65" s="2336" t="s">
        <v>1099</v>
      </c>
      <c r="J65" s="2336"/>
      <c r="K65" s="2336"/>
      <c r="L65" s="2336"/>
      <c r="M65" s="2336"/>
      <c r="N65" s="2336"/>
      <c r="S65" s="1462">
        <f>COUNTIF(T65:U65,TRUE)</f>
        <v>0</v>
      </c>
      <c r="T65" s="1462" t="b">
        <f>AND($A65="Y",I65=0)</f>
        <v>0</v>
      </c>
      <c r="U65" s="1462"/>
    </row>
    <row r="66" spans="1:21" hidden="1">
      <c r="A66" s="1461" t="str">
        <f>IF(SURVEYMODE=3,"BQS",IF(BARGESEL&lt;3,"N","Y"))</f>
        <v>N</v>
      </c>
      <c r="B66" s="1461">
        <v>11</v>
      </c>
      <c r="E66" s="1467" t="s">
        <v>1063</v>
      </c>
      <c r="F66" s="1467"/>
      <c r="G66" s="1467"/>
      <c r="H66" s="1468" t="s">
        <v>2</v>
      </c>
      <c r="I66" s="2337"/>
      <c r="J66" s="2337"/>
      <c r="K66" s="2337"/>
      <c r="L66" s="2337"/>
      <c r="M66" s="2337"/>
      <c r="N66" s="2337"/>
      <c r="S66" s="1462">
        <f>COUNTIF(T66:U66,TRUE)</f>
        <v>0</v>
      </c>
      <c r="T66" s="1462" t="b">
        <f>AND($A66="Y",I66=0)</f>
        <v>0</v>
      </c>
      <c r="U66" s="1462"/>
    </row>
    <row r="67" spans="1:21" hidden="1">
      <c r="A67" s="1461" t="str">
        <f>IF(SURVEYMODE=3,"BQS",IF(BARGESEL&lt;3,"N","Y"))</f>
        <v>N</v>
      </c>
      <c r="B67" s="1461">
        <v>11</v>
      </c>
      <c r="E67" s="1467" t="s">
        <v>1064</v>
      </c>
      <c r="F67" s="1467"/>
      <c r="G67" s="1467"/>
      <c r="H67" s="1468" t="s">
        <v>2</v>
      </c>
      <c r="I67" s="2337" t="s">
        <v>1536</v>
      </c>
      <c r="J67" s="2337"/>
      <c r="K67" s="2337"/>
      <c r="L67" s="2337"/>
      <c r="M67" s="2337"/>
      <c r="N67" s="2337"/>
      <c r="S67" s="1462">
        <f>COUNTIF(T67:U67,TRUE)</f>
        <v>0</v>
      </c>
      <c r="T67" s="1462" t="b">
        <f>AND($A67="Y",I67=0)</f>
        <v>0</v>
      </c>
      <c r="U67" s="1462"/>
    </row>
    <row r="68" spans="1:21" hidden="1">
      <c r="A68" s="1461" t="s">
        <v>270</v>
      </c>
      <c r="B68" s="1461">
        <v>11</v>
      </c>
      <c r="E68" s="1467" t="s">
        <v>1227</v>
      </c>
      <c r="F68" s="1467"/>
      <c r="G68" s="1467"/>
      <c r="H68" s="1468" t="s">
        <v>2</v>
      </c>
      <c r="I68" s="1485"/>
      <c r="J68" s="1485"/>
      <c r="K68" s="1485"/>
      <c r="L68" s="1485"/>
      <c r="M68" s="1485"/>
      <c r="N68" s="1485"/>
      <c r="S68" s="1462">
        <f>COUNTIF(T68:U68,TRUE)</f>
        <v>0</v>
      </c>
      <c r="T68" s="1462" t="b">
        <f>AND($A68="Y",I68=0)</f>
        <v>0</v>
      </c>
      <c r="U68" s="1462"/>
    </row>
    <row r="69" spans="1:21" s="1465" customFormat="1" ht="5.25" hidden="1">
      <c r="A69" s="1465" t="str">
        <f>IF(SURVEYMODE=3,"BQS",IF(BARGESEL&lt;4,"N","Y"))</f>
        <v>N</v>
      </c>
      <c r="B69" s="1465">
        <v>2</v>
      </c>
      <c r="E69" s="1494" t="s">
        <v>1222</v>
      </c>
      <c r="F69" s="1494" t="s">
        <v>1222</v>
      </c>
      <c r="G69" s="1494" t="s">
        <v>1222</v>
      </c>
      <c r="H69" s="1495"/>
      <c r="I69" s="1483" t="s">
        <v>1223</v>
      </c>
      <c r="J69" s="1483" t="s">
        <v>1223</v>
      </c>
      <c r="K69" s="1483" t="s">
        <v>1223</v>
      </c>
      <c r="L69" s="1483" t="s">
        <v>1223</v>
      </c>
      <c r="M69" s="1483" t="s">
        <v>1223</v>
      </c>
      <c r="N69" s="1483" t="s">
        <v>1223</v>
      </c>
      <c r="S69" s="1466"/>
      <c r="T69" s="1466"/>
      <c r="U69" s="1466"/>
    </row>
    <row r="70" spans="1:21" hidden="1">
      <c r="A70" s="1461" t="str">
        <f>IF(SURVEYMODE=3,"BQS",IF(BARGESEL&lt;4,"N","Y"))</f>
        <v>N</v>
      </c>
      <c r="B70" s="1461">
        <v>11</v>
      </c>
      <c r="E70" s="1467" t="s">
        <v>1057</v>
      </c>
      <c r="F70" s="1467"/>
      <c r="G70" s="1467"/>
      <c r="H70" s="1468" t="s">
        <v>2</v>
      </c>
      <c r="I70" s="2337" t="s">
        <v>1100</v>
      </c>
      <c r="J70" s="2337"/>
      <c r="K70" s="2337"/>
      <c r="L70" s="2337"/>
      <c r="M70" s="2337"/>
      <c r="N70" s="2337"/>
      <c r="S70" s="1462">
        <f>COUNTIF(T70:U70,TRUE)</f>
        <v>0</v>
      </c>
      <c r="T70" s="1462" t="b">
        <f>AND($A70="Y",I70=0)</f>
        <v>0</v>
      </c>
      <c r="U70" s="1462"/>
    </row>
    <row r="71" spans="1:21" hidden="1">
      <c r="A71" s="1461" t="str">
        <f>IF(AND(SURVEYMODE&lt;&gt;3,SPORE=TRUE),IF(BARGESEL&lt;4,"N","Y"),"N")</f>
        <v>N</v>
      </c>
      <c r="B71" s="1461">
        <v>11</v>
      </c>
      <c r="E71" s="1467" t="s">
        <v>1058</v>
      </c>
      <c r="F71" s="1467"/>
      <c r="G71" s="1467"/>
      <c r="H71" s="1468" t="s">
        <v>2</v>
      </c>
      <c r="I71" s="2336" t="s">
        <v>1098</v>
      </c>
      <c r="J71" s="2336"/>
      <c r="K71" s="2336"/>
      <c r="L71" s="2336"/>
      <c r="M71" s="2336"/>
      <c r="N71" s="2336"/>
      <c r="S71" s="1462">
        <f>COUNTIF(T71:U71,TRUE)</f>
        <v>0</v>
      </c>
      <c r="T71" s="1462" t="b">
        <f>AND($A71="Y",I71=0)</f>
        <v>0</v>
      </c>
      <c r="U71" s="1462"/>
    </row>
    <row r="72" spans="1:21" hidden="1">
      <c r="A72" s="1461" t="str">
        <f>IF(SURVEYMODE=3,"BQS",IF(BARGESEL&lt;4,"N","Y"))</f>
        <v>N</v>
      </c>
      <c r="B72" s="1461">
        <v>11</v>
      </c>
      <c r="E72" s="1467" t="s">
        <v>1059</v>
      </c>
      <c r="F72" s="1467"/>
      <c r="G72" s="1467"/>
      <c r="H72" s="1468" t="s">
        <v>2</v>
      </c>
      <c r="I72" s="2337" t="s">
        <v>1075</v>
      </c>
      <c r="J72" s="2337"/>
      <c r="K72" s="2337"/>
      <c r="L72" s="2337"/>
      <c r="M72" s="2337"/>
      <c r="N72" s="2337"/>
      <c r="S72" s="1462">
        <f>COUNTIF(T72:U72,TRUE)</f>
        <v>0</v>
      </c>
      <c r="T72" s="1462" t="b">
        <f>AND($A72="Y",I72=0)</f>
        <v>0</v>
      </c>
      <c r="U72" s="1462"/>
    </row>
    <row r="73" spans="1:21" hidden="1">
      <c r="A73" s="1461" t="str">
        <f>IF(SURVEYMODE=3,"BQS",IF(BARGESEL&lt;4,"N","Y"))</f>
        <v>N</v>
      </c>
      <c r="B73" s="1461">
        <v>11</v>
      </c>
      <c r="E73" s="1467" t="s">
        <v>1060</v>
      </c>
      <c r="F73" s="1467"/>
      <c r="G73" s="1467"/>
      <c r="H73" s="1468" t="s">
        <v>2</v>
      </c>
      <c r="I73" s="2337" t="s">
        <v>1074</v>
      </c>
      <c r="J73" s="2337"/>
      <c r="K73" s="2337"/>
      <c r="L73" s="2337"/>
      <c r="M73" s="2337"/>
      <c r="N73" s="2337"/>
      <c r="S73" s="1462">
        <f>COUNTIF(T73:U73,TRUE)</f>
        <v>0</v>
      </c>
      <c r="T73" s="1462" t="b">
        <f>AND($A73="Y",I73=0)</f>
        <v>0</v>
      </c>
      <c r="U73" s="1462"/>
    </row>
    <row r="74" spans="1:21" hidden="1">
      <c r="A74" s="1461" t="s">
        <v>270</v>
      </c>
      <c r="B74" s="1461">
        <v>11</v>
      </c>
      <c r="E74" s="1467" t="s">
        <v>1226</v>
      </c>
      <c r="F74" s="1467"/>
      <c r="G74" s="1467"/>
      <c r="H74" s="1468" t="s">
        <v>2</v>
      </c>
      <c r="I74" s="1485"/>
      <c r="J74" s="1485"/>
      <c r="K74" s="1485"/>
      <c r="L74" s="1485"/>
      <c r="M74" s="1485"/>
      <c r="N74" s="1485"/>
      <c r="S74" s="1462">
        <f>COUNTIF(T74:U74,TRUE)</f>
        <v>0</v>
      </c>
      <c r="T74" s="1462" t="b">
        <f>AND($A74="Y",I74=0)</f>
        <v>0</v>
      </c>
      <c r="U74" s="1462"/>
    </row>
    <row r="75" spans="1:21" s="1465" customFormat="1" ht="5.25" hidden="1">
      <c r="A75" s="1465" t="str">
        <f>IF(SURVEYMODE=3,"BQS",IF(BARGESEL&lt;5,"N","Y"))</f>
        <v>N</v>
      </c>
      <c r="B75" s="1465">
        <v>2</v>
      </c>
      <c r="E75" s="1494" t="s">
        <v>1222</v>
      </c>
      <c r="F75" s="1494" t="s">
        <v>1222</v>
      </c>
      <c r="G75" s="1494" t="s">
        <v>1222</v>
      </c>
      <c r="H75" s="1495"/>
      <c r="I75" s="1483" t="s">
        <v>1223</v>
      </c>
      <c r="J75" s="1483" t="s">
        <v>1223</v>
      </c>
      <c r="K75" s="1483" t="s">
        <v>1223</v>
      </c>
      <c r="L75" s="1483" t="s">
        <v>1223</v>
      </c>
      <c r="M75" s="1483" t="s">
        <v>1223</v>
      </c>
      <c r="N75" s="1483" t="s">
        <v>1223</v>
      </c>
      <c r="S75" s="1466"/>
      <c r="T75" s="1466"/>
      <c r="U75" s="1466"/>
    </row>
    <row r="76" spans="1:21" hidden="1">
      <c r="A76" s="1461" t="str">
        <f>IF(SURVEYMODE=3,"BQS",IF(BARGESEL&lt;5,"N","Y"))</f>
        <v>N</v>
      </c>
      <c r="B76" s="1461">
        <v>11</v>
      </c>
      <c r="E76" s="1467" t="s">
        <v>1053</v>
      </c>
      <c r="F76" s="1467"/>
      <c r="G76" s="1467"/>
      <c r="H76" s="1468" t="s">
        <v>2</v>
      </c>
      <c r="I76" s="2337" t="s">
        <v>1102</v>
      </c>
      <c r="J76" s="2337"/>
      <c r="K76" s="2337"/>
      <c r="L76" s="2337"/>
      <c r="M76" s="2337"/>
      <c r="N76" s="2337"/>
      <c r="S76" s="1462">
        <f>COUNTIF(T76:U76,TRUE)</f>
        <v>0</v>
      </c>
      <c r="T76" s="1462" t="b">
        <f>AND($A76="Y",I76=0)</f>
        <v>0</v>
      </c>
      <c r="U76" s="1462"/>
    </row>
    <row r="77" spans="1:21" hidden="1">
      <c r="A77" s="1461" t="str">
        <f>IF(AND(SURVEYMODE&lt;&gt;3,SPORE=TRUE),IF(BARGESEL&lt;5,"N","Y"),"N")</f>
        <v>N</v>
      </c>
      <c r="B77" s="1461">
        <v>11</v>
      </c>
      <c r="E77" s="1467" t="s">
        <v>1054</v>
      </c>
      <c r="F77" s="1467"/>
      <c r="G77" s="1467"/>
      <c r="H77" s="1468" t="s">
        <v>2</v>
      </c>
      <c r="I77" s="2336" t="s">
        <v>1097</v>
      </c>
      <c r="J77" s="2336"/>
      <c r="K77" s="2336"/>
      <c r="L77" s="2336"/>
      <c r="M77" s="2336"/>
      <c r="N77" s="2336"/>
      <c r="S77" s="1462">
        <f>COUNTIF(T77:U77,TRUE)</f>
        <v>0</v>
      </c>
      <c r="T77" s="1462" t="b">
        <f>AND($A77="Y",I77=0)</f>
        <v>0</v>
      </c>
      <c r="U77" s="1462"/>
    </row>
    <row r="78" spans="1:21" hidden="1">
      <c r="A78" s="1461" t="str">
        <f>IF(SURVEYMODE=3,"BQS",IF(BARGESEL&lt;5,"N","Y"))</f>
        <v>N</v>
      </c>
      <c r="B78" s="1461">
        <v>11</v>
      </c>
      <c r="E78" s="1467" t="s">
        <v>1055</v>
      </c>
      <c r="F78" s="1467"/>
      <c r="G78" s="1467"/>
      <c r="H78" s="1468" t="s">
        <v>2</v>
      </c>
      <c r="I78" s="2337" t="s">
        <v>1071</v>
      </c>
      <c r="J78" s="2337"/>
      <c r="K78" s="2337"/>
      <c r="L78" s="2337"/>
      <c r="M78" s="2337"/>
      <c r="N78" s="2337"/>
      <c r="S78" s="1462">
        <f>COUNTIF(T78:U78,TRUE)</f>
        <v>0</v>
      </c>
      <c r="T78" s="1462" t="b">
        <f>AND($A78="Y",I78=0)</f>
        <v>0</v>
      </c>
      <c r="U78" s="1462"/>
    </row>
    <row r="79" spans="1:21" hidden="1">
      <c r="A79" s="1461" t="str">
        <f>IF(SURVEYMODE=3,"BQS",IF(BARGESEL&lt;5,"N","Y"))</f>
        <v>N</v>
      </c>
      <c r="B79" s="1461">
        <v>11</v>
      </c>
      <c r="E79" s="1467" t="s">
        <v>1056</v>
      </c>
      <c r="F79" s="1467"/>
      <c r="G79" s="1467"/>
      <c r="H79" s="1468" t="s">
        <v>2</v>
      </c>
      <c r="I79" s="2337" t="s">
        <v>1072</v>
      </c>
      <c r="J79" s="2337"/>
      <c r="K79" s="2337"/>
      <c r="L79" s="2337"/>
      <c r="M79" s="2337"/>
      <c r="N79" s="2337"/>
      <c r="S79" s="1462">
        <f>COUNTIF(T79:U79,TRUE)</f>
        <v>0</v>
      </c>
      <c r="T79" s="1462" t="b">
        <f>AND($A79="Y",I79=0)</f>
        <v>0</v>
      </c>
      <c r="U79" s="1462"/>
    </row>
    <row r="80" spans="1:21" hidden="1">
      <c r="A80" s="1461" t="s">
        <v>270</v>
      </c>
      <c r="B80" s="1461">
        <v>11</v>
      </c>
      <c r="E80" s="1467" t="s">
        <v>1225</v>
      </c>
      <c r="F80" s="1467"/>
      <c r="G80" s="1467"/>
      <c r="H80" s="1468" t="s">
        <v>2</v>
      </c>
      <c r="I80" s="1485"/>
      <c r="J80" s="1485"/>
      <c r="K80" s="1485"/>
      <c r="L80" s="1485"/>
      <c r="M80" s="1485"/>
      <c r="N80" s="1485"/>
      <c r="S80" s="1462">
        <f>COUNTIF(T80:U80,TRUE)</f>
        <v>0</v>
      </c>
      <c r="T80" s="1462" t="b">
        <f>AND($A80="Y",I80=0)</f>
        <v>0</v>
      </c>
      <c r="U80" s="1462"/>
    </row>
    <row r="81" spans="1:25" s="1465" customFormat="1" ht="5.25" hidden="1">
      <c r="A81" s="1465" t="str">
        <f>IF(SURVEYMODE=3,"BQS",IF(BARGESEL&lt;6,"N","Y"))</f>
        <v>N</v>
      </c>
      <c r="B81" s="1465">
        <v>2</v>
      </c>
      <c r="E81" s="1494" t="s">
        <v>1222</v>
      </c>
      <c r="F81" s="1494" t="s">
        <v>1222</v>
      </c>
      <c r="G81" s="1494" t="s">
        <v>1222</v>
      </c>
      <c r="H81" s="1495"/>
      <c r="I81" s="1483" t="s">
        <v>1223</v>
      </c>
      <c r="J81" s="1483" t="s">
        <v>1223</v>
      </c>
      <c r="K81" s="1483" t="s">
        <v>1223</v>
      </c>
      <c r="L81" s="1483" t="s">
        <v>1223</v>
      </c>
      <c r="M81" s="1483" t="s">
        <v>1223</v>
      </c>
      <c r="N81" s="1483" t="s">
        <v>1223</v>
      </c>
      <c r="S81" s="1466"/>
      <c r="T81" s="1466"/>
      <c r="U81" s="1466"/>
    </row>
    <row r="82" spans="1:25" hidden="1">
      <c r="A82" s="1461" t="str">
        <f>IF(SURVEYMODE=3,"BQS",IF(BARGESEL&lt;6,"N","Y"))</f>
        <v>N</v>
      </c>
      <c r="B82" s="1461">
        <v>11</v>
      </c>
      <c r="E82" s="1467" t="s">
        <v>1049</v>
      </c>
      <c r="F82" s="1467"/>
      <c r="G82" s="1467"/>
      <c r="H82" s="1468" t="s">
        <v>2</v>
      </c>
      <c r="I82" s="2337" t="s">
        <v>1101</v>
      </c>
      <c r="J82" s="2337"/>
      <c r="K82" s="2337"/>
      <c r="L82" s="2337"/>
      <c r="M82" s="2337"/>
      <c r="N82" s="2337"/>
      <c r="S82" s="1462">
        <f>COUNTIF(T82:U82,TRUE)</f>
        <v>0</v>
      </c>
      <c r="T82" s="1462" t="b">
        <f>AND($A82="Y",I82=0)</f>
        <v>0</v>
      </c>
      <c r="U82" s="1462"/>
    </row>
    <row r="83" spans="1:25" hidden="1">
      <c r="A83" s="1461" t="str">
        <f>IF(AND(SURVEYMODE&lt;&gt;3,SPORE=TRUE),IF(BARGESEL&lt;6,"N","Y"),"N")</f>
        <v>N</v>
      </c>
      <c r="B83" s="1461">
        <v>11</v>
      </c>
      <c r="E83" s="1467" t="s">
        <v>1050</v>
      </c>
      <c r="F83" s="1467"/>
      <c r="G83" s="1467"/>
      <c r="H83" s="1468" t="s">
        <v>2</v>
      </c>
      <c r="I83" s="2336" t="s">
        <v>1096</v>
      </c>
      <c r="J83" s="2336"/>
      <c r="K83" s="2336"/>
      <c r="L83" s="2336"/>
      <c r="M83" s="2336"/>
      <c r="N83" s="2336"/>
      <c r="S83" s="1462">
        <f>COUNTIF(T83:U83,TRUE)</f>
        <v>0</v>
      </c>
      <c r="T83" s="1462" t="b">
        <f>AND($A83="Y",I83=0)</f>
        <v>0</v>
      </c>
      <c r="U83" s="1462"/>
    </row>
    <row r="84" spans="1:25" hidden="1">
      <c r="A84" s="1461" t="str">
        <f>IF(SURVEYMODE=3,"BQS",IF(BARGESEL&lt;6,"N","Y"))</f>
        <v>N</v>
      </c>
      <c r="B84" s="1461">
        <v>11</v>
      </c>
      <c r="E84" s="1467" t="s">
        <v>1051</v>
      </c>
      <c r="F84" s="1467"/>
      <c r="G84" s="1467"/>
      <c r="H84" s="1468" t="s">
        <v>2</v>
      </c>
      <c r="I84" s="2337" t="s">
        <v>1070</v>
      </c>
      <c r="J84" s="2337"/>
      <c r="K84" s="2337"/>
      <c r="L84" s="2337"/>
      <c r="M84" s="2337"/>
      <c r="N84" s="2337"/>
      <c r="S84" s="1462">
        <f>COUNTIF(T84:U84,TRUE)</f>
        <v>0</v>
      </c>
      <c r="T84" s="1462" t="b">
        <f>AND($A84="Y",I84=0)</f>
        <v>0</v>
      </c>
      <c r="U84" s="1462"/>
    </row>
    <row r="85" spans="1:25" hidden="1">
      <c r="A85" s="1461" t="str">
        <f>IF(SURVEYMODE=3,"BQS",IF(BARGESEL&lt;6,"N","Y"))</f>
        <v>N</v>
      </c>
      <c r="B85" s="1461">
        <v>11</v>
      </c>
      <c r="E85" s="1467" t="s">
        <v>1052</v>
      </c>
      <c r="F85" s="1467"/>
      <c r="G85" s="1467"/>
      <c r="H85" s="1468" t="s">
        <v>2</v>
      </c>
      <c r="I85" s="2337" t="s">
        <v>1073</v>
      </c>
      <c r="J85" s="2337"/>
      <c r="K85" s="2337"/>
      <c r="L85" s="2337"/>
      <c r="M85" s="2337"/>
      <c r="N85" s="2337"/>
      <c r="S85" s="1462">
        <f>COUNTIF(T85:U85,TRUE)</f>
        <v>0</v>
      </c>
      <c r="T85" s="1462" t="b">
        <f>AND($A85="Y",I85=0)</f>
        <v>0</v>
      </c>
      <c r="U85" s="1462"/>
    </row>
    <row r="86" spans="1:25" hidden="1">
      <c r="A86" s="1461" t="s">
        <v>270</v>
      </c>
      <c r="B86" s="1461">
        <v>11</v>
      </c>
      <c r="E86" s="1467" t="s">
        <v>1224</v>
      </c>
      <c r="F86" s="1467"/>
      <c r="G86" s="1467"/>
      <c r="H86" s="1468" t="s">
        <v>2</v>
      </c>
      <c r="I86" s="1485"/>
      <c r="J86" s="1485"/>
      <c r="K86" s="1485"/>
      <c r="L86" s="1485"/>
      <c r="M86" s="1485"/>
      <c r="N86" s="1485"/>
      <c r="S86" s="1462">
        <f>COUNTIF(T86:U86,TRUE)</f>
        <v>0</v>
      </c>
      <c r="T86" s="1462" t="b">
        <f>AND($A86="Y",I86=0)</f>
        <v>0</v>
      </c>
      <c r="U86" s="1462"/>
    </row>
    <row r="87" spans="1:25" s="1465" customFormat="1" ht="5.25" hidden="1">
      <c r="A87" s="1465" t="s">
        <v>270</v>
      </c>
      <c r="B87" s="1465">
        <v>2</v>
      </c>
      <c r="E87" s="1469"/>
      <c r="F87" s="1469"/>
      <c r="G87" s="1469"/>
      <c r="H87" s="1470"/>
      <c r="I87" s="1470"/>
      <c r="J87" s="1470"/>
      <c r="K87" s="1470"/>
      <c r="L87" s="1470"/>
      <c r="M87" s="1470"/>
      <c r="N87" s="1470"/>
      <c r="S87" s="1466"/>
      <c r="T87" s="1466"/>
      <c r="U87" s="1466"/>
    </row>
    <row r="88" spans="1:25">
      <c r="A88" s="1461" t="str">
        <f>IF(SURVEYMODE=3,"BQS","Y")</f>
        <v>Y</v>
      </c>
      <c r="B88" s="1461">
        <v>11</v>
      </c>
      <c r="E88" s="1472"/>
      <c r="F88" s="1472"/>
      <c r="G88" s="1472"/>
      <c r="H88" s="1468"/>
      <c r="I88" s="1473" t="str">
        <f>IF(INDEX(GRADESLIST,1,1)=0,"",INDEX(GRADESLIST,1,1))</f>
        <v>HSFO</v>
      </c>
      <c r="J88" s="1473" t="str">
        <f>IF(INDEX(GRADESLIST,2,1)=0,"",INDEX(GRADESLIST,2,1))</f>
        <v>LSFO</v>
      </c>
      <c r="K88" s="1473" t="str">
        <f>IF(INDEX(GRADESLIST,3,1)=0,"",INDEX(GRADESLIST,3,1))</f>
        <v>MDO</v>
      </c>
      <c r="L88" s="1473" t="str">
        <f>IF(INDEX(GRADESLIST,4,1)=0,"",INDEX(GRADESLIST,4,1))</f>
        <v>LSMDO</v>
      </c>
      <c r="M88" s="1473" t="str">
        <f>IF(INDEX(GRADESLIST,5,1)=0,"",INDEX(GRADESLIST,5,1))</f>
        <v>MGO</v>
      </c>
      <c r="N88" s="1473" t="str">
        <f>IF(INDEX(GRADESLIST,6,1)=0,"",INDEX(GRADESLIST,6,1))</f>
        <v>LSMGO</v>
      </c>
      <c r="S88" s="1462">
        <f>COUNTIF(T88:Y88,TRUE)</f>
        <v>0</v>
      </c>
      <c r="T88" s="1462" t="b">
        <f t="shared" ref="T88:Y88" si="0">IF(AND($A88="Y",I$88="",I$104&gt;0),TRUE,FALSE)</f>
        <v>0</v>
      </c>
      <c r="U88" s="1462" t="b">
        <f t="shared" si="0"/>
        <v>0</v>
      </c>
      <c r="V88" s="1462" t="b">
        <f t="shared" si="0"/>
        <v>0</v>
      </c>
      <c r="W88" s="1462" t="b">
        <f t="shared" si="0"/>
        <v>0</v>
      </c>
      <c r="X88" s="1462" t="b">
        <f t="shared" si="0"/>
        <v>0</v>
      </c>
      <c r="Y88" s="1462" t="b">
        <f t="shared" si="0"/>
        <v>0</v>
      </c>
    </row>
    <row r="89" spans="1:25" hidden="1">
      <c r="A89" s="1461" t="s">
        <v>270</v>
      </c>
      <c r="B89" s="1461">
        <v>11</v>
      </c>
      <c r="E89" s="1472"/>
      <c r="F89" s="1472"/>
      <c r="G89" s="1472"/>
      <c r="H89" s="1468"/>
      <c r="I89" s="1474" t="str">
        <f t="shared" ref="I89:N89" si="1">IF(OR(I$88="",I$104=0),"",IF(BARGESEL=1,BARGE,IF(ISERROR(MATCH(I$90,BARGEID,0)),"",INDEX(BARGENAMES,MATCH(I$90,BARGEID,0),1))))</f>
        <v/>
      </c>
      <c r="J89" s="1474" t="str">
        <f t="shared" si="1"/>
        <v>M/T YALÇIN 2</v>
      </c>
      <c r="K89" s="1474" t="str">
        <f t="shared" si="1"/>
        <v/>
      </c>
      <c r="L89" s="1474" t="str">
        <f t="shared" si="1"/>
        <v/>
      </c>
      <c r="M89" s="1474" t="str">
        <f t="shared" si="1"/>
        <v/>
      </c>
      <c r="N89" s="1474" t="str">
        <f t="shared" si="1"/>
        <v>M/T YALÇIN 2</v>
      </c>
      <c r="S89" s="1462"/>
      <c r="T89" s="1462"/>
      <c r="U89" s="1462"/>
      <c r="V89" s="1462"/>
      <c r="W89" s="1462"/>
      <c r="X89" s="1462"/>
      <c r="Y89" s="1462"/>
    </row>
    <row r="90" spans="1:25" ht="18.75" hidden="1">
      <c r="A90" s="1461" t="str">
        <f>IF(SURVEYMODE=3,"BQS",IF(BARGESEL=1,"N","Y"))</f>
        <v>N</v>
      </c>
      <c r="B90" s="1463">
        <v>14</v>
      </c>
      <c r="E90" s="1475" t="s">
        <v>1043</v>
      </c>
      <c r="F90" s="1476"/>
      <c r="G90" s="1497" t="s">
        <v>1044</v>
      </c>
      <c r="H90" s="1468" t="s">
        <v>2</v>
      </c>
      <c r="I90" s="1486" t="s">
        <v>1538</v>
      </c>
      <c r="J90" s="1486"/>
      <c r="K90" s="1486"/>
      <c r="L90" s="1486"/>
      <c r="M90" s="1486"/>
      <c r="N90" s="1486" t="s">
        <v>1203</v>
      </c>
      <c r="S90" s="1462">
        <f t="shared" ref="S90:S103" si="2">COUNTIF(T90:Y90,TRUE)</f>
        <v>0</v>
      </c>
      <c r="T90" s="1462" t="b">
        <f t="shared" ref="T90:Y90" si="3">AND($A90="Y",OR(AND(I$104&gt;0,I90=0),AND(I$104=0,I90&gt;0),AND(I90&gt;0,ISERROR(MATCH(I90,BARGEID,0))=TRUE)))</f>
        <v>0</v>
      </c>
      <c r="U90" s="1462" t="b">
        <f t="shared" si="3"/>
        <v>0</v>
      </c>
      <c r="V90" s="1462" t="b">
        <f t="shared" si="3"/>
        <v>0</v>
      </c>
      <c r="W90" s="1462" t="b">
        <f t="shared" si="3"/>
        <v>0</v>
      </c>
      <c r="X90" s="1462" t="b">
        <f t="shared" si="3"/>
        <v>0</v>
      </c>
      <c r="Y90" s="1462" t="b">
        <f t="shared" si="3"/>
        <v>0</v>
      </c>
    </row>
    <row r="91" spans="1:25" ht="18.75" hidden="1">
      <c r="A91" s="1461" t="str">
        <f>IF(SURVEYMODE=3,"BQS",IF(SPORE=TRUE,"Y","N"))</f>
        <v>N</v>
      </c>
      <c r="B91" s="1463">
        <v>14</v>
      </c>
      <c r="E91" s="1477" t="s">
        <v>1194</v>
      </c>
      <c r="F91" s="1478"/>
      <c r="G91" s="1498" t="s">
        <v>1120</v>
      </c>
      <c r="H91" s="1468" t="s">
        <v>2</v>
      </c>
      <c r="I91" s="1487" t="s">
        <v>1116</v>
      </c>
      <c r="J91" s="1487"/>
      <c r="K91" s="1487"/>
      <c r="L91" s="1487"/>
      <c r="M91" s="1487"/>
      <c r="N91" s="1487" t="s">
        <v>1115</v>
      </c>
      <c r="S91" s="1462">
        <f t="shared" si="2"/>
        <v>0</v>
      </c>
      <c r="T91" s="1462" t="b">
        <f t="shared" ref="T91:Y91" si="4">AND($A91="Y",OR(AND(I$104&gt;0,I91=0),AND(I$104=0,I91&gt;0),AND(I91&gt;0,ISERROR(MATCH(I91,METHOFCALCSHORT,0))=TRUE)))</f>
        <v>0</v>
      </c>
      <c r="U91" s="1462" t="b">
        <f t="shared" si="4"/>
        <v>0</v>
      </c>
      <c r="V91" s="1462" t="b">
        <f t="shared" si="4"/>
        <v>0</v>
      </c>
      <c r="W91" s="1462" t="b">
        <f t="shared" si="4"/>
        <v>0</v>
      </c>
      <c r="X91" s="1462" t="b">
        <f t="shared" si="4"/>
        <v>0</v>
      </c>
      <c r="Y91" s="1462" t="b">
        <f t="shared" si="4"/>
        <v>0</v>
      </c>
    </row>
    <row r="92" spans="1:25" ht="18.75" hidden="1">
      <c r="A92" s="2191" t="s">
        <v>1144</v>
      </c>
      <c r="B92" s="1463">
        <v>14</v>
      </c>
      <c r="E92" s="1479" t="s">
        <v>1125</v>
      </c>
      <c r="F92" s="1480"/>
      <c r="G92" s="1499" t="s">
        <v>1120</v>
      </c>
      <c r="H92" s="1468"/>
      <c r="I92" s="1488">
        <f>Drafts!I21</f>
        <v>5</v>
      </c>
      <c r="J92" s="1488">
        <f>Drafts!K21</f>
        <v>0</v>
      </c>
      <c r="K92" s="1488">
        <f>Drafts!M21</f>
        <v>0</v>
      </c>
      <c r="L92" s="1488">
        <f>Drafts!O21</f>
        <v>0</v>
      </c>
      <c r="M92" s="1488">
        <f>Drafts!Q21</f>
        <v>0</v>
      </c>
      <c r="N92" s="1488">
        <f>Drafts!S21</f>
        <v>0</v>
      </c>
      <c r="S92" s="1462">
        <f t="shared" si="2"/>
        <v>0</v>
      </c>
      <c r="T92" s="1462" t="b">
        <f t="shared" ref="T92:Y103" si="5">AND($A92="Y",OR(AND(I$104&gt;0,I92=0),AND(I$104=0,I92&gt;0)))</f>
        <v>0</v>
      </c>
      <c r="U92" s="1462" t="b">
        <f t="shared" si="5"/>
        <v>0</v>
      </c>
      <c r="V92" s="1462" t="b">
        <f t="shared" si="5"/>
        <v>0</v>
      </c>
      <c r="W92" s="1462" t="b">
        <f t="shared" si="5"/>
        <v>0</v>
      </c>
      <c r="X92" s="1462" t="b">
        <f t="shared" si="5"/>
        <v>0</v>
      </c>
      <c r="Y92" s="1462" t="b">
        <f t="shared" si="5"/>
        <v>0</v>
      </c>
    </row>
    <row r="93" spans="1:25" ht="18.75" hidden="1">
      <c r="A93" s="2191" t="s">
        <v>1144</v>
      </c>
      <c r="B93" s="1463">
        <v>14</v>
      </c>
      <c r="E93" s="1475" t="s">
        <v>1126</v>
      </c>
      <c r="F93" s="1476"/>
      <c r="G93" s="1497" t="s">
        <v>1120</v>
      </c>
      <c r="H93" s="1468"/>
      <c r="I93" s="1489">
        <f>Drafts!I22</f>
        <v>6</v>
      </c>
      <c r="J93" s="1489">
        <f>Drafts!K22</f>
        <v>0</v>
      </c>
      <c r="K93" s="1489">
        <f>Drafts!M22</f>
        <v>0</v>
      </c>
      <c r="L93" s="1489">
        <f>Drafts!O22</f>
        <v>0</v>
      </c>
      <c r="M93" s="1489">
        <f>Drafts!Q22</f>
        <v>0</v>
      </c>
      <c r="N93" s="1489">
        <f>Drafts!S22</f>
        <v>0</v>
      </c>
      <c r="S93" s="1462">
        <f t="shared" si="2"/>
        <v>0</v>
      </c>
      <c r="T93" s="1462" t="b">
        <f t="shared" si="5"/>
        <v>0</v>
      </c>
      <c r="U93" s="1462" t="b">
        <f t="shared" si="5"/>
        <v>0</v>
      </c>
      <c r="V93" s="1462" t="b">
        <f t="shared" si="5"/>
        <v>0</v>
      </c>
      <c r="W93" s="1462" t="b">
        <f t="shared" si="5"/>
        <v>0</v>
      </c>
      <c r="X93" s="1462" t="b">
        <f t="shared" si="5"/>
        <v>0</v>
      </c>
      <c r="Y93" s="1462" t="b">
        <f t="shared" si="5"/>
        <v>0</v>
      </c>
    </row>
    <row r="94" spans="1:25" ht="18.75" hidden="1">
      <c r="A94" s="2191" t="s">
        <v>1144</v>
      </c>
      <c r="B94" s="1463">
        <v>14</v>
      </c>
      <c r="E94" s="1477" t="s">
        <v>1127</v>
      </c>
      <c r="F94" s="1478"/>
      <c r="G94" s="1498" t="s">
        <v>1120</v>
      </c>
      <c r="H94" s="1468"/>
      <c r="I94" s="1490">
        <f>Drafts!I24</f>
        <v>0</v>
      </c>
      <c r="J94" s="1490">
        <f>Drafts!K24</f>
        <v>0</v>
      </c>
      <c r="K94" s="1490">
        <f>Drafts!M24</f>
        <v>0</v>
      </c>
      <c r="L94" s="1490">
        <f>Drafts!O24</f>
        <v>0</v>
      </c>
      <c r="M94" s="1490">
        <f>Drafts!Q24</f>
        <v>0</v>
      </c>
      <c r="N94" s="1490">
        <f>Drafts!S24</f>
        <v>0</v>
      </c>
      <c r="S94" s="1462">
        <f t="shared" si="2"/>
        <v>0</v>
      </c>
      <c r="T94" s="1462" t="b">
        <f t="shared" si="5"/>
        <v>0</v>
      </c>
      <c r="U94" s="1462" t="b">
        <f t="shared" si="5"/>
        <v>0</v>
      </c>
      <c r="V94" s="1462" t="b">
        <f t="shared" si="5"/>
        <v>0</v>
      </c>
      <c r="W94" s="1462" t="b">
        <f t="shared" si="5"/>
        <v>0</v>
      </c>
      <c r="X94" s="1462" t="b">
        <f t="shared" si="5"/>
        <v>0</v>
      </c>
      <c r="Y94" s="1462" t="b">
        <f t="shared" si="5"/>
        <v>0</v>
      </c>
    </row>
    <row r="95" spans="1:25" ht="18.75" hidden="1">
      <c r="A95" s="2191" t="s">
        <v>1144</v>
      </c>
      <c r="B95" s="1463">
        <v>14</v>
      </c>
      <c r="E95" s="1479" t="s">
        <v>1122</v>
      </c>
      <c r="F95" s="1480"/>
      <c r="G95" s="1499" t="s">
        <v>1120</v>
      </c>
      <c r="H95" s="1468"/>
      <c r="I95" s="1488">
        <f>Drafts!I27</f>
        <v>3.5</v>
      </c>
      <c r="J95" s="1488">
        <f>Drafts!K27</f>
        <v>0</v>
      </c>
      <c r="K95" s="1488">
        <f>Drafts!M27</f>
        <v>0</v>
      </c>
      <c r="L95" s="1488">
        <f>Drafts!O27</f>
        <v>0</v>
      </c>
      <c r="M95" s="1488">
        <f>Drafts!Q27</f>
        <v>0</v>
      </c>
      <c r="N95" s="1488">
        <f>Drafts!S27</f>
        <v>3.5</v>
      </c>
      <c r="S95" s="1462">
        <f t="shared" si="2"/>
        <v>0</v>
      </c>
      <c r="T95" s="1462" t="b">
        <f t="shared" si="5"/>
        <v>0</v>
      </c>
      <c r="U95" s="1462" t="b">
        <f t="shared" si="5"/>
        <v>0</v>
      </c>
      <c r="V95" s="1462" t="b">
        <f t="shared" si="5"/>
        <v>0</v>
      </c>
      <c r="W95" s="1462" t="b">
        <f t="shared" si="5"/>
        <v>0</v>
      </c>
      <c r="X95" s="1462" t="b">
        <f t="shared" si="5"/>
        <v>0</v>
      </c>
      <c r="Y95" s="1462" t="b">
        <f t="shared" si="5"/>
        <v>0</v>
      </c>
    </row>
    <row r="96" spans="1:25" ht="18.75" hidden="1">
      <c r="A96" s="2191" t="s">
        <v>1144</v>
      </c>
      <c r="B96" s="1463">
        <v>14</v>
      </c>
      <c r="E96" s="1475" t="s">
        <v>1123</v>
      </c>
      <c r="F96" s="1476"/>
      <c r="G96" s="1497" t="s">
        <v>1120</v>
      </c>
      <c r="H96" s="1468"/>
      <c r="I96" s="1489">
        <f>Drafts!I28</f>
        <v>4.5</v>
      </c>
      <c r="J96" s="1489">
        <f>Drafts!K28</f>
        <v>0</v>
      </c>
      <c r="K96" s="1489">
        <f>Drafts!M28</f>
        <v>0</v>
      </c>
      <c r="L96" s="1489">
        <f>Drafts!O28</f>
        <v>0</v>
      </c>
      <c r="M96" s="1489">
        <f>Drafts!Q28</f>
        <v>0</v>
      </c>
      <c r="N96" s="1489">
        <f>Drafts!S28</f>
        <v>4.5</v>
      </c>
      <c r="S96" s="1462">
        <f t="shared" si="2"/>
        <v>0</v>
      </c>
      <c r="T96" s="1462" t="b">
        <f t="shared" si="5"/>
        <v>0</v>
      </c>
      <c r="U96" s="1462" t="b">
        <f t="shared" si="5"/>
        <v>0</v>
      </c>
      <c r="V96" s="1462" t="b">
        <f t="shared" si="5"/>
        <v>0</v>
      </c>
      <c r="W96" s="1462" t="b">
        <f t="shared" si="5"/>
        <v>0</v>
      </c>
      <c r="X96" s="1462" t="b">
        <f t="shared" si="5"/>
        <v>0</v>
      </c>
      <c r="Y96" s="1462" t="b">
        <f t="shared" si="5"/>
        <v>0</v>
      </c>
    </row>
    <row r="97" spans="1:54" ht="18.75" hidden="1">
      <c r="A97" s="2191" t="s">
        <v>1144</v>
      </c>
      <c r="B97" s="1463">
        <v>14</v>
      </c>
      <c r="E97" s="1477" t="s">
        <v>1124</v>
      </c>
      <c r="F97" s="1478"/>
      <c r="G97" s="1498" t="s">
        <v>1120</v>
      </c>
      <c r="H97" s="1468"/>
      <c r="I97" s="1490">
        <f>Drafts!I30</f>
        <v>0</v>
      </c>
      <c r="J97" s="1490">
        <f>Drafts!K30</f>
        <v>0</v>
      </c>
      <c r="K97" s="1490">
        <f>Drafts!M30</f>
        <v>0</v>
      </c>
      <c r="L97" s="1490">
        <f>Drafts!O30</f>
        <v>0</v>
      </c>
      <c r="M97" s="1490">
        <f>Drafts!Q30</f>
        <v>0</v>
      </c>
      <c r="N97" s="1490">
        <f>Drafts!S30</f>
        <v>0</v>
      </c>
      <c r="S97" s="1462">
        <f t="shared" si="2"/>
        <v>0</v>
      </c>
      <c r="T97" s="1462" t="b">
        <f t="shared" si="5"/>
        <v>0</v>
      </c>
      <c r="U97" s="1462" t="b">
        <f t="shared" si="5"/>
        <v>0</v>
      </c>
      <c r="V97" s="1462" t="b">
        <f t="shared" si="5"/>
        <v>0</v>
      </c>
      <c r="W97" s="1462" t="b">
        <f t="shared" si="5"/>
        <v>0</v>
      </c>
      <c r="X97" s="1462" t="b">
        <f t="shared" si="5"/>
        <v>0</v>
      </c>
      <c r="Y97" s="1462" t="b">
        <f t="shared" si="5"/>
        <v>0</v>
      </c>
    </row>
    <row r="98" spans="1:54" ht="18.75" hidden="1">
      <c r="A98" s="2191" t="s">
        <v>1144</v>
      </c>
      <c r="B98" s="1463">
        <v>14</v>
      </c>
      <c r="E98" s="1479" t="s">
        <v>1128</v>
      </c>
      <c r="F98" s="1480"/>
      <c r="G98" s="1499" t="s">
        <v>1120</v>
      </c>
      <c r="H98" s="1468"/>
      <c r="I98" s="1488">
        <f>Drafts!J21</f>
        <v>0</v>
      </c>
      <c r="J98" s="1488">
        <f>Drafts!L21</f>
        <v>0</v>
      </c>
      <c r="K98" s="1488">
        <f>Drafts!N21</f>
        <v>0</v>
      </c>
      <c r="L98" s="1488">
        <f>Drafts!P21</f>
        <v>0</v>
      </c>
      <c r="M98" s="1488">
        <f>Drafts!R21</f>
        <v>0</v>
      </c>
      <c r="N98" s="1488">
        <f>Drafts!T21</f>
        <v>0</v>
      </c>
      <c r="S98" s="1462">
        <f t="shared" si="2"/>
        <v>0</v>
      </c>
      <c r="T98" s="1462" t="b">
        <f t="shared" si="5"/>
        <v>0</v>
      </c>
      <c r="U98" s="1462" t="b">
        <f t="shared" si="5"/>
        <v>0</v>
      </c>
      <c r="V98" s="1462" t="b">
        <f t="shared" si="5"/>
        <v>0</v>
      </c>
      <c r="W98" s="1462" t="b">
        <f t="shared" si="5"/>
        <v>0</v>
      </c>
      <c r="X98" s="1462" t="b">
        <f t="shared" si="5"/>
        <v>0</v>
      </c>
      <c r="Y98" s="1462" t="b">
        <f t="shared" si="5"/>
        <v>0</v>
      </c>
    </row>
    <row r="99" spans="1:54" ht="18.75" hidden="1">
      <c r="A99" s="2191" t="s">
        <v>1144</v>
      </c>
      <c r="B99" s="1463">
        <v>14</v>
      </c>
      <c r="E99" s="1475" t="s">
        <v>1129</v>
      </c>
      <c r="F99" s="1476"/>
      <c r="G99" s="1497" t="s">
        <v>1120</v>
      </c>
      <c r="H99" s="1468"/>
      <c r="I99" s="1489">
        <f>Drafts!J22</f>
        <v>0</v>
      </c>
      <c r="J99" s="1489">
        <f>Drafts!L22</f>
        <v>0</v>
      </c>
      <c r="K99" s="1489">
        <f>Drafts!N22</f>
        <v>0</v>
      </c>
      <c r="L99" s="1489">
        <f>Drafts!P22</f>
        <v>0</v>
      </c>
      <c r="M99" s="1489">
        <f>Drafts!R22</f>
        <v>0</v>
      </c>
      <c r="N99" s="1489">
        <f>Drafts!T22</f>
        <v>0</v>
      </c>
      <c r="S99" s="1462">
        <f t="shared" si="2"/>
        <v>0</v>
      </c>
      <c r="T99" s="1462" t="b">
        <f t="shared" si="5"/>
        <v>0</v>
      </c>
      <c r="U99" s="1462" t="b">
        <f t="shared" si="5"/>
        <v>0</v>
      </c>
      <c r="V99" s="1462" t="b">
        <f t="shared" si="5"/>
        <v>0</v>
      </c>
      <c r="W99" s="1462" t="b">
        <f t="shared" si="5"/>
        <v>0</v>
      </c>
      <c r="X99" s="1462" t="b">
        <f t="shared" si="5"/>
        <v>0</v>
      </c>
      <c r="Y99" s="1462" t="b">
        <f t="shared" si="5"/>
        <v>0</v>
      </c>
    </row>
    <row r="100" spans="1:54" ht="18.75" hidden="1">
      <c r="A100" s="2191" t="s">
        <v>1144</v>
      </c>
      <c r="B100" s="1463">
        <v>14</v>
      </c>
      <c r="E100" s="1477" t="s">
        <v>1130</v>
      </c>
      <c r="F100" s="1478"/>
      <c r="G100" s="1498" t="s">
        <v>1120</v>
      </c>
      <c r="H100" s="1468"/>
      <c r="I100" s="1490">
        <f>Drafts!J24</f>
        <v>0</v>
      </c>
      <c r="J100" s="1490">
        <f>Drafts!L24</f>
        <v>0</v>
      </c>
      <c r="K100" s="1490">
        <f>Drafts!N24</f>
        <v>0</v>
      </c>
      <c r="L100" s="1490">
        <f>Drafts!P24</f>
        <v>0</v>
      </c>
      <c r="M100" s="1490">
        <f>Drafts!R24</f>
        <v>0</v>
      </c>
      <c r="N100" s="1490">
        <f>Drafts!T24</f>
        <v>0</v>
      </c>
      <c r="S100" s="1462">
        <f t="shared" si="2"/>
        <v>0</v>
      </c>
      <c r="T100" s="1462" t="b">
        <f t="shared" si="5"/>
        <v>0</v>
      </c>
      <c r="U100" s="1462" t="b">
        <f t="shared" si="5"/>
        <v>0</v>
      </c>
      <c r="V100" s="1462" t="b">
        <f t="shared" si="5"/>
        <v>0</v>
      </c>
      <c r="W100" s="1462" t="b">
        <f t="shared" si="5"/>
        <v>0</v>
      </c>
      <c r="X100" s="1462" t="b">
        <f t="shared" si="5"/>
        <v>0</v>
      </c>
      <c r="Y100" s="1462" t="b">
        <f t="shared" si="5"/>
        <v>0</v>
      </c>
    </row>
    <row r="101" spans="1:54" ht="18.75" hidden="1">
      <c r="A101" s="2191" t="s">
        <v>1144</v>
      </c>
      <c r="B101" s="1463">
        <v>14</v>
      </c>
      <c r="E101" s="1479" t="s">
        <v>1131</v>
      </c>
      <c r="F101" s="1480"/>
      <c r="G101" s="1499" t="s">
        <v>1120</v>
      </c>
      <c r="H101" s="1468"/>
      <c r="I101" s="1488">
        <f>Drafts!J27</f>
        <v>2</v>
      </c>
      <c r="J101" s="1488">
        <f>Drafts!L27</f>
        <v>0</v>
      </c>
      <c r="K101" s="1488">
        <f>Drafts!N27</f>
        <v>0</v>
      </c>
      <c r="L101" s="1488">
        <f>Drafts!P27</f>
        <v>0</v>
      </c>
      <c r="M101" s="1488">
        <f>Drafts!R27</f>
        <v>0</v>
      </c>
      <c r="N101" s="1488">
        <f>Drafts!T27</f>
        <v>2</v>
      </c>
      <c r="S101" s="1462">
        <f t="shared" si="2"/>
        <v>0</v>
      </c>
      <c r="T101" s="1462" t="b">
        <f t="shared" si="5"/>
        <v>0</v>
      </c>
      <c r="U101" s="1462" t="b">
        <f t="shared" si="5"/>
        <v>0</v>
      </c>
      <c r="V101" s="1462" t="b">
        <f t="shared" si="5"/>
        <v>0</v>
      </c>
      <c r="W101" s="1462" t="b">
        <f t="shared" si="5"/>
        <v>0</v>
      </c>
      <c r="X101" s="1462" t="b">
        <f t="shared" si="5"/>
        <v>0</v>
      </c>
      <c r="Y101" s="1462" t="b">
        <f t="shared" si="5"/>
        <v>0</v>
      </c>
    </row>
    <row r="102" spans="1:54" ht="18.75" hidden="1">
      <c r="A102" s="2191" t="s">
        <v>1144</v>
      </c>
      <c r="B102" s="1463">
        <v>14</v>
      </c>
      <c r="E102" s="1475" t="s">
        <v>1132</v>
      </c>
      <c r="F102" s="1476"/>
      <c r="G102" s="1497" t="s">
        <v>1120</v>
      </c>
      <c r="H102" s="1468"/>
      <c r="I102" s="1489">
        <f>Drafts!J28</f>
        <v>3</v>
      </c>
      <c r="J102" s="1489">
        <f>Drafts!L28</f>
        <v>0</v>
      </c>
      <c r="K102" s="1489">
        <f>Drafts!N28</f>
        <v>0</v>
      </c>
      <c r="L102" s="1489">
        <f>Drafts!P28</f>
        <v>0</v>
      </c>
      <c r="M102" s="1489">
        <f>Drafts!R28</f>
        <v>0</v>
      </c>
      <c r="N102" s="1489">
        <f>Drafts!T28</f>
        <v>3</v>
      </c>
      <c r="S102" s="1462">
        <f t="shared" si="2"/>
        <v>0</v>
      </c>
      <c r="T102" s="1462" t="b">
        <f t="shared" si="5"/>
        <v>0</v>
      </c>
      <c r="U102" s="1462" t="b">
        <f t="shared" si="5"/>
        <v>0</v>
      </c>
      <c r="V102" s="1462" t="b">
        <f t="shared" si="5"/>
        <v>0</v>
      </c>
      <c r="W102" s="1462" t="b">
        <f t="shared" si="5"/>
        <v>0</v>
      </c>
      <c r="X102" s="1462" t="b">
        <f t="shared" si="5"/>
        <v>0</v>
      </c>
      <c r="Y102" s="1462" t="b">
        <f t="shared" si="5"/>
        <v>0</v>
      </c>
    </row>
    <row r="103" spans="1:54" ht="18.75" hidden="1">
      <c r="A103" s="2191" t="s">
        <v>1144</v>
      </c>
      <c r="B103" s="1463">
        <v>14</v>
      </c>
      <c r="E103" s="1477" t="s">
        <v>1133</v>
      </c>
      <c r="F103" s="1478"/>
      <c r="G103" s="1498" t="s">
        <v>1120</v>
      </c>
      <c r="H103" s="1468"/>
      <c r="I103" s="1490">
        <f>Drafts!J30</f>
        <v>0</v>
      </c>
      <c r="J103" s="1490">
        <f>Drafts!L30</f>
        <v>0</v>
      </c>
      <c r="K103" s="1490">
        <f>Drafts!N30</f>
        <v>0</v>
      </c>
      <c r="L103" s="1490">
        <f>Drafts!P30</f>
        <v>0</v>
      </c>
      <c r="M103" s="1490">
        <f>Drafts!R30</f>
        <v>0</v>
      </c>
      <c r="N103" s="1490">
        <f>Drafts!T30</f>
        <v>0</v>
      </c>
      <c r="S103" s="1462">
        <f t="shared" si="2"/>
        <v>0</v>
      </c>
      <c r="T103" s="1462" t="b">
        <f t="shared" si="5"/>
        <v>0</v>
      </c>
      <c r="U103" s="1462" t="b">
        <f t="shared" si="5"/>
        <v>0</v>
      </c>
      <c r="V103" s="1462" t="b">
        <f t="shared" si="5"/>
        <v>0</v>
      </c>
      <c r="W103" s="1462" t="b">
        <f t="shared" si="5"/>
        <v>0</v>
      </c>
      <c r="X103" s="1462" t="b">
        <f t="shared" si="5"/>
        <v>0</v>
      </c>
      <c r="Y103" s="1462" t="b">
        <f t="shared" si="5"/>
        <v>0</v>
      </c>
      <c r="AI103" s="1461" t="s">
        <v>923</v>
      </c>
    </row>
    <row r="104" spans="1:54" ht="18.75">
      <c r="A104" s="1461" t="str">
        <f t="shared" ref="A104:A115" si="6">IF(SURVEYMODE=3,"BQS","Y")</f>
        <v>Y</v>
      </c>
      <c r="B104" s="1463">
        <v>14</v>
      </c>
      <c r="E104" s="1479" t="s">
        <v>644</v>
      </c>
      <c r="F104" s="1480"/>
      <c r="G104" s="1499" t="s">
        <v>645</v>
      </c>
      <c r="H104" s="1468" t="s">
        <v>2</v>
      </c>
      <c r="I104" s="1491"/>
      <c r="J104" s="1491">
        <v>250</v>
      </c>
      <c r="K104" s="1491"/>
      <c r="L104" s="1491"/>
      <c r="M104" s="1491"/>
      <c r="N104" s="1491">
        <v>40</v>
      </c>
      <c r="S104" s="1462">
        <f>COUNTIF(T104:U104,TRUE)</f>
        <v>0</v>
      </c>
      <c r="T104" s="1462"/>
      <c r="U104" s="1462"/>
      <c r="AA104" s="1462" t="s">
        <v>291</v>
      </c>
      <c r="AB104" s="1481" t="s">
        <v>921</v>
      </c>
      <c r="AC104" s="1462" t="s">
        <v>919</v>
      </c>
      <c r="AD104" s="1462"/>
      <c r="AE104" s="1462" t="s">
        <v>356</v>
      </c>
      <c r="AF104" s="1462" t="s">
        <v>355</v>
      </c>
      <c r="AG104" s="1462" t="s">
        <v>356</v>
      </c>
      <c r="AH104" s="1462" t="s">
        <v>355</v>
      </c>
      <c r="AI104" s="1462" t="s">
        <v>385</v>
      </c>
      <c r="AJ104" s="1462" t="s">
        <v>385</v>
      </c>
      <c r="AL104" s="1462" t="s">
        <v>922</v>
      </c>
      <c r="AM104" s="1462"/>
      <c r="AN104" s="1462" t="s">
        <v>356</v>
      </c>
      <c r="AO104" s="1462" t="s">
        <v>355</v>
      </c>
      <c r="AP104" s="1462" t="s">
        <v>356</v>
      </c>
      <c r="AQ104" s="1462" t="s">
        <v>355</v>
      </c>
      <c r="AR104" s="1462" t="s">
        <v>385</v>
      </c>
      <c r="AS104" s="1462" t="s">
        <v>385</v>
      </c>
    </row>
    <row r="105" spans="1:54" ht="18.75">
      <c r="A105" s="1461" t="str">
        <f t="shared" si="6"/>
        <v>Y</v>
      </c>
      <c r="B105" s="1463">
        <v>14</v>
      </c>
      <c r="E105" s="1477" t="s">
        <v>701</v>
      </c>
      <c r="F105" s="1478"/>
      <c r="G105" s="1498" t="s">
        <v>645</v>
      </c>
      <c r="H105" s="1468" t="s">
        <v>2</v>
      </c>
      <c r="I105" s="1491"/>
      <c r="J105" s="1491">
        <v>250</v>
      </c>
      <c r="K105" s="1492"/>
      <c r="L105" s="1492"/>
      <c r="M105" s="1492"/>
      <c r="N105" s="1491">
        <v>40</v>
      </c>
      <c r="S105" s="1462">
        <f t="shared" ref="S105:S112" si="7">COUNTIF(T105:Y105,TRUE)</f>
        <v>0</v>
      </c>
      <c r="T105" s="1462" t="b">
        <f t="shared" ref="T105:Y107" si="8">AND($A105="Y",OR(AND(I$104&gt;0,I105=0),AND(I$104=0,I105&gt;0)))</f>
        <v>0</v>
      </c>
      <c r="U105" s="1462" t="b">
        <f t="shared" si="8"/>
        <v>0</v>
      </c>
      <c r="V105" s="1462" t="b">
        <f t="shared" si="8"/>
        <v>0</v>
      </c>
      <c r="W105" s="1462" t="b">
        <f t="shared" si="8"/>
        <v>0</v>
      </c>
      <c r="X105" s="1462" t="b">
        <f t="shared" si="8"/>
        <v>0</v>
      </c>
      <c r="Y105" s="1462" t="b">
        <f t="shared" si="8"/>
        <v>0</v>
      </c>
      <c r="AA105" s="1462" t="s">
        <v>292</v>
      </c>
      <c r="AB105" s="1481" t="s">
        <v>920</v>
      </c>
      <c r="AC105" s="1462"/>
      <c r="AD105" s="1462" t="str">
        <f>F106</f>
        <v>Density</v>
      </c>
      <c r="AE105" s="1462" t="s">
        <v>357</v>
      </c>
      <c r="AF105" s="1462" t="s">
        <v>292</v>
      </c>
      <c r="AG105" s="1462" t="s">
        <v>357</v>
      </c>
      <c r="AH105" s="1462" t="s">
        <v>291</v>
      </c>
      <c r="AI105" s="1462" t="s">
        <v>291</v>
      </c>
      <c r="AJ105" s="1462" t="s">
        <v>292</v>
      </c>
      <c r="AL105" s="1462"/>
      <c r="AM105" s="1462" t="str">
        <f>F110</f>
        <v>Density</v>
      </c>
      <c r="AN105" s="1462" t="s">
        <v>357</v>
      </c>
      <c r="AO105" s="1462" t="s">
        <v>292</v>
      </c>
      <c r="AP105" s="1462" t="s">
        <v>357</v>
      </c>
      <c r="AQ105" s="1462" t="s">
        <v>291</v>
      </c>
      <c r="AR105" s="1462" t="s">
        <v>291</v>
      </c>
      <c r="AS105" s="1462" t="s">
        <v>292</v>
      </c>
      <c r="AV105" s="1462"/>
      <c r="AW105" s="1462" t="str">
        <f t="shared" ref="AW105:BB105" si="9">I88</f>
        <v>HSFO</v>
      </c>
      <c r="AX105" s="1462" t="str">
        <f t="shared" si="9"/>
        <v>LSFO</v>
      </c>
      <c r="AY105" s="1462" t="str">
        <f t="shared" si="9"/>
        <v>MDO</v>
      </c>
      <c r="AZ105" s="1462" t="str">
        <f t="shared" si="9"/>
        <v>LSMDO</v>
      </c>
      <c r="BA105" s="1462" t="str">
        <f t="shared" si="9"/>
        <v>MGO</v>
      </c>
      <c r="BB105" s="1462" t="str">
        <f t="shared" si="9"/>
        <v>LSMGO</v>
      </c>
    </row>
    <row r="106" spans="1:54" ht="18.75">
      <c r="A106" s="1461" t="str">
        <f t="shared" si="6"/>
        <v>Y</v>
      </c>
      <c r="B106" s="1463">
        <v>14</v>
      </c>
      <c r="E106" s="1479" t="s">
        <v>919</v>
      </c>
      <c r="F106" s="1496" t="s">
        <v>291</v>
      </c>
      <c r="G106" s="1499" t="str">
        <f>IF($F106=$AA$104,$AB$104,$AB$105)</f>
        <v>(@ 15°C)</v>
      </c>
      <c r="H106" s="1468" t="s">
        <v>2</v>
      </c>
      <c r="I106" s="1493"/>
      <c r="J106" s="1493">
        <v>0.92059999999999997</v>
      </c>
      <c r="K106" s="1493"/>
      <c r="L106" s="1493"/>
      <c r="M106" s="1493"/>
      <c r="N106" s="1493">
        <v>0.83520000000000005</v>
      </c>
      <c r="S106" s="1462">
        <f t="shared" si="7"/>
        <v>0</v>
      </c>
      <c r="T106" s="1462" t="b">
        <f t="shared" si="8"/>
        <v>0</v>
      </c>
      <c r="U106" s="1462" t="b">
        <f t="shared" si="8"/>
        <v>0</v>
      </c>
      <c r="V106" s="1462" t="b">
        <f t="shared" si="8"/>
        <v>0</v>
      </c>
      <c r="W106" s="1462" t="b">
        <f t="shared" si="8"/>
        <v>0</v>
      </c>
      <c r="X106" s="1462" t="b">
        <f t="shared" si="8"/>
        <v>0</v>
      </c>
      <c r="Y106" s="1462" t="b">
        <f t="shared" si="8"/>
        <v>0</v>
      </c>
      <c r="AC106" s="1462" t="str">
        <f>I88</f>
        <v>HSFO</v>
      </c>
      <c r="AD106" s="1462" t="str">
        <f>IF(ISBLANK($I$106),"",$I$106)</f>
        <v/>
      </c>
      <c r="AE106" s="1462" t="str">
        <f t="shared" ref="AE106:AE111" si="10">IF($AD106&lt;&gt;"",ROUND(141.5/($AD106+131.5),4+5),"")</f>
        <v/>
      </c>
      <c r="AF106" s="1462" t="str">
        <f t="shared" ref="AF106:AF111" si="11">IF($AD106="","",IF($AD$105=AF$105,$AD106,IF(AE106&lt;&gt;"",IF(AE106&lt;0.6244,AE106-0,IF(AE106&lt;0.6834,AE106-0.0001,IF(AE106&lt;0.7574,AE106-0.0002,IF(AE106&lt;0.7864,AE106-0.0003,IF(AE106&lt;0.8524,AE106-0.0004,IF(AE106&lt;0.9414,AE106-0.0005,IF(AE106&lt;1.0334,AE106-0.0006,AE106-0.0007))))))),"")))</f>
        <v/>
      </c>
      <c r="AG106" s="1462" t="str">
        <f t="shared" ref="AG106:AG111" si="12">IF($AD106&lt;&gt;"",IF($AD106&lt;0.6245,$AD106+0,IF($AD106&lt;0.6835,$AD106+0.0001,IF($AD106&lt;0.7565,$AD106+0.0002,IF($AD106&lt;0.7855,$AD106+0.0003,IF($AD106&lt;0.8515,$AD106+0.0004,IF($AD106&lt;0.9415,$AD106+0.0005,IF($AD106&lt;1.0325,$AD106+0.0006,$AD106+0.0007))))))),"")</f>
        <v/>
      </c>
      <c r="AH106" s="1462" t="str">
        <f t="shared" ref="AH106:AH111" si="13">IF(OR($AD106=0,$AD106=""),"",IF($AD$105=AH$105,$AD106,IF(AG106&lt;&gt;"",ROUND(141.5/AG106-131.5,2+5),"")))</f>
        <v/>
      </c>
      <c r="AI106" s="1462" t="str">
        <f t="shared" ref="AI106:AI111" si="14">IF($AD106="","",IF($AD$105=AI$105,$AD106,IF(AE106&lt;&gt;"",IF(AE106&lt;0.6244,AE106-0,IF(AE106&lt;0.6834,AE106-0.0001,IF(AE106&lt;0.7574,AE106-0.0002,IF(AE106&lt;0.7864,AE106-0.0003,IF(AE106&lt;0.8524,AE106-0.0004,IF(AE106&lt;0.9414,AE106-0.0005,IF(AE106&lt;1.0334,AE106-0.0006,AE106-0.0007))))))),"")))</f>
        <v/>
      </c>
      <c r="AJ106" s="1462" t="str">
        <f t="shared" ref="AJ106:AJ111" si="15">IF(OR($AD106=0,$AD106=""),"",IF($AD$105=AJ$105,$AD106,IF(AG106&lt;&gt;"",ROUND(141.5/AG106-131.5,2+5),"")))</f>
        <v/>
      </c>
      <c r="AL106" s="1462" t="str">
        <f t="shared" ref="AL106:AL111" si="16">AC106</f>
        <v>HSFO</v>
      </c>
      <c r="AM106" s="1462" t="str">
        <f>IF(ISBLANK($I$110),"",$I$110)</f>
        <v/>
      </c>
      <c r="AN106" s="1462" t="str">
        <f t="shared" ref="AN106:AN111" si="17">IF($AM106&lt;&gt;"",ROUND(141.5/($AM106+131.5),4+5),"")</f>
        <v/>
      </c>
      <c r="AO106" s="1462" t="str">
        <f t="shared" ref="AO106:AO111" si="18">IF($AM106="","",IF($AM$105=AO$105,$AM106,IF(AN106&lt;&gt;"",IF(AN106&lt;0.6244,AN106-0,IF(AN106&lt;0.6834,AN106-0.0001,IF(AN106&lt;0.7574,AN106-0.0002,IF(AN106&lt;0.7864,AN106-0.0003,IF(AN106&lt;0.8524,AN106-0.0004,IF(AN106&lt;0.9414,AN106-0.0005,IF(AN106&lt;1.0334,AN106-0.0006,AN106-0.0007))))))),"")))</f>
        <v/>
      </c>
      <c r="AP106" s="1462" t="str">
        <f t="shared" ref="AP106:AP111" si="19">IF($AM106&lt;&gt;"",IF($AM106&lt;0.6245,$AM106+0,IF($AM106&lt;0.6835,$AM106+0.0001,IF($AM106&lt;0.7565,$AM106+0.0002,IF($AM106&lt;0.7855,$AM106+0.0003,IF($AM106&lt;0.8515,$AM106+0.0004,IF($AM106&lt;0.9415,$AM106+0.0005,IF($AM106&lt;1.0325,$AM106+0.0006,$AM106+0.0007))))))),"")</f>
        <v/>
      </c>
      <c r="AQ106" s="1462" t="str">
        <f t="shared" ref="AQ106:AQ111" si="20">IF(OR($AM106=0,$AM106=""),"",IF($AM$105=AQ$105,$AM106,IF(AP106&lt;&gt;"",ROUND(141.5/AP106-131.5,2+5),"")))</f>
        <v/>
      </c>
      <c r="AR106" s="1462" t="str">
        <f t="shared" ref="AR106:AR111" si="21">IF($AM106="","",IF($AM$105=AR$105,$AM106,IF(AN106&lt;&gt;"",IF(AN106&lt;0.6244,AN106-0,IF(AN106&lt;0.6834,AN106-0.0001,IF(AN106&lt;0.7574,AN106-0.0002,IF(AN106&lt;0.7864,AN106-0.0003,IF(AN106&lt;0.8524,AN106-0.0004,IF(AN106&lt;0.9414,AN106-0.0005,IF(AN106&lt;1.0334,AN106-0.0006,AN106-0.0007))))))),"")))</f>
        <v/>
      </c>
      <c r="AS106" s="1462" t="str">
        <f t="shared" ref="AS106:AS111" si="22">IF(OR($AM106=0,$AM106=""),"",IF($AM$105=AS$105,$AM106,IF(AP106&lt;&gt;"",ROUND(141.5/AP106-131.5,2+5),"")))</f>
        <v/>
      </c>
      <c r="AU106" s="1461" t="s">
        <v>955</v>
      </c>
      <c r="AV106" s="1462" t="s">
        <v>291</v>
      </c>
      <c r="AW106" s="1462" t="str">
        <f>AI106</f>
        <v/>
      </c>
      <c r="AX106" s="1462">
        <f>AI107</f>
        <v>0.92059999999999997</v>
      </c>
      <c r="AY106" s="1462" t="str">
        <f>AI108</f>
        <v/>
      </c>
      <c r="AZ106" s="1462" t="str">
        <f>AI109</f>
        <v/>
      </c>
      <c r="BA106" s="1462" t="str">
        <f>AI110</f>
        <v/>
      </c>
      <c r="BB106" s="1462">
        <f>AI111</f>
        <v>0.83520000000000005</v>
      </c>
    </row>
    <row r="107" spans="1:54" ht="18.75">
      <c r="A107" s="1461" t="str">
        <f t="shared" si="6"/>
        <v>Y</v>
      </c>
      <c r="B107" s="1463">
        <v>14</v>
      </c>
      <c r="E107" s="1475" t="s">
        <v>698</v>
      </c>
      <c r="F107" s="1476"/>
      <c r="G107" s="1497" t="s">
        <v>744</v>
      </c>
      <c r="H107" s="1468" t="s">
        <v>2</v>
      </c>
      <c r="I107" s="2196"/>
      <c r="J107" s="2196">
        <v>81.45</v>
      </c>
      <c r="K107" s="2196"/>
      <c r="L107" s="2196"/>
      <c r="M107" s="2196"/>
      <c r="N107" s="2196">
        <v>3.24</v>
      </c>
      <c r="S107" s="1462">
        <f t="shared" si="7"/>
        <v>0</v>
      </c>
      <c r="T107" s="1462" t="b">
        <f t="shared" si="8"/>
        <v>0</v>
      </c>
      <c r="U107" s="1462" t="b">
        <f t="shared" si="8"/>
        <v>0</v>
      </c>
      <c r="V107" s="1462" t="b">
        <f t="shared" si="8"/>
        <v>0</v>
      </c>
      <c r="W107" s="1462" t="b">
        <f t="shared" si="8"/>
        <v>0</v>
      </c>
      <c r="X107" s="1462" t="b">
        <f t="shared" si="8"/>
        <v>0</v>
      </c>
      <c r="Y107" s="1462" t="b">
        <f t="shared" si="8"/>
        <v>0</v>
      </c>
      <c r="AC107" s="1462" t="str">
        <f>J88</f>
        <v>LSFO</v>
      </c>
      <c r="AD107" s="1462">
        <f>IF(ISBLANK($J$106),"",$J$106)</f>
        <v>0.92059999999999997</v>
      </c>
      <c r="AE107" s="1462">
        <f t="shared" si="10"/>
        <v>1.068564861</v>
      </c>
      <c r="AF107" s="1462">
        <f t="shared" si="11"/>
        <v>1.0678648610000001</v>
      </c>
      <c r="AG107" s="1462">
        <f t="shared" si="12"/>
        <v>0.92109999999999992</v>
      </c>
      <c r="AH107" s="1462">
        <f t="shared" si="13"/>
        <v>0.92059999999999997</v>
      </c>
      <c r="AI107" s="1462">
        <f t="shared" si="14"/>
        <v>0.92059999999999997</v>
      </c>
      <c r="AJ107" s="1462">
        <f t="shared" si="15"/>
        <v>22.1206709</v>
      </c>
      <c r="AL107" s="1462" t="str">
        <f t="shared" si="16"/>
        <v>LSFO</v>
      </c>
      <c r="AM107" s="1462" t="str">
        <f>IF(ISBLANK($J$110),"",$J$110)</f>
        <v/>
      </c>
      <c r="AN107" s="1462" t="str">
        <f t="shared" si="17"/>
        <v/>
      </c>
      <c r="AO107" s="1462" t="str">
        <f t="shared" si="18"/>
        <v/>
      </c>
      <c r="AP107" s="1462" t="str">
        <f t="shared" si="19"/>
        <v/>
      </c>
      <c r="AQ107" s="1462" t="str">
        <f t="shared" si="20"/>
        <v/>
      </c>
      <c r="AR107" s="1462" t="str">
        <f t="shared" si="21"/>
        <v/>
      </c>
      <c r="AS107" s="1462" t="str">
        <f t="shared" si="22"/>
        <v/>
      </c>
      <c r="AV107" s="1462" t="s">
        <v>957</v>
      </c>
      <c r="AW107" s="1462">
        <f>'Summary Report'!M41</f>
        <v>6</v>
      </c>
      <c r="AX107" s="1462">
        <f>'Summary Report'!M67</f>
        <v>380</v>
      </c>
      <c r="AY107" s="1462">
        <f>'Summary Report'!M93</f>
        <v>6</v>
      </c>
      <c r="AZ107" s="1462">
        <f>'Summary Report'!M119</f>
        <v>6</v>
      </c>
      <c r="BA107" s="1462">
        <f>'Summary Report'!M145</f>
        <v>6</v>
      </c>
      <c r="BB107" s="1462">
        <f>'Summary Report'!M171</f>
        <v>6</v>
      </c>
    </row>
    <row r="108" spans="1:54" ht="18.75">
      <c r="A108" s="1461" t="str">
        <f t="shared" si="6"/>
        <v>Y</v>
      </c>
      <c r="B108" s="1463">
        <v>14</v>
      </c>
      <c r="E108" s="1475" t="s">
        <v>697</v>
      </c>
      <c r="F108" s="1476"/>
      <c r="G108" s="1497" t="s">
        <v>646</v>
      </c>
      <c r="H108" s="2226" t="s">
        <v>2</v>
      </c>
      <c r="I108" s="1489"/>
      <c r="J108" s="1489">
        <v>0.1</v>
      </c>
      <c r="K108" s="1489"/>
      <c r="L108" s="1489"/>
      <c r="M108" s="1489"/>
      <c r="N108" s="1489"/>
      <c r="S108" s="1462">
        <f t="shared" si="7"/>
        <v>1</v>
      </c>
      <c r="T108" s="1462" t="b">
        <f t="shared" ref="T108:Y108" si="23">AND($A108="Y",OR(AND(I$104&gt;0,I108=""),AND(I$104=0,I108&lt;&gt;"")))</f>
        <v>0</v>
      </c>
      <c r="U108" s="1462" t="b">
        <f t="shared" si="23"/>
        <v>0</v>
      </c>
      <c r="V108" s="1462" t="b">
        <f t="shared" si="23"/>
        <v>0</v>
      </c>
      <c r="W108" s="1462" t="b">
        <f t="shared" si="23"/>
        <v>0</v>
      </c>
      <c r="X108" s="1462" t="b">
        <f t="shared" si="23"/>
        <v>0</v>
      </c>
      <c r="Y108" s="1462" t="b">
        <f t="shared" si="23"/>
        <v>1</v>
      </c>
      <c r="AC108" s="1462" t="str">
        <f>K88</f>
        <v>MDO</v>
      </c>
      <c r="AD108" s="1462" t="str">
        <f>IF(ISBLANK($K$106),"",$K$106)</f>
        <v/>
      </c>
      <c r="AE108" s="1462" t="str">
        <f t="shared" si="10"/>
        <v/>
      </c>
      <c r="AF108" s="1462" t="str">
        <f t="shared" si="11"/>
        <v/>
      </c>
      <c r="AG108" s="1462" t="str">
        <f t="shared" si="12"/>
        <v/>
      </c>
      <c r="AH108" s="1462" t="str">
        <f t="shared" si="13"/>
        <v/>
      </c>
      <c r="AI108" s="1462" t="str">
        <f t="shared" si="14"/>
        <v/>
      </c>
      <c r="AJ108" s="1462" t="str">
        <f t="shared" si="15"/>
        <v/>
      </c>
      <c r="AL108" s="1462" t="str">
        <f t="shared" si="16"/>
        <v>MDO</v>
      </c>
      <c r="AM108" s="1462" t="str">
        <f>IF(ISBLANK($K$110),"",$K$110)</f>
        <v/>
      </c>
      <c r="AN108" s="1462" t="str">
        <f t="shared" si="17"/>
        <v/>
      </c>
      <c r="AO108" s="1462" t="str">
        <f t="shared" si="18"/>
        <v/>
      </c>
      <c r="AP108" s="1462" t="str">
        <f t="shared" si="19"/>
        <v/>
      </c>
      <c r="AQ108" s="1462" t="str">
        <f t="shared" si="20"/>
        <v/>
      </c>
      <c r="AR108" s="1462" t="str">
        <f t="shared" si="21"/>
        <v/>
      </c>
      <c r="AS108" s="1462" t="str">
        <f t="shared" si="22"/>
        <v/>
      </c>
      <c r="AV108" s="1462" t="s">
        <v>958</v>
      </c>
      <c r="AW108" s="1462">
        <f>'Summary Report'!M42</f>
        <v>0.6</v>
      </c>
      <c r="AX108" s="1462">
        <f>'Summary Report'!M68</f>
        <v>0.5</v>
      </c>
      <c r="AY108" s="1462">
        <f>'Summary Report'!M94</f>
        <v>0.6</v>
      </c>
      <c r="AZ108" s="1462">
        <f>'Summary Report'!M120</f>
        <v>0.6</v>
      </c>
      <c r="BA108" s="1462">
        <f>'Summary Report'!M146</f>
        <v>0.6</v>
      </c>
      <c r="BB108" s="1462">
        <f>'Summary Report'!M172</f>
        <v>0.6</v>
      </c>
    </row>
    <row r="109" spans="1:54" ht="18.75">
      <c r="A109" s="1461" t="str">
        <f t="shared" si="6"/>
        <v>Y</v>
      </c>
      <c r="B109" s="1463">
        <v>14</v>
      </c>
      <c r="E109" s="2222" t="s">
        <v>1499</v>
      </c>
      <c r="F109" s="2223"/>
      <c r="G109" s="2224" t="s">
        <v>1500</v>
      </c>
      <c r="H109" s="1468" t="s">
        <v>2</v>
      </c>
      <c r="I109" s="2225"/>
      <c r="J109" s="2225">
        <v>0.49</v>
      </c>
      <c r="K109" s="2225"/>
      <c r="L109" s="2225"/>
      <c r="M109" s="2225"/>
      <c r="N109" s="2225">
        <v>7.0000000000000007E-2</v>
      </c>
      <c r="S109" s="1462">
        <f t="shared" ref="S109" si="24">COUNTIF(T109:Y109,TRUE)</f>
        <v>0</v>
      </c>
      <c r="T109" s="1462" t="b">
        <f t="shared" ref="T109" si="25">AND($A109="Y",OR(AND(I$104&gt;0,I109=""),AND(I$104=0,I109&lt;&gt;"")))</f>
        <v>0</v>
      </c>
      <c r="U109" s="1462" t="b">
        <f t="shared" ref="U109" si="26">AND($A109="Y",OR(AND(J$104&gt;0,J109=""),AND(J$104=0,J109&lt;&gt;"")))</f>
        <v>0</v>
      </c>
      <c r="V109" s="1462" t="b">
        <f t="shared" ref="V109" si="27">AND($A109="Y",OR(AND(K$104&gt;0,K109=""),AND(K$104=0,K109&lt;&gt;"")))</f>
        <v>0</v>
      </c>
      <c r="W109" s="1462" t="b">
        <f t="shared" ref="W109" si="28">AND($A109="Y",OR(AND(L$104&gt;0,L109=""),AND(L$104=0,L109&lt;&gt;"")))</f>
        <v>0</v>
      </c>
      <c r="X109" s="1462" t="b">
        <f t="shared" ref="X109" si="29">AND($A109="Y",OR(AND(M$104&gt;0,M109=""),AND(M$104=0,M109&lt;&gt;"")))</f>
        <v>0</v>
      </c>
      <c r="Y109" s="1462" t="b">
        <f t="shared" ref="Y109" si="30">AND($A109="Y",OR(AND(N$104&gt;0,N109=""),AND(N$104=0,N109&lt;&gt;"")))</f>
        <v>0</v>
      </c>
      <c r="AC109" s="1462" t="str">
        <f>L88</f>
        <v>LSMDO</v>
      </c>
      <c r="AD109" s="1462" t="str">
        <f>IF(ISBLANK($L$106),"",$L$106)</f>
        <v/>
      </c>
      <c r="AE109" s="1462" t="str">
        <f t="shared" si="10"/>
        <v/>
      </c>
      <c r="AF109" s="1462" t="str">
        <f t="shared" si="11"/>
        <v/>
      </c>
      <c r="AG109" s="1462" t="str">
        <f t="shared" si="12"/>
        <v/>
      </c>
      <c r="AH109" s="1462" t="str">
        <f t="shared" si="13"/>
        <v/>
      </c>
      <c r="AI109" s="1462" t="str">
        <f t="shared" si="14"/>
        <v/>
      </c>
      <c r="AJ109" s="1462" t="str">
        <f t="shared" si="15"/>
        <v/>
      </c>
      <c r="AL109" s="1462" t="str">
        <f t="shared" si="16"/>
        <v>LSMDO</v>
      </c>
      <c r="AM109" s="1462" t="str">
        <f>IF(ISBLANK($L$110),"",$L$110)</f>
        <v/>
      </c>
      <c r="AN109" s="1462" t="str">
        <f t="shared" si="17"/>
        <v/>
      </c>
      <c r="AO109" s="1462" t="str">
        <f t="shared" si="18"/>
        <v/>
      </c>
      <c r="AP109" s="1462" t="str">
        <f t="shared" si="19"/>
        <v/>
      </c>
      <c r="AQ109" s="1462" t="str">
        <f t="shared" si="20"/>
        <v/>
      </c>
      <c r="AR109" s="1462" t="str">
        <f t="shared" si="21"/>
        <v/>
      </c>
      <c r="AS109" s="1462" t="str">
        <f t="shared" si="22"/>
        <v/>
      </c>
      <c r="AU109" s="1461" t="s">
        <v>956</v>
      </c>
      <c r="AV109" s="1462" t="s">
        <v>291</v>
      </c>
      <c r="AW109" s="1462" t="str">
        <f>AR106</f>
        <v/>
      </c>
      <c r="AX109" s="1462" t="str">
        <f>AR107</f>
        <v/>
      </c>
      <c r="AY109" s="1462" t="str">
        <f>AR108</f>
        <v/>
      </c>
      <c r="AZ109" s="1462" t="str">
        <f>AR109</f>
        <v/>
      </c>
      <c r="BA109" s="1462" t="str">
        <f>AR110</f>
        <v/>
      </c>
      <c r="BB109" s="1462" t="str">
        <f>AR111</f>
        <v/>
      </c>
    </row>
    <row r="110" spans="1:54" ht="18.75">
      <c r="A110" s="1461" t="str">
        <f t="shared" si="6"/>
        <v>Y</v>
      </c>
      <c r="B110" s="1463">
        <v>14</v>
      </c>
      <c r="E110" s="1479" t="s">
        <v>922</v>
      </c>
      <c r="F110" s="1496" t="s">
        <v>291</v>
      </c>
      <c r="G110" s="1499" t="str">
        <f>IF($F110=$AA$104,$AB$104,$AB$105)</f>
        <v>(@ 15°C)</v>
      </c>
      <c r="H110" s="1468" t="s">
        <v>2</v>
      </c>
      <c r="I110" s="1493"/>
      <c r="J110" s="1493"/>
      <c r="K110" s="1493"/>
      <c r="L110" s="1493"/>
      <c r="M110" s="1493"/>
      <c r="N110" s="1493"/>
      <c r="S110" s="1462">
        <f t="shared" si="7"/>
        <v>0</v>
      </c>
      <c r="T110" s="1462" t="b">
        <f t="shared" ref="T110:Y112" si="31">AND($A110="Y",I$104=0,I110&gt;0)</f>
        <v>0</v>
      </c>
      <c r="U110" s="1462" t="b">
        <f t="shared" si="31"/>
        <v>0</v>
      </c>
      <c r="V110" s="1462" t="b">
        <f t="shared" si="31"/>
        <v>0</v>
      </c>
      <c r="W110" s="1462" t="b">
        <f t="shared" si="31"/>
        <v>0</v>
      </c>
      <c r="X110" s="1462" t="b">
        <f t="shared" si="31"/>
        <v>0</v>
      </c>
      <c r="Y110" s="1462" t="b">
        <f t="shared" si="31"/>
        <v>0</v>
      </c>
      <c r="AC110" s="1462" t="str">
        <f>M88</f>
        <v>MGO</v>
      </c>
      <c r="AD110" s="1462" t="str">
        <f>IF(ISBLANK($M$106),"",$M$106)</f>
        <v/>
      </c>
      <c r="AE110" s="1462" t="str">
        <f t="shared" si="10"/>
        <v/>
      </c>
      <c r="AF110" s="1462" t="str">
        <f t="shared" si="11"/>
        <v/>
      </c>
      <c r="AG110" s="1462" t="str">
        <f t="shared" si="12"/>
        <v/>
      </c>
      <c r="AH110" s="1462" t="str">
        <f t="shared" si="13"/>
        <v/>
      </c>
      <c r="AI110" s="1462" t="str">
        <f t="shared" si="14"/>
        <v/>
      </c>
      <c r="AJ110" s="1462" t="str">
        <f t="shared" si="15"/>
        <v/>
      </c>
      <c r="AL110" s="1462" t="str">
        <f t="shared" si="16"/>
        <v>MGO</v>
      </c>
      <c r="AM110" s="1462" t="str">
        <f>IF(ISBLANK($M$110),"",$M$110)</f>
        <v/>
      </c>
      <c r="AN110" s="1462" t="str">
        <f t="shared" si="17"/>
        <v/>
      </c>
      <c r="AO110" s="1462" t="str">
        <f t="shared" si="18"/>
        <v/>
      </c>
      <c r="AP110" s="1462" t="str">
        <f t="shared" si="19"/>
        <v/>
      </c>
      <c r="AQ110" s="1462" t="str">
        <f t="shared" si="20"/>
        <v/>
      </c>
      <c r="AR110" s="1462" t="str">
        <f t="shared" si="21"/>
        <v/>
      </c>
      <c r="AS110" s="1462" t="str">
        <f t="shared" si="22"/>
        <v/>
      </c>
    </row>
    <row r="111" spans="1:54" ht="18.75">
      <c r="A111" s="1461" t="str">
        <f t="shared" si="6"/>
        <v>Y</v>
      </c>
      <c r="B111" s="1463">
        <v>14</v>
      </c>
      <c r="E111" s="1475" t="s">
        <v>699</v>
      </c>
      <c r="F111" s="1476"/>
      <c r="G111" s="1497" t="s">
        <v>744</v>
      </c>
      <c r="H111" s="1468" t="s">
        <v>2</v>
      </c>
      <c r="I111" s="2196"/>
      <c r="J111" s="2196"/>
      <c r="K111" s="2196"/>
      <c r="L111" s="2196"/>
      <c r="M111" s="2196"/>
      <c r="N111" s="2196"/>
      <c r="S111" s="1462">
        <f t="shared" si="7"/>
        <v>0</v>
      </c>
      <c r="T111" s="1462" t="b">
        <f t="shared" si="31"/>
        <v>0</v>
      </c>
      <c r="U111" s="1462" t="b">
        <f t="shared" si="31"/>
        <v>0</v>
      </c>
      <c r="V111" s="1462" t="b">
        <f t="shared" si="31"/>
        <v>0</v>
      </c>
      <c r="W111" s="1462" t="b">
        <f t="shared" si="31"/>
        <v>0</v>
      </c>
      <c r="X111" s="1462" t="b">
        <f t="shared" si="31"/>
        <v>0</v>
      </c>
      <c r="Y111" s="1462" t="b">
        <f t="shared" si="31"/>
        <v>0</v>
      </c>
      <c r="AC111" s="1462" t="str">
        <f>N88</f>
        <v>LSMGO</v>
      </c>
      <c r="AD111" s="1462">
        <f>IF(ISBLANK($N$106),"",$N$106)</f>
        <v>0.83520000000000005</v>
      </c>
      <c r="AE111" s="1462">
        <f t="shared" si="10"/>
        <v>1.0692544390000001</v>
      </c>
      <c r="AF111" s="1462">
        <f t="shared" si="11"/>
        <v>1.0685544390000001</v>
      </c>
      <c r="AG111" s="1462">
        <f t="shared" si="12"/>
        <v>0.83560000000000001</v>
      </c>
      <c r="AH111" s="1462">
        <f t="shared" si="13"/>
        <v>0.83520000000000005</v>
      </c>
      <c r="AI111" s="1462">
        <f t="shared" si="14"/>
        <v>0.83520000000000005</v>
      </c>
      <c r="AJ111" s="1462">
        <f t="shared" si="15"/>
        <v>37.839396800000003</v>
      </c>
      <c r="AL111" s="1462" t="str">
        <f t="shared" si="16"/>
        <v>LSMGO</v>
      </c>
      <c r="AM111" s="1462" t="str">
        <f>IF(ISBLANK($N$110),"",$N$110)</f>
        <v/>
      </c>
      <c r="AN111" s="1462" t="str">
        <f t="shared" si="17"/>
        <v/>
      </c>
      <c r="AO111" s="1462" t="str">
        <f t="shared" si="18"/>
        <v/>
      </c>
      <c r="AP111" s="1462" t="str">
        <f t="shared" si="19"/>
        <v/>
      </c>
      <c r="AQ111" s="1462" t="str">
        <f t="shared" si="20"/>
        <v/>
      </c>
      <c r="AR111" s="1462" t="str">
        <f t="shared" si="21"/>
        <v/>
      </c>
      <c r="AS111" s="1462" t="str">
        <f t="shared" si="22"/>
        <v/>
      </c>
    </row>
    <row r="112" spans="1:54" ht="18.75">
      <c r="A112" s="1461" t="str">
        <f t="shared" si="6"/>
        <v>Y</v>
      </c>
      <c r="B112" s="1463">
        <v>14</v>
      </c>
      <c r="E112" s="1475" t="s">
        <v>700</v>
      </c>
      <c r="F112" s="1476"/>
      <c r="G112" s="1497" t="s">
        <v>646</v>
      </c>
      <c r="H112" s="1468" t="s">
        <v>2</v>
      </c>
      <c r="I112" s="1489"/>
      <c r="J112" s="1489"/>
      <c r="K112" s="1489"/>
      <c r="L112" s="1489"/>
      <c r="M112" s="1489"/>
      <c r="N112" s="1489"/>
      <c r="S112" s="1462">
        <f t="shared" si="7"/>
        <v>0</v>
      </c>
      <c r="T112" s="1462" t="b">
        <f t="shared" si="31"/>
        <v>0</v>
      </c>
      <c r="U112" s="1462" t="b">
        <f t="shared" si="31"/>
        <v>0</v>
      </c>
      <c r="V112" s="1462" t="b">
        <f t="shared" si="31"/>
        <v>0</v>
      </c>
      <c r="W112" s="1462" t="b">
        <f t="shared" si="31"/>
        <v>0</v>
      </c>
      <c r="X112" s="1462" t="b">
        <f t="shared" si="31"/>
        <v>0</v>
      </c>
      <c r="Y112" s="1462" t="b">
        <f t="shared" si="31"/>
        <v>0</v>
      </c>
    </row>
    <row r="113" spans="1:25" ht="18.75">
      <c r="A113" s="1461" t="str">
        <f t="shared" si="6"/>
        <v>Y</v>
      </c>
      <c r="B113" s="1463">
        <v>14</v>
      </c>
      <c r="E113" s="1475" t="s">
        <v>1501</v>
      </c>
      <c r="F113" s="1476"/>
      <c r="G113" s="1497" t="s">
        <v>1500</v>
      </c>
      <c r="H113" s="1468" t="s">
        <v>2</v>
      </c>
      <c r="I113" s="1489"/>
      <c r="J113" s="1489"/>
      <c r="K113" s="1489"/>
      <c r="L113" s="1489"/>
      <c r="M113" s="1489"/>
      <c r="N113" s="1489"/>
      <c r="S113" s="1462">
        <f t="shared" ref="S113" si="32">COUNTIF(T113:Y113,TRUE)</f>
        <v>0</v>
      </c>
      <c r="T113" s="1462" t="b">
        <f t="shared" ref="T113" si="33">AND($A113="Y",I$104=0,I113&gt;0)</f>
        <v>0</v>
      </c>
      <c r="U113" s="1462" t="b">
        <f t="shared" ref="U113" si="34">AND($A113="Y",J$104=0,J113&gt;0)</f>
        <v>0</v>
      </c>
      <c r="V113" s="1462" t="b">
        <f t="shared" ref="V113" si="35">AND($A113="Y",K$104=0,K113&gt;0)</f>
        <v>0</v>
      </c>
      <c r="W113" s="1462" t="b">
        <f t="shared" ref="W113" si="36">AND($A113="Y",L$104=0,L113&gt;0)</f>
        <v>0</v>
      </c>
      <c r="X113" s="1462" t="b">
        <f t="shared" ref="X113" si="37">AND($A113="Y",M$104=0,M113&gt;0)</f>
        <v>0</v>
      </c>
      <c r="Y113" s="1462" t="b">
        <f t="shared" ref="Y113" si="38">AND($A113="Y",N$104=0,N113&gt;0)</f>
        <v>0</v>
      </c>
    </row>
    <row r="114" spans="1:25" s="1465" customFormat="1" ht="5.25">
      <c r="A114" s="1465" t="str">
        <f t="shared" si="6"/>
        <v>Y</v>
      </c>
      <c r="B114" s="1465">
        <v>2</v>
      </c>
      <c r="E114" s="1469"/>
      <c r="F114" s="1469"/>
      <c r="G114" s="1469"/>
      <c r="H114" s="1470"/>
      <c r="I114" s="1482" t="s">
        <v>1170</v>
      </c>
      <c r="J114" s="1482" t="s">
        <v>1170</v>
      </c>
      <c r="K114" s="1482" t="s">
        <v>1170</v>
      </c>
      <c r="L114" s="1482" t="s">
        <v>1170</v>
      </c>
      <c r="M114" s="1482" t="s">
        <v>1170</v>
      </c>
      <c r="N114" s="1482" t="s">
        <v>1170</v>
      </c>
      <c r="S114" s="1466"/>
      <c r="T114" s="1466"/>
      <c r="U114" s="1466"/>
    </row>
    <row r="115" spans="1:25">
      <c r="A115" s="1461" t="str">
        <f t="shared" si="6"/>
        <v>Y</v>
      </c>
      <c r="B115" s="1461">
        <v>11</v>
      </c>
      <c r="E115" s="1467" t="s">
        <v>156</v>
      </c>
      <c r="F115" s="1467"/>
      <c r="G115" s="1500"/>
      <c r="H115" s="1468" t="s">
        <v>2</v>
      </c>
      <c r="I115" s="2337" t="s">
        <v>354</v>
      </c>
      <c r="J115" s="2337"/>
      <c r="K115" s="2337"/>
      <c r="L115" s="2337"/>
      <c r="M115" s="2337"/>
      <c r="N115" s="2337"/>
      <c r="S115" s="1462">
        <f>COUNTIF(T115:U115,TRUE)</f>
        <v>0</v>
      </c>
      <c r="T115" s="1462" t="b">
        <f>AND($A115="Y",I115=0)</f>
        <v>0</v>
      </c>
      <c r="U115" s="1462"/>
    </row>
    <row r="116" spans="1:25" s="1465" customFormat="1" ht="5.25" hidden="1">
      <c r="A116" s="1465" t="s">
        <v>270</v>
      </c>
      <c r="B116" s="1465">
        <v>2</v>
      </c>
      <c r="E116" s="1469"/>
      <c r="F116" s="1469"/>
      <c r="G116" s="1469"/>
      <c r="H116" s="1470"/>
      <c r="I116" s="1482"/>
      <c r="J116" s="1482"/>
      <c r="K116" s="1482"/>
      <c r="L116" s="1482"/>
      <c r="M116" s="1482"/>
      <c r="N116" s="1482"/>
      <c r="S116" s="1466"/>
      <c r="T116" s="1466"/>
      <c r="U116" s="1466"/>
    </row>
    <row r="117" spans="1:25">
      <c r="A117" s="1461" t="s">
        <v>284</v>
      </c>
      <c r="B117" s="1461">
        <v>11</v>
      </c>
      <c r="E117" s="1467" t="s">
        <v>303</v>
      </c>
      <c r="F117" s="1467"/>
      <c r="G117" s="1500"/>
      <c r="H117" s="1468" t="s">
        <v>2</v>
      </c>
      <c r="I117" s="2337" t="s">
        <v>1567</v>
      </c>
      <c r="J117" s="2337"/>
      <c r="K117" s="2337"/>
      <c r="L117" s="2337"/>
      <c r="M117" s="2337"/>
      <c r="N117" s="2337"/>
      <c r="S117" s="1462">
        <f>COUNTIF(T117:U117,TRUE)</f>
        <v>0</v>
      </c>
      <c r="T117" s="1462" t="b">
        <f>AND($A117="Y",I117=0)</f>
        <v>0</v>
      </c>
      <c r="U117" s="1462"/>
    </row>
    <row r="118" spans="1:25" s="1465" customFormat="1" ht="5.25" hidden="1">
      <c r="A118" s="1465" t="s">
        <v>270</v>
      </c>
      <c r="B118" s="1465">
        <v>2</v>
      </c>
      <c r="E118" s="1469"/>
      <c r="F118" s="1469"/>
      <c r="G118" s="1469"/>
      <c r="H118" s="1470"/>
      <c r="I118" s="1482"/>
      <c r="J118" s="1482"/>
      <c r="K118" s="1482"/>
      <c r="L118" s="1482"/>
      <c r="M118" s="1482"/>
      <c r="N118" s="1482"/>
      <c r="S118" s="1466"/>
      <c r="T118" s="1466"/>
      <c r="U118" s="1466"/>
    </row>
    <row r="119" spans="1:25">
      <c r="A119" s="1461" t="s">
        <v>284</v>
      </c>
      <c r="B119" s="1461">
        <v>11</v>
      </c>
      <c r="E119" s="1467" t="s">
        <v>304</v>
      </c>
      <c r="F119" s="1467"/>
      <c r="G119" s="1500"/>
      <c r="H119" s="1468" t="s">
        <v>2</v>
      </c>
      <c r="I119" s="2337"/>
      <c r="J119" s="2337"/>
      <c r="K119" s="2337"/>
      <c r="L119" s="2337"/>
      <c r="M119" s="2337"/>
      <c r="N119" s="2337"/>
      <c r="S119" s="1462">
        <f>COUNTIF(T119:U119,TRUE)</f>
        <v>1</v>
      </c>
      <c r="T119" s="1462" t="b">
        <f>AND($A119="Y",I119=0)</f>
        <v>1</v>
      </c>
      <c r="U119" s="1462"/>
    </row>
    <row r="120" spans="1:25" s="1465" customFormat="1" ht="5.25" hidden="1">
      <c r="A120" s="1465" t="s">
        <v>270</v>
      </c>
      <c r="B120" s="1465">
        <v>2</v>
      </c>
      <c r="E120" s="1469"/>
      <c r="F120" s="1469"/>
      <c r="G120" s="1469"/>
      <c r="H120" s="1470"/>
      <c r="I120" s="1482"/>
      <c r="J120" s="1482"/>
      <c r="K120" s="1482"/>
      <c r="L120" s="1482"/>
      <c r="M120" s="1482"/>
      <c r="N120" s="1482"/>
      <c r="S120" s="1466"/>
      <c r="T120" s="1466"/>
      <c r="U120" s="1466"/>
    </row>
    <row r="121" spans="1:25">
      <c r="A121" s="1461" t="s">
        <v>284</v>
      </c>
      <c r="B121" s="1461">
        <v>11</v>
      </c>
      <c r="E121" s="1467" t="s">
        <v>305</v>
      </c>
      <c r="F121" s="1467"/>
      <c r="G121" s="1500"/>
      <c r="H121" s="1468" t="s">
        <v>2</v>
      </c>
      <c r="I121" s="2337" t="s">
        <v>1553</v>
      </c>
      <c r="J121" s="2337"/>
      <c r="K121" s="2337"/>
      <c r="L121" s="2337"/>
      <c r="M121" s="2337"/>
      <c r="N121" s="2337"/>
      <c r="S121" s="1462">
        <f>COUNTIF(T121:U121,TRUE)</f>
        <v>0</v>
      </c>
      <c r="T121" s="1462" t="b">
        <f>AND($A121="Y",I121=0)</f>
        <v>0</v>
      </c>
      <c r="U121" s="1462"/>
    </row>
    <row r="122" spans="1:25" s="1465" customFormat="1" ht="5.25" hidden="1">
      <c r="A122" s="1465" t="s">
        <v>270</v>
      </c>
      <c r="B122" s="1465">
        <v>2</v>
      </c>
      <c r="E122" s="1469"/>
      <c r="F122" s="1469"/>
      <c r="G122" s="1469"/>
      <c r="H122" s="1470"/>
      <c r="I122" s="1482"/>
      <c r="J122" s="1482"/>
      <c r="K122" s="1482"/>
      <c r="L122" s="1482"/>
      <c r="M122" s="1482"/>
      <c r="N122" s="1482"/>
      <c r="S122" s="1466"/>
      <c r="T122" s="1466"/>
      <c r="U122" s="1466"/>
    </row>
    <row r="123" spans="1:25">
      <c r="A123" s="1461" t="s">
        <v>284</v>
      </c>
      <c r="B123" s="1461">
        <v>11</v>
      </c>
      <c r="E123" s="1467" t="s">
        <v>306</v>
      </c>
      <c r="F123" s="1467"/>
      <c r="G123" s="1500"/>
      <c r="H123" s="1468" t="s">
        <v>2</v>
      </c>
      <c r="I123" s="2337" t="s">
        <v>1553</v>
      </c>
      <c r="J123" s="2337"/>
      <c r="K123" s="2337"/>
      <c r="L123" s="2337"/>
      <c r="M123" s="2337"/>
      <c r="N123" s="2337"/>
      <c r="S123" s="1462">
        <f>COUNTIF(T123:U123,TRUE)</f>
        <v>0</v>
      </c>
      <c r="T123" s="1462" t="b">
        <f>AND($A123="Y",I123=0)</f>
        <v>0</v>
      </c>
      <c r="U123" s="1462"/>
    </row>
    <row r="124" spans="1:25" s="1465" customFormat="1" ht="5.25" hidden="1">
      <c r="A124" s="1465" t="s">
        <v>270</v>
      </c>
      <c r="B124" s="1465">
        <v>2</v>
      </c>
      <c r="E124" s="1469"/>
      <c r="F124" s="1469"/>
      <c r="G124" s="1469"/>
      <c r="H124" s="1470"/>
      <c r="I124" s="1482"/>
      <c r="J124" s="1482"/>
      <c r="K124" s="1482"/>
      <c r="L124" s="1482"/>
      <c r="M124" s="1482"/>
      <c r="N124" s="1482"/>
      <c r="S124" s="1466"/>
      <c r="T124" s="1466"/>
      <c r="U124" s="1466"/>
    </row>
    <row r="125" spans="1:25">
      <c r="A125" s="1461" t="s">
        <v>284</v>
      </c>
      <c r="B125" s="1461">
        <v>11</v>
      </c>
      <c r="E125" s="1467" t="s">
        <v>307</v>
      </c>
      <c r="F125" s="1467"/>
      <c r="G125" s="1500"/>
      <c r="H125" s="1468" t="s">
        <v>2</v>
      </c>
      <c r="I125" s="2337"/>
      <c r="J125" s="2337"/>
      <c r="K125" s="2337"/>
      <c r="L125" s="2337"/>
      <c r="M125" s="2337"/>
      <c r="N125" s="2337"/>
      <c r="S125" s="1462">
        <f>COUNTIF(T125:U125,TRUE)</f>
        <v>1</v>
      </c>
      <c r="T125" s="1462" t="b">
        <f>AND($A125="Y",I125=0)</f>
        <v>1</v>
      </c>
      <c r="U125" s="1462"/>
    </row>
    <row r="126" spans="1:25" s="1465" customFormat="1" ht="5.25">
      <c r="A126" s="1465" t="s">
        <v>284</v>
      </c>
      <c r="B126" s="1465">
        <v>2</v>
      </c>
      <c r="E126" s="1494" t="s">
        <v>1222</v>
      </c>
      <c r="F126" s="1494" t="s">
        <v>1222</v>
      </c>
      <c r="G126" s="1494" t="s">
        <v>1222</v>
      </c>
      <c r="H126" s="1495"/>
      <c r="I126" s="1483"/>
      <c r="J126" s="1483" t="s">
        <v>1223</v>
      </c>
      <c r="K126" s="1483" t="s">
        <v>1223</v>
      </c>
      <c r="L126" s="1483" t="s">
        <v>1223</v>
      </c>
      <c r="M126" s="1483" t="s">
        <v>1223</v>
      </c>
      <c r="N126" s="1483" t="s">
        <v>1223</v>
      </c>
      <c r="S126" s="1466"/>
      <c r="T126" s="1466"/>
      <c r="U126" s="1466"/>
    </row>
    <row r="127" spans="1:25">
      <c r="A127" s="1461" t="s">
        <v>284</v>
      </c>
      <c r="B127" s="1461">
        <v>11</v>
      </c>
      <c r="E127" s="1467" t="s">
        <v>5</v>
      </c>
      <c r="F127" s="1467"/>
      <c r="G127" s="1500"/>
      <c r="H127" s="1468" t="s">
        <v>2</v>
      </c>
      <c r="I127" s="2337" t="s">
        <v>1569</v>
      </c>
      <c r="J127" s="2337"/>
      <c r="K127" s="2337"/>
      <c r="L127" s="2337"/>
      <c r="M127" s="2337"/>
      <c r="N127" s="2337"/>
      <c r="S127" s="1462">
        <f>COUNTIF(T127:U127,TRUE)</f>
        <v>0</v>
      </c>
      <c r="T127" s="1462" t="b">
        <f>AND($A127="Y",I127=0)</f>
        <v>0</v>
      </c>
      <c r="U127" s="1462"/>
    </row>
    <row r="128" spans="1:25" s="1465" customFormat="1" ht="5.25" hidden="1">
      <c r="A128" s="1465" t="s">
        <v>270</v>
      </c>
      <c r="B128" s="1465">
        <v>2</v>
      </c>
      <c r="E128" s="1469"/>
      <c r="F128" s="1469"/>
      <c r="G128" s="1469"/>
      <c r="H128" s="1470"/>
      <c r="I128" s="1482"/>
      <c r="J128" s="1482"/>
      <c r="K128" s="1482"/>
      <c r="L128" s="1482"/>
      <c r="M128" s="1482"/>
      <c r="N128" s="1482"/>
      <c r="S128" s="1466"/>
      <c r="T128" s="1466"/>
      <c r="U128" s="1466"/>
    </row>
    <row r="129" spans="1:21">
      <c r="A129" s="1461" t="s">
        <v>284</v>
      </c>
      <c r="B129" s="1461">
        <v>11</v>
      </c>
      <c r="E129" s="1467" t="s">
        <v>4</v>
      </c>
      <c r="F129" s="1467"/>
      <c r="G129" s="1500"/>
      <c r="H129" s="1468" t="s">
        <v>2</v>
      </c>
      <c r="I129" s="2337" t="s">
        <v>1568</v>
      </c>
      <c r="J129" s="2337"/>
      <c r="K129" s="2337"/>
      <c r="L129" s="2337"/>
      <c r="M129" s="2337"/>
      <c r="N129" s="2337"/>
      <c r="S129" s="1462">
        <f>COUNTIF(T129:U129,TRUE)</f>
        <v>0</v>
      </c>
      <c r="T129" s="1462" t="b">
        <f>AND($A129="Y",I129=0)</f>
        <v>0</v>
      </c>
      <c r="U129" s="1462"/>
    </row>
    <row r="130" spans="1:21" s="1465" customFormat="1" ht="5.25">
      <c r="A130" s="1465" t="s">
        <v>284</v>
      </c>
      <c r="B130" s="1465">
        <v>2</v>
      </c>
      <c r="E130" s="1494" t="s">
        <v>1222</v>
      </c>
      <c r="F130" s="1494" t="s">
        <v>1222</v>
      </c>
      <c r="G130" s="1494" t="s">
        <v>1222</v>
      </c>
      <c r="H130" s="1495"/>
      <c r="I130" s="1483" t="s">
        <v>1223</v>
      </c>
      <c r="J130" s="1483" t="s">
        <v>1223</v>
      </c>
      <c r="K130" s="1483" t="s">
        <v>1223</v>
      </c>
      <c r="L130" s="1483" t="s">
        <v>1223</v>
      </c>
      <c r="M130" s="1483" t="s">
        <v>1223</v>
      </c>
      <c r="N130" s="1483" t="s">
        <v>1223</v>
      </c>
      <c r="S130" s="1466"/>
      <c r="T130" s="1466"/>
      <c r="U130" s="1466"/>
    </row>
    <row r="131" spans="1:21">
      <c r="A131" s="1461" t="s">
        <v>284</v>
      </c>
      <c r="B131" s="1461">
        <v>11</v>
      </c>
      <c r="E131" s="1467" t="s">
        <v>3</v>
      </c>
      <c r="F131" s="1467"/>
      <c r="G131" s="1500"/>
      <c r="H131" s="1468" t="s">
        <v>2</v>
      </c>
      <c r="I131" s="2337" t="s">
        <v>1530</v>
      </c>
      <c r="J131" s="2337"/>
      <c r="K131" s="2337"/>
      <c r="L131" s="2337"/>
      <c r="M131" s="2337"/>
      <c r="N131" s="2337"/>
      <c r="S131" s="1462">
        <f>COUNTIF(T131:U131,TRUE)</f>
        <v>0</v>
      </c>
      <c r="T131" s="1462" t="b">
        <f>AND($A131="Y",I131=0)</f>
        <v>0</v>
      </c>
      <c r="U131" s="1462"/>
    </row>
    <row r="132" spans="1:21" hidden="1">
      <c r="A132" s="1461" t="str">
        <f>IF(SPORE=TRUE,"Y","N")</f>
        <v>N</v>
      </c>
      <c r="B132" s="1461">
        <v>11</v>
      </c>
      <c r="E132" s="1467" t="s">
        <v>941</v>
      </c>
      <c r="F132" s="1467"/>
      <c r="G132" s="1500"/>
      <c r="H132" s="1468" t="s">
        <v>2</v>
      </c>
      <c r="I132" s="2336" t="s">
        <v>1199</v>
      </c>
      <c r="J132" s="2336"/>
      <c r="K132" s="2336"/>
      <c r="L132" s="2336"/>
      <c r="M132" s="2336"/>
      <c r="N132" s="2336"/>
      <c r="S132" s="1462">
        <f>COUNTIF(T132:U132,TRUE)</f>
        <v>0</v>
      </c>
      <c r="T132" s="1462" t="b">
        <f>AND($A132="Y",I132=0)</f>
        <v>0</v>
      </c>
      <c r="U132" s="1462"/>
    </row>
    <row r="133" spans="1:21" s="1465" customFormat="1" ht="5.25">
      <c r="A133" s="1465" t="s">
        <v>284</v>
      </c>
      <c r="B133" s="1465">
        <v>2</v>
      </c>
    </row>
  </sheetData>
  <sheetProtection algorithmName="SHA-512" hashValue="5y3V0YRuzZiigFJwCMTI0DH43cdQuSRJq5XnuinVbtn30EN/TdzlhEm+/tTRkz+zABur5cm6DeLjMGGSOf8JXw==" saltValue="mTbA9iJdEZLykl3n88KRHA==" spinCount="100000" sheet="1" objects="1" scenarios="1" autoFilter="0"/>
  <autoFilter ref="A15:A133" xr:uid="{00000000-0009-0000-0000-000005000000}">
    <filterColumn colId="0">
      <filters>
        <filter val="Y"/>
      </filters>
    </filterColumn>
  </autoFilter>
  <mergeCells count="71">
    <mergeCell ref="I131:N131"/>
    <mergeCell ref="I132:N132"/>
    <mergeCell ref="I129:N129"/>
    <mergeCell ref="I127:N127"/>
    <mergeCell ref="I125:N125"/>
    <mergeCell ref="I85:N85"/>
    <mergeCell ref="I123:N123"/>
    <mergeCell ref="I121:N121"/>
    <mergeCell ref="I119:N119"/>
    <mergeCell ref="I117:N117"/>
    <mergeCell ref="I115:N115"/>
    <mergeCell ref="I84:N84"/>
    <mergeCell ref="I67:N67"/>
    <mergeCell ref="I70:N70"/>
    <mergeCell ref="I71:N71"/>
    <mergeCell ref="I72:N72"/>
    <mergeCell ref="I73:N73"/>
    <mergeCell ref="I76:N76"/>
    <mergeCell ref="I77:N77"/>
    <mergeCell ref="I78:N78"/>
    <mergeCell ref="I79:N79"/>
    <mergeCell ref="I82:N82"/>
    <mergeCell ref="I83:N83"/>
    <mergeCell ref="I45:N45"/>
    <mergeCell ref="I47:N47"/>
    <mergeCell ref="I48:N48"/>
    <mergeCell ref="I66:N66"/>
    <mergeCell ref="I50:N50"/>
    <mergeCell ref="I52:N52"/>
    <mergeCell ref="I53:N53"/>
    <mergeCell ref="I54:N54"/>
    <mergeCell ref="I55:N55"/>
    <mergeCell ref="I58:N58"/>
    <mergeCell ref="I59:N59"/>
    <mergeCell ref="I60:N60"/>
    <mergeCell ref="I61:N61"/>
    <mergeCell ref="I64:N64"/>
    <mergeCell ref="I65:N65"/>
    <mergeCell ref="I38:K38"/>
    <mergeCell ref="L38:N38"/>
    <mergeCell ref="I49:N49"/>
    <mergeCell ref="L33:N33"/>
    <mergeCell ref="L31:N31"/>
    <mergeCell ref="L41:N41"/>
    <mergeCell ref="I41:K41"/>
    <mergeCell ref="I37:K37"/>
    <mergeCell ref="I39:K39"/>
    <mergeCell ref="L39:N39"/>
    <mergeCell ref="L37:N37"/>
    <mergeCell ref="L36:N36"/>
    <mergeCell ref="L34:N34"/>
    <mergeCell ref="I31:K31"/>
    <mergeCell ref="I43:N43"/>
    <mergeCell ref="I44:N44"/>
    <mergeCell ref="I18:N18"/>
    <mergeCell ref="I20:N20"/>
    <mergeCell ref="I21:N21"/>
    <mergeCell ref="I23:N23"/>
    <mergeCell ref="I25:K25"/>
    <mergeCell ref="L25:N25"/>
    <mergeCell ref="I26:K26"/>
    <mergeCell ref="L26:N26"/>
    <mergeCell ref="I33:K33"/>
    <mergeCell ref="I34:K34"/>
    <mergeCell ref="I36:K36"/>
    <mergeCell ref="I27:K27"/>
    <mergeCell ref="L27:N27"/>
    <mergeCell ref="L30:N30"/>
    <mergeCell ref="L28:N28"/>
    <mergeCell ref="I28:K28"/>
    <mergeCell ref="I30:K30"/>
  </mergeCells>
  <dataValidations xWindow="1022" yWindow="387" count="11">
    <dataValidation type="list" allowBlank="1" showInputMessage="1" showErrorMessage="1" errorTitle="Method" error="Please choose a Method from List." promptTitle="Method" prompt="To be filled before bunkering." sqref="I91:N91" xr:uid="{00000000-0002-0000-0500-000000000000}">
      <formula1>$AA$2:$AA$5</formula1>
    </dataValidation>
    <dataValidation type="decimal" allowBlank="1" showInputMessage="1" showErrorMessage="1" errorTitle="Water %" error="This percentage is not valid." prompt="To be filled before bunkering._x000a_Red cells indicate possible offspec fuel." sqref="I108:N109" xr:uid="{00000000-0002-0000-0500-000001000000}">
      <formula1>0</formula1>
      <formula2>100</formula2>
    </dataValidation>
    <dataValidation type="decimal" allowBlank="1" showInputMessage="1" showErrorMessage="1" errorTitle="Viscosity" error="This Viscosity is not valid." prompt="To be filled before bunkering._x000a_Red cells indicate possible offspec fuel." sqref="I107:N107" xr:uid="{00000000-0002-0000-0500-000002000000}">
      <formula1>0</formula1>
      <formula2>2000</formula2>
    </dataValidation>
    <dataValidation type="decimal" allowBlank="1" showInputMessage="1" showErrorMessage="1" errorTitle="API/Density" error="This API/Density is not valid." prompt="To be filled before bunkering._x000a_Red cells indicate possible offspec fuel." sqref="I106:N106" xr:uid="{00000000-0002-0000-0500-000003000000}">
      <formula1>-5</formula1>
      <formula2>50</formula2>
    </dataValidation>
    <dataValidation type="decimal" allowBlank="1" showInputMessage="1" showErrorMessage="1" errorTitle="BDN Quantity" error="This is not a valid quantity." prompt="To be filled AFTER bunkering." sqref="I105:N105" xr:uid="{00000000-0002-0000-0500-000004000000}">
      <formula1>0</formula1>
      <formula2>10000</formula2>
    </dataValidation>
    <dataValidation type="decimal" allowBlank="1" showInputMessage="1" showErrorMessage="1" errorTitle="Nominated Quantity" error="This is not a valid quantity." prompt="To be filled before bunkering." sqref="I104:N104" xr:uid="{00000000-0002-0000-0500-000005000000}">
      <formula1>0</formula1>
      <formula2>10000</formula2>
    </dataValidation>
    <dataValidation type="decimal" allowBlank="1" showInputMessage="1" showErrorMessage="1" errorTitle="API/Density" error="This API/Density is not valid." prompt="To be filled AFTER Analysis received._x000a_Red cells indicate possible offspec fuel." sqref="I110:N110" xr:uid="{00000000-0002-0000-0500-000006000000}">
      <formula1>-5</formula1>
      <formula2>50</formula2>
    </dataValidation>
    <dataValidation type="decimal" allowBlank="1" showInputMessage="1" showErrorMessage="1" errorTitle="Viscosity" error="This Viscosity is not valid." prompt="To be filled AFTER Analysis received._x000a_Red cells indicate possible offspec fuel." sqref="I111:N111" xr:uid="{00000000-0002-0000-0500-000007000000}">
      <formula1>0</formula1>
      <formula2>2000</formula2>
    </dataValidation>
    <dataValidation type="decimal" allowBlank="1" showInputMessage="1" showErrorMessage="1" errorTitle="Water %" error="This percentage is not valid." prompt="To be filled AFTER Analysis received._x000a_Red cells indicate possible offspec fuel." sqref="I112:N113" xr:uid="{00000000-0002-0000-0500-000008000000}">
      <formula1>0</formula1>
      <formula2>100</formula2>
    </dataValidation>
    <dataValidation type="list" allowBlank="1" showInputMessage="1" sqref="I115 I117 I119 I121 I123 I125 I85 I79 I73 I67 I61 I55 I45 I20" xr:uid="{00000000-0002-0000-0500-000009000000}">
      <formula1>COMPANIES</formula1>
    </dataValidation>
    <dataValidation type="list" allowBlank="1" showInputMessage="1" showErrorMessage="1" errorTitle="API/Density" error="Please choose from list." promptTitle="API/Density" prompt="Select Density or API." sqref="F106 F110" xr:uid="{00000000-0002-0000-0500-00000A000000}">
      <formula1>$AA$104:$AA$105</formula1>
    </dataValidation>
  </dataValidations>
  <hyperlinks>
    <hyperlink ref="I88:N88" location="BUNKERPRICES" display="BUNKERPRICES" xr:uid="{00000000-0004-0000-0500-000000000000}"/>
  </hyperlinks>
  <printOptions horizontalCentered="1"/>
  <pageMargins left="0.3" right="0.3" top="0.2" bottom="0.3" header="0" footer="0.1"/>
  <pageSetup paperSize="9" scale="83" orientation="portrait" r:id="rId1"/>
  <headerFooter scaleWithDoc="0">
    <oddFooter>&amp;L&amp;8BunkerManager, v1.12&amp;C&amp;8by AMS-Marine | www.ams-marine.com&amp;R&amp;8RefNo: BD/2015/00926 SG</oddFooter>
  </headerFooter>
  <drawing r:id="rId2"/>
  <extLst>
    <ext xmlns:x14="http://schemas.microsoft.com/office/spreadsheetml/2009/9/main" uri="{CCE6A557-97BC-4b89-ADB6-D9C93CAAB3DF}">
      <x14:dataValidations xmlns:xm="http://schemas.microsoft.com/office/excel/2006/main" xWindow="1022" yWindow="387" count="2">
        <x14:dataValidation type="list" allowBlank="1" showInputMessage="1" showErrorMessage="1" errorTitle="Barge" error="This is not a valid Barge name." promptTitle="Barge" prompt="To be filled before bunkering." xr:uid="{00000000-0002-0000-0500-00000B000000}">
          <x14:formula1>
            <xm:f>MAIN!$BC$2:$BC$7</xm:f>
          </x14:formula1>
          <xm:sqref>I90:N90</xm:sqref>
        </x14:dataValidation>
        <x14:dataValidation type="list" allowBlank="1" showInputMessage="1" showErrorMessage="1" errorTitle="Local Time" error="Please choose from list." xr:uid="{00000000-0002-0000-0500-00000C000000}">
          <x14:formula1>
            <xm:f>'OnOff Hire Certificate'!$P$6:$P$34</xm:f>
          </x14:formula1>
          <xm:sqref>I43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11">
    <tabColor rgb="FF002060"/>
    <pageSetUpPr fitToPage="1"/>
  </sheetPr>
  <dimension ref="A1:AN35"/>
  <sheetViews>
    <sheetView showGridLines="0" showRowColHeaders="0" topLeftCell="G1" zoomScaleNormal="100" workbookViewId="0">
      <pane ySplit="18" topLeftCell="A19" activePane="bottomLeft" state="frozen"/>
      <selection pane="bottomLeft" activeCell="K22" sqref="K22"/>
    </sheetView>
  </sheetViews>
  <sheetFormatPr defaultColWidth="0" defaultRowHeight="15" zeroHeight="1"/>
  <cols>
    <col min="1" max="6" width="4.5" style="1215" hidden="1" customWidth="1"/>
    <col min="7" max="7" width="3.25" style="1215" bestFit="1" customWidth="1"/>
    <col min="8" max="8" width="11.125" style="1215" bestFit="1" customWidth="1"/>
    <col min="9" max="20" width="7" style="1215" customWidth="1"/>
    <col min="21" max="21" width="0.25" style="1215" customWidth="1"/>
    <col min="22" max="22" width="9" style="1215" hidden="1" customWidth="1"/>
    <col min="23" max="23" width="6.375" style="1215" hidden="1" customWidth="1"/>
    <col min="24" max="35" width="5.75" style="1215" hidden="1" customWidth="1"/>
    <col min="36" max="36" width="3.5" style="1215" hidden="1" customWidth="1"/>
    <col min="37" max="38" width="9" style="1215" hidden="1" customWidth="1"/>
    <col min="39" max="39" width="6" style="1215" hidden="1" customWidth="1"/>
    <col min="40" max="40" width="0" style="1215" hidden="1" customWidth="1"/>
    <col min="41" max="16384" width="9" style="1215" hidden="1"/>
  </cols>
  <sheetData>
    <row r="1" spans="1:40" hidden="1">
      <c r="A1" s="1215">
        <f>SUM(C21:C30)</f>
        <v>20</v>
      </c>
      <c r="H1" s="1274" t="s">
        <v>1082</v>
      </c>
      <c r="I1" s="1285" t="str">
        <f>'Cover Page'!I89</f>
        <v/>
      </c>
      <c r="J1" s="1285" t="str">
        <f>I1</f>
        <v/>
      </c>
      <c r="K1" s="1285" t="str">
        <f>'Cover Page'!J89</f>
        <v>M/T YALÇIN 2</v>
      </c>
      <c r="L1" s="1285" t="str">
        <f>K1</f>
        <v>M/T YALÇIN 2</v>
      </c>
      <c r="M1" s="1285" t="str">
        <f>'Cover Page'!K89</f>
        <v/>
      </c>
      <c r="N1" s="1285" t="str">
        <f>M1</f>
        <v/>
      </c>
      <c r="O1" s="1285" t="str">
        <f>'Cover Page'!L89</f>
        <v/>
      </c>
      <c r="P1" s="1285" t="str">
        <f>O1</f>
        <v/>
      </c>
      <c r="Q1" s="1285" t="str">
        <f>'Cover Page'!M89</f>
        <v/>
      </c>
      <c r="R1" s="1285" t="str">
        <f>Q1</f>
        <v/>
      </c>
      <c r="S1" s="1285" t="str">
        <f>'Cover Page'!N89</f>
        <v>M/T YALÇIN 2</v>
      </c>
      <c r="T1" s="1285" t="str">
        <f>S1</f>
        <v>M/T YALÇIN 2</v>
      </c>
      <c r="W1" s="1255" t="s">
        <v>817</v>
      </c>
      <c r="X1" s="1274" t="s">
        <v>1168</v>
      </c>
      <c r="Y1" s="1281"/>
      <c r="Z1" s="1281"/>
      <c r="AA1" s="1281"/>
      <c r="AB1" s="1281"/>
      <c r="AC1" s="1275"/>
      <c r="AD1" s="1281" t="s">
        <v>1169</v>
      </c>
      <c r="AE1" s="1281"/>
      <c r="AF1" s="1281"/>
      <c r="AG1" s="1281"/>
      <c r="AH1" s="1281"/>
      <c r="AI1" s="1275"/>
      <c r="AK1" s="1215" t="s">
        <v>1210</v>
      </c>
      <c r="AM1" s="1215" t="str">
        <f>MYBARGENAME</f>
        <v>M/T YALÇIN 2</v>
      </c>
      <c r="AN1" s="1255" t="s">
        <v>1211</v>
      </c>
    </row>
    <row r="2" spans="1:40" hidden="1">
      <c r="H2" s="1274" t="s">
        <v>1081</v>
      </c>
      <c r="I2" s="1285" t="str">
        <f>IF(I1="","",IF(BARGESEL=1,MYBARGEID,'Cover Page'!I90))</f>
        <v/>
      </c>
      <c r="J2" s="1285" t="str">
        <f t="shared" ref="J2:L3" si="0">I2</f>
        <v/>
      </c>
      <c r="K2" s="1285" t="str">
        <f>IF(K1="","",IF(BARGESEL=1,MYBARGEID,'Cover Page'!J90))</f>
        <v>Barge 1</v>
      </c>
      <c r="L2" s="1285" t="str">
        <f t="shared" si="0"/>
        <v>Barge 1</v>
      </c>
      <c r="M2" s="1285" t="str">
        <f>IF(M1="","",IF(BARGESEL=1,MYBARGEID,'Cover Page'!K90))</f>
        <v/>
      </c>
      <c r="N2" s="1285" t="str">
        <f t="shared" ref="N2" si="1">M2</f>
        <v/>
      </c>
      <c r="O2" s="1285" t="str">
        <f>IF(O1="","",IF(BARGESEL=1,MYBARGEID,'Cover Page'!L90))</f>
        <v/>
      </c>
      <c r="P2" s="1285" t="str">
        <f t="shared" ref="P2" si="2">O2</f>
        <v/>
      </c>
      <c r="Q2" s="1285" t="str">
        <f>IF(Q1="","",IF(BARGESEL=1,MYBARGEID,'Cover Page'!M90))</f>
        <v/>
      </c>
      <c r="R2" s="1285" t="str">
        <f t="shared" ref="R2" si="3">Q2</f>
        <v/>
      </c>
      <c r="S2" s="1285" t="str">
        <f>IF(S1="","",IF(BARGESEL=1,MYBARGEID,'Cover Page'!N90))</f>
        <v>Barge 1</v>
      </c>
      <c r="T2" s="1285" t="str">
        <f t="shared" ref="T2" si="4">S2</f>
        <v>Barge 1</v>
      </c>
      <c r="W2" s="1282" t="str">
        <f>IF($I$5=FALSE,"",$I$3)</f>
        <v/>
      </c>
      <c r="X2" s="1276" t="str">
        <f>IF(W2="","",X20)</f>
        <v/>
      </c>
      <c r="Y2" s="1259"/>
      <c r="Z2" s="1259"/>
      <c r="AA2" s="1259"/>
      <c r="AB2" s="1259"/>
      <c r="AC2" s="1277"/>
      <c r="AD2" s="1259" t="str">
        <f>IF(W2="","",Y20)</f>
        <v/>
      </c>
      <c r="AE2" s="1259"/>
      <c r="AF2" s="1259"/>
      <c r="AG2" s="1259"/>
      <c r="AH2" s="1259"/>
      <c r="AI2" s="1277"/>
      <c r="AK2" s="1255" t="str">
        <f t="shared" ref="AK2:AK7" si="5">IF(W2="","",", "&amp;$W2)</f>
        <v/>
      </c>
      <c r="AM2" s="1255" t="str">
        <f>IF(OR($I$1&lt;&gt;MYBARGENAME,$I$5=FALSE),"",$I$3)</f>
        <v/>
      </c>
      <c r="AN2" s="1255" t="str">
        <f>IF(AM2="","",", "&amp;$AM2)</f>
        <v/>
      </c>
    </row>
    <row r="3" spans="1:40" hidden="1">
      <c r="H3" s="1274" t="s">
        <v>685</v>
      </c>
      <c r="I3" s="1285" t="str">
        <f>'Cover Page'!I88</f>
        <v>HSFO</v>
      </c>
      <c r="J3" s="1285" t="str">
        <f t="shared" si="0"/>
        <v>HSFO</v>
      </c>
      <c r="K3" s="1285" t="str">
        <f>'Cover Page'!J88</f>
        <v>LSFO</v>
      </c>
      <c r="L3" s="1285" t="str">
        <f t="shared" si="0"/>
        <v>LSFO</v>
      </c>
      <c r="M3" s="1285" t="str">
        <f>'Cover Page'!K88</f>
        <v>MDO</v>
      </c>
      <c r="N3" s="1285" t="str">
        <f t="shared" ref="N3" si="6">M3</f>
        <v>MDO</v>
      </c>
      <c r="O3" s="1285" t="str">
        <f>'Cover Page'!L88</f>
        <v>LSMDO</v>
      </c>
      <c r="P3" s="1285" t="str">
        <f t="shared" ref="P3" si="7">O3</f>
        <v>LSMDO</v>
      </c>
      <c r="Q3" s="1285" t="str">
        <f>'Cover Page'!M88</f>
        <v>MGO</v>
      </c>
      <c r="R3" s="1285" t="str">
        <f t="shared" ref="R3" si="8">Q3</f>
        <v>MGO</v>
      </c>
      <c r="S3" s="1285" t="str">
        <f>'Cover Page'!N88</f>
        <v>LSMGO</v>
      </c>
      <c r="T3" s="1285" t="str">
        <f t="shared" ref="T3" si="9">S3</f>
        <v>LSMGO</v>
      </c>
      <c r="W3" s="1282" t="str">
        <f>IF($K$5=FALSE,"",$K$3)</f>
        <v>LSFO</v>
      </c>
      <c r="X3" s="1276" t="str">
        <f>IF(W3="","",Z20)</f>
        <v>dF: / dA: / Trim: / List:</v>
      </c>
      <c r="Y3" s="1259"/>
      <c r="Z3" s="1259"/>
      <c r="AA3" s="1259"/>
      <c r="AB3" s="1259"/>
      <c r="AC3" s="1277"/>
      <c r="AD3" s="1259" t="str">
        <f>IF(W3="","",AA20)</f>
        <v>dF: / dA: / Trim: / List:</v>
      </c>
      <c r="AE3" s="1259"/>
      <c r="AF3" s="1259"/>
      <c r="AG3" s="1259"/>
      <c r="AH3" s="1259"/>
      <c r="AI3" s="1277"/>
      <c r="AK3" s="1255" t="str">
        <f t="shared" si="5"/>
        <v>, LSFO</v>
      </c>
      <c r="AM3" s="1255" t="str">
        <f>IF(OR($K$1&lt;&gt;MYBARGENAME,$K$5=FALSE),"",$K$3)</f>
        <v>LSFO</v>
      </c>
      <c r="AN3" s="1255" t="str">
        <f t="shared" ref="AN3:AN7" si="10">IF(AM3="","",", "&amp;$AM3)</f>
        <v>, LSFO</v>
      </c>
    </row>
    <row r="4" spans="1:40" hidden="1">
      <c r="H4" s="1255" t="s">
        <v>1174</v>
      </c>
      <c r="I4" s="1285">
        <f>'Cover Page'!I104</f>
        <v>0</v>
      </c>
      <c r="J4" s="1255">
        <f>I4</f>
        <v>0</v>
      </c>
      <c r="K4" s="1285">
        <f>'Cover Page'!J104</f>
        <v>250</v>
      </c>
      <c r="L4" s="1255">
        <f>K4</f>
        <v>250</v>
      </c>
      <c r="M4" s="1285">
        <f>'Cover Page'!K104</f>
        <v>0</v>
      </c>
      <c r="N4" s="1255">
        <f>M4</f>
        <v>0</v>
      </c>
      <c r="O4" s="1285">
        <f>'Cover Page'!L104</f>
        <v>0</v>
      </c>
      <c r="P4" s="1255">
        <f>O4</f>
        <v>0</v>
      </c>
      <c r="Q4" s="1285">
        <f>'Cover Page'!M104</f>
        <v>0</v>
      </c>
      <c r="R4" s="1255">
        <f>Q4</f>
        <v>0</v>
      </c>
      <c r="S4" s="1285">
        <f>'Cover Page'!N104</f>
        <v>40</v>
      </c>
      <c r="T4" s="1285">
        <f>S4</f>
        <v>40</v>
      </c>
      <c r="W4" s="1282" t="str">
        <f>IF($M$5=FALSE,"",$M$3)</f>
        <v/>
      </c>
      <c r="X4" s="1276" t="str">
        <f>IF(W4="","",AB20)</f>
        <v/>
      </c>
      <c r="Y4" s="1259"/>
      <c r="Z4" s="1259"/>
      <c r="AA4" s="1259"/>
      <c r="AB4" s="1259"/>
      <c r="AC4" s="1277"/>
      <c r="AD4" s="1259" t="str">
        <f>IF(W4="","",AC20)</f>
        <v/>
      </c>
      <c r="AE4" s="1259"/>
      <c r="AF4" s="1259"/>
      <c r="AG4" s="1259"/>
      <c r="AH4" s="1259"/>
      <c r="AI4" s="1277"/>
      <c r="AK4" s="1255" t="str">
        <f t="shared" si="5"/>
        <v/>
      </c>
      <c r="AM4" s="1255" t="str">
        <f>IF(OR($M$1&lt;&gt;MYBARGENAME,$M$5=FALSE),"",$M$3)</f>
        <v/>
      </c>
      <c r="AN4" s="1255" t="str">
        <f t="shared" si="10"/>
        <v/>
      </c>
    </row>
    <row r="5" spans="1:40" hidden="1">
      <c r="G5" s="1215" t="s">
        <v>1201</v>
      </c>
      <c r="H5" s="1255">
        <f>SUMPRODUCT((I1:T1=MYBARGENAME)*(I5:T5=TRUE))/2</f>
        <v>2</v>
      </c>
      <c r="I5" s="1285" t="b">
        <f>AND(I1&lt;&gt;"",I2&lt;&gt;0,I3&lt;&gt;"",I4&gt;0)</f>
        <v>0</v>
      </c>
      <c r="J5" s="1285" t="b">
        <f t="shared" ref="J5:T5" si="11">AND(J1&lt;&gt;"",J2&lt;&gt;0,J3&lt;&gt;"",J4&gt;0)</f>
        <v>0</v>
      </c>
      <c r="K5" s="1285" t="b">
        <f t="shared" si="11"/>
        <v>1</v>
      </c>
      <c r="L5" s="1285" t="b">
        <f t="shared" si="11"/>
        <v>1</v>
      </c>
      <c r="M5" s="1285" t="b">
        <f t="shared" si="11"/>
        <v>0</v>
      </c>
      <c r="N5" s="1285" t="b">
        <f t="shared" si="11"/>
        <v>0</v>
      </c>
      <c r="O5" s="1285" t="b">
        <f t="shared" si="11"/>
        <v>0</v>
      </c>
      <c r="P5" s="1285" t="b">
        <f t="shared" si="11"/>
        <v>0</v>
      </c>
      <c r="Q5" s="1285" t="b">
        <f t="shared" si="11"/>
        <v>0</v>
      </c>
      <c r="R5" s="1285" t="b">
        <f t="shared" si="11"/>
        <v>0</v>
      </c>
      <c r="S5" s="1285" t="b">
        <f t="shared" si="11"/>
        <v>1</v>
      </c>
      <c r="T5" s="1285" t="b">
        <f t="shared" si="11"/>
        <v>1</v>
      </c>
      <c r="W5" s="1282" t="str">
        <f>IF($O$5=FALSE,"",$O$3)</f>
        <v/>
      </c>
      <c r="X5" s="1276" t="str">
        <f>IF(W5="","",AD20)</f>
        <v/>
      </c>
      <c r="Y5" s="1259"/>
      <c r="Z5" s="1259"/>
      <c r="AA5" s="1259"/>
      <c r="AB5" s="1259"/>
      <c r="AC5" s="1277"/>
      <c r="AD5" s="1259" t="str">
        <f>IF(W5="","",AE20)</f>
        <v/>
      </c>
      <c r="AE5" s="1259"/>
      <c r="AF5" s="1259"/>
      <c r="AG5" s="1259"/>
      <c r="AH5" s="1259"/>
      <c r="AI5" s="1277"/>
      <c r="AK5" s="1255" t="str">
        <f t="shared" si="5"/>
        <v/>
      </c>
      <c r="AM5" s="1255" t="str">
        <f>IF(OR($O$1&lt;&gt;MYBARGENAME,$O$5=FALSE),"",$O$3)</f>
        <v/>
      </c>
      <c r="AN5" s="1255" t="str">
        <f t="shared" si="10"/>
        <v/>
      </c>
    </row>
    <row r="6" spans="1:40" hidden="1">
      <c r="G6" s="1215" t="s">
        <v>1202</v>
      </c>
      <c r="H6" s="1255">
        <f>MAX(I6:T6)</f>
        <v>2</v>
      </c>
      <c r="I6" s="1255">
        <f t="shared" ref="I6:J6" si="12">IF(I$1="",0,COUNTIF($I$1:$T$1,I$1)/2)</f>
        <v>0</v>
      </c>
      <c r="J6" s="1255">
        <f t="shared" si="12"/>
        <v>0</v>
      </c>
      <c r="K6" s="1255">
        <f>IF(K$1="",0,COUNTIF($I$1:$T$1,K$1)/2)</f>
        <v>2</v>
      </c>
      <c r="L6" s="1255">
        <f t="shared" ref="L6:T6" si="13">IF(L$1="",0,COUNTIF($I$1:$T$1,L$1)/2)</f>
        <v>2</v>
      </c>
      <c r="M6" s="1255">
        <f t="shared" si="13"/>
        <v>0</v>
      </c>
      <c r="N6" s="1255">
        <f t="shared" si="13"/>
        <v>0</v>
      </c>
      <c r="O6" s="1255">
        <f t="shared" si="13"/>
        <v>0</v>
      </c>
      <c r="P6" s="1255">
        <f t="shared" si="13"/>
        <v>0</v>
      </c>
      <c r="Q6" s="1255">
        <f t="shared" si="13"/>
        <v>0</v>
      </c>
      <c r="R6" s="1255">
        <f t="shared" si="13"/>
        <v>0</v>
      </c>
      <c r="S6" s="1255">
        <f t="shared" si="13"/>
        <v>2</v>
      </c>
      <c r="T6" s="1255">
        <f t="shared" si="13"/>
        <v>2</v>
      </c>
      <c r="W6" s="1282" t="str">
        <f>IF($Q$5=FALSE,"",$Q$3)</f>
        <v/>
      </c>
      <c r="X6" s="1276" t="str">
        <f>IF(W6="","",AF20)</f>
        <v/>
      </c>
      <c r="Y6" s="1259"/>
      <c r="Z6" s="1259"/>
      <c r="AA6" s="1259"/>
      <c r="AB6" s="1259"/>
      <c r="AC6" s="1277"/>
      <c r="AD6" s="1259" t="str">
        <f>IF(W6="","",AG20)</f>
        <v/>
      </c>
      <c r="AE6" s="1259"/>
      <c r="AF6" s="1259"/>
      <c r="AG6" s="1259"/>
      <c r="AH6" s="1259"/>
      <c r="AI6" s="1277"/>
      <c r="AK6" s="1255" t="str">
        <f t="shared" si="5"/>
        <v/>
      </c>
      <c r="AM6" s="1255" t="str">
        <f>IF(OR($Q$1&lt;&gt;MYBARGENAME,$Q$5=FALSE),"",$Q$3)</f>
        <v/>
      </c>
      <c r="AN6" s="1255" t="str">
        <f t="shared" si="10"/>
        <v/>
      </c>
    </row>
    <row r="7" spans="1:40" hidden="1">
      <c r="W7" s="1283" t="str">
        <f>IF($S$5=FALSE,"",$S$3)</f>
        <v>LSMGO</v>
      </c>
      <c r="X7" s="1278" t="str">
        <f>IF(W7="","",AH20)</f>
        <v>dF: / dA: / Trim: / List:0.0°</v>
      </c>
      <c r="Y7" s="1279"/>
      <c r="Z7" s="1279"/>
      <c r="AA7" s="1279"/>
      <c r="AB7" s="1279"/>
      <c r="AC7" s="1280"/>
      <c r="AD7" s="1279" t="str">
        <f>IF(W7="","",AI20)</f>
        <v>dF: / dA: / Trim: / List:0.0°</v>
      </c>
      <c r="AE7" s="1279"/>
      <c r="AF7" s="1279"/>
      <c r="AG7" s="1279"/>
      <c r="AH7" s="1279"/>
      <c r="AI7" s="1280"/>
      <c r="AK7" s="1255" t="str">
        <f t="shared" si="5"/>
        <v>, LSMGO</v>
      </c>
      <c r="AM7" s="1255" t="str">
        <f>IF(OR($S$1&lt;&gt;MYBARGENAME,$S$5=FALSE),"",$S$3)</f>
        <v>LSMGO</v>
      </c>
      <c r="AN7" s="1255" t="str">
        <f t="shared" si="10"/>
        <v>, LSMGO</v>
      </c>
    </row>
    <row r="8" spans="1:40" hidden="1">
      <c r="AK8" s="1255" t="str">
        <f>CONCATENATE(AK2,AK3,AK4,AK5,AK6,AK7)</f>
        <v>, LSFO, LSMGO</v>
      </c>
      <c r="AN8" s="1255" t="str">
        <f>CONCATENATE(AN2,AN3,AN4,AN5,AN6,AN7)</f>
        <v>, LSFO, LSMGO</v>
      </c>
    </row>
    <row r="9" spans="1:40" hidden="1">
      <c r="W9" s="1255" t="s">
        <v>510</v>
      </c>
      <c r="X9" s="1274" t="s">
        <v>1168</v>
      </c>
      <c r="Y9" s="1281"/>
      <c r="Z9" s="1281"/>
      <c r="AA9" s="1281"/>
      <c r="AB9" s="1281"/>
      <c r="AC9" s="1275"/>
      <c r="AD9" s="1281" t="s">
        <v>1169</v>
      </c>
      <c r="AE9" s="1281"/>
      <c r="AF9" s="1281"/>
      <c r="AG9" s="1281"/>
      <c r="AH9" s="1281"/>
      <c r="AI9" s="1275"/>
      <c r="AK9" s="1255" t="str">
        <f>RIGHT(AK8,LEN(AK8)-2)</f>
        <v>LSFO, LSMGO</v>
      </c>
      <c r="AN9" s="1255" t="str">
        <f>RIGHT(AN8,LEN(AN8)-2)</f>
        <v>LSFO, LSMGO</v>
      </c>
    </row>
    <row r="10" spans="1:40" hidden="1">
      <c r="W10" s="1282" t="str">
        <f t="shared" ref="W10:W15" si="14">W2</f>
        <v/>
      </c>
      <c r="X10" s="1276" t="str">
        <f>IF(W10="","",X26)</f>
        <v/>
      </c>
      <c r="Y10" s="1259"/>
      <c r="Z10" s="1259"/>
      <c r="AA10" s="1259"/>
      <c r="AB10" s="1259"/>
      <c r="AC10" s="1277"/>
      <c r="AD10" s="1259" t="str">
        <f>IF(W10="","",Y26)</f>
        <v/>
      </c>
      <c r="AE10" s="1259"/>
      <c r="AF10" s="1259"/>
      <c r="AG10" s="1259"/>
      <c r="AH10" s="1259"/>
      <c r="AI10" s="1277"/>
    </row>
    <row r="11" spans="1:40" hidden="1">
      <c r="W11" s="1282" t="str">
        <f t="shared" si="14"/>
        <v>LSFO</v>
      </c>
      <c r="X11" s="1276" t="str">
        <f>IF(W11="","",Z26)</f>
        <v>dF: / dA: / Trim: / List:</v>
      </c>
      <c r="Y11" s="1259"/>
      <c r="Z11" s="1259"/>
      <c r="AA11" s="1259"/>
      <c r="AB11" s="1259"/>
      <c r="AC11" s="1277"/>
      <c r="AD11" s="1259" t="str">
        <f>IF(W11="","",AA26)</f>
        <v>dF: / dA: / Trim: / List:</v>
      </c>
      <c r="AE11" s="1259"/>
      <c r="AF11" s="1259"/>
      <c r="AG11" s="1259"/>
      <c r="AH11" s="1259"/>
      <c r="AI11" s="1277"/>
    </row>
    <row r="12" spans="1:40" hidden="1">
      <c r="W12" s="1282" t="str">
        <f t="shared" si="14"/>
        <v/>
      </c>
      <c r="X12" s="1276" t="str">
        <f>IF(W12="","",AB26)</f>
        <v/>
      </c>
      <c r="Y12" s="1259"/>
      <c r="Z12" s="1259"/>
      <c r="AA12" s="1259"/>
      <c r="AB12" s="1259"/>
      <c r="AC12" s="1277"/>
      <c r="AD12" s="1259" t="str">
        <f>IF(W12="","",AC26)</f>
        <v/>
      </c>
      <c r="AE12" s="1259"/>
      <c r="AF12" s="1259"/>
      <c r="AG12" s="1259"/>
      <c r="AH12" s="1259"/>
      <c r="AI12" s="1277"/>
    </row>
    <row r="13" spans="1:40" ht="18.75">
      <c r="M13" s="1241" t="s">
        <v>1135</v>
      </c>
      <c r="W13" s="1282" t="str">
        <f t="shared" si="14"/>
        <v/>
      </c>
      <c r="X13" s="1276" t="str">
        <f>IF(W13="","",AD26)</f>
        <v/>
      </c>
      <c r="Y13" s="1259"/>
      <c r="Z13" s="1259"/>
      <c r="AA13" s="1259"/>
      <c r="AB13" s="1259"/>
      <c r="AC13" s="1277"/>
      <c r="AD13" s="1259" t="str">
        <f>IF(W13="","",AE26)</f>
        <v/>
      </c>
      <c r="AE13" s="1259"/>
      <c r="AF13" s="1259"/>
      <c r="AG13" s="1259"/>
      <c r="AH13" s="1259"/>
      <c r="AI13" s="1277"/>
    </row>
    <row r="14" spans="1:40" ht="18.75">
      <c r="M14" s="1241" t="s">
        <v>1136</v>
      </c>
      <c r="W14" s="1282" t="str">
        <f t="shared" si="14"/>
        <v/>
      </c>
      <c r="X14" s="1276" t="str">
        <f>IF(W14="","",AF26)</f>
        <v/>
      </c>
      <c r="Y14" s="1259"/>
      <c r="Z14" s="1259"/>
      <c r="AA14" s="1259"/>
      <c r="AB14" s="1259"/>
      <c r="AC14" s="1277"/>
      <c r="AD14" s="1259" t="str">
        <f>IF(W14="","",AG26)</f>
        <v/>
      </c>
      <c r="AE14" s="1259"/>
      <c r="AF14" s="1259"/>
      <c r="AG14" s="1259"/>
      <c r="AH14" s="1259"/>
      <c r="AI14" s="1277"/>
    </row>
    <row r="15" spans="1:40" ht="18.75">
      <c r="M15" s="1241"/>
      <c r="W15" s="1283" t="str">
        <f t="shared" si="14"/>
        <v>LSMGO</v>
      </c>
      <c r="X15" s="1278" t="str">
        <f>IF(W15="","",AH26)</f>
        <v>dF:3.50 / dA:4.50 / Trim:1.00 / List:0.0°</v>
      </c>
      <c r="Y15" s="1279"/>
      <c r="Z15" s="1279"/>
      <c r="AA15" s="1279"/>
      <c r="AB15" s="1279"/>
      <c r="AC15" s="1280"/>
      <c r="AD15" s="1279" t="str">
        <f>IF(W15="","",AI26)</f>
        <v>dF:2.00 / dA:3.00 / Trim:1.00 / List:0.0°</v>
      </c>
      <c r="AE15" s="1279"/>
      <c r="AF15" s="1279"/>
      <c r="AG15" s="1279"/>
      <c r="AH15" s="1279"/>
      <c r="AI15" s="1280"/>
    </row>
    <row r="16" spans="1:40">
      <c r="G16" s="2344" t="s">
        <v>1204</v>
      </c>
      <c r="H16" s="2344"/>
      <c r="I16" s="2343" t="str">
        <f>IF(I2=0,"",I2)</f>
        <v/>
      </c>
      <c r="J16" s="2343"/>
      <c r="K16" s="2343" t="str">
        <f t="shared" ref="K16" si="15">IF(K2=0,"",K2)</f>
        <v>Barge 1</v>
      </c>
      <c r="L16" s="2343"/>
      <c r="M16" s="2343" t="str">
        <f t="shared" ref="M16" si="16">IF(M2=0,"",M2)</f>
        <v/>
      </c>
      <c r="N16" s="2343"/>
      <c r="O16" s="2343" t="str">
        <f t="shared" ref="O16" si="17">IF(O2=0,"",O2)</f>
        <v/>
      </c>
      <c r="P16" s="2343"/>
      <c r="Q16" s="2343" t="str">
        <f t="shared" ref="Q16" si="18">IF(Q2=0,"",Q2)</f>
        <v/>
      </c>
      <c r="R16" s="2343"/>
      <c r="S16" s="2343" t="str">
        <f t="shared" ref="S16" si="19">IF(S2=0,"",S2)</f>
        <v>Barge 1</v>
      </c>
      <c r="T16" s="2343"/>
    </row>
    <row r="17" spans="2:36" ht="18.75" customHeight="1">
      <c r="G17" s="2340" t="s">
        <v>1162</v>
      </c>
      <c r="H17" s="2340"/>
      <c r="I17" s="2338" t="str">
        <f>IF(I1=0,"",I1)</f>
        <v/>
      </c>
      <c r="J17" s="2338"/>
      <c r="K17" s="2338" t="str">
        <f>IF(K1=0,"",K1)</f>
        <v>M/T YALÇIN 2</v>
      </c>
      <c r="L17" s="2338"/>
      <c r="M17" s="2338" t="str">
        <f>IF(M1=0,"",M1)</f>
        <v/>
      </c>
      <c r="N17" s="2338"/>
      <c r="O17" s="2338" t="str">
        <f>IF(O1=0,"",O1)</f>
        <v/>
      </c>
      <c r="P17" s="2338"/>
      <c r="Q17" s="2338" t="str">
        <f>IF(Q1=0,"",Q1)</f>
        <v/>
      </c>
      <c r="R17" s="2338"/>
      <c r="S17" s="2338" t="str">
        <f>IF(S1=0,"",S1)</f>
        <v>M/T YALÇIN 2</v>
      </c>
      <c r="T17" s="2338"/>
      <c r="X17" s="1274" t="str">
        <f>I18</f>
        <v>HSFO</v>
      </c>
      <c r="Y17" s="1275"/>
      <c r="Z17" s="1274" t="str">
        <f>K18</f>
        <v>LSFO</v>
      </c>
      <c r="AA17" s="1275"/>
      <c r="AB17" s="1274" t="str">
        <f>M18</f>
        <v>MDO</v>
      </c>
      <c r="AC17" s="1275"/>
      <c r="AD17" s="1274" t="str">
        <f>O18</f>
        <v>LSMDO</v>
      </c>
      <c r="AE17" s="1275"/>
      <c r="AF17" s="1274" t="str">
        <f>Q18</f>
        <v>MGO</v>
      </c>
      <c r="AG17" s="1275"/>
      <c r="AH17" s="1274" t="str">
        <f>S18</f>
        <v>LSMGO</v>
      </c>
      <c r="AI17" s="1275"/>
    </row>
    <row r="18" spans="2:36">
      <c r="G18" s="2341" t="s">
        <v>499</v>
      </c>
      <c r="H18" s="2341"/>
      <c r="I18" s="2339" t="str">
        <f>IF(I3=0,"",I3)</f>
        <v>HSFO</v>
      </c>
      <c r="J18" s="2339"/>
      <c r="K18" s="2339" t="str">
        <f>IF(K3=0,"",K3)</f>
        <v>LSFO</v>
      </c>
      <c r="L18" s="2339"/>
      <c r="M18" s="2339" t="str">
        <f>IF(M3=0,"",M3)</f>
        <v>MDO</v>
      </c>
      <c r="N18" s="2339"/>
      <c r="O18" s="2339" t="str">
        <f>IF(O3=0,"",O3)</f>
        <v>LSMDO</v>
      </c>
      <c r="P18" s="2339"/>
      <c r="Q18" s="2339" t="str">
        <f>IF(Q3=0,"",Q3)</f>
        <v>MGO</v>
      </c>
      <c r="R18" s="2339"/>
      <c r="S18" s="2339" t="str">
        <f>IF(S3=0,"",S3)</f>
        <v>LSMGO</v>
      </c>
      <c r="T18" s="2339"/>
    </row>
    <row r="19" spans="2:36" s="1327" customFormat="1" ht="8.25" customHeight="1"/>
    <row r="20" spans="2:36" ht="18.75">
      <c r="B20" s="1262">
        <v>14</v>
      </c>
      <c r="C20" s="1262"/>
      <c r="D20" s="1262"/>
      <c r="E20" s="1262"/>
      <c r="G20" s="2342" t="s">
        <v>1139</v>
      </c>
      <c r="H20" s="1256" t="s">
        <v>1134</v>
      </c>
      <c r="I20" s="1261" t="s">
        <v>177</v>
      </c>
      <c r="J20" s="1260" t="s">
        <v>176</v>
      </c>
      <c r="K20" s="1261" t="s">
        <v>177</v>
      </c>
      <c r="L20" s="1260" t="s">
        <v>176</v>
      </c>
      <c r="M20" s="1261" t="s">
        <v>177</v>
      </c>
      <c r="N20" s="1260" t="s">
        <v>176</v>
      </c>
      <c r="O20" s="1261" t="s">
        <v>177</v>
      </c>
      <c r="P20" s="1260" t="s">
        <v>176</v>
      </c>
      <c r="Q20" s="1261" t="s">
        <v>177</v>
      </c>
      <c r="R20" s="1260" t="s">
        <v>176</v>
      </c>
      <c r="S20" s="1261" t="s">
        <v>177</v>
      </c>
      <c r="T20" s="1260" t="s">
        <v>176</v>
      </c>
      <c r="W20" s="1215" t="s">
        <v>1163</v>
      </c>
      <c r="X20" s="1255" t="str">
        <f>$W21&amp;X21&amp;$W22&amp;X22&amp;$W23&amp;X23&amp;$W24&amp;X24</f>
        <v>dF:5.00 / dA:6.00 / Trim:1.00 / List:0.0°</v>
      </c>
      <c r="Y20" s="1255" t="str">
        <f t="shared" ref="Y20:AI20" si="20">$W21&amp;Y21&amp;$W22&amp;Y22&amp;$W23&amp;Y23&amp;$W24&amp;Y24</f>
        <v>dF: / dA: / Trim: / List:0.0°</v>
      </c>
      <c r="Z20" s="1255" t="str">
        <f t="shared" si="20"/>
        <v>dF: / dA: / Trim: / List:</v>
      </c>
      <c r="AA20" s="1255" t="str">
        <f t="shared" si="20"/>
        <v>dF: / dA: / Trim: / List:</v>
      </c>
      <c r="AB20" s="1255" t="str">
        <f t="shared" si="20"/>
        <v>dF: / dA: / Trim: / List:</v>
      </c>
      <c r="AC20" s="1255" t="str">
        <f t="shared" si="20"/>
        <v>dF: / dA: / Trim: / List:</v>
      </c>
      <c r="AD20" s="1255" t="str">
        <f t="shared" si="20"/>
        <v>dF: / dA: / Trim: / List:</v>
      </c>
      <c r="AE20" s="1255" t="str">
        <f t="shared" si="20"/>
        <v>dF: / dA: / Trim: / List:</v>
      </c>
      <c r="AF20" s="1255" t="str">
        <f t="shared" si="20"/>
        <v>dF: / dA: / Trim: / List:</v>
      </c>
      <c r="AG20" s="1255" t="str">
        <f t="shared" si="20"/>
        <v>dF: / dA: / Trim: / List:</v>
      </c>
      <c r="AH20" s="1255" t="str">
        <f t="shared" si="20"/>
        <v>dF: / dA: / Trim: / List:0.0°</v>
      </c>
      <c r="AI20" s="1255" t="str">
        <f t="shared" si="20"/>
        <v>dF: / dA: / Trim: / List:0.0°</v>
      </c>
      <c r="AJ20" s="1215" t="s">
        <v>1170</v>
      </c>
    </row>
    <row r="21" spans="2:36" ht="18.75">
      <c r="B21" s="1262">
        <v>14</v>
      </c>
      <c r="C21" s="1242">
        <f>D21-E21</f>
        <v>4</v>
      </c>
      <c r="D21" s="1242">
        <f>SUMPRODUCT(($I$5:$T$5=TRUE)*($I$6:$T$6&gt;1))</f>
        <v>4</v>
      </c>
      <c r="E21" s="1242">
        <f>SUMPRODUCT(($I$5:$T$5=TRUE)*($I$6:$T$6&gt;1)*(I21:T21&gt;0))</f>
        <v>0</v>
      </c>
      <c r="G21" s="2342"/>
      <c r="H21" s="1257" t="s">
        <v>792</v>
      </c>
      <c r="I21" s="1328">
        <v>5</v>
      </c>
      <c r="J21" s="1329"/>
      <c r="K21" s="1328"/>
      <c r="L21" s="1329"/>
      <c r="M21" s="1328"/>
      <c r="N21" s="1329"/>
      <c r="O21" s="1328"/>
      <c r="P21" s="1329"/>
      <c r="Q21" s="1328"/>
      <c r="R21" s="1329"/>
      <c r="S21" s="1328"/>
      <c r="T21" s="1329"/>
      <c r="W21" s="1215" t="s">
        <v>1166</v>
      </c>
      <c r="X21" s="1255" t="str">
        <f t="shared" ref="X21" si="21">IF(I21="","",INT(I21)&amp;IF(I21-INT(I21)=0,".00",RIGHT(LEFT((I21-INT(I21))&amp;"00",4),3)))</f>
        <v>5.00</v>
      </c>
      <c r="Y21" s="1255" t="str">
        <f t="shared" ref="Y21:Y23" si="22">IF(J21="","",INT(J21)&amp;IF(J21-INT(J21)=0,".00",RIGHT(LEFT((J21-INT(J21))&amp;"00",4),3)))</f>
        <v/>
      </c>
      <c r="Z21" s="1255" t="str">
        <f t="shared" ref="Z21:Z23" si="23">IF(K21="","",INT(K21)&amp;IF(K21-INT(K21)=0,".00",RIGHT(LEFT((K21-INT(K21))&amp;"00",4),3)))</f>
        <v/>
      </c>
      <c r="AA21" s="1255" t="str">
        <f t="shared" ref="AA21:AA23" si="24">IF(L21="","",INT(L21)&amp;IF(L21-INT(L21)=0,".00",RIGHT(LEFT((L21-INT(L21))&amp;"00",4),3)))</f>
        <v/>
      </c>
      <c r="AB21" s="1255" t="str">
        <f t="shared" ref="AB21:AB23" si="25">IF(M21="","",INT(M21)&amp;IF(M21-INT(M21)=0,".00",RIGHT(LEFT((M21-INT(M21))&amp;"00",4),3)))</f>
        <v/>
      </c>
      <c r="AC21" s="1255" t="str">
        <f t="shared" ref="AC21:AC23" si="26">IF(N21="","",INT(N21)&amp;IF(N21-INT(N21)=0,".00",RIGHT(LEFT((N21-INT(N21))&amp;"00",4),3)))</f>
        <v/>
      </c>
      <c r="AD21" s="1255" t="str">
        <f t="shared" ref="AD21:AD23" si="27">IF(O21="","",INT(O21)&amp;IF(O21-INT(O21)=0,".00",RIGHT(LEFT((O21-INT(O21))&amp;"00",4),3)))</f>
        <v/>
      </c>
      <c r="AE21" s="1255" t="str">
        <f t="shared" ref="AE21:AE23" si="28">IF(P21="","",INT(P21)&amp;IF(P21-INT(P21)=0,".00",RIGHT(LEFT((P21-INT(P21))&amp;"00",4),3)))</f>
        <v/>
      </c>
      <c r="AF21" s="1255" t="str">
        <f t="shared" ref="AF21:AF23" si="29">IF(Q21="","",INT(Q21)&amp;IF(Q21-INT(Q21)=0,".00",RIGHT(LEFT((Q21-INT(Q21))&amp;"00",4),3)))</f>
        <v/>
      </c>
      <c r="AG21" s="1255" t="str">
        <f t="shared" ref="AG21:AG23" si="30">IF(R21="","",INT(R21)&amp;IF(R21-INT(R21)=0,".00",RIGHT(LEFT((R21-INT(R21))&amp;"00",4),3)))</f>
        <v/>
      </c>
      <c r="AH21" s="1255" t="str">
        <f t="shared" ref="AH21:AH23" si="31">IF(S21="","",INT(S21)&amp;IF(S21-INT(S21)=0,".00",RIGHT(LEFT((S21-INT(S21))&amp;"00",4),3)))</f>
        <v/>
      </c>
      <c r="AI21" s="1255" t="str">
        <f t="shared" ref="AI21:AI23" si="32">IF(T21="","",INT(T21)&amp;IF(T21-INT(T21)=0,".00",RIGHT(LEFT((T21-INT(T21))&amp;"00",4),3)))</f>
        <v/>
      </c>
    </row>
    <row r="22" spans="2:36" ht="18.75">
      <c r="B22" s="1262">
        <v>14</v>
      </c>
      <c r="C22" s="1242">
        <f>D22-E22</f>
        <v>4</v>
      </c>
      <c r="D22" s="1242">
        <f>SUMPRODUCT(($I$5:$T$5=TRUE)*($I$6:$T$6&gt;1))</f>
        <v>4</v>
      </c>
      <c r="E22" s="1242">
        <f>SUMPRODUCT(($I$5:$T$5=TRUE)*($I$6:$T$6&gt;1)*(I22:T22&gt;0))</f>
        <v>0</v>
      </c>
      <c r="G22" s="2342"/>
      <c r="H22" s="1258" t="s">
        <v>797</v>
      </c>
      <c r="I22" s="1330">
        <v>6</v>
      </c>
      <c r="J22" s="1331"/>
      <c r="K22" s="1330"/>
      <c r="L22" s="1331"/>
      <c r="M22" s="1330"/>
      <c r="N22" s="1331"/>
      <c r="O22" s="1330"/>
      <c r="P22" s="1331"/>
      <c r="Q22" s="1330"/>
      <c r="R22" s="1331"/>
      <c r="S22" s="1330"/>
      <c r="T22" s="1331"/>
      <c r="W22" s="1215" t="s">
        <v>1167</v>
      </c>
      <c r="X22" s="1255" t="str">
        <f>IF(I22="","",INT(I22)&amp;IF(I22-INT(I22)=0,".00",RIGHT(LEFT((I22-INT(I22))&amp;"00",4),3)))</f>
        <v>6.00</v>
      </c>
      <c r="Y22" s="1255" t="str">
        <f t="shared" si="22"/>
        <v/>
      </c>
      <c r="Z22" s="1255" t="str">
        <f t="shared" si="23"/>
        <v/>
      </c>
      <c r="AA22" s="1255" t="str">
        <f t="shared" si="24"/>
        <v/>
      </c>
      <c r="AB22" s="1255" t="str">
        <f t="shared" si="25"/>
        <v/>
      </c>
      <c r="AC22" s="1255" t="str">
        <f t="shared" si="26"/>
        <v/>
      </c>
      <c r="AD22" s="1255" t="str">
        <f t="shared" si="27"/>
        <v/>
      </c>
      <c r="AE22" s="1255" t="str">
        <f t="shared" si="28"/>
        <v/>
      </c>
      <c r="AF22" s="1255" t="str">
        <f t="shared" si="29"/>
        <v/>
      </c>
      <c r="AG22" s="1255" t="str">
        <f t="shared" si="30"/>
        <v/>
      </c>
      <c r="AH22" s="1255" t="str">
        <f t="shared" si="31"/>
        <v/>
      </c>
      <c r="AI22" s="1255" t="str">
        <f t="shared" si="32"/>
        <v/>
      </c>
    </row>
    <row r="23" spans="2:36" ht="18.75">
      <c r="B23" s="1262">
        <v>14</v>
      </c>
      <c r="C23" s="1242">
        <v>0</v>
      </c>
      <c r="D23" s="1262"/>
      <c r="E23" s="1262"/>
      <c r="G23" s="2342"/>
      <c r="H23" s="1256" t="s">
        <v>793</v>
      </c>
      <c r="I23" s="1272">
        <f t="shared" ref="I23:P23" si="33">IF(OR(I21="",I22=""),"",ROUND(I22-I21,2))</f>
        <v>1</v>
      </c>
      <c r="J23" s="1273" t="str">
        <f t="shared" si="33"/>
        <v/>
      </c>
      <c r="K23" s="1272" t="str">
        <f t="shared" si="33"/>
        <v/>
      </c>
      <c r="L23" s="1273" t="str">
        <f t="shared" si="33"/>
        <v/>
      </c>
      <c r="M23" s="1272" t="str">
        <f t="shared" si="33"/>
        <v/>
      </c>
      <c r="N23" s="1273" t="str">
        <f t="shared" si="33"/>
        <v/>
      </c>
      <c r="O23" s="1272" t="str">
        <f t="shared" si="33"/>
        <v/>
      </c>
      <c r="P23" s="1273" t="str">
        <f t="shared" si="33"/>
        <v/>
      </c>
      <c r="Q23" s="1272" t="str">
        <f>IF(OR(Q21="",Q22=""),"",ROUND(Q22-Q21,2))</f>
        <v/>
      </c>
      <c r="R23" s="1273" t="str">
        <f t="shared" ref="R23:T23" si="34">IF(OR(R21="",R22=""),"",ROUND(R22-R21,2))</f>
        <v/>
      </c>
      <c r="S23" s="1272" t="str">
        <f t="shared" si="34"/>
        <v/>
      </c>
      <c r="T23" s="1273" t="str">
        <f t="shared" si="34"/>
        <v/>
      </c>
      <c r="W23" s="1215" t="s">
        <v>1164</v>
      </c>
      <c r="X23" s="1255" t="str">
        <f t="shared" ref="X23" si="35">IF(I23="","",INT(I23)&amp;IF(I23-INT(I23)=0,".00",RIGHT(LEFT((I23-INT(I23))&amp;"00",4),3)))</f>
        <v>1.00</v>
      </c>
      <c r="Y23" s="1255" t="str">
        <f t="shared" si="22"/>
        <v/>
      </c>
      <c r="Z23" s="1255" t="str">
        <f t="shared" si="23"/>
        <v/>
      </c>
      <c r="AA23" s="1255" t="str">
        <f t="shared" si="24"/>
        <v/>
      </c>
      <c r="AB23" s="1255" t="str">
        <f t="shared" si="25"/>
        <v/>
      </c>
      <c r="AC23" s="1255" t="str">
        <f t="shared" si="26"/>
        <v/>
      </c>
      <c r="AD23" s="1255" t="str">
        <f t="shared" si="27"/>
        <v/>
      </c>
      <c r="AE23" s="1255" t="str">
        <f t="shared" si="28"/>
        <v/>
      </c>
      <c r="AF23" s="1255" t="str">
        <f t="shared" si="29"/>
        <v/>
      </c>
      <c r="AG23" s="1255" t="str">
        <f t="shared" si="30"/>
        <v/>
      </c>
      <c r="AH23" s="1255" t="str">
        <f t="shared" si="31"/>
        <v/>
      </c>
      <c r="AI23" s="1255" t="str">
        <f t="shared" si="32"/>
        <v/>
      </c>
    </row>
    <row r="24" spans="2:36" ht="18.75">
      <c r="B24" s="1262">
        <v>14</v>
      </c>
      <c r="C24" s="1242">
        <f>D24-E24</f>
        <v>4</v>
      </c>
      <c r="D24" s="1242">
        <f>SUMPRODUCT(($I$5:$T$5=TRUE)*($I$6:$T$6&gt;1))</f>
        <v>4</v>
      </c>
      <c r="E24" s="1242">
        <f>SUMPRODUCT(($I$5:$T$5=TRUE)*($I$6:$T$6&gt;1)*(I24:T24&gt;0))</f>
        <v>0</v>
      </c>
      <c r="G24" s="2342"/>
      <c r="H24" s="1256" t="s">
        <v>798</v>
      </c>
      <c r="I24" s="1332">
        <v>0</v>
      </c>
      <c r="J24" s="1333">
        <v>0</v>
      </c>
      <c r="K24" s="1332"/>
      <c r="L24" s="1333"/>
      <c r="M24" s="1332"/>
      <c r="N24" s="1333"/>
      <c r="O24" s="1332"/>
      <c r="P24" s="1333"/>
      <c r="Q24" s="1332"/>
      <c r="R24" s="1333"/>
      <c r="S24" s="1332">
        <v>0</v>
      </c>
      <c r="T24" s="1333">
        <v>0</v>
      </c>
      <c r="W24" s="1215" t="s">
        <v>1165</v>
      </c>
      <c r="X24" s="1255" t="str">
        <f>IF(I24="","",INT(I24)&amp;IF(I24-INT(I24)=0,".0",RIGHT(LEFT((I24-INT(I24))&amp;"0",3),2))&amp;"°")</f>
        <v>0.0°</v>
      </c>
      <c r="Y24" s="1255" t="str">
        <f t="shared" ref="Y24:AI24" si="36">IF(J24="","",INT(J24)&amp;IF(J24-INT(J24)=0,".0",RIGHT(LEFT((J24-INT(J24))&amp;"0",3),2))&amp;"°")</f>
        <v>0.0°</v>
      </c>
      <c r="Z24" s="1255" t="str">
        <f t="shared" si="36"/>
        <v/>
      </c>
      <c r="AA24" s="1255" t="str">
        <f t="shared" si="36"/>
        <v/>
      </c>
      <c r="AB24" s="1255" t="str">
        <f t="shared" si="36"/>
        <v/>
      </c>
      <c r="AC24" s="1255" t="str">
        <f t="shared" si="36"/>
        <v/>
      </c>
      <c r="AD24" s="1255" t="str">
        <f t="shared" si="36"/>
        <v/>
      </c>
      <c r="AE24" s="1255" t="str">
        <f t="shared" si="36"/>
        <v/>
      </c>
      <c r="AF24" s="1255" t="str">
        <f t="shared" si="36"/>
        <v/>
      </c>
      <c r="AG24" s="1255" t="str">
        <f t="shared" si="36"/>
        <v/>
      </c>
      <c r="AH24" s="1255" t="str">
        <f t="shared" si="36"/>
        <v>0.0°</v>
      </c>
      <c r="AI24" s="1255" t="str">
        <f t="shared" si="36"/>
        <v>0.0°</v>
      </c>
    </row>
    <row r="25" spans="2:36" ht="7.5" customHeight="1"/>
    <row r="26" spans="2:36" ht="18.75">
      <c r="B26" s="1262">
        <v>14</v>
      </c>
      <c r="C26" s="1242">
        <v>0</v>
      </c>
      <c r="D26" s="1262"/>
      <c r="E26" s="1262"/>
      <c r="G26" s="2342" t="s">
        <v>1140</v>
      </c>
      <c r="H26" s="1256" t="s">
        <v>1134</v>
      </c>
      <c r="I26" s="1261" t="s">
        <v>177</v>
      </c>
      <c r="J26" s="1260" t="s">
        <v>176</v>
      </c>
      <c r="K26" s="1261" t="s">
        <v>177</v>
      </c>
      <c r="L26" s="1260" t="s">
        <v>176</v>
      </c>
      <c r="M26" s="1261" t="s">
        <v>177</v>
      </c>
      <c r="N26" s="1260" t="s">
        <v>176</v>
      </c>
      <c r="O26" s="1261" t="s">
        <v>177</v>
      </c>
      <c r="P26" s="1260" t="s">
        <v>176</v>
      </c>
      <c r="Q26" s="1261" t="s">
        <v>177</v>
      </c>
      <c r="R26" s="1260" t="s">
        <v>176</v>
      </c>
      <c r="S26" s="1261" t="s">
        <v>177</v>
      </c>
      <c r="T26" s="1260" t="s">
        <v>176</v>
      </c>
      <c r="W26" s="1215" t="s">
        <v>1163</v>
      </c>
      <c r="X26" s="1255" t="str">
        <f>$W27&amp;X27&amp;$W28&amp;X28&amp;$W29&amp;X29&amp;$W30&amp;X30</f>
        <v>dF:3.50 / dA:4.50 / Trim:1.00 / List:0.0°</v>
      </c>
      <c r="Y26" s="1255" t="str">
        <f t="shared" ref="Y26" si="37">$W27&amp;Y27&amp;$W28&amp;Y28&amp;$W29&amp;Y29&amp;$W30&amp;Y30</f>
        <v>dF:2.00 / dA:3.00 / Trim:1.00 / List:0.0°</v>
      </c>
      <c r="Z26" s="1255" t="str">
        <f t="shared" ref="Z26" si="38">$W27&amp;Z27&amp;$W28&amp;Z28&amp;$W29&amp;Z29&amp;$W30&amp;Z30</f>
        <v>dF: / dA: / Trim: / List:</v>
      </c>
      <c r="AA26" s="1255" t="str">
        <f t="shared" ref="AA26" si="39">$W27&amp;AA27&amp;$W28&amp;AA28&amp;$W29&amp;AA29&amp;$W30&amp;AA30</f>
        <v>dF: / dA: / Trim: / List:</v>
      </c>
      <c r="AB26" s="1255" t="str">
        <f t="shared" ref="AB26" si="40">$W27&amp;AB27&amp;$W28&amp;AB28&amp;$W29&amp;AB29&amp;$W30&amp;AB30</f>
        <v>dF: / dA: / Trim: / List:</v>
      </c>
      <c r="AC26" s="1255" t="str">
        <f t="shared" ref="AC26" si="41">$W27&amp;AC27&amp;$W28&amp;AC28&amp;$W29&amp;AC29&amp;$W30&amp;AC30</f>
        <v>dF: / dA: / Trim: / List:</v>
      </c>
      <c r="AD26" s="1255" t="str">
        <f t="shared" ref="AD26" si="42">$W27&amp;AD27&amp;$W28&amp;AD28&amp;$W29&amp;AD29&amp;$W30&amp;AD30</f>
        <v>dF: / dA: / Trim: / List:</v>
      </c>
      <c r="AE26" s="1255" t="str">
        <f t="shared" ref="AE26" si="43">$W27&amp;AE27&amp;$W28&amp;AE28&amp;$W29&amp;AE29&amp;$W30&amp;AE30</f>
        <v>dF: / dA: / Trim: / List:</v>
      </c>
      <c r="AF26" s="1255" t="str">
        <f t="shared" ref="AF26" si="44">$W27&amp;AF27&amp;$W28&amp;AF28&amp;$W29&amp;AF29&amp;$W30&amp;AF30</f>
        <v>dF: / dA: / Trim: / List:</v>
      </c>
      <c r="AG26" s="1255" t="str">
        <f t="shared" ref="AG26" si="45">$W27&amp;AG27&amp;$W28&amp;AG28&amp;$W29&amp;AG29&amp;$W30&amp;AG30</f>
        <v>dF: / dA: / Trim: / List:</v>
      </c>
      <c r="AH26" s="1255" t="str">
        <f t="shared" ref="AH26" si="46">$W27&amp;AH27&amp;$W28&amp;AH28&amp;$W29&amp;AH29&amp;$W30&amp;AH30</f>
        <v>dF:3.50 / dA:4.50 / Trim:1.00 / List:0.0°</v>
      </c>
      <c r="AI26" s="1255" t="str">
        <f t="shared" ref="AI26" si="47">$W27&amp;AI27&amp;$W28&amp;AI28&amp;$W29&amp;AI29&amp;$W30&amp;AI30</f>
        <v>dF:2.00 / dA:3.00 / Trim:1.00 / List:0.0°</v>
      </c>
    </row>
    <row r="27" spans="2:36" ht="18.75">
      <c r="B27" s="1262">
        <v>14</v>
      </c>
      <c r="C27" s="1242">
        <f t="shared" ref="C27:C28" si="48">D27-E27</f>
        <v>2</v>
      </c>
      <c r="D27" s="1242">
        <f t="shared" ref="D27:D28" si="49">SUMPRODUCT(($I$5:$T$5=TRUE)*($I$6:$T$6&gt;1))</f>
        <v>4</v>
      </c>
      <c r="E27" s="1242">
        <f t="shared" ref="E27:E28" si="50">SUMPRODUCT(($I$5:$T$5=TRUE)*($I$6:$T$6&gt;1)*(I27:T27&gt;0))</f>
        <v>2</v>
      </c>
      <c r="G27" s="2342"/>
      <c r="H27" s="1257" t="s">
        <v>792</v>
      </c>
      <c r="I27" s="1328">
        <v>3.5</v>
      </c>
      <c r="J27" s="1329">
        <v>2</v>
      </c>
      <c r="K27" s="1328"/>
      <c r="L27" s="1329"/>
      <c r="M27" s="1328"/>
      <c r="N27" s="1329"/>
      <c r="O27" s="1328"/>
      <c r="P27" s="1329"/>
      <c r="Q27" s="1328"/>
      <c r="R27" s="1329"/>
      <c r="S27" s="1328">
        <v>3.5</v>
      </c>
      <c r="T27" s="1329">
        <v>2</v>
      </c>
      <c r="W27" s="1215" t="s">
        <v>1166</v>
      </c>
      <c r="X27" s="1255" t="str">
        <f t="shared" ref="X27" si="51">IF(I27="","",INT(I27)&amp;IF(I27-INT(I27)=0,".00",RIGHT(LEFT((I27-INT(I27))&amp;"00",4),3)))</f>
        <v>3.50</v>
      </c>
      <c r="Y27" s="1255" t="str">
        <f t="shared" ref="Y27:Y29" si="52">IF(J27="","",INT(J27)&amp;IF(J27-INT(J27)=0,".00",RIGHT(LEFT((J27-INT(J27))&amp;"00",4),3)))</f>
        <v>2.00</v>
      </c>
      <c r="Z27" s="1255" t="str">
        <f t="shared" ref="Z27:Z29" si="53">IF(K27="","",INT(K27)&amp;IF(K27-INT(K27)=0,".00",RIGHT(LEFT((K27-INT(K27))&amp;"00",4),3)))</f>
        <v/>
      </c>
      <c r="AA27" s="1255" t="str">
        <f t="shared" ref="AA27:AA29" si="54">IF(L27="","",INT(L27)&amp;IF(L27-INT(L27)=0,".00",RIGHT(LEFT((L27-INT(L27))&amp;"00",4),3)))</f>
        <v/>
      </c>
      <c r="AB27" s="1255" t="str">
        <f t="shared" ref="AB27:AB29" si="55">IF(M27="","",INT(M27)&amp;IF(M27-INT(M27)=0,".00",RIGHT(LEFT((M27-INT(M27))&amp;"00",4),3)))</f>
        <v/>
      </c>
      <c r="AC27" s="1255" t="str">
        <f t="shared" ref="AC27:AC29" si="56">IF(N27="","",INT(N27)&amp;IF(N27-INT(N27)=0,".00",RIGHT(LEFT((N27-INT(N27))&amp;"00",4),3)))</f>
        <v/>
      </c>
      <c r="AD27" s="1255" t="str">
        <f t="shared" ref="AD27:AD29" si="57">IF(O27="","",INT(O27)&amp;IF(O27-INT(O27)=0,".00",RIGHT(LEFT((O27-INT(O27))&amp;"00",4),3)))</f>
        <v/>
      </c>
      <c r="AE27" s="1255" t="str">
        <f t="shared" ref="AE27:AE29" si="58">IF(P27="","",INT(P27)&amp;IF(P27-INT(P27)=0,".00",RIGHT(LEFT((P27-INT(P27))&amp;"00",4),3)))</f>
        <v/>
      </c>
      <c r="AF27" s="1255" t="str">
        <f t="shared" ref="AF27:AF29" si="59">IF(Q27="","",INT(Q27)&amp;IF(Q27-INT(Q27)=0,".00",RIGHT(LEFT((Q27-INT(Q27))&amp;"00",4),3)))</f>
        <v/>
      </c>
      <c r="AG27" s="1255" t="str">
        <f t="shared" ref="AG27:AG29" si="60">IF(R27="","",INT(R27)&amp;IF(R27-INT(R27)=0,".00",RIGHT(LEFT((R27-INT(R27))&amp;"00",4),3)))</f>
        <v/>
      </c>
      <c r="AH27" s="1255" t="str">
        <f t="shared" ref="AH27:AH29" si="61">IF(S27="","",INT(S27)&amp;IF(S27-INT(S27)=0,".00",RIGHT(LEFT((S27-INT(S27))&amp;"00",4),3)))</f>
        <v>3.50</v>
      </c>
      <c r="AI27" s="1255" t="str">
        <f t="shared" ref="AI27:AI29" si="62">IF(T27="","",INT(T27)&amp;IF(T27-INT(T27)=0,".00",RIGHT(LEFT((T27-INT(T27))&amp;"00",4),3)))</f>
        <v>2.00</v>
      </c>
    </row>
    <row r="28" spans="2:36" ht="18.75">
      <c r="B28" s="1262">
        <v>14</v>
      </c>
      <c r="C28" s="1242">
        <f t="shared" si="48"/>
        <v>2</v>
      </c>
      <c r="D28" s="1242">
        <f t="shared" si="49"/>
        <v>4</v>
      </c>
      <c r="E28" s="1242">
        <f t="shared" si="50"/>
        <v>2</v>
      </c>
      <c r="G28" s="2342"/>
      <c r="H28" s="1258" t="s">
        <v>797</v>
      </c>
      <c r="I28" s="1330">
        <v>4.5</v>
      </c>
      <c r="J28" s="1331">
        <v>3</v>
      </c>
      <c r="K28" s="1330"/>
      <c r="L28" s="1331"/>
      <c r="M28" s="1330"/>
      <c r="N28" s="1331"/>
      <c r="O28" s="1330"/>
      <c r="P28" s="1331"/>
      <c r="Q28" s="1330"/>
      <c r="R28" s="1331"/>
      <c r="S28" s="1330">
        <v>4.5</v>
      </c>
      <c r="T28" s="1331">
        <v>3</v>
      </c>
      <c r="W28" s="1215" t="s">
        <v>1167</v>
      </c>
      <c r="X28" s="1255" t="str">
        <f>IF(I28="","",INT(I28)&amp;IF(I28-INT(I28)=0,".00",RIGHT(LEFT((I28-INT(I28))&amp;"00",4),3)))</f>
        <v>4.50</v>
      </c>
      <c r="Y28" s="1255" t="str">
        <f t="shared" si="52"/>
        <v>3.00</v>
      </c>
      <c r="Z28" s="1255" t="str">
        <f t="shared" si="53"/>
        <v/>
      </c>
      <c r="AA28" s="1255" t="str">
        <f t="shared" si="54"/>
        <v/>
      </c>
      <c r="AB28" s="1255" t="str">
        <f t="shared" si="55"/>
        <v/>
      </c>
      <c r="AC28" s="1255" t="str">
        <f t="shared" si="56"/>
        <v/>
      </c>
      <c r="AD28" s="1255" t="str">
        <f t="shared" si="57"/>
        <v/>
      </c>
      <c r="AE28" s="1255" t="str">
        <f t="shared" si="58"/>
        <v/>
      </c>
      <c r="AF28" s="1255" t="str">
        <f t="shared" si="59"/>
        <v/>
      </c>
      <c r="AG28" s="1255" t="str">
        <f t="shared" si="60"/>
        <v/>
      </c>
      <c r="AH28" s="1255" t="str">
        <f t="shared" si="61"/>
        <v>4.50</v>
      </c>
      <c r="AI28" s="1255" t="str">
        <f t="shared" si="62"/>
        <v>3.00</v>
      </c>
    </row>
    <row r="29" spans="2:36" ht="18.75">
      <c r="B29" s="1262">
        <v>14</v>
      </c>
      <c r="C29" s="1242">
        <v>0</v>
      </c>
      <c r="G29" s="2342"/>
      <c r="H29" s="1256" t="s">
        <v>793</v>
      </c>
      <c r="I29" s="1272">
        <f t="shared" ref="I29" si="63">IF(OR(I27="",I28=""),"",ROUND(I28-I27,2))</f>
        <v>1</v>
      </c>
      <c r="J29" s="1273">
        <f t="shared" ref="J29" si="64">IF(OR(J27="",J28=""),"",ROUND(J28-J27,2))</f>
        <v>1</v>
      </c>
      <c r="K29" s="1272" t="str">
        <f t="shared" ref="K29" si="65">IF(OR(K27="",K28=""),"",ROUND(K28-K27,2))</f>
        <v/>
      </c>
      <c r="L29" s="1273" t="str">
        <f t="shared" ref="L29" si="66">IF(OR(L27="",L28=""),"",ROUND(L28-L27,2))</f>
        <v/>
      </c>
      <c r="M29" s="1272" t="str">
        <f t="shared" ref="M29" si="67">IF(OR(M27="",M28=""),"",ROUND(M28-M27,2))</f>
        <v/>
      </c>
      <c r="N29" s="1273" t="str">
        <f t="shared" ref="N29" si="68">IF(OR(N27="",N28=""),"",ROUND(N28-N27,2))</f>
        <v/>
      </c>
      <c r="O29" s="1272" t="str">
        <f t="shared" ref="O29" si="69">IF(OR(O27="",O28=""),"",ROUND(O28-O27,2))</f>
        <v/>
      </c>
      <c r="P29" s="1273" t="str">
        <f t="shared" ref="P29" si="70">IF(OR(P27="",P28=""),"",ROUND(P28-P27,2))</f>
        <v/>
      </c>
      <c r="Q29" s="1272" t="str">
        <f>IF(OR(Q27="",Q28=""),"",ROUND(Q28-Q27,2))</f>
        <v/>
      </c>
      <c r="R29" s="1273" t="str">
        <f t="shared" ref="R29" si="71">IF(OR(R27="",R28=""),"",ROUND(R28-R27,2))</f>
        <v/>
      </c>
      <c r="S29" s="1272">
        <f t="shared" ref="S29" si="72">IF(OR(S27="",S28=""),"",ROUND(S28-S27,2))</f>
        <v>1</v>
      </c>
      <c r="T29" s="1273">
        <f t="shared" ref="T29" si="73">IF(OR(T27="",T28=""),"",ROUND(T28-T27,2))</f>
        <v>1</v>
      </c>
      <c r="W29" s="1215" t="s">
        <v>1164</v>
      </c>
      <c r="X29" s="1255" t="str">
        <f t="shared" ref="X29" si="74">IF(I29="","",INT(I29)&amp;IF(I29-INT(I29)=0,".00",RIGHT(LEFT((I29-INT(I29))&amp;"00",4),3)))</f>
        <v>1.00</v>
      </c>
      <c r="Y29" s="1255" t="str">
        <f t="shared" si="52"/>
        <v>1.00</v>
      </c>
      <c r="Z29" s="1255" t="str">
        <f t="shared" si="53"/>
        <v/>
      </c>
      <c r="AA29" s="1255" t="str">
        <f t="shared" si="54"/>
        <v/>
      </c>
      <c r="AB29" s="1255" t="str">
        <f t="shared" si="55"/>
        <v/>
      </c>
      <c r="AC29" s="1255" t="str">
        <f t="shared" si="56"/>
        <v/>
      </c>
      <c r="AD29" s="1255" t="str">
        <f t="shared" si="57"/>
        <v/>
      </c>
      <c r="AE29" s="1255" t="str">
        <f t="shared" si="58"/>
        <v/>
      </c>
      <c r="AF29" s="1255" t="str">
        <f t="shared" si="59"/>
        <v/>
      </c>
      <c r="AG29" s="1255" t="str">
        <f t="shared" si="60"/>
        <v/>
      </c>
      <c r="AH29" s="1255" t="str">
        <f t="shared" si="61"/>
        <v>1.00</v>
      </c>
      <c r="AI29" s="1255" t="str">
        <f t="shared" si="62"/>
        <v>1.00</v>
      </c>
    </row>
    <row r="30" spans="2:36" ht="18.75">
      <c r="B30" s="1262">
        <v>14</v>
      </c>
      <c r="C30" s="1242">
        <f>D30-E30</f>
        <v>4</v>
      </c>
      <c r="D30" s="1242">
        <f>SUMPRODUCT(($I$5:$T$5=TRUE)*($I$6:$T$6&gt;1))</f>
        <v>4</v>
      </c>
      <c r="E30" s="1242">
        <f>SUMPRODUCT(($I$5:$T$5=TRUE)*($I$6:$T$6&gt;1)*(I30:T30&gt;0))</f>
        <v>0</v>
      </c>
      <c r="G30" s="2342"/>
      <c r="H30" s="1256" t="s">
        <v>798</v>
      </c>
      <c r="I30" s="1332">
        <v>0</v>
      </c>
      <c r="J30" s="1333">
        <v>0</v>
      </c>
      <c r="K30" s="1332"/>
      <c r="L30" s="1333"/>
      <c r="M30" s="1332"/>
      <c r="N30" s="1333"/>
      <c r="O30" s="1332"/>
      <c r="P30" s="1333"/>
      <c r="Q30" s="1332"/>
      <c r="R30" s="1333"/>
      <c r="S30" s="1332">
        <v>0</v>
      </c>
      <c r="T30" s="1333">
        <v>0</v>
      </c>
      <c r="W30" s="1215" t="s">
        <v>1165</v>
      </c>
      <c r="X30" s="1255" t="str">
        <f>IF(I30="","",INT(I30)&amp;IF(I30-INT(I30)=0,".0",RIGHT(LEFT((I30-INT(I30))&amp;"0",3),2))&amp;"°")</f>
        <v>0.0°</v>
      </c>
      <c r="Y30" s="1255" t="str">
        <f t="shared" ref="Y30" si="75">IF(J30="","",INT(J30)&amp;IF(J30-INT(J30)=0,".0",RIGHT(LEFT((J30-INT(J30))&amp;"0",3),2))&amp;"°")</f>
        <v>0.0°</v>
      </c>
      <c r="Z30" s="1255" t="str">
        <f t="shared" ref="Z30" si="76">IF(K30="","",INT(K30)&amp;IF(K30-INT(K30)=0,".0",RIGHT(LEFT((K30-INT(K30))&amp;"0",3),2))&amp;"°")</f>
        <v/>
      </c>
      <c r="AA30" s="1255" t="str">
        <f t="shared" ref="AA30" si="77">IF(L30="","",INT(L30)&amp;IF(L30-INT(L30)=0,".0",RIGHT(LEFT((L30-INT(L30))&amp;"0",3),2))&amp;"°")</f>
        <v/>
      </c>
      <c r="AB30" s="1255" t="str">
        <f t="shared" ref="AB30" si="78">IF(M30="","",INT(M30)&amp;IF(M30-INT(M30)=0,".0",RIGHT(LEFT((M30-INT(M30))&amp;"0",3),2))&amp;"°")</f>
        <v/>
      </c>
      <c r="AC30" s="1255" t="str">
        <f t="shared" ref="AC30" si="79">IF(N30="","",INT(N30)&amp;IF(N30-INT(N30)=0,".0",RIGHT(LEFT((N30-INT(N30))&amp;"0",3),2))&amp;"°")</f>
        <v/>
      </c>
      <c r="AD30" s="1255" t="str">
        <f t="shared" ref="AD30" si="80">IF(O30="","",INT(O30)&amp;IF(O30-INT(O30)=0,".0",RIGHT(LEFT((O30-INT(O30))&amp;"0",3),2))&amp;"°")</f>
        <v/>
      </c>
      <c r="AE30" s="1255" t="str">
        <f t="shared" ref="AE30" si="81">IF(P30="","",INT(P30)&amp;IF(P30-INT(P30)=0,".0",RIGHT(LEFT((P30-INT(P30))&amp;"0",3),2))&amp;"°")</f>
        <v/>
      </c>
      <c r="AF30" s="1255" t="str">
        <f t="shared" ref="AF30" si="82">IF(Q30="","",INT(Q30)&amp;IF(Q30-INT(Q30)=0,".0",RIGHT(LEFT((Q30-INT(Q30))&amp;"0",3),2))&amp;"°")</f>
        <v/>
      </c>
      <c r="AG30" s="1255" t="str">
        <f t="shared" ref="AG30" si="83">IF(R30="","",INT(R30)&amp;IF(R30-INT(R30)=0,".0",RIGHT(LEFT((R30-INT(R30))&amp;"0",3),2))&amp;"°")</f>
        <v/>
      </c>
      <c r="AH30" s="1255" t="str">
        <f t="shared" ref="AH30" si="84">IF(S30="","",INT(S30)&amp;IF(S30-INT(S30)=0,".0",RIGHT(LEFT((S30-INT(S30))&amp;"0",3),2))&amp;"°")</f>
        <v>0.0°</v>
      </c>
      <c r="AI30" s="1255" t="str">
        <f t="shared" ref="AI30" si="85">IF(T30="","",INT(T30)&amp;IF(T30-INT(T30)=0,".0",RIGHT(LEFT((T30-INT(T30))&amp;"0",3),2))&amp;"°")</f>
        <v>0.0°</v>
      </c>
    </row>
    <row r="31" spans="2:36"/>
    <row r="32" spans="2:36">
      <c r="H32" s="1238" t="s">
        <v>1106</v>
      </c>
    </row>
    <row r="33" spans="8:8">
      <c r="H33" s="1240" t="s">
        <v>1137</v>
      </c>
    </row>
    <row r="34" spans="8:8">
      <c r="H34" s="1240" t="s">
        <v>1171</v>
      </c>
    </row>
    <row r="35" spans="8:8">
      <c r="H35" s="1240" t="s">
        <v>1172</v>
      </c>
    </row>
  </sheetData>
  <sheetProtection algorithmName="SHA-512" hashValue="KC4GaArWLwEi3/Cwg7G7/iYpAcyqET+/mytFe2isMvHKS4aebGe4RuClL4oCMmTQIhriX+fsD6uW2huRNXVK6g==" saltValue="H0ZgbFLVtv+7kCHnYMfMBQ==" spinCount="100000" sheet="1" objects="1" scenarios="1" autoFilter="0"/>
  <mergeCells count="23">
    <mergeCell ref="Q16:R16"/>
    <mergeCell ref="S16:T16"/>
    <mergeCell ref="G16:H16"/>
    <mergeCell ref="I16:J16"/>
    <mergeCell ref="K16:L16"/>
    <mergeCell ref="M16:N16"/>
    <mergeCell ref="O16:P16"/>
    <mergeCell ref="G26:G30"/>
    <mergeCell ref="M18:N18"/>
    <mergeCell ref="O18:P18"/>
    <mergeCell ref="Q18:R18"/>
    <mergeCell ref="S18:T18"/>
    <mergeCell ref="G20:G24"/>
    <mergeCell ref="G17:H17"/>
    <mergeCell ref="G18:H18"/>
    <mergeCell ref="M17:N17"/>
    <mergeCell ref="O17:P17"/>
    <mergeCell ref="Q17:R17"/>
    <mergeCell ref="S17:T17"/>
    <mergeCell ref="I17:J17"/>
    <mergeCell ref="I18:J18"/>
    <mergeCell ref="K17:L17"/>
    <mergeCell ref="K18:L18"/>
  </mergeCells>
  <conditionalFormatting sqref="I21:T22 I24:T24">
    <cfRule type="expression" dxfId="136" priority="4">
      <formula>OR(AND(I$5=FALSE,I21&gt;0),AND(I$5=TRUE,I21&gt;0,I$6&lt;2))</formula>
    </cfRule>
    <cfRule type="expression" dxfId="135" priority="5">
      <formula>OR(I$5=FALSE,I$6&lt;2)</formula>
    </cfRule>
    <cfRule type="expression" dxfId="134" priority="6">
      <formula>AND(I21=0,I$6&gt;1)</formula>
    </cfRule>
  </conditionalFormatting>
  <conditionalFormatting sqref="I30:T30 I27:T28">
    <cfRule type="expression" dxfId="133" priority="1">
      <formula>OR(AND(I$5=FALSE,I27&gt;0),AND(I$5=TRUE,I27&gt;0,I$6&lt;2))</formula>
    </cfRule>
    <cfRule type="expression" dxfId="132" priority="2">
      <formula>OR(I$5=FALSE,I$6&lt;2)</formula>
    </cfRule>
    <cfRule type="expression" dxfId="131" priority="3">
      <formula>AND(I27=0,I$6&gt;1)</formula>
    </cfRule>
  </conditionalFormatting>
  <dataValidations count="1">
    <dataValidation type="decimal" allowBlank="1" showInputMessage="1" showErrorMessage="1" errorTitle="Numbers" error="This is not a valid Number!" sqref="I21:T22 I24:U24 I27:U28 I30:U30" xr:uid="{00000000-0002-0000-0600-000000000000}">
      <formula1>-100</formula1>
      <formula2>1000</formula2>
    </dataValidation>
  </dataValidations>
  <printOptions horizontalCentered="1"/>
  <pageMargins left="0.3" right="0.3" top="0.2" bottom="0.3" header="0.3" footer="0.1"/>
  <pageSetup paperSize="9" scale="92" orientation="portrait" cellComments="atEnd" r:id="rId1"/>
  <headerFooter scaleWithDoc="0">
    <oddFooter>&amp;L&amp;8BunkerManager, v1.06&amp;C&amp;8by AMS-Marine | www.ams-marine.com&amp;R&amp;8RefNo: BD/2015/00926 SG</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12" filterMode="1">
    <tabColor rgb="FF002060"/>
    <pageSetUpPr fitToPage="1"/>
  </sheetPr>
  <dimension ref="A1:R35"/>
  <sheetViews>
    <sheetView showGridLines="0" showRowColHeaders="0" workbookViewId="0">
      <pane xSplit="2" ySplit="8" topLeftCell="C9" activePane="bottomRight" state="frozen"/>
      <selection pane="topRight"/>
      <selection pane="bottomLeft"/>
      <selection pane="bottomRight" activeCell="K15" sqref="K15"/>
    </sheetView>
  </sheetViews>
  <sheetFormatPr defaultColWidth="0" defaultRowHeight="12.75" zeroHeight="1"/>
  <cols>
    <col min="1" max="1" width="6.5" style="417" hidden="1" customWidth="1"/>
    <col min="2" max="2" width="8.5" style="417" hidden="1" customWidth="1"/>
    <col min="3" max="3" width="16" style="417" bestFit="1" customWidth="1"/>
    <col min="4" max="4" width="8.125" style="417" customWidth="1"/>
    <col min="5" max="5" width="6.25" style="417" customWidth="1"/>
    <col min="6" max="11" width="10" style="417" customWidth="1"/>
    <col min="12" max="12" width="0.375" style="417" customWidth="1"/>
    <col min="13" max="13" width="9" style="417" hidden="1" customWidth="1"/>
    <col min="14" max="14" width="16.5" style="417" hidden="1" customWidth="1"/>
    <col min="15" max="15" width="4.875" style="417" hidden="1" customWidth="1"/>
    <col min="16" max="16" width="8" style="417" hidden="1" customWidth="1"/>
    <col min="17" max="17" width="7.625" style="417" hidden="1" customWidth="1"/>
    <col min="18" max="18" width="8" style="417" hidden="1" customWidth="1"/>
    <col min="19" max="16384" width="9" style="417" hidden="1"/>
  </cols>
  <sheetData>
    <row r="1" spans="1:16" hidden="1">
      <c r="F1" s="486" t="str">
        <f t="shared" ref="F1:K1" si="0">IF(ISERROR(MATCH(F7,RESIDUALS,0)),"DIST","RES")</f>
        <v>RES</v>
      </c>
      <c r="G1" s="486" t="str">
        <f t="shared" si="0"/>
        <v>RES</v>
      </c>
      <c r="H1" s="486" t="str">
        <f t="shared" si="0"/>
        <v>DIST</v>
      </c>
      <c r="I1" s="486" t="str">
        <f t="shared" si="0"/>
        <v>DIST</v>
      </c>
      <c r="J1" s="486" t="str">
        <f t="shared" si="0"/>
        <v>DIST</v>
      </c>
      <c r="K1" s="486" t="str">
        <f t="shared" si="0"/>
        <v>DIST</v>
      </c>
    </row>
    <row r="3" spans="1:16" ht="28.5" customHeight="1">
      <c r="A3" s="523"/>
      <c r="B3" s="523"/>
      <c r="C3" s="523"/>
      <c r="D3" s="523"/>
      <c r="E3" s="523"/>
      <c r="F3" s="523"/>
      <c r="G3" s="523"/>
      <c r="H3" s="523"/>
      <c r="I3" s="523"/>
      <c r="J3" s="523"/>
      <c r="K3" s="523"/>
      <c r="L3" s="523"/>
      <c r="O3" s="1267">
        <v>2</v>
      </c>
      <c r="P3" s="1268" t="s">
        <v>1142</v>
      </c>
    </row>
    <row r="4" spans="1:16" ht="18.75">
      <c r="A4" s="523" t="s">
        <v>284</v>
      </c>
      <c r="B4" s="523"/>
      <c r="C4" s="964"/>
      <c r="D4" s="965"/>
      <c r="E4" s="965"/>
      <c r="F4" s="965"/>
      <c r="G4" s="965" t="s">
        <v>1180</v>
      </c>
      <c r="H4" s="965"/>
      <c r="I4" s="965"/>
      <c r="J4" s="965"/>
      <c r="K4" s="966"/>
      <c r="L4" s="523"/>
      <c r="P4" s="1268" t="s">
        <v>1141</v>
      </c>
    </row>
    <row r="5" spans="1:16" ht="6.75" customHeight="1">
      <c r="A5" s="523" t="s">
        <v>284</v>
      </c>
      <c r="B5" s="523"/>
      <c r="C5" s="523"/>
      <c r="D5" s="523"/>
      <c r="E5" s="523"/>
      <c r="F5" s="523"/>
      <c r="G5" s="523"/>
      <c r="H5" s="523"/>
      <c r="I5" s="523"/>
      <c r="J5" s="523"/>
      <c r="K5" s="523"/>
      <c r="L5" s="523"/>
    </row>
    <row r="6" spans="1:16" ht="24.75" hidden="1" customHeight="1">
      <c r="A6" s="1271" t="str">
        <f>IF(AND(A11&lt;&gt;"Y",A13&lt;&gt;"Y",A17&lt;&gt;"Y"),"Y","N")</f>
        <v>N</v>
      </c>
      <c r="B6" s="523"/>
      <c r="C6" s="523"/>
      <c r="D6" s="523"/>
      <c r="E6" s="523"/>
      <c r="F6" s="523"/>
      <c r="G6" s="1269" t="s">
        <v>1143</v>
      </c>
      <c r="H6" s="523"/>
      <c r="I6" s="523"/>
      <c r="J6" s="523"/>
      <c r="K6" s="523"/>
      <c r="L6" s="523"/>
    </row>
    <row r="7" spans="1:16">
      <c r="A7" s="1271" t="str">
        <f>IF(OR(A11="Y",A13="Y"),"Y","N")</f>
        <v>Y</v>
      </c>
      <c r="B7" s="523"/>
      <c r="C7" s="2358"/>
      <c r="D7" s="2358"/>
      <c r="E7" s="2358"/>
      <c r="F7" s="756" t="str">
        <f>'Preliminary Report'!E1</f>
        <v>HSFO</v>
      </c>
      <c r="G7" s="757" t="str">
        <f>'Preliminary Report'!F1</f>
        <v>LSFO</v>
      </c>
      <c r="H7" s="757" t="str">
        <f>'Preliminary Report'!G1</f>
        <v>MDO</v>
      </c>
      <c r="I7" s="757" t="str">
        <f>'Preliminary Report'!H1</f>
        <v>LSMDO</v>
      </c>
      <c r="J7" s="757" t="str">
        <f>'Preliminary Report'!I1</f>
        <v>MGO</v>
      </c>
      <c r="K7" s="758" t="str">
        <f>'Preliminary Report'!J1</f>
        <v>LSMGO</v>
      </c>
      <c r="L7" s="523"/>
    </row>
    <row r="8" spans="1:16">
      <c r="A8" s="523" t="str">
        <f>A7</f>
        <v>Y</v>
      </c>
      <c r="B8" s="523"/>
      <c r="C8" s="2358"/>
      <c r="D8" s="2358"/>
      <c r="E8" s="2358"/>
      <c r="F8" s="759" t="str">
        <f>IF(F7="","","MT")</f>
        <v>MT</v>
      </c>
      <c r="G8" s="760" t="str">
        <f t="shared" ref="G8:K8" si="1">IF(G7="","","MT")</f>
        <v>MT</v>
      </c>
      <c r="H8" s="760" t="str">
        <f t="shared" si="1"/>
        <v>MT</v>
      </c>
      <c r="I8" s="760" t="str">
        <f t="shared" si="1"/>
        <v>MT</v>
      </c>
      <c r="J8" s="760" t="str">
        <f t="shared" si="1"/>
        <v>MT</v>
      </c>
      <c r="K8" s="761" t="str">
        <f t="shared" si="1"/>
        <v>MT</v>
      </c>
      <c r="L8" s="523"/>
    </row>
    <row r="9" spans="1:16" hidden="1">
      <c r="A9" s="523" t="str">
        <f>A6</f>
        <v>N</v>
      </c>
      <c r="B9" s="523"/>
      <c r="L9" s="523"/>
    </row>
    <row r="10" spans="1:16" hidden="1">
      <c r="A10" s="417" t="str">
        <f>IF(AND(SURVEYMODE&lt;&gt;2,REDEL&gt;1),"Y","ON/OFF")</f>
        <v>ON/OFF</v>
      </c>
    </row>
    <row r="11" spans="1:16" ht="42.75" hidden="1" customHeight="1">
      <c r="A11" s="1270" t="str">
        <f>IF(AND(SURVEYMODE&lt;&gt;2,REDEL&gt;1),"Y","ON/OFF")</f>
        <v>ON/OFF</v>
      </c>
      <c r="C11" s="2359" t="str">
        <f>"Consumption from Time of Survey to Time of "&amp;IF(REDEL=3,"Re-","")&amp;"Delivery has been calculated as:"</f>
        <v>Consumption from Time of Survey to Time of Delivery has been calculated as:</v>
      </c>
      <c r="D11" s="2360"/>
      <c r="E11" s="2361"/>
      <c r="F11" s="1022">
        <v>5</v>
      </c>
      <c r="G11" s="1023">
        <v>0</v>
      </c>
      <c r="H11" s="1023">
        <v>2</v>
      </c>
      <c r="I11" s="1023">
        <v>0</v>
      </c>
      <c r="J11" s="1023">
        <v>0</v>
      </c>
      <c r="K11" s="1024">
        <v>1</v>
      </c>
    </row>
    <row r="12" spans="1:16">
      <c r="A12" s="523" t="str">
        <f>IF(SURVEYMODE&lt;&gt;2,"Y","ROB")</f>
        <v>Y</v>
      </c>
      <c r="B12" s="523"/>
      <c r="C12" s="523"/>
      <c r="D12" s="523"/>
      <c r="E12" s="523"/>
      <c r="F12" s="523"/>
      <c r="G12" s="523"/>
      <c r="H12" s="523"/>
      <c r="I12" s="523"/>
      <c r="J12" s="523"/>
      <c r="K12" s="523"/>
      <c r="L12" s="523"/>
    </row>
    <row r="13" spans="1:16" ht="23.25">
      <c r="A13" s="1271" t="str">
        <f>IF(SURVEYMODE&lt;&gt;2,"Y","ROB")</f>
        <v>Y</v>
      </c>
      <c r="B13" s="540"/>
      <c r="C13" s="762" t="s">
        <v>501</v>
      </c>
      <c r="D13" s="418">
        <v>44791</v>
      </c>
      <c r="E13" s="1455">
        <v>0.54166666666666663</v>
      </c>
      <c r="F13" s="419">
        <v>0</v>
      </c>
      <c r="G13" s="420">
        <v>907.68</v>
      </c>
      <c r="H13" s="420">
        <v>0</v>
      </c>
      <c r="I13" s="420">
        <v>0</v>
      </c>
      <c r="J13" s="420">
        <v>0</v>
      </c>
      <c r="K13" s="421">
        <v>116.086</v>
      </c>
      <c r="L13" s="523"/>
    </row>
    <row r="14" spans="1:16" ht="23.25">
      <c r="A14" s="523" t="str">
        <f>IF(SURVEYMODE&lt;&gt;2,"Y","ROB")</f>
        <v>Y</v>
      </c>
      <c r="B14" s="540"/>
      <c r="C14" s="763" t="s">
        <v>151</v>
      </c>
      <c r="D14" s="418">
        <v>44792</v>
      </c>
      <c r="E14" s="1456">
        <v>0.22500000000000001</v>
      </c>
      <c r="F14" s="422">
        <v>0</v>
      </c>
      <c r="G14" s="423">
        <v>902.24</v>
      </c>
      <c r="H14" s="423">
        <v>0</v>
      </c>
      <c r="I14" s="423">
        <v>0</v>
      </c>
      <c r="J14" s="423">
        <v>0</v>
      </c>
      <c r="K14" s="421">
        <v>116.086</v>
      </c>
      <c r="L14" s="523"/>
    </row>
    <row r="15" spans="1:16" ht="23.25">
      <c r="A15" s="523" t="str">
        <f>IF(SURVEYMODE&lt;&gt;2,"Y","ROB")</f>
        <v>Y</v>
      </c>
      <c r="B15" s="540"/>
      <c r="C15" s="764" t="s">
        <v>500</v>
      </c>
      <c r="D15" s="418">
        <v>44792</v>
      </c>
      <c r="E15" s="1456">
        <v>0.22500000000000001</v>
      </c>
      <c r="F15" s="422">
        <v>0</v>
      </c>
      <c r="G15" s="423">
        <v>902.24</v>
      </c>
      <c r="H15" s="424">
        <v>0</v>
      </c>
      <c r="I15" s="424">
        <v>0</v>
      </c>
      <c r="J15" s="424">
        <v>0</v>
      </c>
      <c r="K15" s="421">
        <v>116.086</v>
      </c>
      <c r="L15" s="523"/>
    </row>
    <row r="16" spans="1:16" ht="6" hidden="1" customHeight="1">
      <c r="A16" s="523" t="str">
        <f t="shared" ref="A16:A34" si="2">IF(BCREQ=1,"Y","N")</f>
        <v>N</v>
      </c>
      <c r="B16" s="523"/>
      <c r="C16" s="523"/>
      <c r="D16" s="523"/>
      <c r="E16" s="523"/>
      <c r="F16" s="523"/>
      <c r="G16" s="523"/>
      <c r="H16" s="523"/>
      <c r="I16" s="523"/>
      <c r="J16" s="523"/>
      <c r="K16" s="523"/>
      <c r="L16" s="523"/>
    </row>
    <row r="17" spans="1:18" ht="17.25" hidden="1" customHeight="1">
      <c r="A17" s="1271" t="str">
        <f t="shared" si="2"/>
        <v>N</v>
      </c>
      <c r="B17" s="523"/>
      <c r="C17" s="2350" t="s">
        <v>505</v>
      </c>
      <c r="D17" s="2351"/>
      <c r="E17" s="2348" t="s">
        <v>475</v>
      </c>
      <c r="F17" s="2345" t="s">
        <v>482</v>
      </c>
      <c r="G17" s="2346"/>
      <c r="H17" s="2346"/>
      <c r="I17" s="2346"/>
      <c r="J17" s="2346"/>
      <c r="K17" s="2347"/>
      <c r="L17" s="523"/>
    </row>
    <row r="18" spans="1:18" ht="17.25" hidden="1" customHeight="1">
      <c r="A18" s="523" t="str">
        <f t="shared" si="2"/>
        <v>N</v>
      </c>
      <c r="B18" s="523"/>
      <c r="C18" s="2352"/>
      <c r="D18" s="2353"/>
      <c r="E18" s="2349"/>
      <c r="F18" s="765" t="str">
        <f t="shared" ref="F18:K18" si="3">F7</f>
        <v>HSFO</v>
      </c>
      <c r="G18" s="766" t="str">
        <f t="shared" si="3"/>
        <v>LSFO</v>
      </c>
      <c r="H18" s="766" t="str">
        <f t="shared" si="3"/>
        <v>MDO</v>
      </c>
      <c r="I18" s="766" t="str">
        <f t="shared" si="3"/>
        <v>LSMDO</v>
      </c>
      <c r="J18" s="766" t="str">
        <f t="shared" si="3"/>
        <v>MGO</v>
      </c>
      <c r="K18" s="767" t="str">
        <f t="shared" si="3"/>
        <v>LSMGO</v>
      </c>
      <c r="L18" s="523"/>
      <c r="N18" s="487"/>
      <c r="O18" s="487" t="s">
        <v>475</v>
      </c>
      <c r="P18" s="487" t="str">
        <f>'STANDARD SETT'!H15</f>
        <v>All Grades</v>
      </c>
      <c r="Q18" s="487" t="str">
        <f>'STANDARD SETT'!K15</f>
        <v>Residuals</v>
      </c>
      <c r="R18" s="487" t="str">
        <f>'STANDARD SETT'!L15</f>
        <v>Distillates</v>
      </c>
    </row>
    <row r="19" spans="1:18" hidden="1">
      <c r="A19" s="523" t="str">
        <f t="shared" si="2"/>
        <v>N</v>
      </c>
      <c r="B19" s="523"/>
      <c r="C19" s="2354"/>
      <c r="D19" s="2355"/>
      <c r="E19" s="768" t="s">
        <v>483</v>
      </c>
      <c r="F19" s="769" t="str">
        <f>IF(F18="","","MT")</f>
        <v>MT</v>
      </c>
      <c r="G19" s="770" t="str">
        <f t="shared" ref="G19:K19" si="4">IF(G18="","","MT")</f>
        <v>MT</v>
      </c>
      <c r="H19" s="770" t="str">
        <f t="shared" si="4"/>
        <v>MT</v>
      </c>
      <c r="I19" s="770" t="str">
        <f t="shared" si="4"/>
        <v>MT</v>
      </c>
      <c r="J19" s="770" t="str">
        <f t="shared" si="4"/>
        <v>MT</v>
      </c>
      <c r="K19" s="771" t="str">
        <f t="shared" si="4"/>
        <v>MT</v>
      </c>
      <c r="L19" s="523"/>
      <c r="N19" s="499"/>
      <c r="O19" s="499" t="s">
        <v>483</v>
      </c>
      <c r="P19" s="499" t="s">
        <v>31</v>
      </c>
      <c r="Q19" s="499" t="s">
        <v>31</v>
      </c>
      <c r="R19" s="499" t="s">
        <v>31</v>
      </c>
    </row>
    <row r="20" spans="1:18" hidden="1">
      <c r="A20" s="523" t="str">
        <f t="shared" si="2"/>
        <v>N</v>
      </c>
      <c r="B20" s="523"/>
      <c r="C20" s="2366" t="s">
        <v>476</v>
      </c>
      <c r="D20" s="2367"/>
      <c r="E20" s="962"/>
      <c r="F20" s="962"/>
      <c r="G20" s="962"/>
      <c r="H20" s="962"/>
      <c r="I20" s="962"/>
      <c r="J20" s="962"/>
      <c r="K20" s="963"/>
      <c r="L20" s="523"/>
      <c r="N20" s="489" t="str">
        <f>IF(C21=0,"",C21&amp;" ("&amp;$C$20&amp;")")</f>
        <v>Ladden (Service Speed)</v>
      </c>
      <c r="O20" s="490">
        <f>E21</f>
        <v>13</v>
      </c>
      <c r="P20" s="491">
        <f>SUM($F21:$K21)</f>
        <v>43.8</v>
      </c>
      <c r="Q20" s="491">
        <f>SUMIF($F$1:$K$1,"RES",$F21:$K21)</f>
        <v>20.8</v>
      </c>
      <c r="R20" s="492">
        <f>SUMIF($F$1:$K$1,"DIST",$F21:$K21)</f>
        <v>23</v>
      </c>
    </row>
    <row r="21" spans="1:18" hidden="1">
      <c r="A21" s="523" t="str">
        <f t="shared" si="2"/>
        <v>N</v>
      </c>
      <c r="B21" s="523"/>
      <c r="C21" s="2356" t="s">
        <v>480</v>
      </c>
      <c r="D21" s="2357"/>
      <c r="E21" s="524">
        <v>13</v>
      </c>
      <c r="F21" s="525">
        <v>8.8000000000000007</v>
      </c>
      <c r="G21" s="526">
        <v>12</v>
      </c>
      <c r="H21" s="526">
        <v>5</v>
      </c>
      <c r="I21" s="526">
        <v>7</v>
      </c>
      <c r="J21" s="526">
        <v>6</v>
      </c>
      <c r="K21" s="527">
        <v>5</v>
      </c>
      <c r="L21" s="523"/>
      <c r="N21" s="493" t="str">
        <f t="shared" ref="N21:N23" si="5">IF(C22=0,"",C22&amp;" ("&amp;$C$20&amp;")")</f>
        <v>Ballast (Service Speed)</v>
      </c>
      <c r="O21" s="486">
        <f>E22</f>
        <v>14</v>
      </c>
      <c r="P21" s="488">
        <f>SUM($F22:$K22)</f>
        <v>39</v>
      </c>
      <c r="Q21" s="488">
        <f>SUMIF($F$1:$K$1,"RES",$F22:$K22)</f>
        <v>19</v>
      </c>
      <c r="R21" s="494">
        <f>SUMIF($F$1:$K$1,"DIST",$F22:$K22)</f>
        <v>20</v>
      </c>
    </row>
    <row r="22" spans="1:18" hidden="1">
      <c r="A22" s="523" t="str">
        <f t="shared" si="2"/>
        <v>N</v>
      </c>
      <c r="B22" s="523"/>
      <c r="C22" s="2364" t="s">
        <v>481</v>
      </c>
      <c r="D22" s="2365"/>
      <c r="E22" s="528">
        <v>14</v>
      </c>
      <c r="F22" s="529">
        <v>9</v>
      </c>
      <c r="G22" s="530">
        <v>10</v>
      </c>
      <c r="H22" s="530">
        <v>6</v>
      </c>
      <c r="I22" s="530">
        <v>6</v>
      </c>
      <c r="J22" s="530">
        <v>6</v>
      </c>
      <c r="K22" s="531">
        <v>2</v>
      </c>
      <c r="L22" s="523"/>
      <c r="N22" s="493" t="str">
        <f t="shared" si="5"/>
        <v/>
      </c>
      <c r="O22" s="486">
        <f>E23</f>
        <v>0</v>
      </c>
      <c r="P22" s="488">
        <f>SUM($F23:$K23)</f>
        <v>0</v>
      </c>
      <c r="Q22" s="488">
        <f>SUMIF($F$1:$K$1,"RES",$F23:$K23)</f>
        <v>0</v>
      </c>
      <c r="R22" s="494">
        <f>SUMIF($F$1:$K$1,"DIST",$F23:$K23)</f>
        <v>0</v>
      </c>
    </row>
    <row r="23" spans="1:18" ht="13.5" hidden="1" thickBot="1">
      <c r="A23" s="523" t="str">
        <f t="shared" si="2"/>
        <v>N</v>
      </c>
      <c r="B23" s="523"/>
      <c r="C23" s="2364"/>
      <c r="D23" s="2365"/>
      <c r="E23" s="528"/>
      <c r="F23" s="529"/>
      <c r="G23" s="530"/>
      <c r="H23" s="530"/>
      <c r="I23" s="530"/>
      <c r="J23" s="530"/>
      <c r="K23" s="531"/>
      <c r="L23" s="523"/>
      <c r="N23" s="495" t="str">
        <f t="shared" si="5"/>
        <v/>
      </c>
      <c r="O23" s="496">
        <f>E24</f>
        <v>0</v>
      </c>
      <c r="P23" s="497">
        <f>SUM($F24:$K24)</f>
        <v>0</v>
      </c>
      <c r="Q23" s="497">
        <f>SUMIF($F$1:$K$1,"RES",$F24:$K24)</f>
        <v>0</v>
      </c>
      <c r="R23" s="498">
        <f>SUMIF($F$1:$K$1,"DIST",$F24:$K24)</f>
        <v>0</v>
      </c>
    </row>
    <row r="24" spans="1:18" hidden="1">
      <c r="A24" s="523" t="str">
        <f t="shared" si="2"/>
        <v>N</v>
      </c>
      <c r="B24" s="523"/>
      <c r="C24" s="2362"/>
      <c r="D24" s="2363"/>
      <c r="E24" s="532"/>
      <c r="F24" s="533"/>
      <c r="G24" s="534"/>
      <c r="H24" s="534"/>
      <c r="I24" s="534"/>
      <c r="J24" s="534"/>
      <c r="K24" s="535"/>
      <c r="L24" s="523"/>
      <c r="N24" s="489" t="str">
        <f>IF(C26=0,"",C26&amp;" ("&amp;$C$25&amp;")")</f>
        <v>Ladden (Eco Speed)</v>
      </c>
      <c r="O24" s="490">
        <f>E26</f>
        <v>12</v>
      </c>
      <c r="P24" s="491">
        <f>SUM($F26:$K26)</f>
        <v>60</v>
      </c>
      <c r="Q24" s="491">
        <f>SUMIF($F$1:$K$1,"RES",$F26:$K26)</f>
        <v>24</v>
      </c>
      <c r="R24" s="492">
        <f>SUMIF($F$1:$K$1,"DIST",$F26:$K26)</f>
        <v>36</v>
      </c>
    </row>
    <row r="25" spans="1:18" hidden="1">
      <c r="A25" s="523" t="str">
        <f t="shared" si="2"/>
        <v>N</v>
      </c>
      <c r="B25" s="523"/>
      <c r="C25" s="2368" t="s">
        <v>477</v>
      </c>
      <c r="D25" s="2369"/>
      <c r="E25" s="962"/>
      <c r="F25" s="962"/>
      <c r="G25" s="962"/>
      <c r="H25" s="962"/>
      <c r="I25" s="962"/>
      <c r="J25" s="962"/>
      <c r="K25" s="963"/>
      <c r="L25" s="523"/>
      <c r="N25" s="493" t="str">
        <f t="shared" ref="N25:N27" si="6">IF(C27=0,"",C27&amp;" ("&amp;$C$25&amp;")")</f>
        <v>Ballast (Eco Speed)</v>
      </c>
      <c r="O25" s="486">
        <f>E27</f>
        <v>13</v>
      </c>
      <c r="P25" s="488">
        <f>SUM($F27:$K27)</f>
        <v>60</v>
      </c>
      <c r="Q25" s="488">
        <f>SUMIF($F$1:$K$1,"RES",$F27:$K27)</f>
        <v>24</v>
      </c>
      <c r="R25" s="494">
        <f>SUMIF($F$1:$K$1,"DIST",$F27:$K27)</f>
        <v>36</v>
      </c>
    </row>
    <row r="26" spans="1:18" hidden="1">
      <c r="A26" s="523" t="str">
        <f t="shared" si="2"/>
        <v>N</v>
      </c>
      <c r="B26" s="523"/>
      <c r="C26" s="2356" t="s">
        <v>480</v>
      </c>
      <c r="D26" s="2357"/>
      <c r="E26" s="524">
        <v>12</v>
      </c>
      <c r="F26" s="525">
        <v>12</v>
      </c>
      <c r="G26" s="526">
        <v>12</v>
      </c>
      <c r="H26" s="526">
        <v>12</v>
      </c>
      <c r="I26" s="526">
        <v>11</v>
      </c>
      <c r="J26" s="526">
        <v>11</v>
      </c>
      <c r="K26" s="527">
        <v>2</v>
      </c>
      <c r="L26" s="523"/>
      <c r="N26" s="493" t="str">
        <f t="shared" si="6"/>
        <v/>
      </c>
      <c r="O26" s="486">
        <f>E28</f>
        <v>0</v>
      </c>
      <c r="P26" s="488">
        <f>SUM($F28:$K28)</f>
        <v>0</v>
      </c>
      <c r="Q26" s="488">
        <f>SUMIF($F$1:$K$1,"RES",$F28:$K28)</f>
        <v>0</v>
      </c>
      <c r="R26" s="494">
        <f>SUMIF($F$1:$K$1,"DIST",$F28:$K28)</f>
        <v>0</v>
      </c>
    </row>
    <row r="27" spans="1:18" ht="13.5" hidden="1" thickBot="1">
      <c r="A27" s="523" t="str">
        <f t="shared" si="2"/>
        <v>N</v>
      </c>
      <c r="B27" s="523"/>
      <c r="C27" s="2364" t="s">
        <v>481</v>
      </c>
      <c r="D27" s="2365"/>
      <c r="E27" s="528">
        <v>13</v>
      </c>
      <c r="F27" s="529">
        <v>12</v>
      </c>
      <c r="G27" s="530">
        <v>12</v>
      </c>
      <c r="H27" s="530">
        <v>12</v>
      </c>
      <c r="I27" s="530">
        <v>11</v>
      </c>
      <c r="J27" s="530">
        <v>11</v>
      </c>
      <c r="K27" s="531">
        <v>2</v>
      </c>
      <c r="L27" s="523"/>
      <c r="N27" s="495" t="str">
        <f t="shared" si="6"/>
        <v/>
      </c>
      <c r="O27" s="496">
        <f>E29</f>
        <v>0</v>
      </c>
      <c r="P27" s="497">
        <f>SUM($F29:$K29)</f>
        <v>0</v>
      </c>
      <c r="Q27" s="497">
        <f>SUMIF($F$1:$K$1,"RES",$F29:$K29)</f>
        <v>0</v>
      </c>
      <c r="R27" s="498">
        <f>SUMIF($F$1:$K$1,"DIST",$F29:$K29)</f>
        <v>0</v>
      </c>
    </row>
    <row r="28" spans="1:18" hidden="1">
      <c r="A28" s="523" t="str">
        <f t="shared" si="2"/>
        <v>N</v>
      </c>
      <c r="B28" s="523"/>
      <c r="C28" s="2364"/>
      <c r="D28" s="2365"/>
      <c r="E28" s="528"/>
      <c r="F28" s="529"/>
      <c r="G28" s="530"/>
      <c r="H28" s="530"/>
      <c r="I28" s="530"/>
      <c r="J28" s="530"/>
      <c r="K28" s="531"/>
      <c r="L28" s="523"/>
      <c r="N28" s="489" t="str">
        <f>IF(C31=0,"",C31)</f>
        <v>Port (Cargo ops)</v>
      </c>
      <c r="O28" s="490">
        <f>E31</f>
        <v>0</v>
      </c>
      <c r="P28" s="491">
        <f>SUM($F31:$K31)</f>
        <v>23</v>
      </c>
      <c r="Q28" s="491">
        <f>SUMIF($F$1:$K$1,"RES",$F31:$K31)</f>
        <v>6</v>
      </c>
      <c r="R28" s="492">
        <f>SUMIF($F$1:$K$1,"DIST",$F31:$K31)</f>
        <v>17</v>
      </c>
    </row>
    <row r="29" spans="1:18" hidden="1">
      <c r="A29" s="523" t="str">
        <f t="shared" si="2"/>
        <v>N</v>
      </c>
      <c r="B29" s="523"/>
      <c r="C29" s="2362"/>
      <c r="D29" s="2363"/>
      <c r="E29" s="532"/>
      <c r="F29" s="533"/>
      <c r="G29" s="534"/>
      <c r="H29" s="534"/>
      <c r="I29" s="534"/>
      <c r="J29" s="534"/>
      <c r="K29" s="535"/>
      <c r="L29" s="523"/>
      <c r="N29" s="493" t="str">
        <f>IF(C32=0,"",C32)</f>
        <v>Anchor (Idle)</v>
      </c>
      <c r="O29" s="486">
        <f>E32</f>
        <v>0</v>
      </c>
      <c r="P29" s="488">
        <f>SUM($F32:$K32)</f>
        <v>10</v>
      </c>
      <c r="Q29" s="488">
        <f>SUMIF($F$1:$K$1,"RES",$F32:$K32)</f>
        <v>3</v>
      </c>
      <c r="R29" s="494">
        <f>SUMIF($F$1:$K$1,"DIST",$F32:$K32)</f>
        <v>7</v>
      </c>
    </row>
    <row r="30" spans="1:18" hidden="1">
      <c r="A30" s="523" t="str">
        <f t="shared" si="2"/>
        <v>N</v>
      </c>
      <c r="B30" s="523"/>
      <c r="C30" s="2368" t="s">
        <v>478</v>
      </c>
      <c r="D30" s="2369"/>
      <c r="E30" s="962"/>
      <c r="F30" s="962"/>
      <c r="G30" s="962"/>
      <c r="H30" s="962"/>
      <c r="I30" s="962"/>
      <c r="J30" s="962"/>
      <c r="K30" s="963"/>
      <c r="L30" s="523"/>
      <c r="N30" s="493" t="str">
        <f>IF(C33=0,"",C33)</f>
        <v/>
      </c>
      <c r="O30" s="486">
        <f>E33</f>
        <v>0</v>
      </c>
      <c r="P30" s="488">
        <f>SUM($F33:$K33)</f>
        <v>0</v>
      </c>
      <c r="Q30" s="488">
        <f>SUMIF($F$1:$K$1,"RES",$F33:$K33)</f>
        <v>0</v>
      </c>
      <c r="R30" s="494">
        <f>SUMIF($F$1:$K$1,"DIST",$F33:$K33)</f>
        <v>0</v>
      </c>
    </row>
    <row r="31" spans="1:18" ht="13.5" hidden="1" thickBot="1">
      <c r="A31" s="523" t="str">
        <f t="shared" si="2"/>
        <v>N</v>
      </c>
      <c r="B31" s="523"/>
      <c r="C31" s="2356" t="s">
        <v>518</v>
      </c>
      <c r="D31" s="2357"/>
      <c r="E31" s="524">
        <v>0</v>
      </c>
      <c r="F31" s="525">
        <v>2</v>
      </c>
      <c r="G31" s="526">
        <v>4</v>
      </c>
      <c r="H31" s="526">
        <v>6</v>
      </c>
      <c r="I31" s="526">
        <v>4</v>
      </c>
      <c r="J31" s="526">
        <v>2</v>
      </c>
      <c r="K31" s="527">
        <v>5</v>
      </c>
      <c r="L31" s="523"/>
      <c r="N31" s="495" t="str">
        <f>IF(C34=0,"",C34)</f>
        <v/>
      </c>
      <c r="O31" s="496">
        <f>E34</f>
        <v>0</v>
      </c>
      <c r="P31" s="497">
        <f>SUM($F34:$K34)</f>
        <v>0</v>
      </c>
      <c r="Q31" s="497">
        <f>SUMIF($F$1:$K$1,"RES",$F34:$K34)</f>
        <v>0</v>
      </c>
      <c r="R31" s="498">
        <f>SUMIF($F$1:$K$1,"DIST",$F34:$K34)</f>
        <v>0</v>
      </c>
    </row>
    <row r="32" spans="1:18" hidden="1">
      <c r="A32" s="523" t="str">
        <f t="shared" si="2"/>
        <v>N</v>
      </c>
      <c r="B32" s="523"/>
      <c r="C32" s="2364" t="s">
        <v>479</v>
      </c>
      <c r="D32" s="2365"/>
      <c r="E32" s="528">
        <v>0</v>
      </c>
      <c r="F32" s="529">
        <v>1</v>
      </c>
      <c r="G32" s="530">
        <v>2</v>
      </c>
      <c r="H32" s="530">
        <v>2</v>
      </c>
      <c r="I32" s="530">
        <v>2</v>
      </c>
      <c r="J32" s="530">
        <v>2</v>
      </c>
      <c r="K32" s="531">
        <v>1</v>
      </c>
      <c r="L32" s="523"/>
    </row>
    <row r="33" spans="1:12" hidden="1">
      <c r="A33" s="523" t="str">
        <f t="shared" si="2"/>
        <v>N</v>
      </c>
      <c r="B33" s="523"/>
      <c r="C33" s="2364"/>
      <c r="D33" s="2365"/>
      <c r="E33" s="528"/>
      <c r="F33" s="529"/>
      <c r="G33" s="530"/>
      <c r="H33" s="530"/>
      <c r="I33" s="530"/>
      <c r="J33" s="530"/>
      <c r="K33" s="531"/>
      <c r="L33" s="523"/>
    </row>
    <row r="34" spans="1:12" hidden="1">
      <c r="A34" s="523" t="str">
        <f t="shared" si="2"/>
        <v>N</v>
      </c>
      <c r="B34" s="523"/>
      <c r="C34" s="2362"/>
      <c r="D34" s="2363"/>
      <c r="E34" s="532"/>
      <c r="F34" s="533"/>
      <c r="G34" s="534"/>
      <c r="H34" s="534"/>
      <c r="I34" s="534"/>
      <c r="J34" s="534"/>
      <c r="K34" s="535"/>
      <c r="L34" s="523"/>
    </row>
    <row r="35" spans="1:12" ht="2.25" customHeight="1">
      <c r="A35" s="523"/>
      <c r="B35" s="523"/>
      <c r="C35" s="523"/>
      <c r="D35" s="523"/>
      <c r="E35" s="523"/>
      <c r="F35" s="523"/>
      <c r="G35" s="523"/>
      <c r="H35" s="523"/>
      <c r="I35" s="523"/>
      <c r="J35" s="523"/>
      <c r="K35" s="523"/>
      <c r="L35" s="523"/>
    </row>
  </sheetData>
  <sheetProtection algorithmName="SHA-512" hashValue="xJAFGiVBDYRbCEu/nmXWaPDuTtSPERdf9MDOv8WJR9Z7ZUC5wInpzE6wQffSSi8oyaQAi7xV1ay6wHuP34Ca/A==" saltValue="UzSwpSaRcJSs3256EO1YnA==" spinCount="100000" sheet="1" objects="1" scenarios="1" autoFilter="0"/>
  <autoFilter ref="A4:A34" xr:uid="{00000000-0009-0000-0000-000007000000}">
    <filterColumn colId="0">
      <filters>
        <filter val="Y"/>
      </filters>
    </filterColumn>
  </autoFilter>
  <mergeCells count="20">
    <mergeCell ref="C34:D34"/>
    <mergeCell ref="C33:D33"/>
    <mergeCell ref="C20:D20"/>
    <mergeCell ref="C25:D25"/>
    <mergeCell ref="C30:D30"/>
    <mergeCell ref="C28:D28"/>
    <mergeCell ref="C29:D29"/>
    <mergeCell ref="C31:D31"/>
    <mergeCell ref="C32:D32"/>
    <mergeCell ref="C22:D22"/>
    <mergeCell ref="C23:D23"/>
    <mergeCell ref="C24:D24"/>
    <mergeCell ref="C26:D26"/>
    <mergeCell ref="C27:D27"/>
    <mergeCell ref="F17:K17"/>
    <mergeCell ref="E17:E18"/>
    <mergeCell ref="C17:D19"/>
    <mergeCell ref="C21:D21"/>
    <mergeCell ref="C7:E8"/>
    <mergeCell ref="C11:E11"/>
  </mergeCells>
  <conditionalFormatting sqref="F12:K12">
    <cfRule type="expression" dxfId="130" priority="1">
      <formula>AND(ISBLANK(F12)=FALSE,$N$1=2)</formula>
    </cfRule>
  </conditionalFormatting>
  <dataValidations xWindow="283" yWindow="398" count="4">
    <dataValidation allowBlank="1" showInputMessage="1" showErrorMessage="1" prompt="Press TAB key to navigate through inputs." sqref="C31:D34 C26:D29 C21:D24" xr:uid="{00000000-0002-0000-0700-000000000000}"/>
    <dataValidation type="date" allowBlank="1" showInputMessage="1" showErrorMessage="1" errorTitle="Date" error="This is not a valid date format." prompt="Press TAB key to navigate through inputs." sqref="D13:D15" xr:uid="{00000000-0002-0000-0700-000001000000}">
      <formula1>36526</formula1>
      <formula2>73415</formula2>
    </dataValidation>
    <dataValidation type="time" allowBlank="1" showInputMessage="1" showErrorMessage="1" errorTitle="Time" error="This is not a valid time format (hh:mm)." prompt="Press TAB key to navigate through inputs." sqref="E13:E15" xr:uid="{00000000-0002-0000-0700-000002000000}">
      <formula1>0</formula1>
      <formula2>0.999988425925926</formula2>
    </dataValidation>
    <dataValidation type="decimal" allowBlank="1" showInputMessage="1" showErrorMessage="1" errorTitle="Number" error="This is not a valid number." prompt="Press TAB key to navigate through inputs." sqref="F11:K11 F13:K15 E21:K24 E26:K29 E31:K34" xr:uid="{00000000-0002-0000-0700-000003000000}">
      <formula1>-100</formula1>
      <formula2>1000000000</formula2>
    </dataValidation>
  </dataValidations>
  <printOptions horizontalCentered="1"/>
  <pageMargins left="0.31496062992125984" right="0.31496062992125984" top="0.19685039370078741" bottom="0.31496062992125984" header="0.31496062992125984" footer="0.11811023622047245"/>
  <pageSetup paperSize="9" orientation="portrait" cellComments="atEnd" r:id="rId1"/>
  <headerFooter scaleWithDoc="0">
    <oddFooter>&amp;L&amp;"-,Regular"&amp;9BunkerManager, v1.06&amp;C&amp;"-,Regular"&amp;9by AMS-Marine | www.ams-marine.com&amp;R&amp;"-,Regular"&amp;9RefNo: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1467" r:id="rId4" name="List Box 11">
              <controlPr defaultSize="0" print="0" autoLine="0" autoPict="0" macro="[0]!CHOOSEBCREQ">
                <anchor moveWithCells="1">
                  <from>
                    <xdr:col>4</xdr:col>
                    <xdr:colOff>466725</xdr:colOff>
                    <xdr:row>2</xdr:row>
                    <xdr:rowOff>38100</xdr:rowOff>
                  </from>
                  <to>
                    <xdr:col>8</xdr:col>
                    <xdr:colOff>142875</xdr:colOff>
                    <xdr:row>2</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21" filterMode="1">
    <tabColor rgb="FF00B050"/>
    <pageSetUpPr fitToPage="1"/>
  </sheetPr>
  <dimension ref="A1:DK76"/>
  <sheetViews>
    <sheetView showGridLines="0" showRowColHeaders="0" topLeftCell="E13" zoomScaleNormal="100" zoomScaleSheetLayoutView="100" workbookViewId="0">
      <pane ySplit="14" topLeftCell="A31" activePane="bottomLeft" state="frozen"/>
      <selection pane="bottomLeft" activeCell="R38" sqref="R38"/>
    </sheetView>
  </sheetViews>
  <sheetFormatPr defaultColWidth="0" defaultRowHeight="15" zeroHeight="1"/>
  <cols>
    <col min="1" max="1" width="8" style="154" hidden="1" customWidth="1"/>
    <col min="2" max="2" width="9.5" style="154" customWidth="1"/>
    <col min="3" max="3" width="7.875" style="154" customWidth="1"/>
    <col min="4" max="4" width="7.5" style="154" customWidth="1"/>
    <col min="5" max="5" width="8.875" style="154" customWidth="1"/>
    <col min="6" max="6" width="7.375" style="154" bestFit="1" customWidth="1"/>
    <col min="7" max="7" width="6.625" style="154" customWidth="1"/>
    <col min="8" max="8" width="7" style="154" bestFit="1" customWidth="1"/>
    <col min="9" max="9" width="7" style="154" customWidth="1"/>
    <col min="10" max="10" width="8.125" style="154" customWidth="1"/>
    <col min="11" max="11" width="6.25" style="154" customWidth="1"/>
    <col min="12" max="12" width="7.875" style="154" customWidth="1"/>
    <col min="13" max="13" width="6.625" style="154" customWidth="1"/>
    <col min="14" max="14" width="7.375" style="154" bestFit="1" customWidth="1"/>
    <col min="15" max="15" width="6.625" style="154" customWidth="1"/>
    <col min="16" max="17" width="7" style="154" customWidth="1"/>
    <col min="18" max="18" width="8.125" style="154" customWidth="1"/>
    <col min="19" max="19" width="6.25" style="154" customWidth="1"/>
    <col min="20" max="20" width="7.875" style="154" customWidth="1"/>
    <col min="21" max="21" width="6.625" style="154" customWidth="1"/>
    <col min="22" max="22" width="7" style="154" customWidth="1"/>
    <col min="23" max="23" width="0.25" style="154" customWidth="1"/>
    <col min="24" max="24" width="8.375" style="154" hidden="1" customWidth="1"/>
    <col min="25" max="25" width="7.875" style="154" hidden="1" customWidth="1"/>
    <col min="26" max="26" width="5.375" style="154" hidden="1" customWidth="1"/>
    <col min="27" max="28" width="9" style="154" hidden="1" customWidth="1"/>
    <col min="29" max="29" width="3" style="154" hidden="1" customWidth="1"/>
    <col min="30" max="31" width="9" style="154" hidden="1" customWidth="1"/>
    <col min="32" max="32" width="3" style="154" hidden="1" customWidth="1"/>
    <col min="33" max="34" width="9" style="154" hidden="1" customWidth="1"/>
    <col min="35" max="35" width="3.125" style="154" hidden="1" customWidth="1"/>
    <col min="36" max="37" width="9" style="154" hidden="1" customWidth="1"/>
    <col min="38" max="38" width="3" style="154" hidden="1" customWidth="1"/>
    <col min="39" max="40" width="9" style="154" hidden="1" customWidth="1"/>
    <col min="41" max="41" width="3" style="154" hidden="1" customWidth="1"/>
    <col min="42" max="43" width="7.25" style="154" hidden="1" customWidth="1"/>
    <col min="44" max="44" width="2.5" style="154" hidden="1" customWidth="1"/>
    <col min="45" max="46" width="7.25" style="154" hidden="1" customWidth="1"/>
    <col min="47" max="47" width="2.625" style="154" hidden="1" customWidth="1"/>
    <col min="48" max="49" width="7.25" style="154" hidden="1" customWidth="1"/>
    <col min="50" max="50" width="1.75" style="154" hidden="1" customWidth="1"/>
    <col min="51" max="52" width="7.25" style="154" hidden="1" customWidth="1"/>
    <col min="53" max="55" width="9" style="154" hidden="1" customWidth="1"/>
    <col min="56" max="56" width="2.75" style="154" hidden="1" customWidth="1"/>
    <col min="57" max="61" width="9" style="154" hidden="1" customWidth="1"/>
    <col min="62" max="62" width="2.125" style="154" hidden="1" customWidth="1"/>
    <col min="63" max="64" width="9" style="154" hidden="1" customWidth="1"/>
    <col min="65" max="65" width="6" style="154" hidden="1" customWidth="1"/>
    <col min="66" max="66" width="5.75" style="154" hidden="1" customWidth="1"/>
    <col min="67" max="67" width="6.625" style="154" hidden="1" customWidth="1"/>
    <col min="68" max="68" width="5.75" style="154" hidden="1" customWidth="1"/>
    <col min="69" max="69" width="6.625" style="154" hidden="1" customWidth="1"/>
    <col min="70" max="70" width="6" style="154" hidden="1" customWidth="1"/>
    <col min="71" max="71" width="6.625" style="154" hidden="1" customWidth="1"/>
    <col min="72" max="72" width="2" style="154" hidden="1" customWidth="1"/>
    <col min="73" max="73" width="5.75" style="154" hidden="1" customWidth="1"/>
    <col min="74" max="74" width="6.625" style="154" hidden="1" customWidth="1"/>
    <col min="75" max="75" width="5.75" style="154" hidden="1" customWidth="1"/>
    <col min="76" max="76" width="7.375" style="154" hidden="1" customWidth="1"/>
    <col min="77" max="77" width="8.25" style="154" hidden="1" customWidth="1"/>
    <col min="78" max="78" width="6.625" style="154" hidden="1" customWidth="1"/>
    <col min="79" max="79" width="9.125" style="154" hidden="1" customWidth="1"/>
    <col min="80" max="80" width="8.625" style="154" hidden="1" customWidth="1"/>
    <col min="81" max="108" width="9" style="154" hidden="1" customWidth="1"/>
    <col min="109" max="109" width="11.375" style="154" hidden="1" customWidth="1"/>
    <col min="110" max="111" width="9" style="154" hidden="1" customWidth="1"/>
    <col min="112" max="112" width="14.875" style="154" hidden="1" customWidth="1"/>
    <col min="113" max="113" width="10.5" style="154" hidden="1" customWidth="1"/>
    <col min="114" max="114" width="9" style="154" hidden="1" customWidth="1"/>
    <col min="115" max="115" width="11.875" style="154" hidden="1" customWidth="1"/>
    <col min="116" max="16384" width="9" style="154" hidden="1"/>
  </cols>
  <sheetData>
    <row r="1" spans="1:114" s="303" customFormat="1" hidden="1">
      <c r="A1" s="303" t="s">
        <v>467</v>
      </c>
      <c r="B1" s="304">
        <f>ERRTANKMISS+ERRTANKREP+ERRGRADE+ERRNOM+ERRHEIGHT+ERRDENSDIST+ERRDENSRES+ERRWRONGNOM+ERRMISSNOM</f>
        <v>0</v>
      </c>
      <c r="C1" s="981" t="s">
        <v>736</v>
      </c>
      <c r="D1" s="304">
        <f>IF(SURVEYMODE=3,0,SUMPRODUCT((D$27:D$56&lt;&gt;0)*(ISERROR(MATCH(D$27:D$56,NOMLIST,0))=TRUE)))</f>
        <v>0</v>
      </c>
      <c r="E1" s="305">
        <v>1</v>
      </c>
      <c r="F1" s="306">
        <f>FONESEL</f>
        <v>1</v>
      </c>
      <c r="H1" s="306">
        <f>FONESEL</f>
        <v>1</v>
      </c>
      <c r="I1" s="306">
        <f>FONESEL</f>
        <v>1</v>
      </c>
      <c r="J1" s="305">
        <v>1</v>
      </c>
      <c r="K1" s="305">
        <v>1</v>
      </c>
      <c r="L1" s="305">
        <v>1</v>
      </c>
      <c r="M1" s="305">
        <v>1</v>
      </c>
      <c r="N1" s="306">
        <f>B1SEL</f>
        <v>1</v>
      </c>
      <c r="P1" s="306">
        <f>FONESEL</f>
        <v>1</v>
      </c>
      <c r="Q1" s="306">
        <f>FONESEL</f>
        <v>1</v>
      </c>
      <c r="R1" s="306">
        <f>B1SEL</f>
        <v>1</v>
      </c>
      <c r="S1" s="306">
        <f>K1</f>
        <v>1</v>
      </c>
      <c r="T1" s="306">
        <f>L1</f>
        <v>1</v>
      </c>
      <c r="U1" s="306">
        <f t="shared" ref="U1:U3" si="0">M1</f>
        <v>1</v>
      </c>
      <c r="V1" s="306">
        <f>B1SEL</f>
        <v>1</v>
      </c>
      <c r="X1" s="307" t="s">
        <v>396</v>
      </c>
      <c r="Y1" s="307" t="s">
        <v>32</v>
      </c>
      <c r="AA1" s="308" t="s">
        <v>323</v>
      </c>
      <c r="AB1" s="1142" t="s">
        <v>930</v>
      </c>
      <c r="AD1" s="1142" t="s">
        <v>953</v>
      </c>
      <c r="BX1" s="288" t="s">
        <v>452</v>
      </c>
      <c r="BY1" s="288" t="s">
        <v>453</v>
      </c>
      <c r="BZ1" s="294" t="s">
        <v>145</v>
      </c>
      <c r="CA1" s="294" t="s">
        <v>456</v>
      </c>
      <c r="CB1" s="294" t="s">
        <v>143</v>
      </c>
      <c r="CC1" s="296" t="s">
        <v>441</v>
      </c>
      <c r="CD1" s="296" t="s">
        <v>457</v>
      </c>
      <c r="CE1" s="296" t="s">
        <v>443</v>
      </c>
      <c r="CF1" s="296" t="s">
        <v>444</v>
      </c>
      <c r="CG1" s="296" t="s">
        <v>440</v>
      </c>
      <c r="CH1" s="296" t="s">
        <v>445</v>
      </c>
      <c r="CI1" s="296" t="s">
        <v>446</v>
      </c>
      <c r="CJ1" s="296" t="s">
        <v>447</v>
      </c>
      <c r="CK1" s="296" t="s">
        <v>448</v>
      </c>
      <c r="CL1" s="296" t="s">
        <v>449</v>
      </c>
      <c r="CM1" s="296" t="s">
        <v>450</v>
      </c>
      <c r="CN1" s="296" t="s">
        <v>451</v>
      </c>
      <c r="DC1" s="294" t="s">
        <v>739</v>
      </c>
      <c r="DD1" s="294" t="s">
        <v>945</v>
      </c>
      <c r="DE1" s="294" t="s">
        <v>946</v>
      </c>
      <c r="DF1" s="294" t="s">
        <v>924</v>
      </c>
      <c r="DG1" s="294" t="s">
        <v>944</v>
      </c>
      <c r="DH1" s="294" t="s">
        <v>948</v>
      </c>
      <c r="DI1" s="294" t="s">
        <v>740</v>
      </c>
      <c r="DJ1" s="294" t="s">
        <v>949</v>
      </c>
    </row>
    <row r="2" spans="1:114" s="303" customFormat="1" ht="17.25" hidden="1">
      <c r="A2" s="980" t="s">
        <v>391</v>
      </c>
      <c r="B2" s="304">
        <f>SUMPRODUCT((B$27:B$56=0)*(C$27:C$56&lt;&gt;"")*(D$27:D$56&lt;&gt;""))</f>
        <v>0</v>
      </c>
      <c r="C2" s="981" t="s">
        <v>733</v>
      </c>
      <c r="D2" s="312">
        <f>IF(0=0,0,IF(SURVEYMODE=3,SUMPRODUCT((FTWODEST&lt;&gt;"")*($G$27:$G$56=UMETHOD)),SUMPRODUCT((FTWODEST&lt;&gt;"")*($G$27:$G$56=UMETHOD)*($O$27:$O$56=UMETHOD))))</f>
        <v>0</v>
      </c>
      <c r="E2" s="310" t="s">
        <v>33</v>
      </c>
      <c r="F2" s="310" t="str">
        <f>E2</f>
        <v>m</v>
      </c>
      <c r="H2" s="310" t="str">
        <f>E2</f>
        <v>m</v>
      </c>
      <c r="I2" s="1150" t="str">
        <f>E2</f>
        <v>m</v>
      </c>
      <c r="J2" s="310" t="s">
        <v>295</v>
      </c>
      <c r="K2" s="155" t="s">
        <v>293</v>
      </c>
      <c r="L2" s="307" t="s">
        <v>291</v>
      </c>
      <c r="M2" s="310" t="s">
        <v>166</v>
      </c>
      <c r="N2" s="310" t="str">
        <f>J2</f>
        <v>m3</v>
      </c>
      <c r="P2" s="310" t="str">
        <f>E2</f>
        <v>m</v>
      </c>
      <c r="Q2" s="310" t="str">
        <f>E2</f>
        <v>m</v>
      </c>
      <c r="R2" s="310" t="str">
        <f>J2</f>
        <v>m3</v>
      </c>
      <c r="S2" s="155" t="str">
        <f>K2</f>
        <v>° C</v>
      </c>
      <c r="T2" s="307" t="s">
        <v>291</v>
      </c>
      <c r="U2" s="310" t="str">
        <f t="shared" si="0"/>
        <v>cm</v>
      </c>
      <c r="V2" s="310" t="str">
        <f>J2</f>
        <v>m3</v>
      </c>
      <c r="X2" s="307" t="s">
        <v>397</v>
      </c>
      <c r="Y2" s="307" t="s">
        <v>292</v>
      </c>
      <c r="AA2" s="304" t="str">
        <f>'STANDARD SETT'!O16</f>
        <v>HSFO</v>
      </c>
      <c r="AB2" s="304" t="str">
        <f>IF(SUMPRODUCT(($C$27:$C$56=$AA2)*($D$27:$D$56=NOMY))=0,"",", "&amp;$AA2)</f>
        <v/>
      </c>
      <c r="AD2" s="304" t="str">
        <f t="shared" ref="AD2:AD7" si="1">IF(ISERROR(MATCH($AA2,IF(GRADECHNO=2,RESIDUALS,IF(GRADECHNO=3,DISTILLATES,GRADESLIST)),0))=TRUE,"",IF(SUMPRODUCT(($C$27:$C$56=$AA2)*($D$27:$D$56=NOMY))=0,"",", "&amp;$AA2))</f>
        <v/>
      </c>
      <c r="BX2" s="153">
        <v>2</v>
      </c>
      <c r="BY2" s="153">
        <v>2</v>
      </c>
      <c r="BZ2" s="474" t="str">
        <f>IF(TIMECH=1,FTRIM1A,FTRIM1B)</f>
        <v>0,5</v>
      </c>
      <c r="CA2" s="295">
        <f>IF(TIMECH=1,FTRIMACTA,FTRIMACTB)</f>
        <v>0</v>
      </c>
      <c r="CB2" s="474">
        <f>IF(TIMECH=1,FTRIM2A,FTRIM2B)</f>
        <v>1</v>
      </c>
      <c r="CC2" s="297">
        <f>INDEX($CC$27:$DA$56,TANKCH,IF(TIMECH=1,0,13)+1)</f>
        <v>6</v>
      </c>
      <c r="CD2" s="297">
        <f>INDEX($CC$27:$DA$56,TANKCH,IF(TIMECH=1,0,13)+2)</f>
        <v>0.02</v>
      </c>
      <c r="CE2" s="297">
        <f>INDEX($CC$27:$DA$56,TANKCH,IF(TIMECH=1,0,13)+3)</f>
        <v>0.62</v>
      </c>
      <c r="CF2" s="297">
        <f>INDEX($CC$27:$DA$56,TANKCH,IF(TIMECH=1,0,13)+4)</f>
        <v>16.55</v>
      </c>
      <c r="CG2" s="297" t="str">
        <f>IF(AND(FULLACT=FULL1,FULLACT=FULL2),FVOL11,INDEX($CC$27:$DA$56,TANKCH,IF(TIMECH=1,0,13)+5))</f>
        <v>ULL?</v>
      </c>
      <c r="CH2" s="297">
        <f>IF(AND(FULLACT=FULL1,FULLACT=FULL2),FVOL11,INDEX($CC$27:$DA$56,TANKCH,IF(TIMECH=1,0,13)+6))</f>
        <v>17.202999999999999</v>
      </c>
      <c r="CI2" s="297">
        <f>IF(AND(FTRIMACTA=FTRIM1A,FTRIMACTA=FTRIM2A),FVOL11,INDEX($CC$27:$DA$56,TANKCH,IF(TIMECH=1,0,13)+7))</f>
        <v>16.937999999999999</v>
      </c>
      <c r="CJ2" s="297" t="str">
        <f>IF(AND(FTRIMACTA=FTRIM1A,FTRIMACTA=FTRIM2A),FVOL1,IF(AND(FULLACT=FULL1,FULLACT=FULL2),FVOL21,INDEX($CC$27:$DA$56,TANKCH,IF(TIMECH=1,0,13)+8)))</f>
        <v>ULL?</v>
      </c>
      <c r="CK2" s="297">
        <f>IF(AND(FTRIMACTA=FTRIM1A,FTRIMACTA=FTRIM2A),FVOL12,IF(AND(FULLACT=FULL1,FULLACT=FULL2),FVOL21,INDEX($CC$27:$DA$56,TANKCH,IF(TIMECH=1,0,13)+9)))</f>
        <v>17.597000000000001</v>
      </c>
      <c r="CL2" s="297" t="str">
        <f>IF(AND(FULLACT=FULL1,FULLACT=FULL2),FVOL11,INDEX($CC$27:$DA$56,TANKCH,IF(TIMECH=1,0,13)+10))</f>
        <v>TRIM?</v>
      </c>
      <c r="CM2" s="297" t="str">
        <f>IF(AND(FTRIMACTA=FTRIM1A,FTRIMACTA=FTRIM2A),FVOL1,IF(AND(FULLACT=FULL1,FULLACT=FULL2),FVOL31,INDEX($CC$27:$DA$56,TANKCH,IF(TIMECH=1,0,13)+11)))</f>
        <v>TRIM?</v>
      </c>
      <c r="CN2" s="297" t="str">
        <f>IF(AND(FTRIMACTA=FTRIM1A,FTRIMACTA=FTRIM2A),FVOL12,IF(AND(FULLACT=FULL1,FULLACT=FULL2),FVOL31,INDEX($CC$27:$DA$56,TANKCH,IF(TIMECH=1,0,13)+12)))</f>
        <v>TRIM?</v>
      </c>
      <c r="DC2" s="204">
        <f>IF(INDEX($DC$27:$DJ$56,TANKCH,1)="","DENS?",INDEX($DC$27:$DJ$56,TANKCH,1))</f>
        <v>0.91769999999999996</v>
      </c>
      <c r="DD2" s="297">
        <f>IF(INDEX($DC$27:$DJ$56,TANKCH,2)="","VOL?",INDEX($DC$27:$DJ$56,TANKCH,2))</f>
        <v>6.6</v>
      </c>
      <c r="DE2" s="297">
        <f>INDEX($DC$27:$DJ$56,TANKCH,3)</f>
        <v>6.0568199999999992</v>
      </c>
      <c r="DF2" s="204">
        <f>IF(INDEX($DC$27:$DJ$56,TANKCH,4)="","DENS?",INDEX($DC$27:$DJ$56,TANKCH,4))</f>
        <v>0.91769999999999996</v>
      </c>
      <c r="DG2" s="297">
        <f>IF(INDEX($DC$27:$DJ$56,TANKCH,5)="","VOL?",INDEX($DC$27:$DJ$56,TANKCH,5))</f>
        <v>0</v>
      </c>
      <c r="DH2" s="297">
        <f>INDEX($DC$27:$DJ$56,TANKCH,6)</f>
        <v>0</v>
      </c>
      <c r="DI2" s="204">
        <f>IF(OR(VDENS1="DENS?",VDENS2="DENS?"),"DENS?",IF(OR(VTOV1="VOL?",VTOV2="VOL?"),"VOL?",INDEX($DC$27:$DJ$56,TANKCH,7)))</f>
        <v>0.91769999999999996</v>
      </c>
      <c r="DJ2" s="297">
        <f>IF(INDEX($DC$27:$DJ$56,TANKCH,8)="","VOL?",INDEX($DC$27:$DJ$56,TANKCH,8))</f>
        <v>6.6</v>
      </c>
    </row>
    <row r="3" spans="1:114" s="303" customFormat="1" ht="17.25" hidden="1">
      <c r="A3" s="980" t="s">
        <v>392</v>
      </c>
      <c r="B3" s="304">
        <f>SUMPRODUCT(($B$27:$B$56&lt;&gt;0)*(COUNTIF($B$27:$B$56,$B$27:$B$56)&gt;1=TRUE))</f>
        <v>0</v>
      </c>
      <c r="C3" s="981" t="s">
        <v>734</v>
      </c>
      <c r="D3" s="304">
        <f>SUMPRODUCT(($C$27:$C$56&gt;0)*($L$27:$L$56&lt;&gt;"")*(ISERROR(MATCH($C$27:$C$56,DISTILLATES,0))=FALSE)*($BR$27:$BR$56&gt;HIDIS_DEN))+IF(SURVEYMODE=3,0,SUMPRODUCT(($C$27:$C$56&gt;0)*($T$27:$T$56&lt;&gt;"")*(ISERROR(MATCH($C$27:$C$56,DISTILLATES,0))=FALSE)*($BY$27:$BY$56&gt;HIDIS_DEN)))</f>
        <v>0</v>
      </c>
      <c r="E3" s="310" t="s">
        <v>353</v>
      </c>
      <c r="F3" s="310" t="str">
        <f>E3</f>
        <v>ft</v>
      </c>
      <c r="H3" s="310" t="str">
        <f>E3</f>
        <v>ft</v>
      </c>
      <c r="I3" s="1150" t="str">
        <f>E3</f>
        <v>ft</v>
      </c>
      <c r="J3" s="310" t="s">
        <v>296</v>
      </c>
      <c r="K3" s="155" t="s">
        <v>294</v>
      </c>
      <c r="L3" s="307" t="s">
        <v>292</v>
      </c>
      <c r="M3" s="310" t="s">
        <v>325</v>
      </c>
      <c r="N3" s="310" t="str">
        <f>J3</f>
        <v>Bbls</v>
      </c>
      <c r="P3" s="310" t="str">
        <f>E3</f>
        <v>ft</v>
      </c>
      <c r="Q3" s="310" t="str">
        <f>E3</f>
        <v>ft</v>
      </c>
      <c r="R3" s="310" t="str">
        <f>J3</f>
        <v>Bbls</v>
      </c>
      <c r="S3" s="155" t="str">
        <f>K3</f>
        <v>° F</v>
      </c>
      <c r="T3" s="307" t="s">
        <v>292</v>
      </c>
      <c r="U3" s="310" t="str">
        <f t="shared" si="0"/>
        <v>inches</v>
      </c>
      <c r="V3" s="310" t="str">
        <f>J3</f>
        <v>Bbls</v>
      </c>
      <c r="AA3" s="304" t="str">
        <f>'STANDARD SETT'!O17</f>
        <v>LSFO</v>
      </c>
      <c r="AB3" s="304" t="str">
        <f t="shared" ref="AB3:AB7" si="2">IF(SUMPRODUCT(($C$27:$C$56=$AA3)*($D$27:$D$56=NOMY))=0,"",", "&amp;$AA3)</f>
        <v>, LSFO</v>
      </c>
      <c r="AD3" s="304" t="str">
        <f t="shared" si="1"/>
        <v/>
      </c>
      <c r="BX3" s="154"/>
      <c r="BY3" s="290">
        <f>IF(SURVEYMODE=3,1,BY2)</f>
        <v>2</v>
      </c>
    </row>
    <row r="4" spans="1:114" s="303" customFormat="1" hidden="1">
      <c r="A4" s="980" t="s">
        <v>393</v>
      </c>
      <c r="B4" s="304">
        <f>SUMPRODUCT((B$27:B$56&lt;&gt;0)*(ISERROR(MATCH(B$27:B$56,TANKSLIST,0))=TRUE))</f>
        <v>11</v>
      </c>
      <c r="C4" s="981" t="s">
        <v>735</v>
      </c>
      <c r="D4" s="304">
        <f>SUMPRODUCT(($C$27:$C$56&gt;0)*($L$27:$L$56&lt;&gt;"")*(ISERROR(MATCH($C$27:$C$56,RESIDUALS,0))=FALSE)*($BR$27:$BR$56&gt;HIRES_DEN))+IF(SURVEYMODE=3,0,SUMPRODUCT(($C$27:$C$56&gt;0)*($T$27:$T$56&lt;&gt;"")*(ISERROR(MATCH($C$27:$C$56,RESIDUALS,0))=FALSE)*($BY$27:$BY$56&gt;HIRES_DEN)))</f>
        <v>0</v>
      </c>
      <c r="E4" s="311"/>
      <c r="AA4" s="304" t="str">
        <f>'STANDARD SETT'!O18</f>
        <v>MDO</v>
      </c>
      <c r="AB4" s="304" t="str">
        <f t="shared" si="2"/>
        <v/>
      </c>
      <c r="AD4" s="304" t="str">
        <f t="shared" si="1"/>
        <v/>
      </c>
      <c r="BX4" s="154"/>
      <c r="BY4" s="290" t="str">
        <f>IF(SURVEYMODE=3,"ROB Gauging","Before Bunkering")</f>
        <v>Before Bunkering</v>
      </c>
    </row>
    <row r="5" spans="1:114" s="303" customFormat="1" hidden="1">
      <c r="A5" s="981" t="s">
        <v>685</v>
      </c>
      <c r="B5" s="304">
        <f>SUMPRODUCT((C$27:C$56&lt;&gt;0)*(ISERROR(MATCH(C$27:C$56,GRADESLIST,0))=TRUE))</f>
        <v>0</v>
      </c>
      <c r="C5" s="1217" t="s">
        <v>1087</v>
      </c>
      <c r="D5" s="304">
        <f>IF(SURVEYMODE=3,0,COUNTIF(Z27:Z56,TRUE))</f>
        <v>0</v>
      </c>
      <c r="E5" s="1217" t="s">
        <v>1091</v>
      </c>
      <c r="F5" s="304">
        <f>IF(SURVEYMODE=3,0,'Preliminary Report'!S19)</f>
        <v>0</v>
      </c>
      <c r="G5" s="304" t="str">
        <f>'Preliminary Report'!S21</f>
        <v/>
      </c>
      <c r="AA5" s="304" t="str">
        <f>'STANDARD SETT'!O19</f>
        <v>LSMDO</v>
      </c>
      <c r="AB5" s="304" t="str">
        <f t="shared" si="2"/>
        <v/>
      </c>
      <c r="AD5" s="304" t="str">
        <f t="shared" si="1"/>
        <v/>
      </c>
      <c r="BX5" s="154"/>
      <c r="BY5" s="290" t="str">
        <f>IF(SURVEYMODE=3,"N/A","After Bunkering")</f>
        <v>After Bunkering</v>
      </c>
    </row>
    <row r="6" spans="1:114">
      <c r="C6" s="225"/>
      <c r="D6" s="226"/>
      <c r="AA6" s="192" t="str">
        <f>'STANDARD SETT'!O20</f>
        <v>MGO</v>
      </c>
      <c r="AB6" s="192" t="str">
        <f t="shared" si="2"/>
        <v/>
      </c>
      <c r="AD6" s="304" t="str">
        <f t="shared" si="1"/>
        <v/>
      </c>
    </row>
    <row r="7" spans="1:114">
      <c r="C7" s="225"/>
      <c r="D7" s="226"/>
      <c r="AA7" s="192" t="str">
        <f>'STANDARD SETT'!O21</f>
        <v>LSMGO</v>
      </c>
      <c r="AB7" s="192" t="str">
        <f t="shared" si="2"/>
        <v>, LSMGO</v>
      </c>
      <c r="AD7" s="304" t="str">
        <f t="shared" si="1"/>
        <v>, LSMGO</v>
      </c>
    </row>
    <row r="8" spans="1:114">
      <c r="C8" s="225"/>
      <c r="D8" s="226"/>
      <c r="AB8" s="192" t="str">
        <f>CONCATENATE(AB2,AB3,AB4,AB5,AB6,AB7)</f>
        <v>, LSFO, LSMGO</v>
      </c>
      <c r="AD8" s="192" t="str">
        <f>CONCATENATE(AD2,AD3,AD4,AD5,AD6,AD7)</f>
        <v>, LSMGO</v>
      </c>
    </row>
    <row r="9" spans="1:114" ht="18">
      <c r="D9" s="226"/>
      <c r="N9" s="5" t="str">
        <f>IF(SURVEYMODE=3,COMPANY1,"")</f>
        <v/>
      </c>
      <c r="V9" s="5" t="str">
        <f>COMPANY1</f>
        <v>Petro Inspect International</v>
      </c>
      <c r="AB9" s="192" t="str">
        <f>RIGHT(AB8,LEN(AB8)-2)</f>
        <v>LSFO, LSMGO</v>
      </c>
      <c r="AD9" s="192" t="str">
        <f>RIGHT(AD8,LEN(AD8)-2)</f>
        <v>LSMGO</v>
      </c>
    </row>
    <row r="10" spans="1:114">
      <c r="N10" s="3" t="str">
        <f>IF(SURVEYMODE=3,COMPANY2,"")</f>
        <v/>
      </c>
      <c r="V10" s="3" t="str">
        <f>COMPANY2</f>
        <v>ops@petro-inspect.com</v>
      </c>
      <c r="AD10" s="156"/>
    </row>
    <row r="11" spans="1:114">
      <c r="N11" s="3" t="str">
        <f>IF(SURVEYMODE=3,COMPANY3,"")</f>
        <v/>
      </c>
      <c r="V11" s="3" t="str">
        <f>COMPANY3</f>
        <v/>
      </c>
      <c r="AD11" s="156"/>
    </row>
    <row r="12" spans="1:114">
      <c r="N12" s="3" t="str">
        <f>IF(SURVEYMODE=3,COMPANY4,"")</f>
        <v/>
      </c>
      <c r="O12" s="2380" t="str">
        <f>COMPANY4</f>
        <v/>
      </c>
      <c r="P12" s="2380"/>
      <c r="Q12" s="2380"/>
      <c r="R12" s="2380"/>
      <c r="S12" s="2380"/>
      <c r="T12" s="2380"/>
      <c r="U12" s="2380"/>
      <c r="V12" s="2380"/>
      <c r="AD12" s="156"/>
    </row>
    <row r="13" spans="1:114" ht="3.75" customHeight="1" thickBot="1">
      <c r="B13" s="302"/>
      <c r="C13" s="302"/>
      <c r="D13" s="302"/>
      <c r="E13" s="302"/>
      <c r="F13" s="302"/>
      <c r="G13" s="302"/>
      <c r="H13" s="302"/>
      <c r="I13" s="302"/>
      <c r="J13" s="302"/>
      <c r="K13" s="302"/>
      <c r="L13" s="302"/>
      <c r="M13" s="302"/>
      <c r="N13" s="302"/>
      <c r="O13" s="302"/>
      <c r="P13" s="302"/>
      <c r="Q13" s="302"/>
      <c r="R13" s="302"/>
      <c r="S13" s="302"/>
      <c r="T13" s="302"/>
      <c r="U13" s="302"/>
      <c r="V13" s="302"/>
    </row>
    <row r="14" spans="1:114" ht="3" customHeight="1"/>
    <row r="15" spans="1:114" ht="18.75">
      <c r="B15" s="961"/>
      <c r="C15" s="961"/>
      <c r="D15" s="961"/>
      <c r="E15" s="961"/>
      <c r="F15" s="908"/>
      <c r="G15" s="908"/>
      <c r="H15" s="908" t="s">
        <v>553</v>
      </c>
      <c r="I15" s="908"/>
      <c r="J15" s="908"/>
      <c r="K15" s="961"/>
      <c r="L15" s="908"/>
      <c r="M15" s="961"/>
      <c r="N15" s="961"/>
      <c r="O15" s="961"/>
      <c r="P15" s="961"/>
      <c r="Q15" s="961"/>
      <c r="R15" s="961"/>
      <c r="S15" s="961"/>
      <c r="T15" s="908"/>
      <c r="U15" s="961"/>
      <c r="V15" s="961"/>
    </row>
    <row r="16" spans="1:114" ht="4.5" customHeight="1"/>
    <row r="17" spans="1:114" ht="15" customHeight="1">
      <c r="B17" s="2381" t="str">
        <f>IF(D17="","","Name of Barge")</f>
        <v>Name of Barge</v>
      </c>
      <c r="C17" s="2381"/>
      <c r="D17" s="2383" t="str">
        <f>IF(SURVEYMODE=3,"",MYBARGENAME)</f>
        <v>M/T YALÇIN 2</v>
      </c>
      <c r="E17" s="2383"/>
      <c r="F17" s="2383"/>
      <c r="M17" s="229" t="str">
        <f>IF(SURVEYMODE=3,"","DRAFTS")</f>
        <v>DRAFTS</v>
      </c>
      <c r="N17" s="229" t="str">
        <f>IF(SURVEYMODE=3,"DRAFTS","INITIAL")</f>
        <v>INITIAL</v>
      </c>
      <c r="O17" s="230" t="s">
        <v>1173</v>
      </c>
    </row>
    <row r="18" spans="1:114">
      <c r="B18" s="2381" t="s">
        <v>160</v>
      </c>
      <c r="C18" s="2381"/>
      <c r="D18" s="2383" t="str">
        <f>VESSEL</f>
        <v>MV PESSADA</v>
      </c>
      <c r="E18" s="2383"/>
      <c r="F18" s="2383"/>
      <c r="L18" s="977"/>
      <c r="M18" s="506" t="s">
        <v>47</v>
      </c>
      <c r="N18" s="227">
        <v>12</v>
      </c>
      <c r="O18" s="228">
        <v>12.1</v>
      </c>
      <c r="T18" s="977"/>
      <c r="CC18" s="324" t="s">
        <v>471</v>
      </c>
      <c r="CD18" s="192">
        <f>ROW($B$26)</f>
        <v>26</v>
      </c>
      <c r="CL18" s="292"/>
    </row>
    <row r="19" spans="1:114">
      <c r="B19" s="2382" t="s">
        <v>11</v>
      </c>
      <c r="C19" s="2382"/>
      <c r="D19" s="2384" t="str">
        <f>PORT</f>
        <v>ISTANBUL / TURKEY</v>
      </c>
      <c r="E19" s="2384"/>
      <c r="F19" s="2384"/>
      <c r="L19" s="978"/>
      <c r="M19" s="507" t="s">
        <v>45</v>
      </c>
      <c r="N19" s="231">
        <v>12</v>
      </c>
      <c r="O19" s="232">
        <v>12.1</v>
      </c>
      <c r="T19" s="978"/>
      <c r="CC19" s="298" t="s">
        <v>459</v>
      </c>
      <c r="CD19" s="192">
        <f>ROW($B$26)+BX2</f>
        <v>28</v>
      </c>
      <c r="CL19" s="293"/>
    </row>
    <row r="20" spans="1:114">
      <c r="B20" s="2382" t="s">
        <v>174</v>
      </c>
      <c r="C20" s="2382"/>
      <c r="D20" s="2384">
        <f>DATESURVC</f>
        <v>44792</v>
      </c>
      <c r="E20" s="2384"/>
      <c r="F20" s="2384"/>
      <c r="L20" s="978"/>
      <c r="M20" s="508" t="s">
        <v>43</v>
      </c>
      <c r="N20" s="509">
        <f>ROUND(N19-N18,2)</f>
        <v>0</v>
      </c>
      <c r="O20" s="509">
        <f>ROUND(O19-O18,2)</f>
        <v>0</v>
      </c>
      <c r="T20" s="978"/>
      <c r="CC20" s="298" t="s">
        <v>460</v>
      </c>
      <c r="CD20" s="192">
        <f>COLUMN($H$26)</f>
        <v>8</v>
      </c>
      <c r="CL20" s="292"/>
      <c r="CO20" s="298" t="s">
        <v>460</v>
      </c>
      <c r="CP20" s="192">
        <f>COLUMN($P$26)</f>
        <v>16</v>
      </c>
      <c r="DB20" s="991" t="s">
        <v>741</v>
      </c>
      <c r="DC20" s="192">
        <f>COLUMN($T$26)</f>
        <v>20</v>
      </c>
      <c r="DE20" s="1148" t="s">
        <v>134</v>
      </c>
      <c r="DH20" s="1148"/>
    </row>
    <row r="21" spans="1:114">
      <c r="B21" s="2382" t="s">
        <v>10</v>
      </c>
      <c r="C21" s="2382"/>
      <c r="D21" s="2385">
        <f>TIMESURVC</f>
        <v>0.27083333333333331</v>
      </c>
      <c r="E21" s="2385"/>
      <c r="F21" s="2385"/>
      <c r="L21" s="979"/>
      <c r="M21" s="508" t="s">
        <v>41</v>
      </c>
      <c r="N21" s="233">
        <v>1</v>
      </c>
      <c r="O21" s="234">
        <v>1</v>
      </c>
      <c r="T21" s="979"/>
      <c r="CC21" s="298" t="s">
        <v>461</v>
      </c>
      <c r="CD21" s="192">
        <f>COLUMN($J$26)</f>
        <v>10</v>
      </c>
      <c r="CF21" s="1216" t="s">
        <v>1084</v>
      </c>
      <c r="CL21" s="292"/>
      <c r="CO21" s="298" t="s">
        <v>461</v>
      </c>
      <c r="CP21" s="192">
        <f>COLUMN($R$26)</f>
        <v>18</v>
      </c>
      <c r="CS21" s="1216" t="s">
        <v>1085</v>
      </c>
      <c r="DD21" s="1216" t="s">
        <v>1083</v>
      </c>
    </row>
    <row r="22" spans="1:114" ht="4.5" customHeight="1" thickBot="1"/>
    <row r="23" spans="1:114" ht="16.5" thickTop="1">
      <c r="B23" s="2375" t="s">
        <v>405</v>
      </c>
      <c r="C23" s="2376"/>
      <c r="D23" s="2376"/>
      <c r="E23" s="2376"/>
      <c r="F23" s="2377"/>
      <c r="G23" s="2375" t="str">
        <f>IF(SURVEYMODE=3,"ROB GAUGING","BEFORE BUNKERING (OPENING GAUGING)")</f>
        <v>BEFORE BUNKERING (OPENING GAUGING)</v>
      </c>
      <c r="H23" s="2376"/>
      <c r="I23" s="2376"/>
      <c r="J23" s="2376"/>
      <c r="K23" s="2376"/>
      <c r="L23" s="2376"/>
      <c r="M23" s="2376"/>
      <c r="N23" s="2377"/>
      <c r="O23" s="2375" t="str">
        <f>IF(SURVEYMODE=3,"","AFTER BUNKERING (CLOSING GAUGING)")</f>
        <v>AFTER BUNKERING (CLOSING GAUGING)</v>
      </c>
      <c r="P23" s="2376"/>
      <c r="Q23" s="2376"/>
      <c r="R23" s="2376"/>
      <c r="S23" s="2376"/>
      <c r="T23" s="2376"/>
      <c r="U23" s="2376"/>
      <c r="V23" s="2377"/>
      <c r="X23" s="1165" t="s">
        <v>177</v>
      </c>
      <c r="AA23" s="1165" t="s">
        <v>176</v>
      </c>
      <c r="AD23" s="154" t="s">
        <v>177</v>
      </c>
      <c r="AG23" s="154" t="s">
        <v>176</v>
      </c>
      <c r="AJ23" s="154" t="s">
        <v>177</v>
      </c>
      <c r="AM23" s="154" t="s">
        <v>176</v>
      </c>
      <c r="AP23" s="154" t="s">
        <v>177</v>
      </c>
      <c r="AS23" s="154" t="s">
        <v>176</v>
      </c>
      <c r="AV23" s="154" t="s">
        <v>177</v>
      </c>
      <c r="AY23" s="154" t="s">
        <v>176</v>
      </c>
      <c r="BB23" s="154" t="s">
        <v>177</v>
      </c>
      <c r="BE23" s="154" t="s">
        <v>176</v>
      </c>
      <c r="BH23" s="154" t="s">
        <v>177</v>
      </c>
      <c r="BK23" s="154" t="s">
        <v>176</v>
      </c>
      <c r="BN23" s="154" t="s">
        <v>177</v>
      </c>
      <c r="BU23" s="154" t="s">
        <v>176</v>
      </c>
      <c r="CC23" s="294" t="s">
        <v>145</v>
      </c>
      <c r="CD23" s="294" t="s">
        <v>456</v>
      </c>
      <c r="CE23" s="294" t="s">
        <v>143</v>
      </c>
      <c r="CF23" s="294" t="s">
        <v>145</v>
      </c>
      <c r="CG23" s="294" t="s">
        <v>145</v>
      </c>
      <c r="CH23" s="294" t="s">
        <v>145</v>
      </c>
      <c r="CI23" s="294" t="s">
        <v>143</v>
      </c>
      <c r="CJ23" s="294" t="s">
        <v>143</v>
      </c>
      <c r="CK23" s="294" t="s">
        <v>143</v>
      </c>
      <c r="CL23" s="294" t="s">
        <v>144</v>
      </c>
      <c r="CM23" s="294" t="s">
        <v>144</v>
      </c>
      <c r="CN23" s="294" t="s">
        <v>144</v>
      </c>
      <c r="CP23" s="294" t="s">
        <v>145</v>
      </c>
      <c r="CQ23" s="294" t="s">
        <v>456</v>
      </c>
      <c r="CR23" s="294" t="s">
        <v>143</v>
      </c>
      <c r="CS23" s="294" t="s">
        <v>145</v>
      </c>
      <c r="CT23" s="294" t="s">
        <v>145</v>
      </c>
      <c r="CU23" s="294" t="s">
        <v>145</v>
      </c>
      <c r="CV23" s="294" t="s">
        <v>143</v>
      </c>
      <c r="CW23" s="294" t="s">
        <v>143</v>
      </c>
      <c r="CX23" s="294" t="s">
        <v>143</v>
      </c>
      <c r="CY23" s="294" t="s">
        <v>144</v>
      </c>
      <c r="CZ23" s="294" t="s">
        <v>144</v>
      </c>
      <c r="DA23" s="294" t="s">
        <v>144</v>
      </c>
      <c r="DC23" s="294" t="s">
        <v>739</v>
      </c>
      <c r="DD23" s="294" t="s">
        <v>945</v>
      </c>
      <c r="DE23" s="294" t="s">
        <v>946</v>
      </c>
      <c r="DF23" s="294" t="s">
        <v>924</v>
      </c>
      <c r="DG23" s="294" t="s">
        <v>944</v>
      </c>
      <c r="DH23" s="294" t="s">
        <v>948</v>
      </c>
      <c r="DI23" s="294" t="s">
        <v>740</v>
      </c>
      <c r="DJ23" s="294" t="s">
        <v>949</v>
      </c>
    </row>
    <row r="24" spans="1:114" ht="52.5" customHeight="1">
      <c r="B24" s="994" t="s">
        <v>173</v>
      </c>
      <c r="C24" s="450" t="s">
        <v>172</v>
      </c>
      <c r="D24" s="1325" t="s">
        <v>1195</v>
      </c>
      <c r="E24" s="995" t="s">
        <v>171</v>
      </c>
      <c r="F24" s="450" t="s">
        <v>39</v>
      </c>
      <c r="G24" s="994" t="s">
        <v>964</v>
      </c>
      <c r="H24" s="1423" t="s">
        <v>1230</v>
      </c>
      <c r="I24" s="1423" t="s">
        <v>963</v>
      </c>
      <c r="J24" s="1424" t="s">
        <v>352</v>
      </c>
      <c r="K24" s="993" t="s">
        <v>36</v>
      </c>
      <c r="L24" s="992" t="str">
        <f>INDEX(X1:X2,D1SEL,1)</f>
        <v>Density
 @ 15°C</v>
      </c>
      <c r="M24" s="995" t="s">
        <v>398</v>
      </c>
      <c r="N24" s="996" t="s">
        <v>169</v>
      </c>
      <c r="O24" s="994" t="s">
        <v>964</v>
      </c>
      <c r="P24" s="1423" t="str">
        <f>H24</f>
        <v>Observed Ullage Sounding Gauge</v>
      </c>
      <c r="Q24" s="1423" t="str">
        <f>CORRULL1</f>
        <v>Corrected Ullage Sounding Gauge</v>
      </c>
      <c r="R24" s="1424" t="s">
        <v>352</v>
      </c>
      <c r="S24" s="993" t="s">
        <v>36</v>
      </c>
      <c r="T24" s="992" t="str">
        <f>INDEX(X1:X2,D1SEL,1)</f>
        <v>Density
 @ 15°C</v>
      </c>
      <c r="U24" s="995" t="s">
        <v>398</v>
      </c>
      <c r="V24" s="996" t="s">
        <v>399</v>
      </c>
      <c r="X24" s="313" t="s">
        <v>171</v>
      </c>
      <c r="Y24" s="313" t="s">
        <v>171</v>
      </c>
      <c r="Z24" s="303" t="s">
        <v>1087</v>
      </c>
      <c r="AA24" s="314" t="s">
        <v>39</v>
      </c>
      <c r="AB24" s="314" t="s">
        <v>39</v>
      </c>
      <c r="AC24" s="303"/>
      <c r="AD24" s="314" t="s">
        <v>38</v>
      </c>
      <c r="AE24" s="314" t="s">
        <v>38</v>
      </c>
      <c r="AF24" s="303"/>
      <c r="AG24" s="314" t="s">
        <v>38</v>
      </c>
      <c r="AH24" s="314" t="s">
        <v>38</v>
      </c>
      <c r="AI24" s="303"/>
      <c r="AJ24" s="314" t="s">
        <v>38</v>
      </c>
      <c r="AK24" s="314" t="s">
        <v>38</v>
      </c>
      <c r="AL24" s="303"/>
      <c r="AM24" s="314" t="s">
        <v>38</v>
      </c>
      <c r="AN24" s="314" t="s">
        <v>38</v>
      </c>
      <c r="AO24" s="303"/>
      <c r="AP24" s="199" t="s">
        <v>352</v>
      </c>
      <c r="AQ24" s="199" t="s">
        <v>352</v>
      </c>
      <c r="AR24" s="303"/>
      <c r="AS24" s="199" t="s">
        <v>352</v>
      </c>
      <c r="AT24" s="199" t="s">
        <v>352</v>
      </c>
      <c r="AU24" s="303"/>
      <c r="AV24" s="199" t="s">
        <v>352</v>
      </c>
      <c r="AW24" s="199" t="s">
        <v>352</v>
      </c>
      <c r="AX24" s="303"/>
      <c r="AY24" s="199" t="s">
        <v>352</v>
      </c>
      <c r="AZ24" s="199" t="s">
        <v>352</v>
      </c>
      <c r="BA24" s="303"/>
      <c r="BB24" s="199" t="s">
        <v>36</v>
      </c>
      <c r="BC24" s="199" t="s">
        <v>36</v>
      </c>
      <c r="BD24" s="303"/>
      <c r="BE24" s="199" t="s">
        <v>36</v>
      </c>
      <c r="BF24" s="199" t="s">
        <v>36</v>
      </c>
      <c r="BG24" s="303"/>
      <c r="BH24" s="315" t="s">
        <v>170</v>
      </c>
      <c r="BI24" s="315" t="s">
        <v>170</v>
      </c>
      <c r="BJ24" s="303"/>
      <c r="BK24" s="315" t="s">
        <v>170</v>
      </c>
      <c r="BL24" s="315" t="s">
        <v>170</v>
      </c>
      <c r="BM24" s="303"/>
      <c r="BN24" s="315" t="s">
        <v>356</v>
      </c>
      <c r="BO24" s="315" t="s">
        <v>355</v>
      </c>
      <c r="BP24" s="315" t="s">
        <v>356</v>
      </c>
      <c r="BQ24" s="315" t="s">
        <v>355</v>
      </c>
      <c r="BR24" s="315" t="s">
        <v>385</v>
      </c>
      <c r="BS24" s="315" t="s">
        <v>385</v>
      </c>
      <c r="BU24" s="315" t="s">
        <v>356</v>
      </c>
      <c r="BV24" s="315" t="s">
        <v>355</v>
      </c>
      <c r="BW24" s="315" t="s">
        <v>356</v>
      </c>
      <c r="BX24" s="315" t="s">
        <v>355</v>
      </c>
      <c r="BY24" s="315" t="s">
        <v>385</v>
      </c>
      <c r="BZ24" s="315" t="s">
        <v>385</v>
      </c>
      <c r="CA24" s="303"/>
      <c r="CB24" s="303"/>
      <c r="CC24" s="128">
        <v>0</v>
      </c>
      <c r="CD24" s="295">
        <f>N20</f>
        <v>0</v>
      </c>
      <c r="CE24" s="128">
        <v>1</v>
      </c>
      <c r="CF24" s="296" t="s">
        <v>441</v>
      </c>
      <c r="CG24" s="296" t="s">
        <v>442</v>
      </c>
      <c r="CH24" s="296" t="s">
        <v>443</v>
      </c>
      <c r="CI24" s="296" t="s">
        <v>441</v>
      </c>
      <c r="CJ24" s="296" t="s">
        <v>442</v>
      </c>
      <c r="CK24" s="296" t="s">
        <v>443</v>
      </c>
      <c r="CL24" s="296" t="s">
        <v>441</v>
      </c>
      <c r="CM24" s="296" t="s">
        <v>442</v>
      </c>
      <c r="CN24" s="296" t="s">
        <v>443</v>
      </c>
      <c r="CO24" s="303"/>
      <c r="CP24" s="128" t="s">
        <v>1541</v>
      </c>
      <c r="CQ24" s="295">
        <f>O20</f>
        <v>0</v>
      </c>
      <c r="CR24" s="128">
        <v>1</v>
      </c>
      <c r="CS24" s="296" t="s">
        <v>441</v>
      </c>
      <c r="CT24" s="296" t="s">
        <v>442</v>
      </c>
      <c r="CU24" s="296" t="s">
        <v>443</v>
      </c>
      <c r="CV24" s="296" t="s">
        <v>441</v>
      </c>
      <c r="CW24" s="296" t="s">
        <v>442</v>
      </c>
      <c r="CX24" s="296" t="s">
        <v>443</v>
      </c>
      <c r="CY24" s="296" t="s">
        <v>441</v>
      </c>
      <c r="CZ24" s="296" t="s">
        <v>442</v>
      </c>
      <c r="DA24" s="296" t="s">
        <v>443</v>
      </c>
      <c r="DC24" s="296"/>
      <c r="DD24" s="296"/>
      <c r="DE24" s="296"/>
      <c r="DF24" s="296"/>
      <c r="DG24" s="296" t="s">
        <v>947</v>
      </c>
      <c r="DH24" s="296"/>
      <c r="DI24" s="296"/>
      <c r="DJ24" s="296"/>
    </row>
    <row r="25" spans="1:114" s="157" customFormat="1" ht="19.5" thickBot="1">
      <c r="A25" s="157" t="s">
        <v>284</v>
      </c>
      <c r="B25" s="1427"/>
      <c r="C25" s="1428"/>
      <c r="D25" s="1426" t="s">
        <v>1200</v>
      </c>
      <c r="E25" s="1426" t="str">
        <f>INDEX(E$2:E$3,E$1,1)</f>
        <v>m</v>
      </c>
      <c r="F25" s="1426" t="str">
        <f>INDEX(F$2:F$3,F$1,1)</f>
        <v>m</v>
      </c>
      <c r="G25" s="1433" t="s">
        <v>972</v>
      </c>
      <c r="H25" s="1426" t="str">
        <f t="shared" ref="H25:N25" si="3">INDEX(H$2:H$3,H$1,1)</f>
        <v>m</v>
      </c>
      <c r="I25" s="1426" t="str">
        <f t="shared" si="3"/>
        <v>m</v>
      </c>
      <c r="J25" s="1429" t="str">
        <f t="shared" si="3"/>
        <v>m3</v>
      </c>
      <c r="K25" s="1430" t="str">
        <f t="shared" si="3"/>
        <v>° C</v>
      </c>
      <c r="L25" s="1434" t="str">
        <f t="shared" si="3"/>
        <v>Density</v>
      </c>
      <c r="M25" s="1426" t="str">
        <f t="shared" si="3"/>
        <v>cm</v>
      </c>
      <c r="N25" s="1432" t="str">
        <f t="shared" si="3"/>
        <v>m3</v>
      </c>
      <c r="O25" s="1425" t="s">
        <v>972</v>
      </c>
      <c r="P25" s="1426" t="str">
        <f>INDEX(P$2:P$3,P$1,1)</f>
        <v>m</v>
      </c>
      <c r="Q25" s="1426" t="str">
        <f>INDEX(Q$2:Q$3,Q$1,1)</f>
        <v>m</v>
      </c>
      <c r="R25" s="1429" t="str">
        <f>INDEX(R$2:R$3,R$1,1)</f>
        <v>m3</v>
      </c>
      <c r="S25" s="1430" t="str">
        <f>INDEX(S$2:S$3,S$1,1)</f>
        <v>° C</v>
      </c>
      <c r="T25" s="1434" t="str">
        <f>INDEX(L$2:L$3,L$1,1)</f>
        <v>Density</v>
      </c>
      <c r="U25" s="1426" t="str">
        <f>INDEX(U$2:U$3,U$1,1)</f>
        <v>cm</v>
      </c>
      <c r="V25" s="1432" t="str">
        <f>INDEX(V$2:V$3,V$1,1)</f>
        <v>m3</v>
      </c>
      <c r="X25" s="195" t="str">
        <f>E3</f>
        <v>ft</v>
      </c>
      <c r="Y25" s="195" t="str">
        <f>E2</f>
        <v>m</v>
      </c>
      <c r="Z25" s="316"/>
      <c r="AA25" s="195" t="str">
        <f>F3</f>
        <v>ft</v>
      </c>
      <c r="AB25" s="195" t="str">
        <f>F2</f>
        <v>m</v>
      </c>
      <c r="AC25" s="316"/>
      <c r="AD25" s="195" t="str">
        <f>H3</f>
        <v>ft</v>
      </c>
      <c r="AE25" s="195" t="str">
        <f>H2</f>
        <v>m</v>
      </c>
      <c r="AF25" s="316"/>
      <c r="AG25" s="195" t="str">
        <f>I3</f>
        <v>ft</v>
      </c>
      <c r="AH25" s="195" t="str">
        <f>I2</f>
        <v>m</v>
      </c>
      <c r="AI25" s="316"/>
      <c r="AJ25" s="195" t="str">
        <f>P3</f>
        <v>ft</v>
      </c>
      <c r="AK25" s="195" t="str">
        <f>P2</f>
        <v>m</v>
      </c>
      <c r="AL25" s="316"/>
      <c r="AM25" s="195" t="str">
        <f>Q3</f>
        <v>ft</v>
      </c>
      <c r="AN25" s="195" t="str">
        <f>Q2</f>
        <v>m</v>
      </c>
      <c r="AO25" s="316"/>
      <c r="AP25" s="197" t="str">
        <f>J3</f>
        <v>Bbls</v>
      </c>
      <c r="AQ25" s="197" t="str">
        <f>J2</f>
        <v>m3</v>
      </c>
      <c r="AR25" s="316"/>
      <c r="AS25" s="197" t="str">
        <f>N3</f>
        <v>Bbls</v>
      </c>
      <c r="AT25" s="197" t="str">
        <f>N2</f>
        <v>m3</v>
      </c>
      <c r="AU25" s="316"/>
      <c r="AV25" s="197" t="str">
        <f>R3</f>
        <v>Bbls</v>
      </c>
      <c r="AW25" s="197" t="str">
        <f>R2</f>
        <v>m3</v>
      </c>
      <c r="AX25" s="316"/>
      <c r="AY25" s="197" t="str">
        <f>V3</f>
        <v>Bbls</v>
      </c>
      <c r="AZ25" s="197" t="str">
        <f>V2</f>
        <v>m3</v>
      </c>
      <c r="BA25" s="316"/>
      <c r="BB25" s="197" t="str">
        <f>K3</f>
        <v>° F</v>
      </c>
      <c r="BC25" s="197" t="str">
        <f>K2</f>
        <v>° C</v>
      </c>
      <c r="BD25" s="316"/>
      <c r="BE25" s="197" t="str">
        <f>S3</f>
        <v>° F</v>
      </c>
      <c r="BF25" s="197" t="str">
        <f>S2</f>
        <v>° C</v>
      </c>
      <c r="BG25" s="316"/>
      <c r="BH25" s="197" t="str">
        <f>M3</f>
        <v>inches</v>
      </c>
      <c r="BI25" s="197" t="str">
        <f>M2</f>
        <v>cm</v>
      </c>
      <c r="BJ25" s="316"/>
      <c r="BK25" s="197" t="str">
        <f>U3</f>
        <v>inches</v>
      </c>
      <c r="BL25" s="197" t="str">
        <f>U2</f>
        <v>cm</v>
      </c>
      <c r="BM25" s="316"/>
      <c r="BN25" s="197" t="s">
        <v>357</v>
      </c>
      <c r="BO25" s="197" t="str">
        <f>L3</f>
        <v>API</v>
      </c>
      <c r="BP25" s="197" t="s">
        <v>357</v>
      </c>
      <c r="BQ25" s="197" t="str">
        <f>L2</f>
        <v>Density</v>
      </c>
      <c r="BR25" s="197" t="str">
        <f>L2</f>
        <v>Density</v>
      </c>
      <c r="BS25" s="197" t="str">
        <f>L3</f>
        <v>API</v>
      </c>
      <c r="BU25" s="197" t="s">
        <v>357</v>
      </c>
      <c r="BV25" s="197" t="str">
        <f>T3</f>
        <v>API</v>
      </c>
      <c r="BW25" s="197" t="s">
        <v>357</v>
      </c>
      <c r="BX25" s="197" t="str">
        <f>T2</f>
        <v>Density</v>
      </c>
      <c r="BY25" s="197" t="str">
        <f>T2</f>
        <v>Density</v>
      </c>
      <c r="BZ25" s="197" t="str">
        <f>T3</f>
        <v>API</v>
      </c>
      <c r="CA25" s="316"/>
      <c r="CB25" s="316"/>
      <c r="CC25" s="296" t="s">
        <v>441</v>
      </c>
      <c r="CD25" s="296" t="s">
        <v>442</v>
      </c>
      <c r="CE25" s="296" t="s">
        <v>443</v>
      </c>
      <c r="CF25" s="296" t="s">
        <v>444</v>
      </c>
      <c r="CG25" s="296" t="s">
        <v>440</v>
      </c>
      <c r="CH25" s="296" t="s">
        <v>445</v>
      </c>
      <c r="CI25" s="296" t="s">
        <v>446</v>
      </c>
      <c r="CJ25" s="296" t="s">
        <v>447</v>
      </c>
      <c r="CK25" s="296" t="s">
        <v>448</v>
      </c>
      <c r="CL25" s="296" t="s">
        <v>449</v>
      </c>
      <c r="CM25" s="296" t="s">
        <v>450</v>
      </c>
      <c r="CN25" s="296" t="s">
        <v>451</v>
      </c>
      <c r="CO25" s="316"/>
      <c r="CP25" s="296" t="s">
        <v>441</v>
      </c>
      <c r="CQ25" s="296" t="s">
        <v>442</v>
      </c>
      <c r="CR25" s="296" t="s">
        <v>443</v>
      </c>
      <c r="CS25" s="296" t="s">
        <v>444</v>
      </c>
      <c r="CT25" s="296" t="s">
        <v>440</v>
      </c>
      <c r="CU25" s="296" t="s">
        <v>445</v>
      </c>
      <c r="CV25" s="296" t="s">
        <v>446</v>
      </c>
      <c r="CW25" s="296" t="s">
        <v>447</v>
      </c>
      <c r="CX25" s="296" t="s">
        <v>448</v>
      </c>
      <c r="CY25" s="296" t="s">
        <v>449</v>
      </c>
      <c r="CZ25" s="296" t="s">
        <v>450</v>
      </c>
      <c r="DA25" s="296" t="s">
        <v>451</v>
      </c>
      <c r="DC25" s="296" t="str">
        <f>L25</f>
        <v>Density</v>
      </c>
      <c r="DD25" s="296" t="str">
        <f>J25</f>
        <v>m3</v>
      </c>
      <c r="DE25" s="296"/>
      <c r="DF25" s="296" t="str">
        <f>UNITAPI</f>
        <v>Density</v>
      </c>
      <c r="DG25" s="296" t="str">
        <f>DD25</f>
        <v>m3</v>
      </c>
      <c r="DH25" s="296"/>
      <c r="DI25" s="296" t="str">
        <f>T25</f>
        <v>Density</v>
      </c>
      <c r="DJ25" s="296" t="str">
        <f>R25</f>
        <v>m3</v>
      </c>
    </row>
    <row r="26" spans="1:114" ht="14.25" hidden="1" customHeight="1">
      <c r="A26" s="154" t="s">
        <v>270</v>
      </c>
      <c r="B26" s="829" t="s">
        <v>367</v>
      </c>
      <c r="C26" s="830" t="s">
        <v>368</v>
      </c>
      <c r="D26" s="830" t="s">
        <v>369</v>
      </c>
      <c r="E26" s="830" t="s">
        <v>370</v>
      </c>
      <c r="F26" s="830" t="s">
        <v>371</v>
      </c>
      <c r="G26" s="829">
        <v>6</v>
      </c>
      <c r="H26" s="831" t="s">
        <v>373</v>
      </c>
      <c r="I26" s="831" t="s">
        <v>374</v>
      </c>
      <c r="J26" s="830" t="s">
        <v>375</v>
      </c>
      <c r="K26" s="832" t="s">
        <v>376</v>
      </c>
      <c r="L26" s="830" t="s">
        <v>377</v>
      </c>
      <c r="M26" s="832" t="s">
        <v>378</v>
      </c>
      <c r="N26" s="830" t="s">
        <v>379</v>
      </c>
      <c r="O26" s="829" t="s">
        <v>380</v>
      </c>
      <c r="P26" s="831" t="s">
        <v>381</v>
      </c>
      <c r="Q26" s="831" t="s">
        <v>382</v>
      </c>
      <c r="R26" s="830" t="s">
        <v>383</v>
      </c>
      <c r="S26" s="832" t="s">
        <v>384</v>
      </c>
      <c r="T26" s="830">
        <v>19</v>
      </c>
      <c r="U26" s="832">
        <v>20</v>
      </c>
      <c r="V26" s="833">
        <v>21</v>
      </c>
      <c r="BN26" s="205"/>
      <c r="BS26" s="205"/>
      <c r="BU26" s="205"/>
      <c r="BZ26" s="205"/>
      <c r="CB26" s="298" t="s">
        <v>458</v>
      </c>
      <c r="CC26" s="192">
        <f>COLUMN()</f>
        <v>81</v>
      </c>
      <c r="CD26" s="192"/>
      <c r="CE26" s="192">
        <f>COLUMN()</f>
        <v>83</v>
      </c>
      <c r="CF26" s="192">
        <f>COLUMN()</f>
        <v>84</v>
      </c>
      <c r="CG26" s="192"/>
      <c r="CH26" s="192">
        <f>COLUMN()</f>
        <v>86</v>
      </c>
      <c r="CI26" s="192">
        <f>COLUMN()</f>
        <v>87</v>
      </c>
      <c r="CJ26" s="192"/>
      <c r="CK26" s="192">
        <f>COLUMN()</f>
        <v>89</v>
      </c>
      <c r="CL26" s="192"/>
      <c r="CM26" s="192"/>
      <c r="CN26" s="192"/>
      <c r="CO26" s="298" t="s">
        <v>458</v>
      </c>
      <c r="CP26" s="192">
        <f>COLUMN()</f>
        <v>94</v>
      </c>
      <c r="CQ26" s="192"/>
      <c r="CR26" s="192">
        <f>COLUMN()</f>
        <v>96</v>
      </c>
      <c r="CS26" s="192">
        <f>COLUMN()</f>
        <v>97</v>
      </c>
      <c r="CT26" s="192"/>
      <c r="CU26" s="192">
        <f>COLUMN()</f>
        <v>99</v>
      </c>
      <c r="CV26" s="192">
        <f>COLUMN()</f>
        <v>100</v>
      </c>
      <c r="CW26" s="192"/>
      <c r="CX26" s="192">
        <f>COLUMN()</f>
        <v>102</v>
      </c>
      <c r="CY26" s="192"/>
      <c r="CZ26" s="192"/>
      <c r="DA26" s="192"/>
      <c r="DF26" s="192">
        <f>COLUMN()</f>
        <v>110</v>
      </c>
    </row>
    <row r="27" spans="1:114" ht="15.75">
      <c r="A27" s="1286" t="s">
        <v>284</v>
      </c>
      <c r="B27" s="840" t="s">
        <v>1554</v>
      </c>
      <c r="C27" s="834" t="s">
        <v>21</v>
      </c>
      <c r="D27" s="835" t="s">
        <v>270</v>
      </c>
      <c r="E27" s="998">
        <v>20.332999999999998</v>
      </c>
      <c r="F27" s="998">
        <v>20.332999999999998</v>
      </c>
      <c r="G27" s="836" t="s">
        <v>25</v>
      </c>
      <c r="H27" s="1002">
        <v>19.12</v>
      </c>
      <c r="I27" s="1002">
        <v>19.12</v>
      </c>
      <c r="J27" s="1342">
        <v>915.2</v>
      </c>
      <c r="K27" s="837">
        <v>34</v>
      </c>
      <c r="L27" s="1401">
        <v>0.94889999999999997</v>
      </c>
      <c r="M27" s="838">
        <v>0</v>
      </c>
      <c r="N27" s="839">
        <v>0</v>
      </c>
      <c r="O27" s="836" t="s">
        <v>25</v>
      </c>
      <c r="P27" s="1002">
        <v>19.12</v>
      </c>
      <c r="Q27" s="1002">
        <v>19.12</v>
      </c>
      <c r="R27" s="1342">
        <v>915.2</v>
      </c>
      <c r="S27" s="837">
        <v>34</v>
      </c>
      <c r="T27" s="1405">
        <f>DI27</f>
        <v>0.94889999999999997</v>
      </c>
      <c r="U27" s="838">
        <v>0</v>
      </c>
      <c r="V27" s="839">
        <v>0</v>
      </c>
      <c r="X27" s="196">
        <f t="shared" ref="X27:X56" si="4">IF($E27="","",IF($E$25=X$25,$E27,IF(ISTEXT($E27),$E27,$E27/FFEET)))</f>
        <v>6.1974982016800571</v>
      </c>
      <c r="Y27" s="196">
        <f t="shared" ref="Y27:Y56" si="5">IF($E27="","",IF($E$25=Y$25,$E27,IF(ISTEXT($E27),$E27,$E27*FFEET)))</f>
        <v>20.332999999999998</v>
      </c>
      <c r="Z27" s="154" t="b">
        <f>IF(OR(SURVEYMODE=3,C27=""),FALSE,IF(AND(SUMPRODUCT((INDEX('Cover Page'!$I$89:$N$89,1,MATCH(C27,'Cover Page'!$I$88:$N$88,0))=$D$17)*(INDEX('Cover Page'!$I$104:$N$104,1,MATCH(C27,'Cover Page'!$I$88:$N$88,0))&gt;0))=0,D27="Y"),TRUE,FALSE))</f>
        <v>0</v>
      </c>
      <c r="AA27" s="196">
        <f t="shared" ref="AA27:AA56" si="6">IF($F27="","",IF($F$25=AA$25,$F27,IF(ISTEXT($F27),$F27,$F27/FFEET)))</f>
        <v>6.1974982016800571</v>
      </c>
      <c r="AB27" s="196">
        <f t="shared" ref="AB27:AB56" si="7">IF($F27="","",IF($F$25=AB$25,$F27,IF(ISTEXT($F27),$F27,$F27*FFEET)))</f>
        <v>20.332999999999998</v>
      </c>
      <c r="AD27" s="196">
        <f t="shared" ref="AD27:AD56" si="8">IF($H27="","",IF($H$25=AD$25,$H27,IF(ISTEXT($H27),$H27,$H27/FFEET)))</f>
        <v>5.8277758135111739</v>
      </c>
      <c r="AE27" s="196">
        <f t="shared" ref="AE27:AE56" si="9">IF($H27="","",IF($H$25=AE$25,$H27,IF(ISTEXT($H27),$H27,$H27*FFEET)))</f>
        <v>19.12</v>
      </c>
      <c r="AG27" s="196">
        <f t="shared" ref="AG27:AG56" si="10">IF($I27="","",IF($I$25=AG$25,$I27,IF(ISTEXT($I27),$I27,$I27/FFEET)))</f>
        <v>5.8277758135111739</v>
      </c>
      <c r="AH27" s="196">
        <f t="shared" ref="AH27:AH56" si="11">IF($I27="","",IF($I$25=AH$25,$I27,IF(ISTEXT($I27),$I27,$I27*FFEET)))</f>
        <v>19.12</v>
      </c>
      <c r="AJ27" s="196">
        <f t="shared" ref="AJ27:AJ56" si="12">IF($P27="","",IF($P$25=AJ$25,$P27,IF(ISTEXT($P27),$P27,$P27/FFEET)))</f>
        <v>5.8277758135111739</v>
      </c>
      <c r="AK27" s="196">
        <f t="shared" ref="AK27:AK56" si="13">IF($P27="","",IF($P$25=AK$25,$P27,IF(ISTEXT($P27),$P27,$P27*FFEET)))</f>
        <v>19.12</v>
      </c>
      <c r="AM27" s="196">
        <f t="shared" ref="AM27:AM56" si="14">IF($Q27="","",IF($Q$25=AM$25,$Q27,IF(ISTEXT($Q27),$Q27,$Q27/FFEET)))</f>
        <v>5.8277758135111739</v>
      </c>
      <c r="AN27" s="196">
        <f t="shared" ref="AN27:AN56" si="15">IF($Q27="","",IF($Q$25=AN$25,$Q27,IF(ISTEXT($Q27),$Q27,$Q27*FFEET)))</f>
        <v>19.12</v>
      </c>
      <c r="AP27" s="196">
        <f t="shared" ref="AP27:AP56" si="16">IF($J27="","",IF($J$25=AP$25,$J27,IF(ISTEXT($J27),$J27,$J27/FBBLS)))</f>
        <v>145.50519014087865</v>
      </c>
      <c r="AQ27" s="196">
        <f t="shared" ref="AQ27:AQ56" si="17">IF($J27="","",IF($J$25=AQ$25,$J27,IF(ISTEXT($J27),$J27,$J27*FBBLS)))</f>
        <v>915.2</v>
      </c>
      <c r="AS27" s="196">
        <f t="shared" ref="AS27:AS56" si="18">IF($N27="","",IF($N$25=AS$25,$N27,IF(ISTEXT($N27),$N27,$N27/FBBLS)))</f>
        <v>0</v>
      </c>
      <c r="AT27" s="196">
        <f t="shared" ref="AT27:AT56" si="19">IF($N27="","",IF($N$25=AT$25,$N27,IF(ISTEXT($N27),$N27,$N27*FBBLS)))</f>
        <v>0</v>
      </c>
      <c r="AV27" s="196">
        <f t="shared" ref="AV27:AV56" si="20">IF($R27="","",IF($R$25=AV$25,$R27,IF(ISTEXT($R27),$R27,$R27/FBBLS)))</f>
        <v>145.50519014087865</v>
      </c>
      <c r="AW27" s="196">
        <f t="shared" ref="AW27:AW56" si="21">IF($R27="","",IF($R$25=AW$25,$R27,IF(ISTEXT($R27),$R27,$R27*FBBLS)))</f>
        <v>915.2</v>
      </c>
      <c r="AY27" s="196">
        <f t="shared" ref="AY27:AY56" si="22">IF($V27="","",IF($V$25=AY$25,$V27,IF(ISTEXT($V27),$V27,$V27/FBBLS)))</f>
        <v>0</v>
      </c>
      <c r="AZ27" s="196">
        <f t="shared" ref="AZ27:AZ56" si="23">IF($V27="","",IF($V$25=AZ$25,$V27,IF(ISTEXT($V27),$V27,$V27*FBBLS)))</f>
        <v>0</v>
      </c>
      <c r="BB27" s="196">
        <f t="shared" ref="BB27:BB42" si="24">IF($K27="","",IF($K$25=BB$25,$K27,IF(ISTEXT($K27),$K27,($K27-32)*5/9)))</f>
        <v>1.1111111111111112</v>
      </c>
      <c r="BC27" s="196">
        <f t="shared" ref="BC27:BC42" si="25">IF($K27="","",IF($K$25=BC$25,$K27,IF(ISTEXT($K27),$K27,($K27*9/5)+32)))</f>
        <v>34</v>
      </c>
      <c r="BE27" s="196">
        <f t="shared" ref="BE27:BE42" si="26">IF($S27="","",IF($S$25=BE$25,$S27,IF(ISTEXT($S27),$S27,($S27-32)*5/9)))</f>
        <v>1.1111111111111112</v>
      </c>
      <c r="BF27" s="196">
        <f t="shared" ref="BF27:BF42" si="27">IF($S27="","",IF($S$25=BF$25,$S27,IF(ISTEXT($S27),$S27,($S27*9/5)+32)))</f>
        <v>34</v>
      </c>
      <c r="BH27" s="196">
        <f t="shared" ref="BH27:BH56" si="28">IF($M27="","",IF($M$25=BH$25,$M27,IF(ISTEXT($M27),$M27,$M27/FINCH)))</f>
        <v>0</v>
      </c>
      <c r="BI27" s="196">
        <f t="shared" ref="BI27:BI56" si="29">IF($M27="","",IF($M$25=BI$25,$M27,IF(ISTEXT($M27),$M27,$M27*FINCH)))</f>
        <v>0</v>
      </c>
      <c r="BK27" s="196">
        <f t="shared" ref="BK27:BK56" si="30">IF($U27="","",IF($U$25=BK$25,$U27,IF(ISTEXT($U27),$U27,$U27/FINCH)))</f>
        <v>0</v>
      </c>
      <c r="BL27" s="196">
        <f t="shared" ref="BL27:BL56" si="31">IF($U27="","",IF($U$25=BL$25,$U27,IF(ISTEXT($U27),$U27,$U27*FINCH)))</f>
        <v>0</v>
      </c>
      <c r="BN27" s="204">
        <f>IF(L27&lt;&gt;"",ROUND(141.5/(L27+131.5),4+5),"")</f>
        <v>1.068336543</v>
      </c>
      <c r="BO27" s="204">
        <f>IF(L27="","",IF(L$25=BO$25,L27,IF(BN27&lt;&gt;"",IF(BN27&lt;0.6244,BN27-0,IF(BN27&lt;0.6834,BN27-0.0001,IF(BN27&lt;0.7574,BN27-0.0002,IF(BN27&lt;0.7864,BN27-0.0003,IF(BN27&lt;0.8524,BN27-0.0004,IF(BN27&lt;0.9414,BN27-0.0005,IF(BN27&lt;1.0334,BN27-0.0006,BN27-0.0007))))))),"")))</f>
        <v>1.0676365430000001</v>
      </c>
      <c r="BP27" s="204">
        <f>IF(L27&lt;&gt;"",IF(L27&lt;0.6245,L27+0,IF(L27&lt;0.6835,L27+0.0001,IF(L27&lt;0.7565,L27+0.0002,IF(L27&lt;0.7855,L27+0.0003,IF(L27&lt;0.8515,L27+0.0004,IF(L27&lt;0.9415,L27+0.0005,IF(L27&lt;1.0325,L27+0.0006,L27+0.0007))))))),"")</f>
        <v>0.94950000000000001</v>
      </c>
      <c r="BQ27" s="204">
        <f>IF(OR(L27=0,L27=""),"",IF(L$25=BQ$25,L27,IF(BP27&lt;&gt;"",ROUND(141.5/BP27-131.5,2+5),"")))</f>
        <v>0.94889999999999997</v>
      </c>
      <c r="BR27" s="204">
        <f>IF(L27="","",IF(L$25=BR$25,L27,IF(BN27&lt;&gt;"",IF(BN27&lt;0.6244,BN27-0,IF(BN27&lt;0.6834,BN27-0.0001,IF(BN27&lt;0.7574,BN27-0.0002,IF(BN27&lt;0.7864,BN27-0.0003,IF(BN27&lt;0.8524,BN27-0.0004,IF(BN27&lt;0.9414,BN27-0.0005,IF(BN27&lt;1.0334,BN27-0.0006,BN27-0.0007))))))),"")))</f>
        <v>0.94889999999999997</v>
      </c>
      <c r="BS27" s="204">
        <f>IF(OR(L27=0,L27=""),"",IF(L$25=BS$25,L27,IF(BP27&lt;&gt;"",ROUND(141.5/BP27-131.5,2+5),"")))</f>
        <v>17.525803100000001</v>
      </c>
      <c r="BU27" s="204">
        <f>IF(T27&lt;&gt;"",ROUND(141.5/(T27+131.5),4+5),"")</f>
        <v>1.068336543</v>
      </c>
      <c r="BV27" s="204">
        <f>IF(T27="","",IF(T$25=BV$25,T27,IF(BU27&lt;&gt;"",IF(BU27&lt;0.6244,BU27-0,IF(BU27&lt;0.6834,BU27-0.0001,IF(BU27&lt;0.7574,BU27-0.0002,IF(BU27&lt;0.7864,BU27-0.0003,IF(BU27&lt;0.8524,BU27-0.0004,IF(BU27&lt;0.9414,BU27-0.0005,IF(BU27&lt;1.0334,BU27-0.0006,BU27-0.0007))))))),"")))</f>
        <v>1.0676365430000001</v>
      </c>
      <c r="BW27" s="204">
        <f>IF(T27&lt;&gt;"",IF(T27&lt;0.6245,T27+0,IF(T27&lt;0.6835,T27+0.0001,IF(T27&lt;0.7565,T27+0.0002,IF(T27&lt;0.7855,T27+0.0003,IF(T27&lt;0.8515,T27+0.0004,IF(T27&lt;0.9415,T27+0.0005,IF(T27&lt;1.0325,T27+0.0006,T27+0.0007))))))),"")</f>
        <v>0.94950000000000001</v>
      </c>
      <c r="BX27" s="204">
        <f>IF(OR(T27=0,T27=""),"",IF(T$25=BX$25,T27,IF(BW27&lt;&gt;"",ROUND(141.5/BW27-131.5,2+5),"")))</f>
        <v>0.94889999999999997</v>
      </c>
      <c r="BY27" s="204">
        <f>IF(T27="","",IF(T$25=BY$25,T27,IF(BU27&lt;&gt;"",IF(BU27&lt;0.6244,BU27-0,IF(BU27&lt;0.6834,BU27-0.0001,IF(BU27&lt;0.7574,BU27-0.0002,IF(BU27&lt;0.7864,BU27-0.0003,IF(BU27&lt;0.8524,BU27-0.0004,IF(BU27&lt;0.9414,BU27-0.0005,IF(BU27&lt;1.0334,BU27-0.0006,BU27-0.0007))))))),"")))</f>
        <v>0.94889999999999997</v>
      </c>
      <c r="BZ27" s="204">
        <f>IF(OR(T27=0,T27=""),"",IF(T$25=BZ$25,T27,IF(BW27&lt;&gt;"",ROUND(141.5/BW27-131.5,2+5),"")))</f>
        <v>17.525803100000001</v>
      </c>
      <c r="CC27" s="118">
        <v>0.6</v>
      </c>
      <c r="CD27" s="299">
        <f>H27</f>
        <v>19.12</v>
      </c>
      <c r="CE27" s="118">
        <v>0.62</v>
      </c>
      <c r="CF27" s="118">
        <v>16.55</v>
      </c>
      <c r="CG27" s="300" t="str">
        <f>IF(OR(AND(CC27=CE27,CC27&lt;&gt;CD27),AND(CD27&gt;CC27,CD27&gt;CE27),AND(CD27&lt;CC27,CD27&lt;CE27)),"ULL?",IF(ISERROR((((CD27-CC27)/(CE27-CC27))*(CH27-CF27))+CF27),IF(CC27=CE27,CF27,"ULL?"),ROUND((((CD27-CC27)/(CE27-CC27))*(CH27-CF27))+CF27,3)))</f>
        <v>ULL?</v>
      </c>
      <c r="CH27" s="118">
        <v>17.202999999999999</v>
      </c>
      <c r="CI27" s="118">
        <v>16.937999999999999</v>
      </c>
      <c r="CJ27" s="300" t="str">
        <f>IF(OR(AND(CC27=CE27,CE27&lt;&gt;CD27),AND(CD27&gt;CC27,CD27&gt;CE27),AND(CD27&lt;CC27,CD27&lt;CE27)),"ULL?",IF(ISERROR((((CD27-CC27)/(CE27-CC27))*(CK27-CI27))+CI27),IF(CC27=CE27,CI27,"ULL?"),ROUND((((CD27-CC27)/(CE27-CC27))*(CK27-CI27))+CI27,3)))</f>
        <v>ULL?</v>
      </c>
      <c r="CK27" s="118">
        <v>17.597000000000001</v>
      </c>
      <c r="CL27" s="300">
        <f t="shared" ref="CL27:CL56" si="32">IF(OR(AND(FTRIM1A=FTRIM2A,FTRIM1A&lt;&gt;FTRIMACTA),AND(FTRIMACTA&gt;FTRIM1A,FTRIMACTA&gt;FTRIM2A),AND(FTRIMACTA&lt;FTRIM1A,FTRIMACTA&lt;FTRIM2A)),"TRIM?",IF(ISERROR((((CD$24-CC$24)/(CE$24-CC$24))*(CI27-CF27))+CF27),IF(FTRIM1A=FTRIM2A,CF27,"VOL?"),ROUND((((CD$24-CC$24)/(CE$24-CC$24))*(CI27-CF27))+CF27,3)))</f>
        <v>16.55</v>
      </c>
      <c r="CM27" s="301" t="str">
        <f t="shared" ref="CM27:CM56" si="33">IF(OR(AND(FTRIM1A=FTRIM2A,FTRIM1A&lt;&gt;FTRIMACTA),AND(FTRIMACTA&gt;FTRIM1A,FTRIMACTA&gt;FTRIM2A),AND(FTRIMACTA&lt;FTRIM1A,FTRIMACTA&lt;FTRIM2A)),"TRIM?",IF(OR(AND(CC27=CE27,CC27&lt;&gt;CD27),AND(CD27&gt;CC27,CD27&gt;CE27),AND(CD27&lt;CC27,CD27&lt;CE27)),"ULL?",IF(ISERROR((((CD27-CC27)/(CE27-CC27))*(CN27-CL27))+CL27),IF(FTRIM1A=FTRIM2A,CG27,IF(CC27=CE27,CL27,"ULL?/VOL?")),ROUND((((CD27-CC27)/(CE27-CC27))*(CN27-CL27))+CL27,3))))</f>
        <v>ULL?</v>
      </c>
      <c r="CN27" s="300">
        <f t="shared" ref="CN27:CN56" si="34">IF(OR(AND(FTRIM1A=FTRIM2A,FTRIM2A&lt;&gt;FTRIMACTA),AND(FTRIMACTA&gt;FTRIM1A,FTRIMACTA&gt;FTRIM2A),AND(FTRIMACTA&lt;FTRIM1A,FTRIMACTA&lt;FTRIM2A)),"TRIM?",IF(ISERROR((((CD$24-CC$24)/(CE$24-CC$24))*(CK27-CH27))+CH27),IF(FTRIM1A=FTRIM2A,CH27,"VOL?"),ROUND((((CD$24-CC$24)/(CE$24-CC$24))*(CK27-CH27))+CH27,3)))</f>
        <v>17.202999999999999</v>
      </c>
      <c r="CP27" s="118">
        <v>231</v>
      </c>
      <c r="CQ27" s="299">
        <f>P27</f>
        <v>19.12</v>
      </c>
      <c r="CR27" s="118">
        <v>236</v>
      </c>
      <c r="CS27" s="118" t="s">
        <v>1542</v>
      </c>
      <c r="CT27" s="300" t="str">
        <f>IF(OR(AND(CP27=CR27,CP27&lt;&gt;CQ27),AND(CQ27&gt;CP27,CQ27&gt;CR27),AND(CQ27&lt;CP27,CQ27&lt;CR27)),"ULL?",IF(ISERROR((((CQ27-CP27)/(CR27-CP27))*(CU27-CS27))+CS27),IF(CP27=CR27,CS27,"ULL?"),ROUND((((CQ27-CP27)/(CR27-CP27))*(CU27-CS27))+CS27,3)))</f>
        <v>ULL?</v>
      </c>
      <c r="CU27" s="118" t="s">
        <v>1543</v>
      </c>
      <c r="CV27" s="118" t="s">
        <v>1544</v>
      </c>
      <c r="CW27" s="300" t="str">
        <f>IF(OR(AND(CP27=CR27,CR27&lt;&gt;CQ27),AND(CQ27&gt;CP27,CQ27&gt;CR27),AND(CQ27&lt;CP27,CQ27&lt;CR27)),"ULL?",IF(ISERROR((((CQ27-CP27)/(CR27-CP27))*(CX27-CV27))+CV27),IF(CP27=CR27,CV27,"ULL?"),ROUND((((CQ27-CP27)/(CR27-CP27))*(CX27-CV27))+CV27,3)))</f>
        <v>ULL?</v>
      </c>
      <c r="CX27" s="118" t="s">
        <v>1545</v>
      </c>
      <c r="CY27" s="300" t="str">
        <f t="shared" ref="CY27:CY56" si="35">IF(OR(AND(FTRIM1B=FTRIM2B,FTRIM1B&lt;&gt;FTRIMACTB),AND(FTRIMACTB&gt;FTRIM1B,FTRIMACTB&gt;FTRIM2B),AND(FTRIMACTB&lt;FTRIM1B,FTRIMACTB&lt;FTRIM2B)),"TRIM?",IF(ISERROR((((CQ$24-CP$24)/(CR$24-CP$24))*(CV27-CS27))+CS27),IF(FTRIM1B=FTRIM2B,CS27,"VOL?"),ROUND((((CQ$24-CP$24)/(CR$24-CP$24))*(CV27-CS27))+CS27,3)))</f>
        <v>TRIM?</v>
      </c>
      <c r="CZ27" s="301" t="str">
        <f t="shared" ref="CZ27:CZ56" si="36">IF(OR(AND(FTRIM1B=FTRIM2B,FTRIM1B&lt;&gt;FTRIMACTB),AND(FTRIMACTB&gt;FTRIM1B,FTRIMACTB&gt;FTRIM2B),AND(FTRIMACTB&lt;FTRIM1B,FTRIMACTB&lt;FTRIM2B)),"TRIM?",IF(OR(AND(CP27=CR27,CP27&lt;&gt;CQ27),AND(CQ27&gt;CP27,CQ27&gt;CR27),AND(CQ27&lt;CP27,CQ27&lt;CR27)),"ULL?",IF(ISERROR((((CQ27-CP27)/(CR27-CP27))*(DA27-CY27))+CY27),IF(FTRIM1B=FTRIM2B,CT27,IF(CP27=CR27,CY27,"ULL?/VOL?")),ROUND((((CQ27-CP27)/(CR27-CP27))*(DA27-CY27))+CY27,3))))</f>
        <v>TRIM?</v>
      </c>
      <c r="DA27" s="300" t="str">
        <f t="shared" ref="DA27:DA56" si="37">IF(OR(AND(FTRIM1B=FTRIM2B,FTRIM2B&lt;&gt;FTRIMACTB),AND(FTRIMACTB&gt;FTRIM1B,FTRIMACTB&gt;FTRIM2B),AND(FTRIMACTB&lt;FTRIM1B,FTRIMACTB&lt;FTRIM2B)),"TRIM?",IF(ISERROR((((CQ$24-CP$24)/(CR$24-CP$24))*(CX27-CU27))+CU27),IF(FTRIM1B=FTRIM2B,CU27,"VOL?"),ROUND((((CQ$24-CP$24)/(CR$24-CP$24))*(CX27-CU27))+CU27,3)))</f>
        <v>TRIM?</v>
      </c>
      <c r="DC27" s="204">
        <f>IF(ISBLANK(L27),"",L27)</f>
        <v>0.94889999999999997</v>
      </c>
      <c r="DD27" s="297">
        <f t="shared" ref="DD27" si="38">IF(ISERROR(J27-IF(N27="",0,N27)),"",IF(AND(N27&lt;&gt;"",N27&gt;J27),0,J27-IF(N27="",0,N27)))</f>
        <v>915.2</v>
      </c>
      <c r="DE27" s="297">
        <f t="shared" ref="DE27" si="39">IF(ISERROR(DC27*DD27),"",DC27*DD27)</f>
        <v>868.43327999999997</v>
      </c>
      <c r="DF27" s="1141">
        <f>IF($DE27="","",IF(DD27&gt;=DJ27,DC27,IF(INDEX('Cover Page'!$AI$106:$AJ$111,MATCH($C27,'Cover Page'!$AC$106:$AC$111,0),D1SEL)="",DC27,INDEX('Cover Page'!$AI$106:$AJ$111,MATCH($C27,'Cover Page'!$AC$106:$AC$111,0),D1SEL))))</f>
        <v>0.94889999999999997</v>
      </c>
      <c r="DG27" s="297">
        <f>IF(ISERROR(DJ27-DD27),"",DJ27-DD27)</f>
        <v>0</v>
      </c>
      <c r="DH27" s="297">
        <f t="shared" ref="DH27" si="40">IF(ISERROR(DF27*DG27),"",DF27*DG27)</f>
        <v>0</v>
      </c>
      <c r="DI27" s="204">
        <f t="shared" ref="DI27" si="41">IF(ISERROR((DE27+DH27)/DJ27),"",ROUND((DE27+DH27)/DJ27,IF(D1SEL=1,9,7)))</f>
        <v>0.94889999999999997</v>
      </c>
      <c r="DJ27" s="297">
        <f t="shared" ref="DJ27" si="42">IF(ISERROR(R27-IF(V27="",0,V27)),"",IF(AND(V27&lt;&gt;"",V27&gt;R27),0,R27-IF(V27="",0,V27)))</f>
        <v>915.2</v>
      </c>
    </row>
    <row r="28" spans="1:114" ht="15.75">
      <c r="A28" s="1286" t="s">
        <v>284</v>
      </c>
      <c r="B28" s="843" t="s">
        <v>1555</v>
      </c>
      <c r="C28" s="834" t="s">
        <v>21</v>
      </c>
      <c r="D28" s="835" t="s">
        <v>270</v>
      </c>
      <c r="E28" s="998">
        <v>20.327000000000002</v>
      </c>
      <c r="F28" s="998">
        <v>20.329999999999998</v>
      </c>
      <c r="G28" s="218" t="s">
        <v>16</v>
      </c>
      <c r="H28" s="1003">
        <v>0.02</v>
      </c>
      <c r="I28" s="1003">
        <v>0.02</v>
      </c>
      <c r="J28" s="1339">
        <v>6.6</v>
      </c>
      <c r="K28" s="841">
        <v>29</v>
      </c>
      <c r="L28" s="1401">
        <v>0.91769999999999996</v>
      </c>
      <c r="M28" s="842">
        <v>0</v>
      </c>
      <c r="N28" s="219">
        <v>0</v>
      </c>
      <c r="O28" s="218" t="s">
        <v>16</v>
      </c>
      <c r="P28" s="1003">
        <v>0.02</v>
      </c>
      <c r="Q28" s="1003">
        <v>0.02</v>
      </c>
      <c r="R28" s="1339">
        <v>6.6</v>
      </c>
      <c r="S28" s="841">
        <v>29</v>
      </c>
      <c r="T28" s="1406">
        <f t="shared" ref="T28:T56" si="43">DI28</f>
        <v>0.91769999999999996</v>
      </c>
      <c r="U28" s="842">
        <v>0</v>
      </c>
      <c r="V28" s="219">
        <v>0</v>
      </c>
      <c r="X28" s="196">
        <f t="shared" si="4"/>
        <v>6.1956694017385798</v>
      </c>
      <c r="Y28" s="196">
        <f t="shared" si="5"/>
        <v>20.327000000000002</v>
      </c>
      <c r="Z28" s="154" t="b">
        <f>IF(OR(SURVEYMODE=3,C28=""),FALSE,IF(AND(SUMPRODUCT((INDEX('Cover Page'!$I$89:$N$89,1,MATCH(C28,'Cover Page'!$I$88:$N$88,0))=$D$17)*(INDEX('Cover Page'!$I$104:$N$104,1,MATCH(C28,'Cover Page'!$I$88:$N$88,0))&gt;0))=0,D28="Y"),TRUE,FALSE))</f>
        <v>0</v>
      </c>
      <c r="AA28" s="196">
        <f t="shared" si="6"/>
        <v>6.196583801709318</v>
      </c>
      <c r="AB28" s="196">
        <f t="shared" si="7"/>
        <v>20.329999999999998</v>
      </c>
      <c r="AD28" s="196">
        <f t="shared" si="8"/>
        <v>6.0959998049280066E-3</v>
      </c>
      <c r="AE28" s="196">
        <f t="shared" si="9"/>
        <v>0.02</v>
      </c>
      <c r="AG28" s="196">
        <f t="shared" si="10"/>
        <v>6.0959998049280066E-3</v>
      </c>
      <c r="AH28" s="196">
        <f t="shared" si="11"/>
        <v>0.02</v>
      </c>
      <c r="AJ28" s="196">
        <f t="shared" si="12"/>
        <v>6.0959998049280066E-3</v>
      </c>
      <c r="AK28" s="196">
        <f t="shared" si="13"/>
        <v>0.02</v>
      </c>
      <c r="AM28" s="196">
        <f t="shared" si="14"/>
        <v>6.0959998049280066E-3</v>
      </c>
      <c r="AN28" s="196">
        <f t="shared" si="15"/>
        <v>0.02</v>
      </c>
      <c r="AP28" s="196">
        <f t="shared" si="16"/>
        <v>1.0493162750544134</v>
      </c>
      <c r="AQ28" s="196">
        <f t="shared" si="17"/>
        <v>6.6</v>
      </c>
      <c r="AS28" s="196">
        <f t="shared" si="18"/>
        <v>0</v>
      </c>
      <c r="AT28" s="196">
        <f t="shared" si="19"/>
        <v>0</v>
      </c>
      <c r="AV28" s="196">
        <f t="shared" si="20"/>
        <v>1.0493162750544134</v>
      </c>
      <c r="AW28" s="196">
        <f t="shared" si="21"/>
        <v>6.6</v>
      </c>
      <c r="AY28" s="196">
        <f t="shared" si="22"/>
        <v>0</v>
      </c>
      <c r="AZ28" s="196">
        <f t="shared" si="23"/>
        <v>0</v>
      </c>
      <c r="BB28" s="196">
        <f t="shared" si="24"/>
        <v>-1.6666666666666667</v>
      </c>
      <c r="BC28" s="196">
        <f t="shared" si="25"/>
        <v>29</v>
      </c>
      <c r="BE28" s="196">
        <f t="shared" si="26"/>
        <v>-1.6666666666666667</v>
      </c>
      <c r="BF28" s="196">
        <f t="shared" si="27"/>
        <v>29</v>
      </c>
      <c r="BH28" s="196">
        <f t="shared" si="28"/>
        <v>0</v>
      </c>
      <c r="BI28" s="196">
        <f t="shared" si="29"/>
        <v>0</v>
      </c>
      <c r="BK28" s="196">
        <f t="shared" si="30"/>
        <v>0</v>
      </c>
      <c r="BL28" s="196">
        <f t="shared" si="31"/>
        <v>0</v>
      </c>
      <c r="BN28" s="204">
        <f t="shared" ref="BN28:BN56" si="44">IF(L28&lt;&gt;"",ROUND(141.5/(L28+131.5),4+5),"")</f>
        <v>1.0685882630000001</v>
      </c>
      <c r="BO28" s="204">
        <f t="shared" ref="BO28:BO56" si="45">IF(L28="","",IF(L$25=BO$25,L28,IF(BN28&lt;&gt;"",IF(BN28&lt;0.6244,BN28-0,IF(BN28&lt;0.6834,BN28-0.0001,IF(BN28&lt;0.7574,BN28-0.0002,IF(BN28&lt;0.7864,BN28-0.0003,IF(BN28&lt;0.8524,BN28-0.0004,IF(BN28&lt;0.9414,BN28-0.0005,IF(BN28&lt;1.0334,BN28-0.0006,BN28-0.0007))))))),"")))</f>
        <v>1.0678882630000002</v>
      </c>
      <c r="BP28" s="204">
        <f t="shared" ref="BP28:BP56" si="46">IF(L28&lt;&gt;"",IF(L28&lt;0.6245,L28+0,IF(L28&lt;0.6835,L28+0.0001,IF(L28&lt;0.7565,L28+0.0002,IF(L28&lt;0.7855,L28+0.0003,IF(L28&lt;0.8515,L28+0.0004,IF(L28&lt;0.9415,L28+0.0005,IF(L28&lt;1.0325,L28+0.0006,L28+0.0007))))))),"")</f>
        <v>0.91819999999999991</v>
      </c>
      <c r="BQ28" s="204">
        <f t="shared" ref="BQ28:BQ56" si="47">IF(OR(L28=0,L28=""),"",IF(L$25=BQ$25,L28,IF(BP28&lt;&gt;"",ROUND(141.5/BP28-131.5,2+5),"")))</f>
        <v>0.91769999999999996</v>
      </c>
      <c r="BR28" s="204">
        <f t="shared" ref="BR28:BR56" si="48">IF(L28="","",IF(L$25=BR$25,L28,IF(BN28&lt;&gt;"",IF(BN28&lt;0.6244,BN28-0,IF(BN28&lt;0.6834,BN28-0.0001,IF(BN28&lt;0.7574,BN28-0.0002,IF(BN28&lt;0.7864,BN28-0.0003,IF(BN28&lt;0.8524,BN28-0.0004,IF(BN28&lt;0.9414,BN28-0.0005,IF(BN28&lt;1.0334,BN28-0.0006,BN28-0.0007))))))),"")))</f>
        <v>0.91769999999999996</v>
      </c>
      <c r="BS28" s="204">
        <f t="shared" ref="BS28:BS56" si="49">IF(OR(L28=0,L28=""),"",IF(L$25=BS$25,L28,IF(BP28&lt;&gt;"",ROUND(141.5/BP28-131.5,2+5),"")))</f>
        <v>22.605859299999999</v>
      </c>
      <c r="BU28" s="204">
        <f t="shared" ref="BU28:BU56" si="50">IF(T28&lt;&gt;"",ROUND(141.5/(T28+131.5),4+5),"")</f>
        <v>1.0685882630000001</v>
      </c>
      <c r="BV28" s="204">
        <f t="shared" ref="BV28:BV56" si="51">IF(T28="","",IF(T$25=BV$25,T28,IF(BU28&lt;&gt;"",IF(BU28&lt;0.6244,BU28-0,IF(BU28&lt;0.6834,BU28-0.0001,IF(BU28&lt;0.7574,BU28-0.0002,IF(BU28&lt;0.7864,BU28-0.0003,IF(BU28&lt;0.8524,BU28-0.0004,IF(BU28&lt;0.9414,BU28-0.0005,IF(BU28&lt;1.0334,BU28-0.0006,BU28-0.0007))))))),"")))</f>
        <v>1.0678882630000002</v>
      </c>
      <c r="BW28" s="204">
        <f t="shared" ref="BW28:BW56" si="52">IF(T28&lt;&gt;"",IF(T28&lt;0.6245,T28+0,IF(T28&lt;0.6835,T28+0.0001,IF(T28&lt;0.7565,T28+0.0002,IF(T28&lt;0.7855,T28+0.0003,IF(T28&lt;0.8515,T28+0.0004,IF(T28&lt;0.9415,T28+0.0005,IF(T28&lt;1.0325,T28+0.0006,T28+0.0007))))))),"")</f>
        <v>0.91819999999999991</v>
      </c>
      <c r="BX28" s="204">
        <f t="shared" ref="BX28:BX56" si="53">IF(OR(T28=0,T28=""),"",IF(T$25=BX$25,T28,IF(BW28&lt;&gt;"",ROUND(141.5/BW28-131.5,2+5),"")))</f>
        <v>0.91769999999999996</v>
      </c>
      <c r="BY28" s="204">
        <f t="shared" ref="BY28:BY56" si="54">IF(T28="","",IF(T$25=BY$25,T28,IF(BU28&lt;&gt;"",IF(BU28&lt;0.6244,BU28-0,IF(BU28&lt;0.6834,BU28-0.0001,IF(BU28&lt;0.7574,BU28-0.0002,IF(BU28&lt;0.7864,BU28-0.0003,IF(BU28&lt;0.8524,BU28-0.0004,IF(BU28&lt;0.9414,BU28-0.0005,IF(BU28&lt;1.0334,BU28-0.0006,BU28-0.0007))))))),"")))</f>
        <v>0.91769999999999996</v>
      </c>
      <c r="BZ28" s="204">
        <f t="shared" ref="BZ28:BZ56" si="55">IF(OR(T28=0,T28=""),"",IF(T$25=BZ$25,T28,IF(BW28&lt;&gt;"",ROUND(141.5/BW28-131.5,2+5),"")))</f>
        <v>22.605859299999999</v>
      </c>
      <c r="CC28" s="118">
        <v>0</v>
      </c>
      <c r="CD28" s="299">
        <f t="shared" ref="CD28:CD56" si="56">H28</f>
        <v>0.02</v>
      </c>
      <c r="CE28" s="118">
        <v>1</v>
      </c>
      <c r="CF28" s="118">
        <v>16.55</v>
      </c>
      <c r="CG28" s="300">
        <f t="shared" ref="CG28:CG56" si="57">IF(OR(AND(CC28=CE28,CC28&lt;&gt;CD28),AND(CD28&gt;CC28,CD28&gt;CE28),AND(CD28&lt;CC28,CD28&lt;CE28)),"ULL?",IF(ISERROR((((CD28-CC28)/(CE28-CC28))*(CH28-CF28))+CF28),IF(CC28=CE28,CF28,"ULL?"),ROUND((((CD28-CC28)/(CE28-CC28))*(CH28-CF28))+CF28,3)))</f>
        <v>16.562999999999999</v>
      </c>
      <c r="CH28" s="118">
        <v>17.202999999999999</v>
      </c>
      <c r="CI28" s="118">
        <v>16.55</v>
      </c>
      <c r="CJ28" s="300">
        <f t="shared" ref="CJ28:CJ56" si="58">IF(OR(AND(CC28=CE28,CE28&lt;&gt;CD28),AND(CD28&gt;CC28,CD28&gt;CE28),AND(CD28&lt;CC28,CD28&lt;CE28)),"ULL?",IF(ISERROR((((CD28-CC28)/(CE28-CC28))*(CK28-CI28))+CI28),IF(CC28=CE28,CI28,"ULL?"),ROUND((((CD28-CC28)/(CE28-CC28))*(CK28-CI28))+CI28,3)))</f>
        <v>16.562999999999999</v>
      </c>
      <c r="CK28" s="118">
        <v>17.202999999999999</v>
      </c>
      <c r="CL28" s="300">
        <f t="shared" si="32"/>
        <v>16.55</v>
      </c>
      <c r="CM28" s="301">
        <f t="shared" si="33"/>
        <v>16.562999999999999</v>
      </c>
      <c r="CN28" s="300">
        <f t="shared" si="34"/>
        <v>17.202999999999999</v>
      </c>
      <c r="CP28" s="118">
        <v>6</v>
      </c>
      <c r="CQ28" s="299">
        <f t="shared" ref="CQ28:CQ56" si="59">P28</f>
        <v>0.02</v>
      </c>
      <c r="CR28" s="118">
        <v>0.62</v>
      </c>
      <c r="CS28" s="118">
        <v>16.55</v>
      </c>
      <c r="CT28" s="300" t="str">
        <f t="shared" ref="CT28:CT56" si="60">IF(OR(AND(CP28=CR28,CP28&lt;&gt;CQ28),AND(CQ28&gt;CP28,CQ28&gt;CR28),AND(CQ28&lt;CP28,CQ28&lt;CR28)),"ULL?",IF(ISERROR((((CQ28-CP28)/(CR28-CP28))*(CU28-CS28))+CS28),IF(CP28=CR28,CS28,"ULL?"),ROUND((((CQ28-CP28)/(CR28-CP28))*(CU28-CS28))+CS28,3)))</f>
        <v>ULL?</v>
      </c>
      <c r="CU28" s="118">
        <v>17.202999999999999</v>
      </c>
      <c r="CV28" s="118">
        <v>16.937999999999999</v>
      </c>
      <c r="CW28" s="300" t="str">
        <f t="shared" ref="CW28:CW56" si="61">IF(OR(AND(CP28=CR28,CR28&lt;&gt;CQ28),AND(CQ28&gt;CP28,CQ28&gt;CR28),AND(CQ28&lt;CP28,CQ28&lt;CR28)),"ULL?",IF(ISERROR((((CQ28-CP28)/(CR28-CP28))*(CX28-CV28))+CV28),IF(CP28=CR28,CV28,"ULL?"),ROUND((((CQ28-CP28)/(CR28-CP28))*(CX28-CV28))+CV28,3)))</f>
        <v>ULL?</v>
      </c>
      <c r="CX28" s="118">
        <v>17.597000000000001</v>
      </c>
      <c r="CY28" s="300" t="str">
        <f t="shared" si="35"/>
        <v>TRIM?</v>
      </c>
      <c r="CZ28" s="301" t="str">
        <f t="shared" si="36"/>
        <v>TRIM?</v>
      </c>
      <c r="DA28" s="300" t="str">
        <f t="shared" si="37"/>
        <v>TRIM?</v>
      </c>
      <c r="DC28" s="204">
        <f t="shared" ref="DC28:DC56" si="62">IF(ISBLANK(L28),"",L28)</f>
        <v>0.91769999999999996</v>
      </c>
      <c r="DD28" s="297">
        <f>IF(ISERROR(J28-IF(N28="",0,N28)),"",IF(AND(N28&lt;&gt;"",N28&gt;J28),0,J28-IF(N28="",0,N28)))</f>
        <v>6.6</v>
      </c>
      <c r="DE28" s="297">
        <f t="shared" ref="DE28:DE56" si="63">IF(ISERROR(DC28*DD28),"",DC28*DD28)</f>
        <v>6.0568199999999992</v>
      </c>
      <c r="DF28" s="1141">
        <f>IF($DE28="","",IF(DD28&gt;=DJ28,DC28,IF(INDEX('Cover Page'!$AI$106:$AJ$111,MATCH($C28,'Cover Page'!$AC$106:$AC$111,0),D1SEL)="",DC28,INDEX('Cover Page'!$AI$106:$AJ$111,MATCH($C28,'Cover Page'!$AC$106:$AC$111,0),D1SEL))))</f>
        <v>0.91769999999999996</v>
      </c>
      <c r="DG28" s="297">
        <f t="shared" ref="DG28:DG56" si="64">IF(ISERROR(DJ28-DD28),"",DJ28-DD28)</f>
        <v>0</v>
      </c>
      <c r="DH28" s="297">
        <f t="shared" ref="DH28:DH56" si="65">IF(ISERROR(DF28*DG28),"",DF28*DG28)</f>
        <v>0</v>
      </c>
      <c r="DI28" s="204">
        <f t="shared" ref="DI28:DI56" si="66">IF(ISERROR((DE28+DH28)/DJ28),"",ROUND((DE28+DH28)/DJ28,IF(D1SEL=1,9,7)))</f>
        <v>0.91769999999999996</v>
      </c>
      <c r="DJ28" s="297">
        <f>IF(ISERROR(R28-IF(V28="",0,V28)),"",IF(AND(V28&lt;&gt;"",V28&gt;R28),0,R28-IF(V28="",0,V28)))</f>
        <v>6.6</v>
      </c>
    </row>
    <row r="29" spans="1:114" ht="15.75">
      <c r="A29" s="1286" t="s">
        <v>284</v>
      </c>
      <c r="B29" s="843" t="s">
        <v>1571</v>
      </c>
      <c r="C29" s="834" t="s">
        <v>21</v>
      </c>
      <c r="D29" s="835" t="s">
        <v>284</v>
      </c>
      <c r="E29" s="1000">
        <v>17.43</v>
      </c>
      <c r="F29" s="1000">
        <v>17.43</v>
      </c>
      <c r="G29" s="223" t="s">
        <v>16</v>
      </c>
      <c r="H29" s="1003">
        <v>0</v>
      </c>
      <c r="I29" s="1003">
        <v>0</v>
      </c>
      <c r="J29" s="1340">
        <v>0.1</v>
      </c>
      <c r="K29" s="844">
        <v>35</v>
      </c>
      <c r="L29" s="1401">
        <v>0.91769999999999996</v>
      </c>
      <c r="M29" s="845">
        <v>0</v>
      </c>
      <c r="N29" s="224">
        <v>0</v>
      </c>
      <c r="O29" s="223" t="s">
        <v>16</v>
      </c>
      <c r="P29" s="1003">
        <v>2.4700000000000002</v>
      </c>
      <c r="Q29" s="1003">
        <v>2.4700000000000002</v>
      </c>
      <c r="R29" s="1340">
        <v>276</v>
      </c>
      <c r="S29" s="844">
        <v>34</v>
      </c>
      <c r="T29" s="1406">
        <f t="shared" si="43"/>
        <v>0.92059894900000006</v>
      </c>
      <c r="U29" s="845">
        <v>0</v>
      </c>
      <c r="V29" s="224">
        <v>0</v>
      </c>
      <c r="X29" s="196">
        <f t="shared" si="4"/>
        <v>5.3126638299947571</v>
      </c>
      <c r="Y29" s="196">
        <f t="shared" si="5"/>
        <v>17.43</v>
      </c>
      <c r="Z29" s="154" t="b">
        <f>IF(OR(SURVEYMODE=3,C29=""),FALSE,IF(AND(SUMPRODUCT((INDEX('Cover Page'!$I$89:$N$89,1,MATCH(C29,'Cover Page'!$I$88:$N$88,0))=$D$17)*(INDEX('Cover Page'!$I$104:$N$104,1,MATCH(C29,'Cover Page'!$I$88:$N$88,0))&gt;0))=0,D29="Y"),TRUE,FALSE))</f>
        <v>0</v>
      </c>
      <c r="AA29" s="196">
        <f t="shared" si="6"/>
        <v>5.3126638299947571</v>
      </c>
      <c r="AB29" s="196">
        <f t="shared" si="7"/>
        <v>17.43</v>
      </c>
      <c r="AD29" s="196">
        <f t="shared" si="8"/>
        <v>0</v>
      </c>
      <c r="AE29" s="196">
        <f t="shared" si="9"/>
        <v>0</v>
      </c>
      <c r="AG29" s="196">
        <f t="shared" si="10"/>
        <v>0</v>
      </c>
      <c r="AH29" s="196">
        <f t="shared" si="11"/>
        <v>0</v>
      </c>
      <c r="AJ29" s="196">
        <f t="shared" si="12"/>
        <v>0.75285597590860887</v>
      </c>
      <c r="AK29" s="196">
        <f t="shared" si="13"/>
        <v>2.4700000000000002</v>
      </c>
      <c r="AM29" s="196">
        <f t="shared" si="14"/>
        <v>0.75285597590860887</v>
      </c>
      <c r="AN29" s="196">
        <f t="shared" si="15"/>
        <v>2.4700000000000002</v>
      </c>
      <c r="AP29" s="196">
        <f t="shared" si="16"/>
        <v>1.5898731440218385E-2</v>
      </c>
      <c r="AQ29" s="196">
        <f t="shared" si="17"/>
        <v>0.1</v>
      </c>
      <c r="AS29" s="196">
        <f t="shared" si="18"/>
        <v>0</v>
      </c>
      <c r="AT29" s="196">
        <f t="shared" si="19"/>
        <v>0</v>
      </c>
      <c r="AV29" s="196">
        <f t="shared" si="20"/>
        <v>43.880498775002742</v>
      </c>
      <c r="AW29" s="196">
        <f t="shared" si="21"/>
        <v>276</v>
      </c>
      <c r="AY29" s="196">
        <f t="shared" si="22"/>
        <v>0</v>
      </c>
      <c r="AZ29" s="196">
        <f t="shared" si="23"/>
        <v>0</v>
      </c>
      <c r="BB29" s="196">
        <f t="shared" si="24"/>
        <v>1.6666666666666667</v>
      </c>
      <c r="BC29" s="196">
        <f t="shared" si="25"/>
        <v>35</v>
      </c>
      <c r="BE29" s="196">
        <f t="shared" si="26"/>
        <v>1.1111111111111112</v>
      </c>
      <c r="BF29" s="196">
        <f t="shared" si="27"/>
        <v>34</v>
      </c>
      <c r="BH29" s="196">
        <f t="shared" si="28"/>
        <v>0</v>
      </c>
      <c r="BI29" s="196">
        <f t="shared" si="29"/>
        <v>0</v>
      </c>
      <c r="BK29" s="196">
        <f t="shared" si="30"/>
        <v>0</v>
      </c>
      <c r="BL29" s="196">
        <f t="shared" si="31"/>
        <v>0</v>
      </c>
      <c r="BN29" s="204">
        <f t="shared" si="44"/>
        <v>1.0685882630000001</v>
      </c>
      <c r="BO29" s="204">
        <f t="shared" si="45"/>
        <v>1.0678882630000002</v>
      </c>
      <c r="BP29" s="204">
        <f t="shared" si="46"/>
        <v>0.91819999999999991</v>
      </c>
      <c r="BQ29" s="204">
        <f t="shared" si="47"/>
        <v>0.91769999999999996</v>
      </c>
      <c r="BR29" s="204">
        <f t="shared" si="48"/>
        <v>0.91769999999999996</v>
      </c>
      <c r="BS29" s="204">
        <f t="shared" si="49"/>
        <v>22.605859299999999</v>
      </c>
      <c r="BU29" s="204">
        <f t="shared" si="50"/>
        <v>1.068564869</v>
      </c>
      <c r="BV29" s="204">
        <f t="shared" si="51"/>
        <v>1.0678648690000001</v>
      </c>
      <c r="BW29" s="204">
        <f t="shared" si="52"/>
        <v>0.921098949</v>
      </c>
      <c r="BX29" s="204">
        <f t="shared" si="53"/>
        <v>0.92059894900000006</v>
      </c>
      <c r="BY29" s="204">
        <f t="shared" si="54"/>
        <v>0.92059894900000006</v>
      </c>
      <c r="BZ29" s="204">
        <f t="shared" si="55"/>
        <v>22.120846199999999</v>
      </c>
      <c r="CC29" s="118">
        <v>6</v>
      </c>
      <c r="CD29" s="299">
        <f t="shared" si="56"/>
        <v>0</v>
      </c>
      <c r="CE29" s="118">
        <v>0.62</v>
      </c>
      <c r="CF29" s="118">
        <v>16.55</v>
      </c>
      <c r="CG29" s="300" t="str">
        <f t="shared" si="57"/>
        <v>ULL?</v>
      </c>
      <c r="CH29" s="118">
        <v>17.202999999999999</v>
      </c>
      <c r="CI29" s="118">
        <v>16.55</v>
      </c>
      <c r="CJ29" s="300" t="str">
        <f t="shared" si="58"/>
        <v>ULL?</v>
      </c>
      <c r="CK29" s="118">
        <v>17.202999999999999</v>
      </c>
      <c r="CL29" s="300">
        <f t="shared" si="32"/>
        <v>16.55</v>
      </c>
      <c r="CM29" s="301" t="str">
        <f t="shared" si="33"/>
        <v>ULL?</v>
      </c>
      <c r="CN29" s="300">
        <f t="shared" si="34"/>
        <v>17.202999999999999</v>
      </c>
      <c r="CP29" s="118">
        <v>6</v>
      </c>
      <c r="CQ29" s="299">
        <f t="shared" si="59"/>
        <v>2.4700000000000002</v>
      </c>
      <c r="CR29" s="118">
        <v>0.62</v>
      </c>
      <c r="CS29" s="118">
        <v>16.55</v>
      </c>
      <c r="CT29" s="300">
        <f t="shared" si="60"/>
        <v>16.978000000000002</v>
      </c>
      <c r="CU29" s="118">
        <v>17.202999999999999</v>
      </c>
      <c r="CV29" s="118">
        <v>16.937999999999999</v>
      </c>
      <c r="CW29" s="300">
        <f t="shared" si="61"/>
        <v>17.37</v>
      </c>
      <c r="CX29" s="118">
        <v>17.597000000000001</v>
      </c>
      <c r="CY29" s="300" t="str">
        <f t="shared" si="35"/>
        <v>TRIM?</v>
      </c>
      <c r="CZ29" s="301" t="str">
        <f t="shared" si="36"/>
        <v>TRIM?</v>
      </c>
      <c r="DA29" s="300" t="str">
        <f t="shared" si="37"/>
        <v>TRIM?</v>
      </c>
      <c r="DC29" s="204">
        <f t="shared" si="62"/>
        <v>0.91769999999999996</v>
      </c>
      <c r="DD29" s="297">
        <f t="shared" ref="DD29:DD56" si="67">IF(ISERROR(J29-IF(N29="",0,N29)),"",IF(AND(N29&lt;&gt;"",N29&gt;J29),0,J29-IF(N29="",0,N29)))</f>
        <v>0.1</v>
      </c>
      <c r="DE29" s="297">
        <f t="shared" si="63"/>
        <v>9.1770000000000004E-2</v>
      </c>
      <c r="DF29" s="1141">
        <f>IF($DE29="","",IF(DD29&gt;=DJ29,DC29,IF(INDEX('Cover Page'!$AI$106:$AJ$111,MATCH($C29,'Cover Page'!$AC$106:$AC$111,0),D1SEL)="",DC29,INDEX('Cover Page'!$AI$106:$AJ$111,MATCH($C29,'Cover Page'!$AC$106:$AC$111,0),D1SEL))))</f>
        <v>0.92059999999999997</v>
      </c>
      <c r="DG29" s="297">
        <f t="shared" si="64"/>
        <v>275.89999999999998</v>
      </c>
      <c r="DH29" s="297">
        <f t="shared" si="65"/>
        <v>253.99353999999997</v>
      </c>
      <c r="DI29" s="204">
        <f t="shared" si="66"/>
        <v>0.92059894900000006</v>
      </c>
      <c r="DJ29" s="297">
        <f t="shared" ref="DJ29:DJ56" si="68">IF(ISERROR(R29-IF(V29="",0,V29)),"",IF(AND(V29&lt;&gt;"",V29&gt;R29),0,R29-IF(V29="",0,V29)))</f>
        <v>276</v>
      </c>
    </row>
    <row r="30" spans="1:114" ht="15.75">
      <c r="A30" s="1286" t="s">
        <v>284</v>
      </c>
      <c r="B30" s="843" t="s">
        <v>1551</v>
      </c>
      <c r="C30" s="834" t="s">
        <v>21</v>
      </c>
      <c r="D30" s="835" t="s">
        <v>270</v>
      </c>
      <c r="E30" s="1000" t="s">
        <v>1547</v>
      </c>
      <c r="F30" s="1000" t="s">
        <v>1547</v>
      </c>
      <c r="G30" s="218" t="s">
        <v>22</v>
      </c>
      <c r="H30" s="1003" t="s">
        <v>1547</v>
      </c>
      <c r="I30" s="1003" t="s">
        <v>1547</v>
      </c>
      <c r="J30" s="1339">
        <v>16.5</v>
      </c>
      <c r="K30" s="841">
        <v>100</v>
      </c>
      <c r="L30" s="1401">
        <v>0.94889999999999997</v>
      </c>
      <c r="M30" s="842">
        <v>0</v>
      </c>
      <c r="N30" s="219">
        <v>0</v>
      </c>
      <c r="O30" s="218" t="s">
        <v>22</v>
      </c>
      <c r="P30" s="1003" t="s">
        <v>1547</v>
      </c>
      <c r="Q30" s="1003" t="s">
        <v>1547</v>
      </c>
      <c r="R30" s="1339">
        <v>16.5</v>
      </c>
      <c r="S30" s="841">
        <v>100</v>
      </c>
      <c r="T30" s="1406">
        <f t="shared" si="43"/>
        <v>0.94889999999999997</v>
      </c>
      <c r="U30" s="842">
        <v>0</v>
      </c>
      <c r="V30" s="219">
        <v>0</v>
      </c>
      <c r="X30" s="196" t="str">
        <f t="shared" si="4"/>
        <v>GAUGE</v>
      </c>
      <c r="Y30" s="196" t="str">
        <f t="shared" si="5"/>
        <v>GAUGE</v>
      </c>
      <c r="Z30" s="154" t="b">
        <f>IF(OR(SURVEYMODE=3,C30=""),FALSE,IF(AND(SUMPRODUCT((INDEX('Cover Page'!$I$89:$N$89,1,MATCH(C30,'Cover Page'!$I$88:$N$88,0))=$D$17)*(INDEX('Cover Page'!$I$104:$N$104,1,MATCH(C30,'Cover Page'!$I$88:$N$88,0))&gt;0))=0,D30="Y"),TRUE,FALSE))</f>
        <v>0</v>
      </c>
      <c r="AA30" s="196" t="str">
        <f t="shared" si="6"/>
        <v>GAUGE</v>
      </c>
      <c r="AB30" s="196" t="str">
        <f t="shared" si="7"/>
        <v>GAUGE</v>
      </c>
      <c r="AD30" s="196" t="str">
        <f t="shared" si="8"/>
        <v>GAUGE</v>
      </c>
      <c r="AE30" s="196" t="str">
        <f t="shared" si="9"/>
        <v>GAUGE</v>
      </c>
      <c r="AG30" s="196" t="str">
        <f t="shared" si="10"/>
        <v>GAUGE</v>
      </c>
      <c r="AH30" s="196" t="str">
        <f t="shared" si="11"/>
        <v>GAUGE</v>
      </c>
      <c r="AJ30" s="196" t="str">
        <f t="shared" si="12"/>
        <v>GAUGE</v>
      </c>
      <c r="AK30" s="196" t="str">
        <f t="shared" si="13"/>
        <v>GAUGE</v>
      </c>
      <c r="AM30" s="196" t="str">
        <f t="shared" si="14"/>
        <v>GAUGE</v>
      </c>
      <c r="AN30" s="196" t="str">
        <f t="shared" si="15"/>
        <v>GAUGE</v>
      </c>
      <c r="AP30" s="196">
        <f t="shared" si="16"/>
        <v>2.6232906876360333</v>
      </c>
      <c r="AQ30" s="196">
        <f t="shared" si="17"/>
        <v>16.5</v>
      </c>
      <c r="AS30" s="196">
        <f t="shared" si="18"/>
        <v>0</v>
      </c>
      <c r="AT30" s="196">
        <f t="shared" si="19"/>
        <v>0</v>
      </c>
      <c r="AV30" s="196">
        <f t="shared" si="20"/>
        <v>2.6232906876360333</v>
      </c>
      <c r="AW30" s="196">
        <f t="shared" si="21"/>
        <v>16.5</v>
      </c>
      <c r="AY30" s="196">
        <f t="shared" si="22"/>
        <v>0</v>
      </c>
      <c r="AZ30" s="196">
        <f t="shared" si="23"/>
        <v>0</v>
      </c>
      <c r="BB30" s="196">
        <f t="shared" si="24"/>
        <v>37.777777777777779</v>
      </c>
      <c r="BC30" s="196">
        <f t="shared" si="25"/>
        <v>100</v>
      </c>
      <c r="BE30" s="196">
        <f t="shared" si="26"/>
        <v>37.777777777777779</v>
      </c>
      <c r="BF30" s="196">
        <f t="shared" si="27"/>
        <v>100</v>
      </c>
      <c r="BH30" s="196">
        <f t="shared" si="28"/>
        <v>0</v>
      </c>
      <c r="BI30" s="196">
        <f t="shared" si="29"/>
        <v>0</v>
      </c>
      <c r="BK30" s="196">
        <f t="shared" si="30"/>
        <v>0</v>
      </c>
      <c r="BL30" s="196">
        <f t="shared" si="31"/>
        <v>0</v>
      </c>
      <c r="BN30" s="204">
        <f t="shared" si="44"/>
        <v>1.068336543</v>
      </c>
      <c r="BO30" s="204">
        <f t="shared" si="45"/>
        <v>1.0676365430000001</v>
      </c>
      <c r="BP30" s="204">
        <f t="shared" si="46"/>
        <v>0.94950000000000001</v>
      </c>
      <c r="BQ30" s="204">
        <f t="shared" si="47"/>
        <v>0.94889999999999997</v>
      </c>
      <c r="BR30" s="204">
        <f t="shared" si="48"/>
        <v>0.94889999999999997</v>
      </c>
      <c r="BS30" s="204">
        <f t="shared" si="49"/>
        <v>17.525803100000001</v>
      </c>
      <c r="BU30" s="204">
        <f t="shared" si="50"/>
        <v>1.068336543</v>
      </c>
      <c r="BV30" s="204">
        <f t="shared" si="51"/>
        <v>1.0676365430000001</v>
      </c>
      <c r="BW30" s="204">
        <f t="shared" si="52"/>
        <v>0.94950000000000001</v>
      </c>
      <c r="BX30" s="204">
        <f t="shared" si="53"/>
        <v>0.94889999999999997</v>
      </c>
      <c r="BY30" s="204">
        <f t="shared" si="54"/>
        <v>0.94889999999999997</v>
      </c>
      <c r="BZ30" s="204">
        <f t="shared" si="55"/>
        <v>17.525803100000001</v>
      </c>
      <c r="CC30" s="118">
        <v>6</v>
      </c>
      <c r="CD30" s="299" t="str">
        <f t="shared" si="56"/>
        <v>GAUGE</v>
      </c>
      <c r="CE30" s="118">
        <v>0.62</v>
      </c>
      <c r="CF30" s="118">
        <v>16.55</v>
      </c>
      <c r="CG30" s="300" t="str">
        <f t="shared" si="57"/>
        <v>ULL?</v>
      </c>
      <c r="CH30" s="118">
        <v>17.202999999999999</v>
      </c>
      <c r="CI30" s="118">
        <v>16.937999999999999</v>
      </c>
      <c r="CJ30" s="300" t="str">
        <f t="shared" si="58"/>
        <v>ULL?</v>
      </c>
      <c r="CK30" s="118">
        <v>17.597000000000001</v>
      </c>
      <c r="CL30" s="300">
        <f t="shared" si="32"/>
        <v>16.55</v>
      </c>
      <c r="CM30" s="301" t="str">
        <f t="shared" si="33"/>
        <v>ULL?</v>
      </c>
      <c r="CN30" s="300">
        <f t="shared" si="34"/>
        <v>17.202999999999999</v>
      </c>
      <c r="CP30" s="118">
        <v>6</v>
      </c>
      <c r="CQ30" s="299" t="str">
        <f t="shared" si="59"/>
        <v>GAUGE</v>
      </c>
      <c r="CR30" s="118">
        <v>0.62</v>
      </c>
      <c r="CS30" s="118">
        <v>16.55</v>
      </c>
      <c r="CT30" s="300" t="str">
        <f t="shared" si="60"/>
        <v>ULL?</v>
      </c>
      <c r="CU30" s="118">
        <v>17.202999999999999</v>
      </c>
      <c r="CV30" s="118">
        <v>16.937999999999999</v>
      </c>
      <c r="CW30" s="300" t="str">
        <f t="shared" si="61"/>
        <v>ULL?</v>
      </c>
      <c r="CX30" s="118">
        <v>17.597000000000001</v>
      </c>
      <c r="CY30" s="300" t="str">
        <f t="shared" si="35"/>
        <v>TRIM?</v>
      </c>
      <c r="CZ30" s="301" t="str">
        <f t="shared" si="36"/>
        <v>TRIM?</v>
      </c>
      <c r="DA30" s="300" t="str">
        <f t="shared" si="37"/>
        <v>TRIM?</v>
      </c>
      <c r="DC30" s="204">
        <f t="shared" si="62"/>
        <v>0.94889999999999997</v>
      </c>
      <c r="DD30" s="297">
        <f t="shared" si="67"/>
        <v>16.5</v>
      </c>
      <c r="DE30" s="297">
        <f t="shared" si="63"/>
        <v>15.656849999999999</v>
      </c>
      <c r="DF30" s="1141">
        <f>IF($DE30="","",IF(DD30&gt;=DJ30,DC30,IF(INDEX('Cover Page'!$AI$106:$AJ$111,MATCH($C30,'Cover Page'!$AC$106:$AC$111,0),D1SEL)="",DC30,INDEX('Cover Page'!$AI$106:$AJ$111,MATCH($C30,'Cover Page'!$AC$106:$AC$111,0),D1SEL))))</f>
        <v>0.94889999999999997</v>
      </c>
      <c r="DG30" s="297">
        <f t="shared" si="64"/>
        <v>0</v>
      </c>
      <c r="DH30" s="297">
        <f t="shared" si="65"/>
        <v>0</v>
      </c>
      <c r="DI30" s="204">
        <f t="shared" si="66"/>
        <v>0.94889999999999997</v>
      </c>
      <c r="DJ30" s="297">
        <f t="shared" si="68"/>
        <v>16.5</v>
      </c>
    </row>
    <row r="31" spans="1:114" ht="15.75">
      <c r="A31" s="1286" t="s">
        <v>284</v>
      </c>
      <c r="B31" s="843" t="s">
        <v>1550</v>
      </c>
      <c r="C31" s="834" t="s">
        <v>21</v>
      </c>
      <c r="D31" s="221" t="s">
        <v>270</v>
      </c>
      <c r="E31" s="1000" t="s">
        <v>1547</v>
      </c>
      <c r="F31" s="1000" t="s">
        <v>1547</v>
      </c>
      <c r="G31" s="218" t="s">
        <v>22</v>
      </c>
      <c r="H31" s="1003" t="s">
        <v>1547</v>
      </c>
      <c r="I31" s="1003" t="s">
        <v>1547</v>
      </c>
      <c r="J31" s="1340">
        <v>20.399999999999999</v>
      </c>
      <c r="K31" s="841">
        <v>100</v>
      </c>
      <c r="L31" s="1401">
        <v>0.94889999999999997</v>
      </c>
      <c r="M31" s="845">
        <v>0</v>
      </c>
      <c r="N31" s="224">
        <v>0</v>
      </c>
      <c r="O31" s="218" t="s">
        <v>22</v>
      </c>
      <c r="P31" s="1003" t="s">
        <v>1547</v>
      </c>
      <c r="Q31" s="1003" t="s">
        <v>1547</v>
      </c>
      <c r="R31" s="1339">
        <v>20.399999999999999</v>
      </c>
      <c r="S31" s="841">
        <v>100</v>
      </c>
      <c r="T31" s="1406">
        <f t="shared" si="43"/>
        <v>0.94889999999999997</v>
      </c>
      <c r="U31" s="845">
        <v>0</v>
      </c>
      <c r="V31" s="224">
        <v>0</v>
      </c>
      <c r="X31" s="196" t="str">
        <f t="shared" si="4"/>
        <v>GAUGE</v>
      </c>
      <c r="Y31" s="196" t="str">
        <f t="shared" si="5"/>
        <v>GAUGE</v>
      </c>
      <c r="Z31" s="154" t="b">
        <f>IF(OR(SURVEYMODE=3,C31=""),FALSE,IF(AND(SUMPRODUCT((INDEX('Cover Page'!$I$89:$N$89,1,MATCH(C31,'Cover Page'!$I$88:$N$88,0))=$D$17)*(INDEX('Cover Page'!$I$104:$N$104,1,MATCH(C31,'Cover Page'!$I$88:$N$88,0))&gt;0))=0,D31="Y"),TRUE,FALSE))</f>
        <v>0</v>
      </c>
      <c r="AA31" s="196" t="str">
        <f t="shared" si="6"/>
        <v>GAUGE</v>
      </c>
      <c r="AB31" s="196" t="str">
        <f t="shared" si="7"/>
        <v>GAUGE</v>
      </c>
      <c r="AD31" s="196" t="str">
        <f t="shared" si="8"/>
        <v>GAUGE</v>
      </c>
      <c r="AE31" s="196" t="str">
        <f t="shared" si="9"/>
        <v>GAUGE</v>
      </c>
      <c r="AG31" s="196" t="str">
        <f t="shared" si="10"/>
        <v>GAUGE</v>
      </c>
      <c r="AH31" s="196" t="str">
        <f t="shared" si="11"/>
        <v>GAUGE</v>
      </c>
      <c r="AJ31" s="196" t="str">
        <f t="shared" si="12"/>
        <v>GAUGE</v>
      </c>
      <c r="AK31" s="196" t="str">
        <f t="shared" si="13"/>
        <v>GAUGE</v>
      </c>
      <c r="AM31" s="196" t="str">
        <f t="shared" si="14"/>
        <v>GAUGE</v>
      </c>
      <c r="AN31" s="196" t="str">
        <f t="shared" si="15"/>
        <v>GAUGE</v>
      </c>
      <c r="AP31" s="196">
        <f t="shared" si="16"/>
        <v>3.2433412138045501</v>
      </c>
      <c r="AQ31" s="196">
        <f t="shared" si="17"/>
        <v>20.399999999999999</v>
      </c>
      <c r="AS31" s="196">
        <f t="shared" si="18"/>
        <v>0</v>
      </c>
      <c r="AT31" s="196">
        <f t="shared" si="19"/>
        <v>0</v>
      </c>
      <c r="AV31" s="196">
        <f t="shared" si="20"/>
        <v>3.2433412138045501</v>
      </c>
      <c r="AW31" s="196">
        <f t="shared" si="21"/>
        <v>20.399999999999999</v>
      </c>
      <c r="AY31" s="196">
        <f t="shared" si="22"/>
        <v>0</v>
      </c>
      <c r="AZ31" s="196">
        <f t="shared" si="23"/>
        <v>0</v>
      </c>
      <c r="BB31" s="196">
        <f t="shared" si="24"/>
        <v>37.777777777777779</v>
      </c>
      <c r="BC31" s="196">
        <f t="shared" si="25"/>
        <v>100</v>
      </c>
      <c r="BE31" s="196">
        <f t="shared" si="26"/>
        <v>37.777777777777779</v>
      </c>
      <c r="BF31" s="196">
        <f t="shared" si="27"/>
        <v>100</v>
      </c>
      <c r="BH31" s="196">
        <f t="shared" si="28"/>
        <v>0</v>
      </c>
      <c r="BI31" s="196">
        <f t="shared" si="29"/>
        <v>0</v>
      </c>
      <c r="BK31" s="196">
        <f t="shared" si="30"/>
        <v>0</v>
      </c>
      <c r="BL31" s="196">
        <f t="shared" si="31"/>
        <v>0</v>
      </c>
      <c r="BN31" s="204">
        <f t="shared" si="44"/>
        <v>1.068336543</v>
      </c>
      <c r="BO31" s="204">
        <f t="shared" si="45"/>
        <v>1.0676365430000001</v>
      </c>
      <c r="BP31" s="204">
        <f t="shared" si="46"/>
        <v>0.94950000000000001</v>
      </c>
      <c r="BQ31" s="204">
        <f t="shared" si="47"/>
        <v>0.94889999999999997</v>
      </c>
      <c r="BR31" s="204">
        <f t="shared" si="48"/>
        <v>0.94889999999999997</v>
      </c>
      <c r="BS31" s="204">
        <f t="shared" si="49"/>
        <v>17.525803100000001</v>
      </c>
      <c r="BU31" s="204">
        <f t="shared" si="50"/>
        <v>1.068336543</v>
      </c>
      <c r="BV31" s="204">
        <f t="shared" si="51"/>
        <v>1.0676365430000001</v>
      </c>
      <c r="BW31" s="204">
        <f t="shared" si="52"/>
        <v>0.94950000000000001</v>
      </c>
      <c r="BX31" s="204">
        <f t="shared" si="53"/>
        <v>0.94889999999999997</v>
      </c>
      <c r="BY31" s="204">
        <f t="shared" si="54"/>
        <v>0.94889999999999997</v>
      </c>
      <c r="BZ31" s="204">
        <f t="shared" si="55"/>
        <v>17.525803100000001</v>
      </c>
      <c r="CC31" s="118">
        <v>0</v>
      </c>
      <c r="CD31" s="299" t="str">
        <f t="shared" si="56"/>
        <v>GAUGE</v>
      </c>
      <c r="CE31" s="118">
        <v>10</v>
      </c>
      <c r="CF31" s="118">
        <v>16.55</v>
      </c>
      <c r="CG31" s="300" t="str">
        <f t="shared" si="57"/>
        <v>ULL?</v>
      </c>
      <c r="CH31" s="118">
        <v>17.202999999999999</v>
      </c>
      <c r="CI31" s="118">
        <v>79.156000000000006</v>
      </c>
      <c r="CJ31" s="300" t="str">
        <f t="shared" si="58"/>
        <v>ULL?</v>
      </c>
      <c r="CK31" s="118">
        <v>80.760999999999996</v>
      </c>
      <c r="CL31" s="300">
        <f t="shared" si="32"/>
        <v>16.55</v>
      </c>
      <c r="CM31" s="301" t="str">
        <f t="shared" si="33"/>
        <v>ULL?</v>
      </c>
      <c r="CN31" s="300">
        <f t="shared" si="34"/>
        <v>17.202999999999999</v>
      </c>
      <c r="CP31" s="118">
        <v>6</v>
      </c>
      <c r="CQ31" s="299" t="str">
        <f t="shared" si="59"/>
        <v>GAUGE</v>
      </c>
      <c r="CR31" s="118">
        <v>0.62</v>
      </c>
      <c r="CS31" s="118">
        <v>16.55</v>
      </c>
      <c r="CT31" s="300" t="str">
        <f t="shared" si="60"/>
        <v>ULL?</v>
      </c>
      <c r="CU31" s="118">
        <v>17.202999999999999</v>
      </c>
      <c r="CV31" s="118">
        <v>16.937999999999999</v>
      </c>
      <c r="CW31" s="300" t="str">
        <f t="shared" si="61"/>
        <v>ULL?</v>
      </c>
      <c r="CX31" s="118">
        <v>17.597000000000001</v>
      </c>
      <c r="CY31" s="300" t="str">
        <f t="shared" si="35"/>
        <v>TRIM?</v>
      </c>
      <c r="CZ31" s="301" t="str">
        <f t="shared" si="36"/>
        <v>TRIM?</v>
      </c>
      <c r="DA31" s="300" t="str">
        <f t="shared" si="37"/>
        <v>TRIM?</v>
      </c>
      <c r="DC31" s="204">
        <f t="shared" si="62"/>
        <v>0.94889999999999997</v>
      </c>
      <c r="DD31" s="297">
        <f t="shared" si="67"/>
        <v>20.399999999999999</v>
      </c>
      <c r="DE31" s="297">
        <f t="shared" si="63"/>
        <v>19.357559999999999</v>
      </c>
      <c r="DF31" s="1141">
        <f>IF($DE31="","",IF(DD31&gt;=DJ31,DC31,IF(INDEX('Cover Page'!$AI$106:$AJ$111,MATCH($C31,'Cover Page'!$AC$106:$AC$111,0),D1SEL)="",DC31,INDEX('Cover Page'!$AI$106:$AJ$111,MATCH($C31,'Cover Page'!$AC$106:$AC$111,0),D1SEL))))</f>
        <v>0.94889999999999997</v>
      </c>
      <c r="DG31" s="297">
        <f t="shared" si="64"/>
        <v>0</v>
      </c>
      <c r="DH31" s="297">
        <f t="shared" si="65"/>
        <v>0</v>
      </c>
      <c r="DI31" s="204">
        <f t="shared" si="66"/>
        <v>0.94889999999999997</v>
      </c>
      <c r="DJ31" s="297">
        <f t="shared" si="68"/>
        <v>20.399999999999999</v>
      </c>
    </row>
    <row r="32" spans="1:114" ht="15.75">
      <c r="A32" s="1286" t="s">
        <v>284</v>
      </c>
      <c r="B32" s="843" t="s">
        <v>1552</v>
      </c>
      <c r="C32" s="834" t="s">
        <v>21</v>
      </c>
      <c r="D32" s="221" t="s">
        <v>270</v>
      </c>
      <c r="E32" s="999">
        <v>2.44</v>
      </c>
      <c r="F32" s="999">
        <v>2.44</v>
      </c>
      <c r="G32" s="218" t="s">
        <v>16</v>
      </c>
      <c r="H32" s="1003">
        <v>1.42</v>
      </c>
      <c r="I32" s="1003">
        <v>1.42</v>
      </c>
      <c r="J32" s="1339">
        <v>7.5</v>
      </c>
      <c r="K32" s="844">
        <v>38</v>
      </c>
      <c r="L32" s="1401">
        <v>0.94889999999999997</v>
      </c>
      <c r="M32" s="842">
        <v>0</v>
      </c>
      <c r="N32" s="219">
        <v>0</v>
      </c>
      <c r="O32" s="218" t="s">
        <v>16</v>
      </c>
      <c r="P32" s="1003">
        <v>1.42</v>
      </c>
      <c r="Q32" s="1003">
        <v>1.42</v>
      </c>
      <c r="R32" s="1339">
        <v>7.5</v>
      </c>
      <c r="S32" s="844">
        <v>38</v>
      </c>
      <c r="T32" s="1406">
        <f t="shared" si="43"/>
        <v>0.94889999999999997</v>
      </c>
      <c r="U32" s="842">
        <v>0</v>
      </c>
      <c r="V32" s="219">
        <v>0</v>
      </c>
      <c r="X32" s="196">
        <f t="shared" si="4"/>
        <v>0.74371197620121676</v>
      </c>
      <c r="Y32" s="196">
        <f t="shared" si="5"/>
        <v>2.44</v>
      </c>
      <c r="Z32" s="154" t="b">
        <f>IF(OR(SURVEYMODE=3,C32=""),FALSE,IF(AND(SUMPRODUCT((INDEX('Cover Page'!$I$89:$N$89,1,MATCH(C32,'Cover Page'!$I$88:$N$88,0))=$D$17)*(INDEX('Cover Page'!$I$104:$N$104,1,MATCH(C32,'Cover Page'!$I$88:$N$88,0))&gt;0))=0,D32="Y"),TRUE,FALSE))</f>
        <v>0</v>
      </c>
      <c r="AA32" s="196">
        <f t="shared" si="6"/>
        <v>0.74371197620121676</v>
      </c>
      <c r="AB32" s="196">
        <f t="shared" si="7"/>
        <v>2.44</v>
      </c>
      <c r="AD32" s="196">
        <f t="shared" si="8"/>
        <v>0.43281598614988842</v>
      </c>
      <c r="AE32" s="196">
        <f t="shared" si="9"/>
        <v>1.42</v>
      </c>
      <c r="AG32" s="196">
        <f t="shared" si="10"/>
        <v>0.43281598614988842</v>
      </c>
      <c r="AH32" s="196">
        <f t="shared" si="11"/>
        <v>1.42</v>
      </c>
      <c r="AJ32" s="196">
        <f t="shared" si="12"/>
        <v>0.43281598614988842</v>
      </c>
      <c r="AK32" s="196">
        <f t="shared" si="13"/>
        <v>1.42</v>
      </c>
      <c r="AM32" s="196">
        <f t="shared" si="14"/>
        <v>0.43281598614988842</v>
      </c>
      <c r="AN32" s="196">
        <f t="shared" si="15"/>
        <v>1.42</v>
      </c>
      <c r="AP32" s="196">
        <f t="shared" si="16"/>
        <v>1.1924048580163789</v>
      </c>
      <c r="AQ32" s="196">
        <f t="shared" si="17"/>
        <v>7.5</v>
      </c>
      <c r="AS32" s="196">
        <f t="shared" si="18"/>
        <v>0</v>
      </c>
      <c r="AT32" s="196">
        <f t="shared" si="19"/>
        <v>0</v>
      </c>
      <c r="AV32" s="196">
        <f t="shared" si="20"/>
        <v>1.1924048580163789</v>
      </c>
      <c r="AW32" s="196">
        <f t="shared" si="21"/>
        <v>7.5</v>
      </c>
      <c r="AY32" s="196">
        <f t="shared" si="22"/>
        <v>0</v>
      </c>
      <c r="AZ32" s="196">
        <f t="shared" si="23"/>
        <v>0</v>
      </c>
      <c r="BB32" s="196">
        <f t="shared" si="24"/>
        <v>3.3333333333333335</v>
      </c>
      <c r="BC32" s="196">
        <f t="shared" si="25"/>
        <v>38</v>
      </c>
      <c r="BE32" s="196">
        <f t="shared" si="26"/>
        <v>3.3333333333333335</v>
      </c>
      <c r="BF32" s="196">
        <f t="shared" si="27"/>
        <v>38</v>
      </c>
      <c r="BH32" s="196">
        <f t="shared" si="28"/>
        <v>0</v>
      </c>
      <c r="BI32" s="196">
        <f t="shared" si="29"/>
        <v>0</v>
      </c>
      <c r="BK32" s="196">
        <f t="shared" si="30"/>
        <v>0</v>
      </c>
      <c r="BL32" s="196">
        <f t="shared" si="31"/>
        <v>0</v>
      </c>
      <c r="BN32" s="204">
        <f t="shared" si="44"/>
        <v>1.068336543</v>
      </c>
      <c r="BO32" s="204">
        <f t="shared" si="45"/>
        <v>1.0676365430000001</v>
      </c>
      <c r="BP32" s="204">
        <f t="shared" si="46"/>
        <v>0.94950000000000001</v>
      </c>
      <c r="BQ32" s="204">
        <f t="shared" si="47"/>
        <v>0.94889999999999997</v>
      </c>
      <c r="BR32" s="204">
        <f t="shared" si="48"/>
        <v>0.94889999999999997</v>
      </c>
      <c r="BS32" s="204">
        <f t="shared" si="49"/>
        <v>17.525803100000001</v>
      </c>
      <c r="BU32" s="204">
        <f t="shared" si="50"/>
        <v>1.068336543</v>
      </c>
      <c r="BV32" s="204">
        <f t="shared" si="51"/>
        <v>1.0676365430000001</v>
      </c>
      <c r="BW32" s="204">
        <f t="shared" si="52"/>
        <v>0.94950000000000001</v>
      </c>
      <c r="BX32" s="204">
        <f t="shared" si="53"/>
        <v>0.94889999999999997</v>
      </c>
      <c r="BY32" s="204">
        <f t="shared" si="54"/>
        <v>0.94889999999999997</v>
      </c>
      <c r="BZ32" s="204">
        <f t="shared" si="55"/>
        <v>17.525803100000001</v>
      </c>
      <c r="CC32" s="118">
        <v>6</v>
      </c>
      <c r="CD32" s="299">
        <f t="shared" si="56"/>
        <v>1.42</v>
      </c>
      <c r="CE32" s="118">
        <v>6.5</v>
      </c>
      <c r="CF32" s="118">
        <v>16.55</v>
      </c>
      <c r="CG32" s="300" t="str">
        <f t="shared" si="57"/>
        <v>ULL?</v>
      </c>
      <c r="CH32" s="118">
        <v>17.202999999999999</v>
      </c>
      <c r="CI32" s="118">
        <v>16.55</v>
      </c>
      <c r="CJ32" s="300" t="str">
        <f t="shared" si="58"/>
        <v>ULL?</v>
      </c>
      <c r="CK32" s="118">
        <v>17.202999999999999</v>
      </c>
      <c r="CL32" s="300">
        <f t="shared" si="32"/>
        <v>16.55</v>
      </c>
      <c r="CM32" s="301" t="str">
        <f t="shared" si="33"/>
        <v>ULL?</v>
      </c>
      <c r="CN32" s="300">
        <f t="shared" si="34"/>
        <v>17.202999999999999</v>
      </c>
      <c r="CP32" s="118">
        <v>6</v>
      </c>
      <c r="CQ32" s="299">
        <f t="shared" si="59"/>
        <v>1.42</v>
      </c>
      <c r="CR32" s="118">
        <v>0.62</v>
      </c>
      <c r="CS32" s="118">
        <v>16.55</v>
      </c>
      <c r="CT32" s="300">
        <f t="shared" si="60"/>
        <v>17.106000000000002</v>
      </c>
      <c r="CU32" s="118">
        <v>17.202999999999999</v>
      </c>
      <c r="CV32" s="118">
        <v>16.937999999999999</v>
      </c>
      <c r="CW32" s="300">
        <f t="shared" si="61"/>
        <v>17.498999999999999</v>
      </c>
      <c r="CX32" s="118">
        <v>17.597000000000001</v>
      </c>
      <c r="CY32" s="300" t="str">
        <f t="shared" si="35"/>
        <v>TRIM?</v>
      </c>
      <c r="CZ32" s="301" t="str">
        <f t="shared" si="36"/>
        <v>TRIM?</v>
      </c>
      <c r="DA32" s="300" t="str">
        <f t="shared" si="37"/>
        <v>TRIM?</v>
      </c>
      <c r="DC32" s="204">
        <f t="shared" si="62"/>
        <v>0.94889999999999997</v>
      </c>
      <c r="DD32" s="297">
        <f t="shared" si="67"/>
        <v>7.5</v>
      </c>
      <c r="DE32" s="297">
        <f t="shared" si="63"/>
        <v>7.1167499999999997</v>
      </c>
      <c r="DF32" s="1141">
        <f>IF($DE32="","",IF(DD32&gt;=DJ32,DC32,IF(INDEX('Cover Page'!$AI$106:$AJ$111,MATCH($C32,'Cover Page'!$AC$106:$AC$111,0),D1SEL)="",DC32,INDEX('Cover Page'!$AI$106:$AJ$111,MATCH($C32,'Cover Page'!$AC$106:$AC$111,0),D1SEL))))</f>
        <v>0.94889999999999997</v>
      </c>
      <c r="DG32" s="297">
        <f t="shared" si="64"/>
        <v>0</v>
      </c>
      <c r="DH32" s="297">
        <f t="shared" si="65"/>
        <v>0</v>
      </c>
      <c r="DI32" s="204">
        <f t="shared" si="66"/>
        <v>0.94889999999999997</v>
      </c>
      <c r="DJ32" s="297">
        <f t="shared" si="68"/>
        <v>7.5</v>
      </c>
    </row>
    <row r="33" spans="1:114" ht="15.75">
      <c r="A33" s="1286" t="s">
        <v>284</v>
      </c>
      <c r="B33" s="840"/>
      <c r="C33" s="834"/>
      <c r="D33" s="216"/>
      <c r="E33" s="999"/>
      <c r="F33" s="999"/>
      <c r="G33" s="218"/>
      <c r="H33" s="1003"/>
      <c r="I33" s="1003"/>
      <c r="J33" s="1340"/>
      <c r="K33" s="841"/>
      <c r="L33" s="1401"/>
      <c r="M33" s="845"/>
      <c r="N33" s="224"/>
      <c r="O33" s="218"/>
      <c r="P33" s="1003"/>
      <c r="Q33" s="1003"/>
      <c r="R33" s="1340"/>
      <c r="S33" s="841"/>
      <c r="T33" s="1406" t="str">
        <f t="shared" si="43"/>
        <v/>
      </c>
      <c r="U33" s="845"/>
      <c r="V33" s="224"/>
      <c r="X33" s="196" t="str">
        <f t="shared" si="4"/>
        <v/>
      </c>
      <c r="Y33" s="196" t="str">
        <f t="shared" si="5"/>
        <v/>
      </c>
      <c r="Z33" s="154" t="b">
        <f>IF(OR(SURVEYMODE=3,C33=""),FALSE,IF(AND(SUMPRODUCT((INDEX('Cover Page'!$I$89:$N$89,1,MATCH(C33,'Cover Page'!$I$88:$N$88,0))=$D$17)*(INDEX('Cover Page'!$I$104:$N$104,1,MATCH(C33,'Cover Page'!$I$88:$N$88,0))&gt;0))=0,D33="Y"),TRUE,FALSE))</f>
        <v>0</v>
      </c>
      <c r="AA33" s="196" t="str">
        <f t="shared" si="6"/>
        <v/>
      </c>
      <c r="AB33" s="196" t="str">
        <f t="shared" si="7"/>
        <v/>
      </c>
      <c r="AD33" s="196" t="str">
        <f t="shared" si="8"/>
        <v/>
      </c>
      <c r="AE33" s="196" t="str">
        <f t="shared" si="9"/>
        <v/>
      </c>
      <c r="AG33" s="196" t="str">
        <f t="shared" si="10"/>
        <v/>
      </c>
      <c r="AH33" s="196" t="str">
        <f t="shared" si="11"/>
        <v/>
      </c>
      <c r="AJ33" s="196" t="str">
        <f t="shared" si="12"/>
        <v/>
      </c>
      <c r="AK33" s="196" t="str">
        <f t="shared" si="13"/>
        <v/>
      </c>
      <c r="AM33" s="196" t="str">
        <f t="shared" si="14"/>
        <v/>
      </c>
      <c r="AN33" s="196" t="str">
        <f t="shared" si="15"/>
        <v/>
      </c>
      <c r="AP33" s="196" t="str">
        <f t="shared" si="16"/>
        <v/>
      </c>
      <c r="AQ33" s="196" t="str">
        <f t="shared" si="17"/>
        <v/>
      </c>
      <c r="AS33" s="196" t="str">
        <f t="shared" si="18"/>
        <v/>
      </c>
      <c r="AT33" s="196" t="str">
        <f t="shared" si="19"/>
        <v/>
      </c>
      <c r="AV33" s="196" t="str">
        <f t="shared" si="20"/>
        <v/>
      </c>
      <c r="AW33" s="196" t="str">
        <f t="shared" si="21"/>
        <v/>
      </c>
      <c r="AY33" s="196" t="str">
        <f t="shared" si="22"/>
        <v/>
      </c>
      <c r="AZ33" s="196" t="str">
        <f t="shared" si="23"/>
        <v/>
      </c>
      <c r="BB33" s="196" t="str">
        <f t="shared" si="24"/>
        <v/>
      </c>
      <c r="BC33" s="196" t="str">
        <f t="shared" si="25"/>
        <v/>
      </c>
      <c r="BE33" s="196" t="str">
        <f t="shared" si="26"/>
        <v/>
      </c>
      <c r="BF33" s="196" t="str">
        <f t="shared" si="27"/>
        <v/>
      </c>
      <c r="BH33" s="196" t="str">
        <f t="shared" si="28"/>
        <v/>
      </c>
      <c r="BI33" s="196" t="str">
        <f t="shared" si="29"/>
        <v/>
      </c>
      <c r="BK33" s="196" t="str">
        <f t="shared" si="30"/>
        <v/>
      </c>
      <c r="BL33" s="196" t="str">
        <f t="shared" si="31"/>
        <v/>
      </c>
      <c r="BN33" s="204" t="str">
        <f t="shared" si="44"/>
        <v/>
      </c>
      <c r="BO33" s="204" t="str">
        <f t="shared" si="45"/>
        <v/>
      </c>
      <c r="BP33" s="204" t="str">
        <f t="shared" si="46"/>
        <v/>
      </c>
      <c r="BQ33" s="204" t="str">
        <f t="shared" si="47"/>
        <v/>
      </c>
      <c r="BR33" s="204" t="str">
        <f t="shared" si="48"/>
        <v/>
      </c>
      <c r="BS33" s="204" t="str">
        <f t="shared" si="49"/>
        <v/>
      </c>
      <c r="BU33" s="204" t="str">
        <f t="shared" si="50"/>
        <v/>
      </c>
      <c r="BV33" s="204" t="str">
        <f t="shared" si="51"/>
        <v/>
      </c>
      <c r="BW33" s="204" t="str">
        <f t="shared" si="52"/>
        <v/>
      </c>
      <c r="BX33" s="204" t="str">
        <f t="shared" si="53"/>
        <v/>
      </c>
      <c r="BY33" s="204" t="str">
        <f t="shared" si="54"/>
        <v/>
      </c>
      <c r="BZ33" s="204" t="str">
        <f t="shared" si="55"/>
        <v/>
      </c>
      <c r="CC33" s="118">
        <v>0</v>
      </c>
      <c r="CD33" s="299">
        <f t="shared" si="56"/>
        <v>0</v>
      </c>
      <c r="CE33" s="118">
        <v>0.62</v>
      </c>
      <c r="CF33" s="118">
        <v>16.55</v>
      </c>
      <c r="CG33" s="300">
        <f t="shared" si="57"/>
        <v>16.55</v>
      </c>
      <c r="CH33" s="118">
        <v>17.202999999999999</v>
      </c>
      <c r="CI33" s="118">
        <v>15.645</v>
      </c>
      <c r="CJ33" s="300">
        <f t="shared" si="58"/>
        <v>15.645</v>
      </c>
      <c r="CK33" s="118">
        <v>16.283999999999999</v>
      </c>
      <c r="CL33" s="300">
        <f t="shared" si="32"/>
        <v>16.55</v>
      </c>
      <c r="CM33" s="301">
        <f t="shared" si="33"/>
        <v>16.55</v>
      </c>
      <c r="CN33" s="300">
        <f t="shared" si="34"/>
        <v>17.202999999999999</v>
      </c>
      <c r="CP33" s="118">
        <v>6</v>
      </c>
      <c r="CQ33" s="299">
        <f t="shared" si="59"/>
        <v>0</v>
      </c>
      <c r="CR33" s="118">
        <v>0.62</v>
      </c>
      <c r="CS33" s="118">
        <v>16.55</v>
      </c>
      <c r="CT33" s="300" t="str">
        <f t="shared" si="60"/>
        <v>ULL?</v>
      </c>
      <c r="CU33" s="118">
        <v>17.202999999999999</v>
      </c>
      <c r="CV33" s="118">
        <v>16.937999999999999</v>
      </c>
      <c r="CW33" s="300" t="str">
        <f t="shared" si="61"/>
        <v>ULL?</v>
      </c>
      <c r="CX33" s="118">
        <v>17.597000000000001</v>
      </c>
      <c r="CY33" s="300" t="str">
        <f t="shared" si="35"/>
        <v>TRIM?</v>
      </c>
      <c r="CZ33" s="301" t="str">
        <f t="shared" si="36"/>
        <v>TRIM?</v>
      </c>
      <c r="DA33" s="300" t="str">
        <f t="shared" si="37"/>
        <v>TRIM?</v>
      </c>
      <c r="DC33" s="204" t="str">
        <f t="shared" si="62"/>
        <v/>
      </c>
      <c r="DD33" s="297">
        <f t="shared" si="67"/>
        <v>0</v>
      </c>
      <c r="DE33" s="297" t="str">
        <f t="shared" si="63"/>
        <v/>
      </c>
      <c r="DF33" s="1141" t="str">
        <f>IF($DE33="","",IF(DD33&gt;=DJ33,DC33,IF(INDEX('Cover Page'!$AI$106:$AJ$111,MATCH($C33,'Cover Page'!$AC$106:$AC$111,0),D1SEL)="",DC33,INDEX('Cover Page'!$AI$106:$AJ$111,MATCH($C33,'Cover Page'!$AC$106:$AC$111,0),D1SEL))))</f>
        <v/>
      </c>
      <c r="DG33" s="297">
        <f t="shared" si="64"/>
        <v>0</v>
      </c>
      <c r="DH33" s="297" t="str">
        <f t="shared" si="65"/>
        <v/>
      </c>
      <c r="DI33" s="204" t="str">
        <f t="shared" si="66"/>
        <v/>
      </c>
      <c r="DJ33" s="297">
        <f t="shared" si="68"/>
        <v>0</v>
      </c>
    </row>
    <row r="34" spans="1:114" ht="15.75">
      <c r="A34" s="1286" t="s">
        <v>284</v>
      </c>
      <c r="B34" s="843" t="s">
        <v>1572</v>
      </c>
      <c r="C34" s="834" t="s">
        <v>17</v>
      </c>
      <c r="D34" s="216" t="s">
        <v>284</v>
      </c>
      <c r="E34" s="999">
        <v>17.43</v>
      </c>
      <c r="F34" s="999">
        <v>17.43</v>
      </c>
      <c r="G34" s="218" t="s">
        <v>16</v>
      </c>
      <c r="H34" s="1003">
        <v>0</v>
      </c>
      <c r="I34" s="1003">
        <v>0</v>
      </c>
      <c r="J34" s="1340">
        <v>0.1</v>
      </c>
      <c r="K34" s="844">
        <v>39</v>
      </c>
      <c r="L34" s="1401">
        <v>0.83789999999999998</v>
      </c>
      <c r="M34" s="845">
        <v>0</v>
      </c>
      <c r="N34" s="224">
        <v>0</v>
      </c>
      <c r="O34" s="218" t="s">
        <v>16</v>
      </c>
      <c r="P34" s="1003">
        <v>5.18</v>
      </c>
      <c r="Q34" s="1003">
        <v>5.18</v>
      </c>
      <c r="R34" s="1340">
        <v>48.5</v>
      </c>
      <c r="S34" s="844">
        <v>24</v>
      </c>
      <c r="T34" s="1406">
        <f t="shared" si="43"/>
        <v>0.83520556700000004</v>
      </c>
      <c r="U34" s="845">
        <v>0</v>
      </c>
      <c r="V34" s="224">
        <v>0</v>
      </c>
      <c r="X34" s="196">
        <f t="shared" si="4"/>
        <v>5.3126638299947571</v>
      </c>
      <c r="Y34" s="196">
        <f t="shared" si="5"/>
        <v>17.43</v>
      </c>
      <c r="Z34" s="154" t="b">
        <f>IF(OR(SURVEYMODE=3,C34=""),FALSE,IF(AND(SUMPRODUCT((INDEX('Cover Page'!$I$89:$N$89,1,MATCH(C34,'Cover Page'!$I$88:$N$88,0))=$D$17)*(INDEX('Cover Page'!$I$104:$N$104,1,MATCH(C34,'Cover Page'!$I$88:$N$88,0))&gt;0))=0,D34="Y"),TRUE,FALSE))</f>
        <v>0</v>
      </c>
      <c r="AA34" s="196">
        <f t="shared" si="6"/>
        <v>5.3126638299947571</v>
      </c>
      <c r="AB34" s="196">
        <f t="shared" si="7"/>
        <v>17.43</v>
      </c>
      <c r="AD34" s="196">
        <f t="shared" si="8"/>
        <v>0</v>
      </c>
      <c r="AE34" s="196">
        <f t="shared" si="9"/>
        <v>0</v>
      </c>
      <c r="AG34" s="196">
        <f t="shared" si="10"/>
        <v>0</v>
      </c>
      <c r="AH34" s="196">
        <f t="shared" si="11"/>
        <v>0</v>
      </c>
      <c r="AJ34" s="196">
        <f t="shared" si="12"/>
        <v>1.5788639494763534</v>
      </c>
      <c r="AK34" s="196">
        <f t="shared" si="13"/>
        <v>5.18</v>
      </c>
      <c r="AM34" s="196">
        <f t="shared" si="14"/>
        <v>1.5788639494763534</v>
      </c>
      <c r="AN34" s="196">
        <f t="shared" si="15"/>
        <v>5.18</v>
      </c>
      <c r="AP34" s="196">
        <f t="shared" si="16"/>
        <v>1.5898731440218385E-2</v>
      </c>
      <c r="AQ34" s="196">
        <f t="shared" si="17"/>
        <v>0.1</v>
      </c>
      <c r="AS34" s="196">
        <f t="shared" si="18"/>
        <v>0</v>
      </c>
      <c r="AT34" s="196">
        <f t="shared" si="19"/>
        <v>0</v>
      </c>
      <c r="AV34" s="196">
        <f t="shared" si="20"/>
        <v>7.7108847485059169</v>
      </c>
      <c r="AW34" s="196">
        <f t="shared" si="21"/>
        <v>48.5</v>
      </c>
      <c r="AY34" s="196">
        <f t="shared" si="22"/>
        <v>0</v>
      </c>
      <c r="AZ34" s="196">
        <f t="shared" si="23"/>
        <v>0</v>
      </c>
      <c r="BB34" s="196">
        <f t="shared" si="24"/>
        <v>3.8888888888888888</v>
      </c>
      <c r="BC34" s="196">
        <f t="shared" si="25"/>
        <v>39</v>
      </c>
      <c r="BE34" s="196">
        <f t="shared" si="26"/>
        <v>-4.4444444444444446</v>
      </c>
      <c r="BF34" s="196">
        <f t="shared" si="27"/>
        <v>24</v>
      </c>
      <c r="BH34" s="196">
        <f t="shared" si="28"/>
        <v>0</v>
      </c>
      <c r="BI34" s="196">
        <f t="shared" si="29"/>
        <v>0</v>
      </c>
      <c r="BK34" s="196">
        <f t="shared" si="30"/>
        <v>0</v>
      </c>
      <c r="BL34" s="196">
        <f t="shared" si="31"/>
        <v>0</v>
      </c>
      <c r="BN34" s="204">
        <f t="shared" si="44"/>
        <v>1.069232623</v>
      </c>
      <c r="BO34" s="204">
        <f t="shared" si="45"/>
        <v>1.0685326230000001</v>
      </c>
      <c r="BP34" s="204">
        <f t="shared" si="46"/>
        <v>0.83829999999999993</v>
      </c>
      <c r="BQ34" s="204">
        <f t="shared" si="47"/>
        <v>0.83789999999999998</v>
      </c>
      <c r="BR34" s="204">
        <f t="shared" si="48"/>
        <v>0.83789999999999998</v>
      </c>
      <c r="BS34" s="204">
        <f t="shared" si="49"/>
        <v>37.293987799999996</v>
      </c>
      <c r="BU34" s="204">
        <f t="shared" si="50"/>
        <v>1.0692543940000001</v>
      </c>
      <c r="BV34" s="204">
        <f t="shared" si="51"/>
        <v>1.0685543940000002</v>
      </c>
      <c r="BW34" s="204">
        <f t="shared" si="52"/>
        <v>0.83560556699999999</v>
      </c>
      <c r="BX34" s="204">
        <f t="shared" si="53"/>
        <v>0.83520556700000004</v>
      </c>
      <c r="BY34" s="204">
        <f t="shared" si="54"/>
        <v>0.83520556700000004</v>
      </c>
      <c r="BZ34" s="204">
        <f t="shared" si="55"/>
        <v>37.8382687</v>
      </c>
      <c r="CC34" s="118">
        <v>6</v>
      </c>
      <c r="CD34" s="299">
        <f t="shared" si="56"/>
        <v>0</v>
      </c>
      <c r="CE34" s="118">
        <v>0.62</v>
      </c>
      <c r="CF34" s="118">
        <v>16.55</v>
      </c>
      <c r="CG34" s="300" t="str">
        <f t="shared" si="57"/>
        <v>ULL?</v>
      </c>
      <c r="CH34" s="118">
        <v>17.202999999999999</v>
      </c>
      <c r="CI34" s="118">
        <v>16.937999999999999</v>
      </c>
      <c r="CJ34" s="300" t="str">
        <f t="shared" si="58"/>
        <v>ULL?</v>
      </c>
      <c r="CK34" s="118">
        <v>17.597000000000001</v>
      </c>
      <c r="CL34" s="300">
        <f t="shared" si="32"/>
        <v>16.55</v>
      </c>
      <c r="CM34" s="301" t="str">
        <f t="shared" si="33"/>
        <v>ULL?</v>
      </c>
      <c r="CN34" s="300">
        <f t="shared" si="34"/>
        <v>17.202999999999999</v>
      </c>
      <c r="CP34" s="118">
        <v>6</v>
      </c>
      <c r="CQ34" s="299">
        <f t="shared" si="59"/>
        <v>5.18</v>
      </c>
      <c r="CR34" s="118">
        <v>0.62</v>
      </c>
      <c r="CS34" s="118">
        <v>16.55</v>
      </c>
      <c r="CT34" s="300">
        <f t="shared" si="60"/>
        <v>16.649999999999999</v>
      </c>
      <c r="CU34" s="118">
        <v>17.202999999999999</v>
      </c>
      <c r="CV34" s="118">
        <v>16.937999999999999</v>
      </c>
      <c r="CW34" s="300">
        <f t="shared" si="61"/>
        <v>17.038</v>
      </c>
      <c r="CX34" s="118">
        <v>17.597000000000001</v>
      </c>
      <c r="CY34" s="300" t="str">
        <f t="shared" si="35"/>
        <v>TRIM?</v>
      </c>
      <c r="CZ34" s="301" t="str">
        <f t="shared" si="36"/>
        <v>TRIM?</v>
      </c>
      <c r="DA34" s="300" t="str">
        <f t="shared" si="37"/>
        <v>TRIM?</v>
      </c>
      <c r="DC34" s="204">
        <f t="shared" si="62"/>
        <v>0.83789999999999998</v>
      </c>
      <c r="DD34" s="297">
        <f t="shared" si="67"/>
        <v>0.1</v>
      </c>
      <c r="DE34" s="297">
        <f t="shared" si="63"/>
        <v>8.3790000000000003E-2</v>
      </c>
      <c r="DF34" s="1141">
        <f>IF($DE34="","",IF(DD34&gt;=DJ34,DC34,IF(INDEX('Cover Page'!$AI$106:$AJ$111,MATCH($C34,'Cover Page'!$AC$106:$AC$111,0),D1SEL)="",DC34,INDEX('Cover Page'!$AI$106:$AJ$111,MATCH($C34,'Cover Page'!$AC$106:$AC$111,0),D1SEL))))</f>
        <v>0.83520000000000005</v>
      </c>
      <c r="DG34" s="297">
        <f t="shared" si="64"/>
        <v>48.4</v>
      </c>
      <c r="DH34" s="297">
        <f t="shared" si="65"/>
        <v>40.423680000000004</v>
      </c>
      <c r="DI34" s="204">
        <f t="shared" si="66"/>
        <v>0.83520556700000004</v>
      </c>
      <c r="DJ34" s="297">
        <f t="shared" si="68"/>
        <v>48.5</v>
      </c>
    </row>
    <row r="35" spans="1:114" ht="15.75">
      <c r="A35" s="1286" t="s">
        <v>284</v>
      </c>
      <c r="B35" s="840" t="s">
        <v>1556</v>
      </c>
      <c r="C35" s="834" t="s">
        <v>17</v>
      </c>
      <c r="D35" s="216" t="s">
        <v>270</v>
      </c>
      <c r="E35" s="999">
        <v>2.46</v>
      </c>
      <c r="F35" s="999">
        <v>2.46</v>
      </c>
      <c r="G35" s="218" t="s">
        <v>16</v>
      </c>
      <c r="H35" s="1003">
        <v>2.02</v>
      </c>
      <c r="I35" s="1003">
        <v>2.02</v>
      </c>
      <c r="J35" s="1340">
        <v>85</v>
      </c>
      <c r="K35" s="844">
        <v>38</v>
      </c>
      <c r="L35" s="1401">
        <v>0.83789999999999998</v>
      </c>
      <c r="M35" s="845">
        <v>0</v>
      </c>
      <c r="N35" s="224">
        <v>0</v>
      </c>
      <c r="O35" s="218" t="s">
        <v>16</v>
      </c>
      <c r="P35" s="1003">
        <v>2.02</v>
      </c>
      <c r="Q35" s="1003">
        <v>2.02</v>
      </c>
      <c r="R35" s="1340">
        <v>85</v>
      </c>
      <c r="S35" s="844">
        <v>38</v>
      </c>
      <c r="T35" s="1406">
        <f t="shared" si="43"/>
        <v>0.83789999999999998</v>
      </c>
      <c r="U35" s="845">
        <v>0</v>
      </c>
      <c r="V35" s="224">
        <v>0</v>
      </c>
      <c r="X35" s="196">
        <f t="shared" si="4"/>
        <v>0.74980797600614479</v>
      </c>
      <c r="Y35" s="196">
        <f t="shared" si="5"/>
        <v>2.46</v>
      </c>
      <c r="Z35" s="154" t="b">
        <f>IF(OR(SURVEYMODE=3,C35=""),FALSE,IF(AND(SUMPRODUCT((INDEX('Cover Page'!$I$89:$N$89,1,MATCH(C35,'Cover Page'!$I$88:$N$88,0))=$D$17)*(INDEX('Cover Page'!$I$104:$N$104,1,MATCH(C35,'Cover Page'!$I$88:$N$88,0))&gt;0))=0,D35="Y"),TRUE,FALSE))</f>
        <v>0</v>
      </c>
      <c r="AA35" s="196">
        <f t="shared" si="6"/>
        <v>0.74980797600614479</v>
      </c>
      <c r="AB35" s="196">
        <f t="shared" si="7"/>
        <v>2.46</v>
      </c>
      <c r="AD35" s="196">
        <f t="shared" si="8"/>
        <v>0.61569598029772865</v>
      </c>
      <c r="AE35" s="196">
        <f t="shared" si="9"/>
        <v>2.02</v>
      </c>
      <c r="AG35" s="196">
        <f t="shared" si="10"/>
        <v>0.61569598029772865</v>
      </c>
      <c r="AH35" s="196">
        <f t="shared" si="11"/>
        <v>2.02</v>
      </c>
      <c r="AJ35" s="196">
        <f t="shared" si="12"/>
        <v>0.61569598029772865</v>
      </c>
      <c r="AK35" s="196">
        <f t="shared" si="13"/>
        <v>2.02</v>
      </c>
      <c r="AM35" s="196">
        <f t="shared" si="14"/>
        <v>0.61569598029772865</v>
      </c>
      <c r="AN35" s="196">
        <f t="shared" si="15"/>
        <v>2.02</v>
      </c>
      <c r="AP35" s="196">
        <f t="shared" si="16"/>
        <v>13.513921724185627</v>
      </c>
      <c r="AQ35" s="196">
        <f t="shared" si="17"/>
        <v>85</v>
      </c>
      <c r="AS35" s="196">
        <f t="shared" si="18"/>
        <v>0</v>
      </c>
      <c r="AT35" s="196">
        <f t="shared" si="19"/>
        <v>0</v>
      </c>
      <c r="AV35" s="196">
        <f t="shared" si="20"/>
        <v>13.513921724185627</v>
      </c>
      <c r="AW35" s="196">
        <f t="shared" si="21"/>
        <v>85</v>
      </c>
      <c r="AY35" s="196">
        <f t="shared" si="22"/>
        <v>0</v>
      </c>
      <c r="AZ35" s="196">
        <f t="shared" si="23"/>
        <v>0</v>
      </c>
      <c r="BB35" s="196">
        <f t="shared" si="24"/>
        <v>3.3333333333333335</v>
      </c>
      <c r="BC35" s="196">
        <f t="shared" si="25"/>
        <v>38</v>
      </c>
      <c r="BE35" s="196">
        <f t="shared" si="26"/>
        <v>3.3333333333333335</v>
      </c>
      <c r="BF35" s="196">
        <f t="shared" si="27"/>
        <v>38</v>
      </c>
      <c r="BH35" s="196">
        <f t="shared" si="28"/>
        <v>0</v>
      </c>
      <c r="BI35" s="196">
        <f t="shared" si="29"/>
        <v>0</v>
      </c>
      <c r="BK35" s="196">
        <f t="shared" si="30"/>
        <v>0</v>
      </c>
      <c r="BL35" s="196">
        <f t="shared" si="31"/>
        <v>0</v>
      </c>
      <c r="BN35" s="204">
        <f t="shared" si="44"/>
        <v>1.069232623</v>
      </c>
      <c r="BO35" s="204">
        <f t="shared" si="45"/>
        <v>1.0685326230000001</v>
      </c>
      <c r="BP35" s="204">
        <f t="shared" si="46"/>
        <v>0.83829999999999993</v>
      </c>
      <c r="BQ35" s="204">
        <f t="shared" si="47"/>
        <v>0.83789999999999998</v>
      </c>
      <c r="BR35" s="204">
        <f t="shared" si="48"/>
        <v>0.83789999999999998</v>
      </c>
      <c r="BS35" s="204">
        <f t="shared" si="49"/>
        <v>37.293987799999996</v>
      </c>
      <c r="BU35" s="204">
        <f t="shared" si="50"/>
        <v>1.069232623</v>
      </c>
      <c r="BV35" s="204">
        <f t="shared" si="51"/>
        <v>1.0685326230000001</v>
      </c>
      <c r="BW35" s="204">
        <f t="shared" si="52"/>
        <v>0.83829999999999993</v>
      </c>
      <c r="BX35" s="204">
        <f t="shared" si="53"/>
        <v>0.83789999999999998</v>
      </c>
      <c r="BY35" s="204">
        <f t="shared" si="54"/>
        <v>0.83789999999999998</v>
      </c>
      <c r="BZ35" s="204">
        <f t="shared" si="55"/>
        <v>37.293987799999996</v>
      </c>
      <c r="CC35" s="118">
        <v>6</v>
      </c>
      <c r="CD35" s="299">
        <f t="shared" si="56"/>
        <v>2.02</v>
      </c>
      <c r="CE35" s="118">
        <v>0.62</v>
      </c>
      <c r="CF35" s="118">
        <v>16.55</v>
      </c>
      <c r="CG35" s="300">
        <f t="shared" si="57"/>
        <v>17.033000000000001</v>
      </c>
      <c r="CH35" s="118">
        <v>17.202999999999999</v>
      </c>
      <c r="CI35" s="118">
        <v>16.937999999999999</v>
      </c>
      <c r="CJ35" s="300">
        <f t="shared" si="58"/>
        <v>17.425999999999998</v>
      </c>
      <c r="CK35" s="118">
        <v>17.597000000000001</v>
      </c>
      <c r="CL35" s="300">
        <f t="shared" si="32"/>
        <v>16.55</v>
      </c>
      <c r="CM35" s="301">
        <f t="shared" si="33"/>
        <v>17.033000000000001</v>
      </c>
      <c r="CN35" s="300">
        <f t="shared" si="34"/>
        <v>17.202999999999999</v>
      </c>
      <c r="CP35" s="118">
        <v>6</v>
      </c>
      <c r="CQ35" s="299">
        <f t="shared" si="59"/>
        <v>2.02</v>
      </c>
      <c r="CR35" s="118">
        <v>0.62</v>
      </c>
      <c r="CS35" s="118">
        <v>16.55</v>
      </c>
      <c r="CT35" s="300">
        <f t="shared" si="60"/>
        <v>17.033000000000001</v>
      </c>
      <c r="CU35" s="118">
        <v>17.202999999999999</v>
      </c>
      <c r="CV35" s="118">
        <v>16.937999999999999</v>
      </c>
      <c r="CW35" s="300">
        <f t="shared" si="61"/>
        <v>17.425999999999998</v>
      </c>
      <c r="CX35" s="118">
        <v>17.597000000000001</v>
      </c>
      <c r="CY35" s="300" t="str">
        <f t="shared" si="35"/>
        <v>TRIM?</v>
      </c>
      <c r="CZ35" s="301" t="str">
        <f t="shared" si="36"/>
        <v>TRIM?</v>
      </c>
      <c r="DA35" s="300" t="str">
        <f t="shared" si="37"/>
        <v>TRIM?</v>
      </c>
      <c r="DC35" s="204">
        <f t="shared" si="62"/>
        <v>0.83789999999999998</v>
      </c>
      <c r="DD35" s="297">
        <f t="shared" si="67"/>
        <v>85</v>
      </c>
      <c r="DE35" s="297">
        <f t="shared" si="63"/>
        <v>71.221499999999992</v>
      </c>
      <c r="DF35" s="1141">
        <f>IF($DE35="","",IF(DD35&gt;=DJ35,DC35,IF(INDEX('Cover Page'!$AI$106:$AJ$111,MATCH($C35,'Cover Page'!$AC$106:$AC$111,0),D1SEL)="",DC35,INDEX('Cover Page'!$AI$106:$AJ$111,MATCH($C35,'Cover Page'!$AC$106:$AC$111,0),D1SEL))))</f>
        <v>0.83789999999999998</v>
      </c>
      <c r="DG35" s="297">
        <f t="shared" si="64"/>
        <v>0</v>
      </c>
      <c r="DH35" s="297">
        <f t="shared" si="65"/>
        <v>0</v>
      </c>
      <c r="DI35" s="204">
        <f t="shared" si="66"/>
        <v>0.83789999999999998</v>
      </c>
      <c r="DJ35" s="297">
        <f t="shared" si="68"/>
        <v>85</v>
      </c>
    </row>
    <row r="36" spans="1:114" ht="15.75">
      <c r="A36" s="1286" t="s">
        <v>284</v>
      </c>
      <c r="B36" s="840" t="s">
        <v>1557</v>
      </c>
      <c r="C36" s="834" t="s">
        <v>17</v>
      </c>
      <c r="D36" s="216" t="s">
        <v>270</v>
      </c>
      <c r="E36" s="999">
        <v>2.46</v>
      </c>
      <c r="F36" s="999">
        <v>2.46</v>
      </c>
      <c r="G36" s="218" t="s">
        <v>16</v>
      </c>
      <c r="H36" s="1003">
        <v>0.97</v>
      </c>
      <c r="I36" s="1003">
        <v>0.97</v>
      </c>
      <c r="J36" s="1340">
        <v>34.700000000000003</v>
      </c>
      <c r="K36" s="844">
        <v>38</v>
      </c>
      <c r="L36" s="1401">
        <v>0.83789999999999998</v>
      </c>
      <c r="M36" s="845">
        <v>0</v>
      </c>
      <c r="N36" s="224">
        <v>0</v>
      </c>
      <c r="O36" s="218" t="s">
        <v>16</v>
      </c>
      <c r="P36" s="1003">
        <v>0.97</v>
      </c>
      <c r="Q36" s="1003">
        <v>0.97</v>
      </c>
      <c r="R36" s="1340">
        <v>34.700000000000003</v>
      </c>
      <c r="S36" s="844">
        <v>38</v>
      </c>
      <c r="T36" s="1406">
        <f t="shared" si="43"/>
        <v>0.83789999999999998</v>
      </c>
      <c r="U36" s="842">
        <v>0</v>
      </c>
      <c r="V36" s="219">
        <v>0</v>
      </c>
      <c r="X36" s="196">
        <f t="shared" si="4"/>
        <v>0.74980797600614479</v>
      </c>
      <c r="Y36" s="196">
        <f t="shared" si="5"/>
        <v>2.46</v>
      </c>
      <c r="Z36" s="154" t="b">
        <f>IF(OR(SURVEYMODE=3,C36=""),FALSE,IF(AND(SUMPRODUCT((INDEX('Cover Page'!$I$89:$N$89,1,MATCH(C36,'Cover Page'!$I$88:$N$88,0))=$D$17)*(INDEX('Cover Page'!$I$104:$N$104,1,MATCH(C36,'Cover Page'!$I$88:$N$88,0))&gt;0))=0,D36="Y"),TRUE,FALSE))</f>
        <v>0</v>
      </c>
      <c r="AA36" s="196">
        <f t="shared" si="6"/>
        <v>0.74980797600614479</v>
      </c>
      <c r="AB36" s="196">
        <f t="shared" si="7"/>
        <v>2.46</v>
      </c>
      <c r="AD36" s="196">
        <f t="shared" si="8"/>
        <v>0.29565599053900832</v>
      </c>
      <c r="AE36" s="196">
        <f t="shared" si="9"/>
        <v>0.97</v>
      </c>
      <c r="AG36" s="196">
        <f t="shared" si="10"/>
        <v>0.29565599053900832</v>
      </c>
      <c r="AH36" s="196">
        <f t="shared" si="11"/>
        <v>0.97</v>
      </c>
      <c r="AJ36" s="196">
        <f t="shared" si="12"/>
        <v>0.29565599053900832</v>
      </c>
      <c r="AK36" s="196">
        <f t="shared" si="13"/>
        <v>0.97</v>
      </c>
      <c r="AM36" s="196">
        <f t="shared" si="14"/>
        <v>0.29565599053900832</v>
      </c>
      <c r="AN36" s="196">
        <f t="shared" si="15"/>
        <v>0.97</v>
      </c>
      <c r="AP36" s="196">
        <f t="shared" si="16"/>
        <v>5.5168598097557799</v>
      </c>
      <c r="AQ36" s="196">
        <f t="shared" si="17"/>
        <v>34.700000000000003</v>
      </c>
      <c r="AS36" s="196">
        <f t="shared" si="18"/>
        <v>0</v>
      </c>
      <c r="AT36" s="196">
        <f t="shared" si="19"/>
        <v>0</v>
      </c>
      <c r="AV36" s="196">
        <f t="shared" si="20"/>
        <v>5.5168598097557799</v>
      </c>
      <c r="AW36" s="196">
        <f t="shared" si="21"/>
        <v>34.700000000000003</v>
      </c>
      <c r="AY36" s="196">
        <f t="shared" si="22"/>
        <v>0</v>
      </c>
      <c r="AZ36" s="196">
        <f t="shared" si="23"/>
        <v>0</v>
      </c>
      <c r="BB36" s="196">
        <f t="shared" si="24"/>
        <v>3.3333333333333335</v>
      </c>
      <c r="BC36" s="196">
        <f t="shared" si="25"/>
        <v>38</v>
      </c>
      <c r="BE36" s="196">
        <f t="shared" si="26"/>
        <v>3.3333333333333335</v>
      </c>
      <c r="BF36" s="196">
        <f t="shared" si="27"/>
        <v>38</v>
      </c>
      <c r="BH36" s="196">
        <f t="shared" si="28"/>
        <v>0</v>
      </c>
      <c r="BI36" s="196">
        <f t="shared" si="29"/>
        <v>0</v>
      </c>
      <c r="BK36" s="196">
        <f t="shared" si="30"/>
        <v>0</v>
      </c>
      <c r="BL36" s="196">
        <f t="shared" si="31"/>
        <v>0</v>
      </c>
      <c r="BN36" s="204">
        <f t="shared" si="44"/>
        <v>1.069232623</v>
      </c>
      <c r="BO36" s="204">
        <f t="shared" si="45"/>
        <v>1.0685326230000001</v>
      </c>
      <c r="BP36" s="204">
        <f t="shared" si="46"/>
        <v>0.83829999999999993</v>
      </c>
      <c r="BQ36" s="204">
        <f t="shared" si="47"/>
        <v>0.83789999999999998</v>
      </c>
      <c r="BR36" s="204">
        <f t="shared" si="48"/>
        <v>0.83789999999999998</v>
      </c>
      <c r="BS36" s="204">
        <f t="shared" si="49"/>
        <v>37.293987799999996</v>
      </c>
      <c r="BU36" s="204">
        <f t="shared" si="50"/>
        <v>1.069232623</v>
      </c>
      <c r="BV36" s="204">
        <f t="shared" si="51"/>
        <v>1.0685326230000001</v>
      </c>
      <c r="BW36" s="204">
        <f t="shared" si="52"/>
        <v>0.83829999999999993</v>
      </c>
      <c r="BX36" s="204">
        <f t="shared" si="53"/>
        <v>0.83789999999999998</v>
      </c>
      <c r="BY36" s="204">
        <f t="shared" si="54"/>
        <v>0.83789999999999998</v>
      </c>
      <c r="BZ36" s="204">
        <f t="shared" si="55"/>
        <v>37.293987799999996</v>
      </c>
      <c r="CC36" s="118" t="s">
        <v>1531</v>
      </c>
      <c r="CD36" s="299">
        <f t="shared" si="56"/>
        <v>0.97</v>
      </c>
      <c r="CE36" s="118" t="s">
        <v>1532</v>
      </c>
      <c r="CF36" s="118" t="s">
        <v>1533</v>
      </c>
      <c r="CG36" s="300" t="str">
        <f t="shared" si="57"/>
        <v>ULL?</v>
      </c>
      <c r="CH36" s="118" t="s">
        <v>1534</v>
      </c>
      <c r="CI36" s="118">
        <v>16.937999999999999</v>
      </c>
      <c r="CJ36" s="300" t="str">
        <f t="shared" si="58"/>
        <v>ULL?</v>
      </c>
      <c r="CK36" s="118">
        <v>17.597000000000001</v>
      </c>
      <c r="CL36" s="300" t="str">
        <f t="shared" si="32"/>
        <v>VOL?</v>
      </c>
      <c r="CM36" s="301" t="str">
        <f t="shared" si="33"/>
        <v>ULL?</v>
      </c>
      <c r="CN36" s="300" t="str">
        <f t="shared" si="34"/>
        <v>VOL?</v>
      </c>
      <c r="CP36" s="118">
        <v>6</v>
      </c>
      <c r="CQ36" s="299">
        <f t="shared" si="59"/>
        <v>0.97</v>
      </c>
      <c r="CR36" s="118">
        <v>0.62</v>
      </c>
      <c r="CS36" s="118">
        <v>16.55</v>
      </c>
      <c r="CT36" s="300">
        <f t="shared" si="60"/>
        <v>17.161000000000001</v>
      </c>
      <c r="CU36" s="118">
        <v>17.202999999999999</v>
      </c>
      <c r="CV36" s="118">
        <v>16.937999999999999</v>
      </c>
      <c r="CW36" s="300">
        <f t="shared" si="61"/>
        <v>17.553999999999998</v>
      </c>
      <c r="CX36" s="118">
        <v>17.597000000000001</v>
      </c>
      <c r="CY36" s="300" t="str">
        <f t="shared" si="35"/>
        <v>TRIM?</v>
      </c>
      <c r="CZ36" s="301" t="str">
        <f t="shared" si="36"/>
        <v>TRIM?</v>
      </c>
      <c r="DA36" s="300" t="str">
        <f t="shared" si="37"/>
        <v>TRIM?</v>
      </c>
      <c r="DC36" s="204">
        <f t="shared" si="62"/>
        <v>0.83789999999999998</v>
      </c>
      <c r="DD36" s="297">
        <f t="shared" si="67"/>
        <v>34.700000000000003</v>
      </c>
      <c r="DE36" s="297">
        <f t="shared" si="63"/>
        <v>29.075130000000001</v>
      </c>
      <c r="DF36" s="1141">
        <f>IF($DE36="","",IF(DD36&gt;=DJ36,DC36,IF(INDEX('Cover Page'!$AI$106:$AJ$111,MATCH($C36,'Cover Page'!$AC$106:$AC$111,0),D1SEL)="",DC36,INDEX('Cover Page'!$AI$106:$AJ$111,MATCH($C36,'Cover Page'!$AC$106:$AC$111,0),D1SEL))))</f>
        <v>0.83789999999999998</v>
      </c>
      <c r="DG36" s="297">
        <f t="shared" si="64"/>
        <v>0</v>
      </c>
      <c r="DH36" s="297">
        <f t="shared" si="65"/>
        <v>0</v>
      </c>
      <c r="DI36" s="204">
        <f t="shared" si="66"/>
        <v>0.83789999999999998</v>
      </c>
      <c r="DJ36" s="297">
        <f t="shared" si="68"/>
        <v>34.700000000000003</v>
      </c>
    </row>
    <row r="37" spans="1:114" ht="15.75">
      <c r="A37" s="1286" t="s">
        <v>284</v>
      </c>
      <c r="B37" s="840" t="s">
        <v>1558</v>
      </c>
      <c r="C37" s="834" t="s">
        <v>17</v>
      </c>
      <c r="D37" s="221" t="s">
        <v>270</v>
      </c>
      <c r="E37" s="999" t="s">
        <v>1547</v>
      </c>
      <c r="F37" s="999" t="s">
        <v>1547</v>
      </c>
      <c r="G37" s="223" t="s">
        <v>22</v>
      </c>
      <c r="H37" s="1003" t="s">
        <v>1547</v>
      </c>
      <c r="I37" s="1003" t="s">
        <v>1547</v>
      </c>
      <c r="J37" s="1340">
        <v>14.5</v>
      </c>
      <c r="K37" s="844">
        <v>38</v>
      </c>
      <c r="L37" s="1401">
        <v>0.83789999999999998</v>
      </c>
      <c r="M37" s="845">
        <v>0</v>
      </c>
      <c r="N37" s="224">
        <v>0</v>
      </c>
      <c r="O37" s="223" t="s">
        <v>22</v>
      </c>
      <c r="P37" s="1003" t="s">
        <v>1547</v>
      </c>
      <c r="Q37" s="1003" t="s">
        <v>1547</v>
      </c>
      <c r="R37" s="1340">
        <v>14.5</v>
      </c>
      <c r="S37" s="844">
        <v>38</v>
      </c>
      <c r="T37" s="1406">
        <f t="shared" si="43"/>
        <v>0.83789999999999998</v>
      </c>
      <c r="U37" s="845">
        <v>0</v>
      </c>
      <c r="V37" s="224">
        <v>0</v>
      </c>
      <c r="X37" s="196" t="str">
        <f t="shared" si="4"/>
        <v>GAUGE</v>
      </c>
      <c r="Y37" s="196" t="str">
        <f t="shared" si="5"/>
        <v>GAUGE</v>
      </c>
      <c r="Z37" s="154" t="b">
        <f>IF(OR(SURVEYMODE=3,C37=""),FALSE,IF(AND(SUMPRODUCT((INDEX('Cover Page'!$I$89:$N$89,1,MATCH(C37,'Cover Page'!$I$88:$N$88,0))=$D$17)*(INDEX('Cover Page'!$I$104:$N$104,1,MATCH(C37,'Cover Page'!$I$88:$N$88,0))&gt;0))=0,D37="Y"),TRUE,FALSE))</f>
        <v>0</v>
      </c>
      <c r="AA37" s="196" t="str">
        <f t="shared" si="6"/>
        <v>GAUGE</v>
      </c>
      <c r="AB37" s="196" t="str">
        <f t="shared" si="7"/>
        <v>GAUGE</v>
      </c>
      <c r="AD37" s="196" t="str">
        <f t="shared" si="8"/>
        <v>GAUGE</v>
      </c>
      <c r="AE37" s="196" t="str">
        <f t="shared" si="9"/>
        <v>GAUGE</v>
      </c>
      <c r="AG37" s="196" t="str">
        <f t="shared" si="10"/>
        <v>GAUGE</v>
      </c>
      <c r="AH37" s="196" t="str">
        <f t="shared" si="11"/>
        <v>GAUGE</v>
      </c>
      <c r="AJ37" s="196" t="str">
        <f t="shared" si="12"/>
        <v>GAUGE</v>
      </c>
      <c r="AK37" s="196" t="str">
        <f t="shared" si="13"/>
        <v>GAUGE</v>
      </c>
      <c r="AM37" s="196" t="str">
        <f t="shared" si="14"/>
        <v>GAUGE</v>
      </c>
      <c r="AN37" s="196" t="str">
        <f t="shared" si="15"/>
        <v>GAUGE</v>
      </c>
      <c r="AP37" s="196">
        <f t="shared" si="16"/>
        <v>2.3053160588316657</v>
      </c>
      <c r="AQ37" s="196">
        <f t="shared" si="17"/>
        <v>14.5</v>
      </c>
      <c r="AS37" s="196">
        <f t="shared" si="18"/>
        <v>0</v>
      </c>
      <c r="AT37" s="196">
        <f t="shared" si="19"/>
        <v>0</v>
      </c>
      <c r="AV37" s="196">
        <f t="shared" si="20"/>
        <v>2.3053160588316657</v>
      </c>
      <c r="AW37" s="196">
        <f t="shared" si="21"/>
        <v>14.5</v>
      </c>
      <c r="AY37" s="196">
        <f t="shared" si="22"/>
        <v>0</v>
      </c>
      <c r="AZ37" s="196">
        <f t="shared" si="23"/>
        <v>0</v>
      </c>
      <c r="BB37" s="196">
        <f t="shared" si="24"/>
        <v>3.3333333333333335</v>
      </c>
      <c r="BC37" s="196">
        <f t="shared" si="25"/>
        <v>38</v>
      </c>
      <c r="BE37" s="196">
        <f t="shared" si="26"/>
        <v>3.3333333333333335</v>
      </c>
      <c r="BF37" s="196">
        <f t="shared" si="27"/>
        <v>38</v>
      </c>
      <c r="BH37" s="196">
        <f t="shared" si="28"/>
        <v>0</v>
      </c>
      <c r="BI37" s="196">
        <f t="shared" si="29"/>
        <v>0</v>
      </c>
      <c r="BK37" s="196">
        <f t="shared" si="30"/>
        <v>0</v>
      </c>
      <c r="BL37" s="196">
        <f t="shared" si="31"/>
        <v>0</v>
      </c>
      <c r="BN37" s="204">
        <f t="shared" si="44"/>
        <v>1.069232623</v>
      </c>
      <c r="BO37" s="204">
        <f t="shared" si="45"/>
        <v>1.0685326230000001</v>
      </c>
      <c r="BP37" s="204">
        <f t="shared" si="46"/>
        <v>0.83829999999999993</v>
      </c>
      <c r="BQ37" s="204">
        <f t="shared" si="47"/>
        <v>0.83789999999999998</v>
      </c>
      <c r="BR37" s="204">
        <f t="shared" si="48"/>
        <v>0.83789999999999998</v>
      </c>
      <c r="BS37" s="204">
        <f t="shared" si="49"/>
        <v>37.293987799999996</v>
      </c>
      <c r="BU37" s="204">
        <f t="shared" si="50"/>
        <v>1.069232623</v>
      </c>
      <c r="BV37" s="204">
        <f t="shared" si="51"/>
        <v>1.0685326230000001</v>
      </c>
      <c r="BW37" s="204">
        <f t="shared" si="52"/>
        <v>0.83829999999999993</v>
      </c>
      <c r="BX37" s="204">
        <f t="shared" si="53"/>
        <v>0.83789999999999998</v>
      </c>
      <c r="BY37" s="204">
        <f t="shared" si="54"/>
        <v>0.83789999999999998</v>
      </c>
      <c r="BZ37" s="204">
        <f t="shared" si="55"/>
        <v>37.293987799999996</v>
      </c>
      <c r="CC37" s="118"/>
      <c r="CD37" s="299" t="str">
        <f t="shared" si="56"/>
        <v>GAUGE</v>
      </c>
      <c r="CE37" s="118">
        <v>0.62</v>
      </c>
      <c r="CF37" s="118">
        <v>16.55</v>
      </c>
      <c r="CG37" s="300" t="str">
        <f t="shared" si="57"/>
        <v>ULL?</v>
      </c>
      <c r="CH37" s="118">
        <v>17.202999999999999</v>
      </c>
      <c r="CI37" s="118">
        <v>16.937999999999999</v>
      </c>
      <c r="CJ37" s="300" t="str">
        <f t="shared" si="58"/>
        <v>ULL?</v>
      </c>
      <c r="CK37" s="118">
        <v>17.597000000000001</v>
      </c>
      <c r="CL37" s="300">
        <f t="shared" si="32"/>
        <v>16.55</v>
      </c>
      <c r="CM37" s="301" t="str">
        <f t="shared" si="33"/>
        <v>ULL?</v>
      </c>
      <c r="CN37" s="300">
        <f t="shared" si="34"/>
        <v>17.202999999999999</v>
      </c>
      <c r="CP37" s="118">
        <v>6</v>
      </c>
      <c r="CQ37" s="299" t="str">
        <f t="shared" si="59"/>
        <v>GAUGE</v>
      </c>
      <c r="CR37" s="118">
        <v>0.62</v>
      </c>
      <c r="CS37" s="118">
        <v>16.55</v>
      </c>
      <c r="CT37" s="300" t="str">
        <f t="shared" si="60"/>
        <v>ULL?</v>
      </c>
      <c r="CU37" s="118">
        <v>17.202999999999999</v>
      </c>
      <c r="CV37" s="118">
        <v>16.937999999999999</v>
      </c>
      <c r="CW37" s="300" t="str">
        <f t="shared" si="61"/>
        <v>ULL?</v>
      </c>
      <c r="CX37" s="118">
        <v>17.597000000000001</v>
      </c>
      <c r="CY37" s="300" t="str">
        <f t="shared" si="35"/>
        <v>TRIM?</v>
      </c>
      <c r="CZ37" s="301" t="str">
        <f t="shared" si="36"/>
        <v>TRIM?</v>
      </c>
      <c r="DA37" s="300" t="str">
        <f t="shared" si="37"/>
        <v>TRIM?</v>
      </c>
      <c r="DC37" s="204">
        <f t="shared" si="62"/>
        <v>0.83789999999999998</v>
      </c>
      <c r="DD37" s="297">
        <f t="shared" si="67"/>
        <v>14.5</v>
      </c>
      <c r="DE37" s="297">
        <f t="shared" si="63"/>
        <v>12.14955</v>
      </c>
      <c r="DF37" s="1141">
        <f>IF($DE37="","",IF(DD37&gt;=DJ37,DC37,IF(INDEX('Cover Page'!$AI$106:$AJ$111,MATCH($C37,'Cover Page'!$AC$106:$AC$111,0),D1SEL)="",DC37,INDEX('Cover Page'!$AI$106:$AJ$111,MATCH($C37,'Cover Page'!$AC$106:$AC$111,0),D1SEL))))</f>
        <v>0.83789999999999998</v>
      </c>
      <c r="DG37" s="297">
        <f t="shared" si="64"/>
        <v>0</v>
      </c>
      <c r="DH37" s="297">
        <f t="shared" si="65"/>
        <v>0</v>
      </c>
      <c r="DI37" s="204">
        <f t="shared" si="66"/>
        <v>0.83789999999999998</v>
      </c>
      <c r="DJ37" s="297">
        <f t="shared" si="68"/>
        <v>14.5</v>
      </c>
    </row>
    <row r="38" spans="1:114" ht="15.75">
      <c r="A38" s="1286" t="s">
        <v>284</v>
      </c>
      <c r="B38" s="843" t="s">
        <v>1573</v>
      </c>
      <c r="C38" s="834" t="s">
        <v>17</v>
      </c>
      <c r="D38" s="221" t="s">
        <v>270</v>
      </c>
      <c r="E38" s="999" t="s">
        <v>1547</v>
      </c>
      <c r="F38" s="999" t="s">
        <v>1547</v>
      </c>
      <c r="G38" s="223" t="s">
        <v>22</v>
      </c>
      <c r="H38" s="1003" t="s">
        <v>1547</v>
      </c>
      <c r="I38" s="1003" t="s">
        <v>1547</v>
      </c>
      <c r="J38" s="1340">
        <v>6.5</v>
      </c>
      <c r="K38" s="844">
        <v>38</v>
      </c>
      <c r="L38" s="1401">
        <v>0.83789999999999998</v>
      </c>
      <c r="M38" s="845">
        <v>0</v>
      </c>
      <c r="N38" s="224">
        <v>0</v>
      </c>
      <c r="O38" s="223" t="s">
        <v>22</v>
      </c>
      <c r="P38" s="1003" t="s">
        <v>1547</v>
      </c>
      <c r="Q38" s="1003" t="s">
        <v>1547</v>
      </c>
      <c r="R38" s="1340">
        <v>6.5</v>
      </c>
      <c r="S38" s="844">
        <v>38</v>
      </c>
      <c r="T38" s="1406">
        <f t="shared" si="43"/>
        <v>0.83789999999999998</v>
      </c>
      <c r="U38" s="845">
        <v>0</v>
      </c>
      <c r="V38" s="224">
        <v>0</v>
      </c>
      <c r="X38" s="196" t="str">
        <f t="shared" si="4"/>
        <v>GAUGE</v>
      </c>
      <c r="Y38" s="196" t="str">
        <f t="shared" si="5"/>
        <v>GAUGE</v>
      </c>
      <c r="Z38" s="154" t="b">
        <f>IF(OR(SURVEYMODE=3,C38=""),FALSE,IF(AND(SUMPRODUCT((INDEX('Cover Page'!$I$89:$N$89,1,MATCH(C38,'Cover Page'!$I$88:$N$88,0))=$D$17)*(INDEX('Cover Page'!$I$104:$N$104,1,MATCH(C38,'Cover Page'!$I$88:$N$88,0))&gt;0))=0,D38="Y"),TRUE,FALSE))</f>
        <v>0</v>
      </c>
      <c r="AA38" s="196" t="str">
        <f t="shared" si="6"/>
        <v>GAUGE</v>
      </c>
      <c r="AB38" s="196" t="str">
        <f t="shared" si="7"/>
        <v>GAUGE</v>
      </c>
      <c r="AD38" s="196" t="str">
        <f t="shared" si="8"/>
        <v>GAUGE</v>
      </c>
      <c r="AE38" s="196" t="str">
        <f t="shared" si="9"/>
        <v>GAUGE</v>
      </c>
      <c r="AG38" s="196" t="str">
        <f t="shared" si="10"/>
        <v>GAUGE</v>
      </c>
      <c r="AH38" s="196" t="str">
        <f t="shared" si="11"/>
        <v>GAUGE</v>
      </c>
      <c r="AJ38" s="196" t="str">
        <f t="shared" si="12"/>
        <v>GAUGE</v>
      </c>
      <c r="AK38" s="196" t="str">
        <f t="shared" si="13"/>
        <v>GAUGE</v>
      </c>
      <c r="AM38" s="196" t="str">
        <f t="shared" si="14"/>
        <v>GAUGE</v>
      </c>
      <c r="AN38" s="196" t="str">
        <f t="shared" si="15"/>
        <v>GAUGE</v>
      </c>
      <c r="AP38" s="196">
        <f t="shared" si="16"/>
        <v>1.033417543614195</v>
      </c>
      <c r="AQ38" s="196">
        <f t="shared" si="17"/>
        <v>6.5</v>
      </c>
      <c r="AS38" s="196">
        <f t="shared" si="18"/>
        <v>0</v>
      </c>
      <c r="AT38" s="196">
        <f t="shared" si="19"/>
        <v>0</v>
      </c>
      <c r="AV38" s="196">
        <f t="shared" si="20"/>
        <v>1.033417543614195</v>
      </c>
      <c r="AW38" s="196">
        <f t="shared" si="21"/>
        <v>6.5</v>
      </c>
      <c r="AY38" s="196">
        <f t="shared" si="22"/>
        <v>0</v>
      </c>
      <c r="AZ38" s="196">
        <f t="shared" si="23"/>
        <v>0</v>
      </c>
      <c r="BB38" s="196">
        <f t="shared" si="24"/>
        <v>3.3333333333333335</v>
      </c>
      <c r="BC38" s="196">
        <f t="shared" si="25"/>
        <v>38</v>
      </c>
      <c r="BE38" s="196">
        <f t="shared" si="26"/>
        <v>3.3333333333333335</v>
      </c>
      <c r="BF38" s="196">
        <f t="shared" si="27"/>
        <v>38</v>
      </c>
      <c r="BH38" s="196">
        <f t="shared" si="28"/>
        <v>0</v>
      </c>
      <c r="BI38" s="196">
        <f t="shared" si="29"/>
        <v>0</v>
      </c>
      <c r="BK38" s="196">
        <f t="shared" si="30"/>
        <v>0</v>
      </c>
      <c r="BL38" s="196">
        <f t="shared" si="31"/>
        <v>0</v>
      </c>
      <c r="BN38" s="204">
        <f t="shared" si="44"/>
        <v>1.069232623</v>
      </c>
      <c r="BO38" s="204">
        <f t="shared" si="45"/>
        <v>1.0685326230000001</v>
      </c>
      <c r="BP38" s="204">
        <f t="shared" si="46"/>
        <v>0.83829999999999993</v>
      </c>
      <c r="BQ38" s="204">
        <f t="shared" si="47"/>
        <v>0.83789999999999998</v>
      </c>
      <c r="BR38" s="204">
        <f t="shared" si="48"/>
        <v>0.83789999999999998</v>
      </c>
      <c r="BS38" s="204">
        <f t="shared" si="49"/>
        <v>37.293987799999996</v>
      </c>
      <c r="BU38" s="204">
        <f t="shared" si="50"/>
        <v>1.069232623</v>
      </c>
      <c r="BV38" s="204">
        <f t="shared" si="51"/>
        <v>1.0685326230000001</v>
      </c>
      <c r="BW38" s="204">
        <f t="shared" si="52"/>
        <v>0.83829999999999993</v>
      </c>
      <c r="BX38" s="204">
        <f t="shared" si="53"/>
        <v>0.83789999999999998</v>
      </c>
      <c r="BY38" s="204">
        <f t="shared" si="54"/>
        <v>0.83789999999999998</v>
      </c>
      <c r="BZ38" s="204">
        <f t="shared" si="55"/>
        <v>37.293987799999996</v>
      </c>
      <c r="CC38" s="118"/>
      <c r="CD38" s="299" t="str">
        <f t="shared" si="56"/>
        <v>GAUGE</v>
      </c>
      <c r="CE38" s="118"/>
      <c r="CF38" s="118">
        <v>16.55</v>
      </c>
      <c r="CG38" s="300" t="str">
        <f t="shared" si="57"/>
        <v>ULL?</v>
      </c>
      <c r="CH38" s="118">
        <v>17.202999999999999</v>
      </c>
      <c r="CI38" s="118">
        <v>16.937999999999999</v>
      </c>
      <c r="CJ38" s="300" t="str">
        <f t="shared" si="58"/>
        <v>ULL?</v>
      </c>
      <c r="CK38" s="118">
        <v>17.597000000000001</v>
      </c>
      <c r="CL38" s="300">
        <f t="shared" si="32"/>
        <v>16.55</v>
      </c>
      <c r="CM38" s="301" t="str">
        <f t="shared" si="33"/>
        <v>ULL?</v>
      </c>
      <c r="CN38" s="300">
        <f t="shared" si="34"/>
        <v>17.202999999999999</v>
      </c>
      <c r="CP38" s="118">
        <v>6</v>
      </c>
      <c r="CQ38" s="299" t="str">
        <f t="shared" si="59"/>
        <v>GAUGE</v>
      </c>
      <c r="CR38" s="118">
        <v>0.62</v>
      </c>
      <c r="CS38" s="118">
        <v>16.55</v>
      </c>
      <c r="CT38" s="300" t="str">
        <f t="shared" si="60"/>
        <v>ULL?</v>
      </c>
      <c r="CU38" s="118">
        <v>17.202999999999999</v>
      </c>
      <c r="CV38" s="118">
        <v>16.937999999999999</v>
      </c>
      <c r="CW38" s="300" t="str">
        <f t="shared" si="61"/>
        <v>ULL?</v>
      </c>
      <c r="CX38" s="118">
        <v>17.597000000000001</v>
      </c>
      <c r="CY38" s="300" t="str">
        <f t="shared" si="35"/>
        <v>TRIM?</v>
      </c>
      <c r="CZ38" s="301" t="str">
        <f t="shared" si="36"/>
        <v>TRIM?</v>
      </c>
      <c r="DA38" s="300" t="str">
        <f t="shared" si="37"/>
        <v>TRIM?</v>
      </c>
      <c r="DC38" s="204">
        <f t="shared" si="62"/>
        <v>0.83789999999999998</v>
      </c>
      <c r="DD38" s="297">
        <f t="shared" si="67"/>
        <v>6.5</v>
      </c>
      <c r="DE38" s="297">
        <f t="shared" si="63"/>
        <v>5.4463499999999998</v>
      </c>
      <c r="DF38" s="1141">
        <f>IF($DE38="","",IF(DD38&gt;=DJ38,DC38,IF(INDEX('Cover Page'!$AI$106:$AJ$111,MATCH($C38,'Cover Page'!$AC$106:$AC$111,0),D1SEL)="",DC38,INDEX('Cover Page'!$AI$106:$AJ$111,MATCH($C38,'Cover Page'!$AC$106:$AC$111,0),D1SEL))))</f>
        <v>0.83789999999999998</v>
      </c>
      <c r="DG38" s="297">
        <f t="shared" si="64"/>
        <v>0</v>
      </c>
      <c r="DH38" s="297">
        <f t="shared" si="65"/>
        <v>0</v>
      </c>
      <c r="DI38" s="204">
        <f t="shared" si="66"/>
        <v>0.83789999999999998</v>
      </c>
      <c r="DJ38" s="297">
        <f t="shared" si="68"/>
        <v>6.5</v>
      </c>
    </row>
    <row r="39" spans="1:114" ht="15.75">
      <c r="A39" s="1286" t="s">
        <v>284</v>
      </c>
      <c r="B39" s="840"/>
      <c r="C39" s="834"/>
      <c r="D39" s="221"/>
      <c r="E39" s="999"/>
      <c r="F39" s="999"/>
      <c r="G39" s="223"/>
      <c r="H39" s="1003"/>
      <c r="I39" s="1003"/>
      <c r="J39" s="1340"/>
      <c r="K39" s="844"/>
      <c r="L39" s="1401"/>
      <c r="M39" s="845"/>
      <c r="N39" s="224"/>
      <c r="O39" s="223"/>
      <c r="P39" s="1003"/>
      <c r="Q39" s="1003"/>
      <c r="R39" s="1340"/>
      <c r="S39" s="844"/>
      <c r="T39" s="1406" t="str">
        <f t="shared" si="43"/>
        <v/>
      </c>
      <c r="U39" s="845"/>
      <c r="V39" s="224"/>
      <c r="X39" s="196" t="str">
        <f t="shared" si="4"/>
        <v/>
      </c>
      <c r="Y39" s="196" t="str">
        <f t="shared" si="5"/>
        <v/>
      </c>
      <c r="Z39" s="154" t="b">
        <f>IF(OR(SURVEYMODE=3,C39=""),FALSE,IF(AND(SUMPRODUCT((INDEX('Cover Page'!$I$89:$N$89,1,MATCH(C39,'Cover Page'!$I$88:$N$88,0))=$D$17)*(INDEX('Cover Page'!$I$104:$N$104,1,MATCH(C39,'Cover Page'!$I$88:$N$88,0))&gt;0))=0,D39="Y"),TRUE,FALSE))</f>
        <v>0</v>
      </c>
      <c r="AA39" s="196" t="str">
        <f t="shared" si="6"/>
        <v/>
      </c>
      <c r="AB39" s="196" t="str">
        <f t="shared" si="7"/>
        <v/>
      </c>
      <c r="AD39" s="196" t="str">
        <f t="shared" si="8"/>
        <v/>
      </c>
      <c r="AE39" s="196" t="str">
        <f t="shared" si="9"/>
        <v/>
      </c>
      <c r="AG39" s="196" t="str">
        <f t="shared" si="10"/>
        <v/>
      </c>
      <c r="AH39" s="196" t="str">
        <f t="shared" si="11"/>
        <v/>
      </c>
      <c r="AJ39" s="196" t="str">
        <f t="shared" si="12"/>
        <v/>
      </c>
      <c r="AK39" s="196" t="str">
        <f t="shared" si="13"/>
        <v/>
      </c>
      <c r="AM39" s="196" t="str">
        <f t="shared" si="14"/>
        <v/>
      </c>
      <c r="AN39" s="196" t="str">
        <f t="shared" si="15"/>
        <v/>
      </c>
      <c r="AP39" s="196" t="str">
        <f t="shared" si="16"/>
        <v/>
      </c>
      <c r="AQ39" s="196" t="str">
        <f t="shared" si="17"/>
        <v/>
      </c>
      <c r="AS39" s="196" t="str">
        <f t="shared" si="18"/>
        <v/>
      </c>
      <c r="AT39" s="196" t="str">
        <f t="shared" si="19"/>
        <v/>
      </c>
      <c r="AV39" s="196" t="str">
        <f t="shared" si="20"/>
        <v/>
      </c>
      <c r="AW39" s="196" t="str">
        <f t="shared" si="21"/>
        <v/>
      </c>
      <c r="AY39" s="196" t="str">
        <f t="shared" si="22"/>
        <v/>
      </c>
      <c r="AZ39" s="196" t="str">
        <f t="shared" si="23"/>
        <v/>
      </c>
      <c r="BB39" s="196" t="str">
        <f t="shared" si="24"/>
        <v/>
      </c>
      <c r="BC39" s="196" t="str">
        <f t="shared" si="25"/>
        <v/>
      </c>
      <c r="BE39" s="196" t="str">
        <f t="shared" si="26"/>
        <v/>
      </c>
      <c r="BF39" s="196" t="str">
        <f t="shared" si="27"/>
        <v/>
      </c>
      <c r="BH39" s="196" t="str">
        <f t="shared" si="28"/>
        <v/>
      </c>
      <c r="BI39" s="196" t="str">
        <f t="shared" si="29"/>
        <v/>
      </c>
      <c r="BK39" s="196" t="str">
        <f t="shared" si="30"/>
        <v/>
      </c>
      <c r="BL39" s="196" t="str">
        <f t="shared" si="31"/>
        <v/>
      </c>
      <c r="BN39" s="204" t="str">
        <f t="shared" si="44"/>
        <v/>
      </c>
      <c r="BO39" s="204" t="str">
        <f t="shared" si="45"/>
        <v/>
      </c>
      <c r="BP39" s="204" t="str">
        <f t="shared" si="46"/>
        <v/>
      </c>
      <c r="BQ39" s="204" t="str">
        <f t="shared" si="47"/>
        <v/>
      </c>
      <c r="BR39" s="204" t="str">
        <f t="shared" si="48"/>
        <v/>
      </c>
      <c r="BS39" s="204" t="str">
        <f t="shared" si="49"/>
        <v/>
      </c>
      <c r="BU39" s="204" t="str">
        <f t="shared" si="50"/>
        <v/>
      </c>
      <c r="BV39" s="204" t="str">
        <f t="shared" si="51"/>
        <v/>
      </c>
      <c r="BW39" s="204" t="str">
        <f t="shared" si="52"/>
        <v/>
      </c>
      <c r="BX39" s="204" t="str">
        <f t="shared" si="53"/>
        <v/>
      </c>
      <c r="BY39" s="204" t="str">
        <f t="shared" si="54"/>
        <v/>
      </c>
      <c r="BZ39" s="204" t="str">
        <f t="shared" si="55"/>
        <v/>
      </c>
      <c r="CC39" s="118">
        <v>6</v>
      </c>
      <c r="CD39" s="299">
        <f t="shared" si="56"/>
        <v>0</v>
      </c>
      <c r="CE39" s="118">
        <v>0.62</v>
      </c>
      <c r="CF39" s="118">
        <v>16.55</v>
      </c>
      <c r="CG39" s="300" t="str">
        <f t="shared" si="57"/>
        <v>ULL?</v>
      </c>
      <c r="CH39" s="118">
        <v>17.202999999999999</v>
      </c>
      <c r="CI39" s="118">
        <v>16.937999999999999</v>
      </c>
      <c r="CJ39" s="300" t="str">
        <f t="shared" si="58"/>
        <v>ULL?</v>
      </c>
      <c r="CK39" s="118">
        <v>17.597000000000001</v>
      </c>
      <c r="CL39" s="300">
        <f t="shared" si="32"/>
        <v>16.55</v>
      </c>
      <c r="CM39" s="301" t="str">
        <f t="shared" si="33"/>
        <v>ULL?</v>
      </c>
      <c r="CN39" s="300">
        <f t="shared" si="34"/>
        <v>17.202999999999999</v>
      </c>
      <c r="CP39" s="118">
        <v>6</v>
      </c>
      <c r="CQ39" s="299">
        <f t="shared" si="59"/>
        <v>0</v>
      </c>
      <c r="CR39" s="118">
        <v>0.62</v>
      </c>
      <c r="CS39" s="118">
        <v>16.55</v>
      </c>
      <c r="CT39" s="300" t="str">
        <f t="shared" si="60"/>
        <v>ULL?</v>
      </c>
      <c r="CU39" s="118">
        <v>17.202999999999999</v>
      </c>
      <c r="CV39" s="118">
        <v>16.937999999999999</v>
      </c>
      <c r="CW39" s="300" t="str">
        <f t="shared" si="61"/>
        <v>ULL?</v>
      </c>
      <c r="CX39" s="118">
        <v>17.597000000000001</v>
      </c>
      <c r="CY39" s="300" t="str">
        <f t="shared" si="35"/>
        <v>TRIM?</v>
      </c>
      <c r="CZ39" s="301" t="str">
        <f t="shared" si="36"/>
        <v>TRIM?</v>
      </c>
      <c r="DA39" s="300" t="str">
        <f t="shared" si="37"/>
        <v>TRIM?</v>
      </c>
      <c r="DC39" s="204" t="str">
        <f t="shared" si="62"/>
        <v/>
      </c>
      <c r="DD39" s="297">
        <f t="shared" si="67"/>
        <v>0</v>
      </c>
      <c r="DE39" s="297" t="str">
        <f t="shared" si="63"/>
        <v/>
      </c>
      <c r="DF39" s="1141" t="str">
        <f>IF($DE39="","",IF(DD39&gt;=DJ39,DC39,IF(INDEX('Cover Page'!$AI$106:$AJ$111,MATCH($C39,'Cover Page'!$AC$106:$AC$111,0),D1SEL)="",DC39,INDEX('Cover Page'!$AI$106:$AJ$111,MATCH($C39,'Cover Page'!$AC$106:$AC$111,0),D1SEL))))</f>
        <v/>
      </c>
      <c r="DG39" s="297">
        <f t="shared" si="64"/>
        <v>0</v>
      </c>
      <c r="DH39" s="297" t="str">
        <f t="shared" si="65"/>
        <v/>
      </c>
      <c r="DI39" s="204" t="str">
        <f t="shared" si="66"/>
        <v/>
      </c>
      <c r="DJ39" s="297">
        <f t="shared" si="68"/>
        <v>0</v>
      </c>
    </row>
    <row r="40" spans="1:114" ht="15.75">
      <c r="A40" s="1286" t="s">
        <v>284</v>
      </c>
      <c r="B40" s="843"/>
      <c r="C40" s="834"/>
      <c r="D40" s="221"/>
      <c r="E40" s="999"/>
      <c r="F40" s="999"/>
      <c r="G40" s="223"/>
      <c r="H40" s="1003"/>
      <c r="I40" s="1003"/>
      <c r="J40" s="1340"/>
      <c r="K40" s="844"/>
      <c r="L40" s="1401"/>
      <c r="M40" s="845"/>
      <c r="N40" s="224"/>
      <c r="O40" s="223"/>
      <c r="P40" s="1003"/>
      <c r="Q40" s="1003"/>
      <c r="R40" s="1340"/>
      <c r="S40" s="844"/>
      <c r="T40" s="1406" t="str">
        <f t="shared" si="43"/>
        <v/>
      </c>
      <c r="U40" s="842"/>
      <c r="V40" s="219"/>
      <c r="X40" s="196" t="str">
        <f t="shared" si="4"/>
        <v/>
      </c>
      <c r="Y40" s="196" t="str">
        <f t="shared" si="5"/>
        <v/>
      </c>
      <c r="Z40" s="154" t="b">
        <f>IF(OR(SURVEYMODE=3,C40=""),FALSE,IF(AND(SUMPRODUCT((INDEX('Cover Page'!$I$89:$N$89,1,MATCH(C40,'Cover Page'!$I$88:$N$88,0))=$D$17)*(INDEX('Cover Page'!$I$104:$N$104,1,MATCH(C40,'Cover Page'!$I$88:$N$88,0))&gt;0))=0,D40="Y"),TRUE,FALSE))</f>
        <v>0</v>
      </c>
      <c r="AA40" s="196" t="str">
        <f t="shared" si="6"/>
        <v/>
      </c>
      <c r="AB40" s="196" t="str">
        <f t="shared" si="7"/>
        <v/>
      </c>
      <c r="AD40" s="196" t="str">
        <f t="shared" si="8"/>
        <v/>
      </c>
      <c r="AE40" s="196" t="str">
        <f t="shared" si="9"/>
        <v/>
      </c>
      <c r="AG40" s="196" t="str">
        <f t="shared" si="10"/>
        <v/>
      </c>
      <c r="AH40" s="196" t="str">
        <f t="shared" si="11"/>
        <v/>
      </c>
      <c r="AJ40" s="196" t="str">
        <f t="shared" si="12"/>
        <v/>
      </c>
      <c r="AK40" s="196" t="str">
        <f t="shared" si="13"/>
        <v/>
      </c>
      <c r="AM40" s="196" t="str">
        <f t="shared" si="14"/>
        <v/>
      </c>
      <c r="AN40" s="196" t="str">
        <f t="shared" si="15"/>
        <v/>
      </c>
      <c r="AP40" s="196" t="str">
        <f t="shared" si="16"/>
        <v/>
      </c>
      <c r="AQ40" s="196" t="str">
        <f t="shared" si="17"/>
        <v/>
      </c>
      <c r="AS40" s="196" t="str">
        <f t="shared" si="18"/>
        <v/>
      </c>
      <c r="AT40" s="196" t="str">
        <f t="shared" si="19"/>
        <v/>
      </c>
      <c r="AV40" s="196" t="str">
        <f t="shared" si="20"/>
        <v/>
      </c>
      <c r="AW40" s="196" t="str">
        <f t="shared" si="21"/>
        <v/>
      </c>
      <c r="AY40" s="196" t="str">
        <f t="shared" si="22"/>
        <v/>
      </c>
      <c r="AZ40" s="196" t="str">
        <f t="shared" si="23"/>
        <v/>
      </c>
      <c r="BB40" s="196" t="str">
        <f t="shared" si="24"/>
        <v/>
      </c>
      <c r="BC40" s="196" t="str">
        <f t="shared" si="25"/>
        <v/>
      </c>
      <c r="BE40" s="196" t="str">
        <f t="shared" si="26"/>
        <v/>
      </c>
      <c r="BF40" s="196" t="str">
        <f t="shared" si="27"/>
        <v/>
      </c>
      <c r="BH40" s="196" t="str">
        <f t="shared" si="28"/>
        <v/>
      </c>
      <c r="BI40" s="196" t="str">
        <f t="shared" si="29"/>
        <v/>
      </c>
      <c r="BK40" s="196" t="str">
        <f t="shared" si="30"/>
        <v/>
      </c>
      <c r="BL40" s="196" t="str">
        <f t="shared" si="31"/>
        <v/>
      </c>
      <c r="BN40" s="204" t="str">
        <f t="shared" si="44"/>
        <v/>
      </c>
      <c r="BO40" s="204" t="str">
        <f t="shared" si="45"/>
        <v/>
      </c>
      <c r="BP40" s="204" t="str">
        <f t="shared" si="46"/>
        <v/>
      </c>
      <c r="BQ40" s="204" t="str">
        <f t="shared" si="47"/>
        <v/>
      </c>
      <c r="BR40" s="204" t="str">
        <f t="shared" si="48"/>
        <v/>
      </c>
      <c r="BS40" s="204" t="str">
        <f t="shared" si="49"/>
        <v/>
      </c>
      <c r="BU40" s="204" t="str">
        <f t="shared" si="50"/>
        <v/>
      </c>
      <c r="BV40" s="204" t="str">
        <f t="shared" si="51"/>
        <v/>
      </c>
      <c r="BW40" s="204" t="str">
        <f t="shared" si="52"/>
        <v/>
      </c>
      <c r="BX40" s="204" t="str">
        <f t="shared" si="53"/>
        <v/>
      </c>
      <c r="BY40" s="204" t="str">
        <f t="shared" si="54"/>
        <v/>
      </c>
      <c r="BZ40" s="204" t="str">
        <f t="shared" si="55"/>
        <v/>
      </c>
      <c r="CC40" s="118">
        <v>6</v>
      </c>
      <c r="CD40" s="299">
        <f t="shared" si="56"/>
        <v>0</v>
      </c>
      <c r="CE40" s="118">
        <v>0.62</v>
      </c>
      <c r="CF40" s="118">
        <v>16.55</v>
      </c>
      <c r="CG40" s="300" t="str">
        <f t="shared" si="57"/>
        <v>ULL?</v>
      </c>
      <c r="CH40" s="118">
        <v>17.202999999999999</v>
      </c>
      <c r="CI40" s="118">
        <v>16.937999999999999</v>
      </c>
      <c r="CJ40" s="300" t="str">
        <f t="shared" si="58"/>
        <v>ULL?</v>
      </c>
      <c r="CK40" s="118">
        <v>17.597000000000001</v>
      </c>
      <c r="CL40" s="300">
        <f t="shared" si="32"/>
        <v>16.55</v>
      </c>
      <c r="CM40" s="301" t="str">
        <f t="shared" si="33"/>
        <v>ULL?</v>
      </c>
      <c r="CN40" s="300">
        <f t="shared" si="34"/>
        <v>17.202999999999999</v>
      </c>
      <c r="CP40" s="118">
        <v>6</v>
      </c>
      <c r="CQ40" s="299">
        <f t="shared" si="59"/>
        <v>0</v>
      </c>
      <c r="CR40" s="118">
        <v>0.62</v>
      </c>
      <c r="CS40" s="118">
        <v>16.55</v>
      </c>
      <c r="CT40" s="300" t="str">
        <f t="shared" si="60"/>
        <v>ULL?</v>
      </c>
      <c r="CU40" s="118">
        <v>17.202999999999999</v>
      </c>
      <c r="CV40" s="118">
        <v>16.937999999999999</v>
      </c>
      <c r="CW40" s="300" t="str">
        <f t="shared" si="61"/>
        <v>ULL?</v>
      </c>
      <c r="CX40" s="118">
        <v>17.597000000000001</v>
      </c>
      <c r="CY40" s="300" t="str">
        <f t="shared" si="35"/>
        <v>TRIM?</v>
      </c>
      <c r="CZ40" s="301" t="str">
        <f t="shared" si="36"/>
        <v>TRIM?</v>
      </c>
      <c r="DA40" s="300" t="str">
        <f t="shared" si="37"/>
        <v>TRIM?</v>
      </c>
      <c r="DC40" s="204" t="str">
        <f t="shared" si="62"/>
        <v/>
      </c>
      <c r="DD40" s="297">
        <f t="shared" si="67"/>
        <v>0</v>
      </c>
      <c r="DE40" s="297" t="str">
        <f t="shared" si="63"/>
        <v/>
      </c>
      <c r="DF40" s="1141" t="str">
        <f>IF($DE40="","",IF(DD40&gt;=DJ40,DC40,IF(INDEX('Cover Page'!$AI$106:$AJ$111,MATCH($C40,'Cover Page'!$AC$106:$AC$111,0),D1SEL)="",DC40,INDEX('Cover Page'!$AI$106:$AJ$111,MATCH($C40,'Cover Page'!$AC$106:$AC$111,0),D1SEL))))</f>
        <v/>
      </c>
      <c r="DG40" s="297">
        <f t="shared" si="64"/>
        <v>0</v>
      </c>
      <c r="DH40" s="297" t="str">
        <f t="shared" si="65"/>
        <v/>
      </c>
      <c r="DI40" s="204" t="str">
        <f t="shared" si="66"/>
        <v/>
      </c>
      <c r="DJ40" s="297">
        <f t="shared" si="68"/>
        <v>0</v>
      </c>
    </row>
    <row r="41" spans="1:114" ht="15.75">
      <c r="A41" s="1286" t="s">
        <v>284</v>
      </c>
      <c r="B41" s="843"/>
      <c r="C41" s="834"/>
      <c r="D41" s="216"/>
      <c r="E41" s="999"/>
      <c r="F41" s="999"/>
      <c r="G41" s="223"/>
      <c r="H41" s="1003"/>
      <c r="I41" s="1003"/>
      <c r="J41" s="1340"/>
      <c r="K41" s="844"/>
      <c r="L41" s="1401"/>
      <c r="M41" s="845"/>
      <c r="N41" s="224"/>
      <c r="O41" s="223"/>
      <c r="P41" s="1003"/>
      <c r="Q41" s="1003"/>
      <c r="R41" s="1340"/>
      <c r="S41" s="844"/>
      <c r="T41" s="1406" t="str">
        <f t="shared" si="43"/>
        <v/>
      </c>
      <c r="U41" s="845"/>
      <c r="V41" s="224"/>
      <c r="X41" s="196" t="str">
        <f t="shared" si="4"/>
        <v/>
      </c>
      <c r="Y41" s="196" t="str">
        <f t="shared" si="5"/>
        <v/>
      </c>
      <c r="Z41" s="154" t="b">
        <f>IF(OR(SURVEYMODE=3,C41=""),FALSE,IF(AND(SUMPRODUCT((INDEX('Cover Page'!$I$89:$N$89,1,MATCH(C41,'Cover Page'!$I$88:$N$88,0))=$D$17)*(INDEX('Cover Page'!$I$104:$N$104,1,MATCH(C41,'Cover Page'!$I$88:$N$88,0))&gt;0))=0,D41="Y"),TRUE,FALSE))</f>
        <v>0</v>
      </c>
      <c r="AA41" s="196" t="str">
        <f t="shared" si="6"/>
        <v/>
      </c>
      <c r="AB41" s="196" t="str">
        <f t="shared" si="7"/>
        <v/>
      </c>
      <c r="AD41" s="196" t="str">
        <f t="shared" si="8"/>
        <v/>
      </c>
      <c r="AE41" s="196" t="str">
        <f t="shared" si="9"/>
        <v/>
      </c>
      <c r="AG41" s="196" t="str">
        <f t="shared" si="10"/>
        <v/>
      </c>
      <c r="AH41" s="196" t="str">
        <f t="shared" si="11"/>
        <v/>
      </c>
      <c r="AJ41" s="196" t="str">
        <f t="shared" si="12"/>
        <v/>
      </c>
      <c r="AK41" s="196" t="str">
        <f t="shared" si="13"/>
        <v/>
      </c>
      <c r="AM41" s="196" t="str">
        <f t="shared" si="14"/>
        <v/>
      </c>
      <c r="AN41" s="196" t="str">
        <f t="shared" si="15"/>
        <v/>
      </c>
      <c r="AP41" s="196" t="str">
        <f t="shared" si="16"/>
        <v/>
      </c>
      <c r="AQ41" s="196" t="str">
        <f t="shared" si="17"/>
        <v/>
      </c>
      <c r="AS41" s="196" t="str">
        <f t="shared" si="18"/>
        <v/>
      </c>
      <c r="AT41" s="196" t="str">
        <f t="shared" si="19"/>
        <v/>
      </c>
      <c r="AV41" s="196" t="str">
        <f t="shared" si="20"/>
        <v/>
      </c>
      <c r="AW41" s="196" t="str">
        <f t="shared" si="21"/>
        <v/>
      </c>
      <c r="AY41" s="196" t="str">
        <f t="shared" si="22"/>
        <v/>
      </c>
      <c r="AZ41" s="196" t="str">
        <f t="shared" si="23"/>
        <v/>
      </c>
      <c r="BB41" s="196" t="str">
        <f t="shared" si="24"/>
        <v/>
      </c>
      <c r="BC41" s="196" t="str">
        <f t="shared" si="25"/>
        <v/>
      </c>
      <c r="BE41" s="196" t="str">
        <f t="shared" si="26"/>
        <v/>
      </c>
      <c r="BF41" s="196" t="str">
        <f t="shared" si="27"/>
        <v/>
      </c>
      <c r="BH41" s="196" t="str">
        <f t="shared" si="28"/>
        <v/>
      </c>
      <c r="BI41" s="196" t="str">
        <f t="shared" si="29"/>
        <v/>
      </c>
      <c r="BK41" s="196" t="str">
        <f t="shared" si="30"/>
        <v/>
      </c>
      <c r="BL41" s="196" t="str">
        <f t="shared" si="31"/>
        <v/>
      </c>
      <c r="BN41" s="204" t="str">
        <f t="shared" si="44"/>
        <v/>
      </c>
      <c r="BO41" s="204" t="str">
        <f t="shared" si="45"/>
        <v/>
      </c>
      <c r="BP41" s="204" t="str">
        <f t="shared" si="46"/>
        <v/>
      </c>
      <c r="BQ41" s="204" t="str">
        <f t="shared" si="47"/>
        <v/>
      </c>
      <c r="BR41" s="204" t="str">
        <f t="shared" si="48"/>
        <v/>
      </c>
      <c r="BS41" s="204" t="str">
        <f t="shared" si="49"/>
        <v/>
      </c>
      <c r="BU41" s="204" t="str">
        <f t="shared" si="50"/>
        <v/>
      </c>
      <c r="BV41" s="204" t="str">
        <f t="shared" si="51"/>
        <v/>
      </c>
      <c r="BW41" s="204" t="str">
        <f t="shared" si="52"/>
        <v/>
      </c>
      <c r="BX41" s="204" t="str">
        <f t="shared" si="53"/>
        <v/>
      </c>
      <c r="BY41" s="204" t="str">
        <f t="shared" si="54"/>
        <v/>
      </c>
      <c r="BZ41" s="204" t="str">
        <f t="shared" si="55"/>
        <v/>
      </c>
      <c r="CC41" s="118">
        <v>6</v>
      </c>
      <c r="CD41" s="299">
        <f t="shared" si="56"/>
        <v>0</v>
      </c>
      <c r="CE41" s="118">
        <v>0.62</v>
      </c>
      <c r="CF41" s="118">
        <v>16.55</v>
      </c>
      <c r="CG41" s="300" t="str">
        <f t="shared" si="57"/>
        <v>ULL?</v>
      </c>
      <c r="CH41" s="118">
        <v>17.202999999999999</v>
      </c>
      <c r="CI41" s="118">
        <v>16.937999999999999</v>
      </c>
      <c r="CJ41" s="300" t="str">
        <f t="shared" si="58"/>
        <v>ULL?</v>
      </c>
      <c r="CK41" s="118">
        <v>17.597000000000001</v>
      </c>
      <c r="CL41" s="300">
        <f t="shared" si="32"/>
        <v>16.55</v>
      </c>
      <c r="CM41" s="301" t="str">
        <f t="shared" si="33"/>
        <v>ULL?</v>
      </c>
      <c r="CN41" s="300">
        <f t="shared" si="34"/>
        <v>17.202999999999999</v>
      </c>
      <c r="CP41" s="118">
        <v>6</v>
      </c>
      <c r="CQ41" s="299">
        <f t="shared" si="59"/>
        <v>0</v>
      </c>
      <c r="CR41" s="118">
        <v>0.62</v>
      </c>
      <c r="CS41" s="118">
        <v>16.55</v>
      </c>
      <c r="CT41" s="300" t="str">
        <f t="shared" si="60"/>
        <v>ULL?</v>
      </c>
      <c r="CU41" s="118">
        <v>17.202999999999999</v>
      </c>
      <c r="CV41" s="118">
        <v>16.937999999999999</v>
      </c>
      <c r="CW41" s="300" t="str">
        <f t="shared" si="61"/>
        <v>ULL?</v>
      </c>
      <c r="CX41" s="118">
        <v>17.597000000000001</v>
      </c>
      <c r="CY41" s="300" t="str">
        <f t="shared" si="35"/>
        <v>TRIM?</v>
      </c>
      <c r="CZ41" s="301" t="str">
        <f t="shared" si="36"/>
        <v>TRIM?</v>
      </c>
      <c r="DA41" s="300" t="str">
        <f t="shared" si="37"/>
        <v>TRIM?</v>
      </c>
      <c r="DC41" s="204" t="str">
        <f t="shared" si="62"/>
        <v/>
      </c>
      <c r="DD41" s="297">
        <f t="shared" si="67"/>
        <v>0</v>
      </c>
      <c r="DE41" s="297" t="str">
        <f t="shared" si="63"/>
        <v/>
      </c>
      <c r="DF41" s="1141" t="str">
        <f>IF($DE41="","",IF(DD41&gt;=DJ41,DC41,IF(INDEX('Cover Page'!$AI$106:$AJ$111,MATCH($C41,'Cover Page'!$AC$106:$AC$111,0),D1SEL)="",DC41,INDEX('Cover Page'!$AI$106:$AJ$111,MATCH($C41,'Cover Page'!$AC$106:$AC$111,0),D1SEL))))</f>
        <v/>
      </c>
      <c r="DG41" s="297">
        <f t="shared" si="64"/>
        <v>0</v>
      </c>
      <c r="DH41" s="297" t="str">
        <f t="shared" si="65"/>
        <v/>
      </c>
      <c r="DI41" s="204" t="str">
        <f t="shared" si="66"/>
        <v/>
      </c>
      <c r="DJ41" s="297">
        <f t="shared" si="68"/>
        <v>0</v>
      </c>
    </row>
    <row r="42" spans="1:114" ht="15.75">
      <c r="A42" s="1286" t="s">
        <v>284</v>
      </c>
      <c r="B42" s="840"/>
      <c r="C42" s="834"/>
      <c r="D42" s="216"/>
      <c r="E42" s="999"/>
      <c r="F42" s="999"/>
      <c r="G42" s="218"/>
      <c r="H42" s="1003"/>
      <c r="I42" s="1003"/>
      <c r="J42" s="1339"/>
      <c r="K42" s="841"/>
      <c r="L42" s="1401"/>
      <c r="M42" s="842"/>
      <c r="N42" s="219"/>
      <c r="O42" s="218"/>
      <c r="P42" s="1003"/>
      <c r="Q42" s="1003"/>
      <c r="R42" s="1339"/>
      <c r="S42" s="841"/>
      <c r="T42" s="1406" t="str">
        <f t="shared" si="43"/>
        <v/>
      </c>
      <c r="U42" s="842"/>
      <c r="V42" s="219"/>
      <c r="X42" s="196" t="str">
        <f t="shared" si="4"/>
        <v/>
      </c>
      <c r="Y42" s="196" t="str">
        <f t="shared" si="5"/>
        <v/>
      </c>
      <c r="Z42" s="154" t="b">
        <f>IF(OR(SURVEYMODE=3,C42=""),FALSE,IF(AND(SUMPRODUCT((INDEX('Cover Page'!$I$89:$N$89,1,MATCH(C42,'Cover Page'!$I$88:$N$88,0))=$D$17)*(INDEX('Cover Page'!$I$104:$N$104,1,MATCH(C42,'Cover Page'!$I$88:$N$88,0))&gt;0))=0,D42="Y"),TRUE,FALSE))</f>
        <v>0</v>
      </c>
      <c r="AA42" s="196" t="str">
        <f t="shared" si="6"/>
        <v/>
      </c>
      <c r="AB42" s="196" t="str">
        <f t="shared" si="7"/>
        <v/>
      </c>
      <c r="AD42" s="196" t="str">
        <f t="shared" si="8"/>
        <v/>
      </c>
      <c r="AE42" s="196" t="str">
        <f t="shared" si="9"/>
        <v/>
      </c>
      <c r="AG42" s="196" t="str">
        <f t="shared" si="10"/>
        <v/>
      </c>
      <c r="AH42" s="196" t="str">
        <f t="shared" si="11"/>
        <v/>
      </c>
      <c r="AJ42" s="196" t="str">
        <f t="shared" si="12"/>
        <v/>
      </c>
      <c r="AK42" s="196" t="str">
        <f t="shared" si="13"/>
        <v/>
      </c>
      <c r="AM42" s="196" t="str">
        <f t="shared" si="14"/>
        <v/>
      </c>
      <c r="AN42" s="196" t="str">
        <f t="shared" si="15"/>
        <v/>
      </c>
      <c r="AP42" s="196" t="str">
        <f t="shared" si="16"/>
        <v/>
      </c>
      <c r="AQ42" s="196" t="str">
        <f t="shared" si="17"/>
        <v/>
      </c>
      <c r="AS42" s="196" t="str">
        <f t="shared" si="18"/>
        <v/>
      </c>
      <c r="AT42" s="196" t="str">
        <f t="shared" si="19"/>
        <v/>
      </c>
      <c r="AV42" s="196" t="str">
        <f t="shared" si="20"/>
        <v/>
      </c>
      <c r="AW42" s="196" t="str">
        <f t="shared" si="21"/>
        <v/>
      </c>
      <c r="AY42" s="196" t="str">
        <f t="shared" si="22"/>
        <v/>
      </c>
      <c r="AZ42" s="196" t="str">
        <f t="shared" si="23"/>
        <v/>
      </c>
      <c r="BB42" s="196" t="str">
        <f t="shared" si="24"/>
        <v/>
      </c>
      <c r="BC42" s="196" t="str">
        <f t="shared" si="25"/>
        <v/>
      </c>
      <c r="BE42" s="196" t="str">
        <f t="shared" si="26"/>
        <v/>
      </c>
      <c r="BF42" s="196" t="str">
        <f t="shared" si="27"/>
        <v/>
      </c>
      <c r="BH42" s="196" t="str">
        <f t="shared" si="28"/>
        <v/>
      </c>
      <c r="BI42" s="196" t="str">
        <f t="shared" si="29"/>
        <v/>
      </c>
      <c r="BK42" s="196" t="str">
        <f t="shared" si="30"/>
        <v/>
      </c>
      <c r="BL42" s="196" t="str">
        <f t="shared" si="31"/>
        <v/>
      </c>
      <c r="BN42" s="204" t="str">
        <f t="shared" si="44"/>
        <v/>
      </c>
      <c r="BO42" s="204" t="str">
        <f t="shared" si="45"/>
        <v/>
      </c>
      <c r="BP42" s="204" t="str">
        <f t="shared" si="46"/>
        <v/>
      </c>
      <c r="BQ42" s="204" t="str">
        <f t="shared" si="47"/>
        <v/>
      </c>
      <c r="BR42" s="204" t="str">
        <f t="shared" si="48"/>
        <v/>
      </c>
      <c r="BS42" s="204" t="str">
        <f t="shared" si="49"/>
        <v/>
      </c>
      <c r="BU42" s="204" t="str">
        <f t="shared" si="50"/>
        <v/>
      </c>
      <c r="BV42" s="204" t="str">
        <f t="shared" si="51"/>
        <v/>
      </c>
      <c r="BW42" s="204" t="str">
        <f t="shared" si="52"/>
        <v/>
      </c>
      <c r="BX42" s="204" t="str">
        <f t="shared" si="53"/>
        <v/>
      </c>
      <c r="BY42" s="204" t="str">
        <f t="shared" si="54"/>
        <v/>
      </c>
      <c r="BZ42" s="204" t="str">
        <f t="shared" si="55"/>
        <v/>
      </c>
      <c r="CC42" s="118">
        <v>6</v>
      </c>
      <c r="CD42" s="299">
        <f t="shared" si="56"/>
        <v>0</v>
      </c>
      <c r="CE42" s="118">
        <v>0.62</v>
      </c>
      <c r="CF42" s="118">
        <v>16.55</v>
      </c>
      <c r="CG42" s="300" t="str">
        <f t="shared" si="57"/>
        <v>ULL?</v>
      </c>
      <c r="CH42" s="118">
        <v>17.202999999999999</v>
      </c>
      <c r="CI42" s="118">
        <v>16.937999999999999</v>
      </c>
      <c r="CJ42" s="300" t="str">
        <f t="shared" si="58"/>
        <v>ULL?</v>
      </c>
      <c r="CK42" s="118">
        <v>17.597000000000001</v>
      </c>
      <c r="CL42" s="300">
        <f t="shared" si="32"/>
        <v>16.55</v>
      </c>
      <c r="CM42" s="301" t="str">
        <f t="shared" si="33"/>
        <v>ULL?</v>
      </c>
      <c r="CN42" s="300">
        <f t="shared" si="34"/>
        <v>17.202999999999999</v>
      </c>
      <c r="CP42" s="118">
        <v>6</v>
      </c>
      <c r="CQ42" s="299">
        <f t="shared" si="59"/>
        <v>0</v>
      </c>
      <c r="CR42" s="118">
        <v>0.62</v>
      </c>
      <c r="CS42" s="118">
        <v>16.55</v>
      </c>
      <c r="CT42" s="300" t="str">
        <f t="shared" si="60"/>
        <v>ULL?</v>
      </c>
      <c r="CU42" s="118">
        <v>17.202999999999999</v>
      </c>
      <c r="CV42" s="118">
        <v>16.937999999999999</v>
      </c>
      <c r="CW42" s="300" t="str">
        <f t="shared" si="61"/>
        <v>ULL?</v>
      </c>
      <c r="CX42" s="118">
        <v>17.597000000000001</v>
      </c>
      <c r="CY42" s="300" t="str">
        <f t="shared" si="35"/>
        <v>TRIM?</v>
      </c>
      <c r="CZ42" s="301" t="str">
        <f t="shared" si="36"/>
        <v>TRIM?</v>
      </c>
      <c r="DA42" s="300" t="str">
        <f t="shared" si="37"/>
        <v>TRIM?</v>
      </c>
      <c r="DC42" s="204" t="str">
        <f t="shared" si="62"/>
        <v/>
      </c>
      <c r="DD42" s="297">
        <f t="shared" si="67"/>
        <v>0</v>
      </c>
      <c r="DE42" s="297" t="str">
        <f t="shared" si="63"/>
        <v/>
      </c>
      <c r="DF42" s="1141" t="str">
        <f>IF($DE42="","",IF(DD42&gt;=DJ42,DC42,IF(INDEX('Cover Page'!$AI$106:$AJ$111,MATCH($C42,'Cover Page'!$AC$106:$AC$111,0),D1SEL)="",DC42,INDEX('Cover Page'!$AI$106:$AJ$111,MATCH($C42,'Cover Page'!$AC$106:$AC$111,0),D1SEL))))</f>
        <v/>
      </c>
      <c r="DG42" s="297">
        <f t="shared" si="64"/>
        <v>0</v>
      </c>
      <c r="DH42" s="297" t="str">
        <f t="shared" si="65"/>
        <v/>
      </c>
      <c r="DI42" s="204" t="str">
        <f t="shared" si="66"/>
        <v/>
      </c>
      <c r="DJ42" s="297">
        <f t="shared" si="68"/>
        <v>0</v>
      </c>
    </row>
    <row r="43" spans="1:114" ht="15.75">
      <c r="A43" s="1286" t="s">
        <v>284</v>
      </c>
      <c r="B43" s="843"/>
      <c r="C43" s="220"/>
      <c r="D43" s="221"/>
      <c r="E43" s="1000"/>
      <c r="F43" s="1000"/>
      <c r="G43" s="223"/>
      <c r="H43" s="1004"/>
      <c r="I43" s="1004"/>
      <c r="J43" s="1340"/>
      <c r="K43" s="844"/>
      <c r="L43" s="1403"/>
      <c r="M43" s="845"/>
      <c r="N43" s="224"/>
      <c r="O43" s="223"/>
      <c r="P43" s="1004"/>
      <c r="Q43" s="1004"/>
      <c r="R43" s="1340"/>
      <c r="S43" s="844"/>
      <c r="T43" s="1406" t="str">
        <f t="shared" si="43"/>
        <v/>
      </c>
      <c r="U43" s="845"/>
      <c r="V43" s="224"/>
      <c r="X43" s="196" t="str">
        <f t="shared" si="4"/>
        <v/>
      </c>
      <c r="Y43" s="196" t="str">
        <f t="shared" si="5"/>
        <v/>
      </c>
      <c r="Z43" s="154" t="b">
        <f>IF(OR(SURVEYMODE=3,C43=""),FALSE,IF(AND(SUMPRODUCT((INDEX('Cover Page'!$I$89:$N$89,1,MATCH(C43,'Cover Page'!$I$88:$N$88,0))=$D$17)*(INDEX('Cover Page'!$I$104:$N$104,1,MATCH(C43,'Cover Page'!$I$88:$N$88,0))&gt;0))=0,D43="Y"),TRUE,FALSE))</f>
        <v>0</v>
      </c>
      <c r="AA43" s="196" t="str">
        <f t="shared" si="6"/>
        <v/>
      </c>
      <c r="AB43" s="196" t="str">
        <f t="shared" si="7"/>
        <v/>
      </c>
      <c r="AD43" s="196" t="str">
        <f t="shared" si="8"/>
        <v/>
      </c>
      <c r="AE43" s="196" t="str">
        <f t="shared" si="9"/>
        <v/>
      </c>
      <c r="AG43" s="196" t="str">
        <f t="shared" si="10"/>
        <v/>
      </c>
      <c r="AH43" s="196" t="str">
        <f t="shared" si="11"/>
        <v/>
      </c>
      <c r="AJ43" s="196" t="str">
        <f t="shared" si="12"/>
        <v/>
      </c>
      <c r="AK43" s="196" t="str">
        <f t="shared" si="13"/>
        <v/>
      </c>
      <c r="AM43" s="196" t="str">
        <f t="shared" si="14"/>
        <v/>
      </c>
      <c r="AN43" s="196" t="str">
        <f t="shared" si="15"/>
        <v/>
      </c>
      <c r="AP43" s="196" t="str">
        <f t="shared" si="16"/>
        <v/>
      </c>
      <c r="AQ43" s="196" t="str">
        <f t="shared" si="17"/>
        <v/>
      </c>
      <c r="AS43" s="196" t="str">
        <f t="shared" si="18"/>
        <v/>
      </c>
      <c r="AT43" s="196" t="str">
        <f t="shared" si="19"/>
        <v/>
      </c>
      <c r="AV43" s="196" t="str">
        <f t="shared" si="20"/>
        <v/>
      </c>
      <c r="AW43" s="196" t="str">
        <f t="shared" si="21"/>
        <v/>
      </c>
      <c r="AY43" s="196" t="str">
        <f t="shared" si="22"/>
        <v/>
      </c>
      <c r="AZ43" s="196" t="str">
        <f t="shared" si="23"/>
        <v/>
      </c>
      <c r="BB43" s="196" t="str">
        <f>IF($K43="","",IF($K$25=BB$25,$K43,IF(ISTEXT($K43),$K43,($K43-32)*5/9)))</f>
        <v/>
      </c>
      <c r="BC43" s="196" t="str">
        <f>IF($K43="","",IF($K$25=BC$25,$K43,IF(ISTEXT($K43),$K43,($K43*9/5)+32)))</f>
        <v/>
      </c>
      <c r="BE43" s="196" t="str">
        <f>IF($S43="","",IF($S$25=BE$25,$S43,IF(ISTEXT($S43),$S43,($S43-32)*5/9)))</f>
        <v/>
      </c>
      <c r="BF43" s="196" t="str">
        <f>IF($S43="","",IF($S$25=BF$25,$S43,IF(ISTEXT($S43),$S43,($S43*9/5)+32)))</f>
        <v/>
      </c>
      <c r="BH43" s="196" t="str">
        <f t="shared" si="28"/>
        <v/>
      </c>
      <c r="BI43" s="196" t="str">
        <f t="shared" si="29"/>
        <v/>
      </c>
      <c r="BK43" s="196" t="str">
        <f t="shared" si="30"/>
        <v/>
      </c>
      <c r="BL43" s="196" t="str">
        <f t="shared" si="31"/>
        <v/>
      </c>
      <c r="BN43" s="204" t="str">
        <f t="shared" si="44"/>
        <v/>
      </c>
      <c r="BO43" s="204" t="str">
        <f t="shared" si="45"/>
        <v/>
      </c>
      <c r="BP43" s="204" t="str">
        <f t="shared" si="46"/>
        <v/>
      </c>
      <c r="BQ43" s="204" t="str">
        <f t="shared" si="47"/>
        <v/>
      </c>
      <c r="BR43" s="204" t="str">
        <f t="shared" si="48"/>
        <v/>
      </c>
      <c r="BS43" s="204" t="str">
        <f t="shared" si="49"/>
        <v/>
      </c>
      <c r="BU43" s="204" t="str">
        <f t="shared" si="50"/>
        <v/>
      </c>
      <c r="BV43" s="204" t="str">
        <f t="shared" si="51"/>
        <v/>
      </c>
      <c r="BW43" s="204" t="str">
        <f t="shared" si="52"/>
        <v/>
      </c>
      <c r="BX43" s="204" t="str">
        <f t="shared" si="53"/>
        <v/>
      </c>
      <c r="BY43" s="204" t="str">
        <f t="shared" si="54"/>
        <v/>
      </c>
      <c r="BZ43" s="204" t="str">
        <f t="shared" si="55"/>
        <v/>
      </c>
      <c r="CC43" s="118">
        <v>6</v>
      </c>
      <c r="CD43" s="299">
        <f t="shared" si="56"/>
        <v>0</v>
      </c>
      <c r="CE43" s="118">
        <v>0.62</v>
      </c>
      <c r="CF43" s="118">
        <v>16.55</v>
      </c>
      <c r="CG43" s="300" t="str">
        <f t="shared" si="57"/>
        <v>ULL?</v>
      </c>
      <c r="CH43" s="118">
        <v>17.202999999999999</v>
      </c>
      <c r="CI43" s="118">
        <v>16.937999999999999</v>
      </c>
      <c r="CJ43" s="300" t="str">
        <f t="shared" si="58"/>
        <v>ULL?</v>
      </c>
      <c r="CK43" s="118">
        <v>17.597000000000001</v>
      </c>
      <c r="CL43" s="300">
        <f t="shared" si="32"/>
        <v>16.55</v>
      </c>
      <c r="CM43" s="301" t="str">
        <f t="shared" si="33"/>
        <v>ULL?</v>
      </c>
      <c r="CN43" s="300">
        <f t="shared" si="34"/>
        <v>17.202999999999999</v>
      </c>
      <c r="CP43" s="118">
        <v>6</v>
      </c>
      <c r="CQ43" s="299">
        <f t="shared" si="59"/>
        <v>0</v>
      </c>
      <c r="CR43" s="118">
        <v>0.62</v>
      </c>
      <c r="CS43" s="118">
        <v>16.55</v>
      </c>
      <c r="CT43" s="300" t="str">
        <f t="shared" si="60"/>
        <v>ULL?</v>
      </c>
      <c r="CU43" s="118">
        <v>17.202999999999999</v>
      </c>
      <c r="CV43" s="118">
        <v>16.937999999999999</v>
      </c>
      <c r="CW43" s="300" t="str">
        <f t="shared" si="61"/>
        <v>ULL?</v>
      </c>
      <c r="CX43" s="118">
        <v>17.597000000000001</v>
      </c>
      <c r="CY43" s="300" t="str">
        <f t="shared" si="35"/>
        <v>TRIM?</v>
      </c>
      <c r="CZ43" s="301" t="str">
        <f t="shared" si="36"/>
        <v>TRIM?</v>
      </c>
      <c r="DA43" s="300" t="str">
        <f t="shared" si="37"/>
        <v>TRIM?</v>
      </c>
      <c r="DC43" s="204" t="str">
        <f t="shared" si="62"/>
        <v/>
      </c>
      <c r="DD43" s="297">
        <f t="shared" si="67"/>
        <v>0</v>
      </c>
      <c r="DE43" s="297" t="str">
        <f t="shared" si="63"/>
        <v/>
      </c>
      <c r="DF43" s="1141" t="str">
        <f>IF($DE43="","",IF(DD43&gt;=DJ43,DC43,IF(INDEX('Cover Page'!$AI$106:$AJ$111,MATCH($C43,'Cover Page'!$AC$106:$AC$111,0),D1SEL)="",DC43,INDEX('Cover Page'!$AI$106:$AJ$111,MATCH($C43,'Cover Page'!$AC$106:$AC$111,0),D1SEL))))</f>
        <v/>
      </c>
      <c r="DG43" s="297">
        <f t="shared" si="64"/>
        <v>0</v>
      </c>
      <c r="DH43" s="297" t="str">
        <f t="shared" si="65"/>
        <v/>
      </c>
      <c r="DI43" s="204" t="str">
        <f t="shared" si="66"/>
        <v/>
      </c>
      <c r="DJ43" s="297">
        <f t="shared" si="68"/>
        <v>0</v>
      </c>
    </row>
    <row r="44" spans="1:114" ht="15.75">
      <c r="A44" s="1286" t="s">
        <v>284</v>
      </c>
      <c r="B44" s="840"/>
      <c r="C44" s="215"/>
      <c r="D44" s="216"/>
      <c r="E44" s="999" t="s">
        <v>354</v>
      </c>
      <c r="F44" s="999" t="s">
        <v>354</v>
      </c>
      <c r="G44" s="218"/>
      <c r="H44" s="1003" t="s">
        <v>354</v>
      </c>
      <c r="I44" s="1003" t="s">
        <v>354</v>
      </c>
      <c r="J44" s="1339"/>
      <c r="K44" s="841" t="s">
        <v>354</v>
      </c>
      <c r="L44" s="1402" t="s">
        <v>354</v>
      </c>
      <c r="M44" s="842"/>
      <c r="N44" s="219" t="s">
        <v>354</v>
      </c>
      <c r="O44" s="218"/>
      <c r="P44" s="1003" t="s">
        <v>354</v>
      </c>
      <c r="Q44" s="1003" t="s">
        <v>354</v>
      </c>
      <c r="R44" s="1339" t="s">
        <v>354</v>
      </c>
      <c r="S44" s="841" t="s">
        <v>354</v>
      </c>
      <c r="T44" s="1406" t="str">
        <f t="shared" si="43"/>
        <v/>
      </c>
      <c r="U44" s="842"/>
      <c r="V44" s="219" t="s">
        <v>354</v>
      </c>
      <c r="X44" s="196" t="str">
        <f t="shared" si="4"/>
        <v/>
      </c>
      <c r="Y44" s="196" t="str">
        <f t="shared" si="5"/>
        <v/>
      </c>
      <c r="Z44" s="154" t="b">
        <f>IF(OR(SURVEYMODE=3,C44=""),FALSE,IF(AND(SUMPRODUCT((INDEX('Cover Page'!$I$89:$N$89,1,MATCH(C44,'Cover Page'!$I$88:$N$88,0))=$D$17)*(INDEX('Cover Page'!$I$104:$N$104,1,MATCH(C44,'Cover Page'!$I$88:$N$88,0))&gt;0))=0,D44="Y"),TRUE,FALSE))</f>
        <v>0</v>
      </c>
      <c r="AA44" s="196" t="str">
        <f t="shared" si="6"/>
        <v/>
      </c>
      <c r="AB44" s="196" t="str">
        <f t="shared" si="7"/>
        <v/>
      </c>
      <c r="AD44" s="196" t="str">
        <f t="shared" si="8"/>
        <v/>
      </c>
      <c r="AE44" s="196" t="str">
        <f t="shared" si="9"/>
        <v/>
      </c>
      <c r="AG44" s="196" t="str">
        <f t="shared" si="10"/>
        <v/>
      </c>
      <c r="AH44" s="196" t="str">
        <f t="shared" si="11"/>
        <v/>
      </c>
      <c r="AJ44" s="196" t="str">
        <f t="shared" si="12"/>
        <v/>
      </c>
      <c r="AK44" s="196" t="str">
        <f t="shared" si="13"/>
        <v/>
      </c>
      <c r="AM44" s="196" t="str">
        <f t="shared" si="14"/>
        <v/>
      </c>
      <c r="AN44" s="196" t="str">
        <f t="shared" si="15"/>
        <v/>
      </c>
      <c r="AP44" s="196" t="str">
        <f t="shared" si="16"/>
        <v/>
      </c>
      <c r="AQ44" s="196" t="str">
        <f t="shared" si="17"/>
        <v/>
      </c>
      <c r="AS44" s="196" t="str">
        <f t="shared" si="18"/>
        <v/>
      </c>
      <c r="AT44" s="196" t="str">
        <f t="shared" si="19"/>
        <v/>
      </c>
      <c r="AV44" s="196" t="str">
        <f t="shared" si="20"/>
        <v/>
      </c>
      <c r="AW44" s="196" t="str">
        <f t="shared" si="21"/>
        <v/>
      </c>
      <c r="AY44" s="196" t="str">
        <f t="shared" si="22"/>
        <v/>
      </c>
      <c r="AZ44" s="196" t="str">
        <f t="shared" si="23"/>
        <v/>
      </c>
      <c r="BB44" s="196" t="str">
        <f t="shared" ref="BB44:BB56" si="69">IF($K44="","",IF($K$25=BB$25,$K44,IF(ISTEXT($K44),$K44,($K44-32)*5/9)))</f>
        <v/>
      </c>
      <c r="BC44" s="196" t="str">
        <f t="shared" ref="BC44:BC56" si="70">IF($K44="","",IF($K$25=BC$25,$K44,IF(ISTEXT($K44),$K44,($K44*9/5)+32)))</f>
        <v/>
      </c>
      <c r="BE44" s="196" t="str">
        <f t="shared" ref="BE44:BE56" si="71">IF($S44="","",IF($S$25=BE$25,$S44,IF(ISTEXT($S44),$S44,($S44-32)*5/9)))</f>
        <v/>
      </c>
      <c r="BF44" s="196" t="str">
        <f t="shared" ref="BF44:BF56" si="72">IF($S44="","",IF($S$25=BF$25,$S44,IF(ISTEXT($S44),$S44,($S44*9/5)+32)))</f>
        <v/>
      </c>
      <c r="BH44" s="196" t="str">
        <f t="shared" si="28"/>
        <v/>
      </c>
      <c r="BI44" s="196" t="str">
        <f t="shared" si="29"/>
        <v/>
      </c>
      <c r="BK44" s="196" t="str">
        <f t="shared" si="30"/>
        <v/>
      </c>
      <c r="BL44" s="196" t="str">
        <f t="shared" si="31"/>
        <v/>
      </c>
      <c r="BN44" s="204" t="str">
        <f t="shared" si="44"/>
        <v/>
      </c>
      <c r="BO44" s="204" t="str">
        <f t="shared" si="45"/>
        <v/>
      </c>
      <c r="BP44" s="204" t="str">
        <f t="shared" si="46"/>
        <v/>
      </c>
      <c r="BQ44" s="204" t="str">
        <f t="shared" si="47"/>
        <v/>
      </c>
      <c r="BR44" s="204" t="str">
        <f t="shared" si="48"/>
        <v/>
      </c>
      <c r="BS44" s="204" t="str">
        <f t="shared" si="49"/>
        <v/>
      </c>
      <c r="BU44" s="204" t="str">
        <f t="shared" si="50"/>
        <v/>
      </c>
      <c r="BV44" s="204" t="str">
        <f t="shared" si="51"/>
        <v/>
      </c>
      <c r="BW44" s="204" t="str">
        <f t="shared" si="52"/>
        <v/>
      </c>
      <c r="BX44" s="204" t="str">
        <f t="shared" si="53"/>
        <v/>
      </c>
      <c r="BY44" s="204" t="str">
        <f t="shared" si="54"/>
        <v/>
      </c>
      <c r="BZ44" s="204" t="str">
        <f t="shared" si="55"/>
        <v/>
      </c>
      <c r="CC44" s="118">
        <v>6</v>
      </c>
      <c r="CD44" s="299" t="str">
        <f t="shared" si="56"/>
        <v/>
      </c>
      <c r="CE44" s="118">
        <v>0.62</v>
      </c>
      <c r="CF44" s="118">
        <v>16.55</v>
      </c>
      <c r="CG44" s="300" t="str">
        <f t="shared" si="57"/>
        <v>ULL?</v>
      </c>
      <c r="CH44" s="118">
        <v>17.202999999999999</v>
      </c>
      <c r="CI44" s="118">
        <v>16.937999999999999</v>
      </c>
      <c r="CJ44" s="300" t="str">
        <f t="shared" si="58"/>
        <v>ULL?</v>
      </c>
      <c r="CK44" s="118">
        <v>17.597000000000001</v>
      </c>
      <c r="CL44" s="300">
        <f t="shared" si="32"/>
        <v>16.55</v>
      </c>
      <c r="CM44" s="301" t="str">
        <f t="shared" si="33"/>
        <v>ULL?</v>
      </c>
      <c r="CN44" s="300">
        <f t="shared" si="34"/>
        <v>17.202999999999999</v>
      </c>
      <c r="CP44" s="118">
        <v>6</v>
      </c>
      <c r="CQ44" s="299" t="str">
        <f t="shared" si="59"/>
        <v/>
      </c>
      <c r="CR44" s="118">
        <v>0.62</v>
      </c>
      <c r="CS44" s="118">
        <v>16.55</v>
      </c>
      <c r="CT44" s="300" t="str">
        <f t="shared" si="60"/>
        <v>ULL?</v>
      </c>
      <c r="CU44" s="118">
        <v>17.202999999999999</v>
      </c>
      <c r="CV44" s="118">
        <v>16.937999999999999</v>
      </c>
      <c r="CW44" s="300" t="str">
        <f t="shared" si="61"/>
        <v>ULL?</v>
      </c>
      <c r="CX44" s="118">
        <v>17.597000000000001</v>
      </c>
      <c r="CY44" s="300" t="str">
        <f t="shared" si="35"/>
        <v>TRIM?</v>
      </c>
      <c r="CZ44" s="301" t="str">
        <f t="shared" si="36"/>
        <v>TRIM?</v>
      </c>
      <c r="DA44" s="300" t="str">
        <f t="shared" si="37"/>
        <v>TRIM?</v>
      </c>
      <c r="DC44" s="204" t="str">
        <f t="shared" si="62"/>
        <v/>
      </c>
      <c r="DD44" s="297">
        <f t="shared" si="67"/>
        <v>0</v>
      </c>
      <c r="DE44" s="297" t="str">
        <f t="shared" si="63"/>
        <v/>
      </c>
      <c r="DF44" s="1141" t="str">
        <f>IF($DE44="","",IF(DD44&gt;=DJ44,DC44,IF(INDEX('Cover Page'!$AI$106:$AJ$111,MATCH($C44,'Cover Page'!$AC$106:$AC$111,0),D1SEL)="",DC44,INDEX('Cover Page'!$AI$106:$AJ$111,MATCH($C44,'Cover Page'!$AC$106:$AC$111,0),D1SEL))))</f>
        <v/>
      </c>
      <c r="DG44" s="297" t="str">
        <f t="shared" si="64"/>
        <v/>
      </c>
      <c r="DH44" s="297" t="str">
        <f t="shared" si="65"/>
        <v/>
      </c>
      <c r="DI44" s="204" t="str">
        <f t="shared" si="66"/>
        <v/>
      </c>
      <c r="DJ44" s="297" t="str">
        <f t="shared" si="68"/>
        <v/>
      </c>
    </row>
    <row r="45" spans="1:114" ht="15.75">
      <c r="A45" s="1286" t="s">
        <v>284</v>
      </c>
      <c r="B45" s="843"/>
      <c r="C45" s="220"/>
      <c r="D45" s="221"/>
      <c r="E45" s="1000" t="s">
        <v>354</v>
      </c>
      <c r="F45" s="1000" t="s">
        <v>354</v>
      </c>
      <c r="G45" s="223"/>
      <c r="H45" s="1004" t="s">
        <v>354</v>
      </c>
      <c r="I45" s="1004" t="s">
        <v>354</v>
      </c>
      <c r="J45" s="1340"/>
      <c r="K45" s="844" t="s">
        <v>354</v>
      </c>
      <c r="L45" s="1403" t="s">
        <v>354</v>
      </c>
      <c r="M45" s="845"/>
      <c r="N45" s="224" t="s">
        <v>354</v>
      </c>
      <c r="O45" s="223"/>
      <c r="P45" s="1004" t="s">
        <v>354</v>
      </c>
      <c r="Q45" s="1004" t="s">
        <v>354</v>
      </c>
      <c r="R45" s="1340" t="s">
        <v>354</v>
      </c>
      <c r="S45" s="844" t="s">
        <v>354</v>
      </c>
      <c r="T45" s="1406" t="str">
        <f t="shared" si="43"/>
        <v/>
      </c>
      <c r="U45" s="845"/>
      <c r="V45" s="224" t="s">
        <v>354</v>
      </c>
      <c r="X45" s="196" t="str">
        <f t="shared" si="4"/>
        <v/>
      </c>
      <c r="Y45" s="196" t="str">
        <f t="shared" si="5"/>
        <v/>
      </c>
      <c r="Z45" s="154" t="b">
        <f>IF(OR(SURVEYMODE=3,C45=""),FALSE,IF(AND(SUMPRODUCT((INDEX('Cover Page'!$I$89:$N$89,1,MATCH(C45,'Cover Page'!$I$88:$N$88,0))=$D$17)*(INDEX('Cover Page'!$I$104:$N$104,1,MATCH(C45,'Cover Page'!$I$88:$N$88,0))&gt;0))=0,D45="Y"),TRUE,FALSE))</f>
        <v>0</v>
      </c>
      <c r="AA45" s="196" t="str">
        <f t="shared" si="6"/>
        <v/>
      </c>
      <c r="AB45" s="196" t="str">
        <f t="shared" si="7"/>
        <v/>
      </c>
      <c r="AD45" s="196" t="str">
        <f t="shared" si="8"/>
        <v/>
      </c>
      <c r="AE45" s="196" t="str">
        <f t="shared" si="9"/>
        <v/>
      </c>
      <c r="AG45" s="196" t="str">
        <f t="shared" si="10"/>
        <v/>
      </c>
      <c r="AH45" s="196" t="str">
        <f t="shared" si="11"/>
        <v/>
      </c>
      <c r="AJ45" s="196" t="str">
        <f t="shared" si="12"/>
        <v/>
      </c>
      <c r="AK45" s="196" t="str">
        <f t="shared" si="13"/>
        <v/>
      </c>
      <c r="AM45" s="196" t="str">
        <f t="shared" si="14"/>
        <v/>
      </c>
      <c r="AN45" s="196" t="str">
        <f t="shared" si="15"/>
        <v/>
      </c>
      <c r="AP45" s="196" t="str">
        <f t="shared" si="16"/>
        <v/>
      </c>
      <c r="AQ45" s="196" t="str">
        <f t="shared" si="17"/>
        <v/>
      </c>
      <c r="AS45" s="196" t="str">
        <f t="shared" si="18"/>
        <v/>
      </c>
      <c r="AT45" s="196" t="str">
        <f t="shared" si="19"/>
        <v/>
      </c>
      <c r="AV45" s="196" t="str">
        <f t="shared" si="20"/>
        <v/>
      </c>
      <c r="AW45" s="196" t="str">
        <f t="shared" si="21"/>
        <v/>
      </c>
      <c r="AY45" s="196" t="str">
        <f t="shared" si="22"/>
        <v/>
      </c>
      <c r="AZ45" s="196" t="str">
        <f t="shared" si="23"/>
        <v/>
      </c>
      <c r="BB45" s="196" t="str">
        <f t="shared" si="69"/>
        <v/>
      </c>
      <c r="BC45" s="196" t="str">
        <f t="shared" si="70"/>
        <v/>
      </c>
      <c r="BE45" s="196" t="str">
        <f t="shared" si="71"/>
        <v/>
      </c>
      <c r="BF45" s="196" t="str">
        <f t="shared" si="72"/>
        <v/>
      </c>
      <c r="BH45" s="196" t="str">
        <f t="shared" si="28"/>
        <v/>
      </c>
      <c r="BI45" s="196" t="str">
        <f t="shared" si="29"/>
        <v/>
      </c>
      <c r="BK45" s="196" t="str">
        <f t="shared" si="30"/>
        <v/>
      </c>
      <c r="BL45" s="196" t="str">
        <f t="shared" si="31"/>
        <v/>
      </c>
      <c r="BN45" s="204" t="str">
        <f t="shared" si="44"/>
        <v/>
      </c>
      <c r="BO45" s="204" t="str">
        <f t="shared" si="45"/>
        <v/>
      </c>
      <c r="BP45" s="204" t="str">
        <f t="shared" si="46"/>
        <v/>
      </c>
      <c r="BQ45" s="204" t="str">
        <f t="shared" si="47"/>
        <v/>
      </c>
      <c r="BR45" s="204" t="str">
        <f t="shared" si="48"/>
        <v/>
      </c>
      <c r="BS45" s="204" t="str">
        <f t="shared" si="49"/>
        <v/>
      </c>
      <c r="BU45" s="204" t="str">
        <f t="shared" si="50"/>
        <v/>
      </c>
      <c r="BV45" s="204" t="str">
        <f t="shared" si="51"/>
        <v/>
      </c>
      <c r="BW45" s="204" t="str">
        <f t="shared" si="52"/>
        <v/>
      </c>
      <c r="BX45" s="204" t="str">
        <f t="shared" si="53"/>
        <v/>
      </c>
      <c r="BY45" s="204" t="str">
        <f t="shared" si="54"/>
        <v/>
      </c>
      <c r="BZ45" s="204" t="str">
        <f t="shared" si="55"/>
        <v/>
      </c>
      <c r="CC45" s="118">
        <v>6</v>
      </c>
      <c r="CD45" s="299" t="str">
        <f t="shared" si="56"/>
        <v/>
      </c>
      <c r="CE45" s="118">
        <v>0.62</v>
      </c>
      <c r="CF45" s="118">
        <v>16.55</v>
      </c>
      <c r="CG45" s="300" t="str">
        <f t="shared" si="57"/>
        <v>ULL?</v>
      </c>
      <c r="CH45" s="118">
        <v>17.202999999999999</v>
      </c>
      <c r="CI45" s="118">
        <v>16.937999999999999</v>
      </c>
      <c r="CJ45" s="300" t="str">
        <f t="shared" si="58"/>
        <v>ULL?</v>
      </c>
      <c r="CK45" s="118">
        <v>17.597000000000001</v>
      </c>
      <c r="CL45" s="300">
        <f t="shared" si="32"/>
        <v>16.55</v>
      </c>
      <c r="CM45" s="301" t="str">
        <f t="shared" si="33"/>
        <v>ULL?</v>
      </c>
      <c r="CN45" s="300">
        <f t="shared" si="34"/>
        <v>17.202999999999999</v>
      </c>
      <c r="CP45" s="118">
        <v>6</v>
      </c>
      <c r="CQ45" s="299" t="str">
        <f t="shared" si="59"/>
        <v/>
      </c>
      <c r="CR45" s="118">
        <v>0.62</v>
      </c>
      <c r="CS45" s="118">
        <v>16.55</v>
      </c>
      <c r="CT45" s="300" t="str">
        <f t="shared" si="60"/>
        <v>ULL?</v>
      </c>
      <c r="CU45" s="118">
        <v>17.202999999999999</v>
      </c>
      <c r="CV45" s="118">
        <v>16.937999999999999</v>
      </c>
      <c r="CW45" s="300" t="str">
        <f t="shared" si="61"/>
        <v>ULL?</v>
      </c>
      <c r="CX45" s="118">
        <v>17.597000000000001</v>
      </c>
      <c r="CY45" s="300" t="str">
        <f t="shared" si="35"/>
        <v>TRIM?</v>
      </c>
      <c r="CZ45" s="301" t="str">
        <f t="shared" si="36"/>
        <v>TRIM?</v>
      </c>
      <c r="DA45" s="300" t="str">
        <f t="shared" si="37"/>
        <v>TRIM?</v>
      </c>
      <c r="DC45" s="204" t="str">
        <f t="shared" si="62"/>
        <v/>
      </c>
      <c r="DD45" s="297">
        <f t="shared" si="67"/>
        <v>0</v>
      </c>
      <c r="DE45" s="297" t="str">
        <f t="shared" si="63"/>
        <v/>
      </c>
      <c r="DF45" s="1141" t="str">
        <f>IF($DE45="","",IF(DD45&gt;=DJ45,DC45,IF(INDEX('Cover Page'!$AI$106:$AJ$111,MATCH($C45,'Cover Page'!$AC$106:$AC$111,0),D1SEL)="",DC45,INDEX('Cover Page'!$AI$106:$AJ$111,MATCH($C45,'Cover Page'!$AC$106:$AC$111,0),D1SEL))))</f>
        <v/>
      </c>
      <c r="DG45" s="297" t="str">
        <f t="shared" si="64"/>
        <v/>
      </c>
      <c r="DH45" s="297" t="str">
        <f t="shared" si="65"/>
        <v/>
      </c>
      <c r="DI45" s="204" t="str">
        <f t="shared" si="66"/>
        <v/>
      </c>
      <c r="DJ45" s="297" t="str">
        <f t="shared" si="68"/>
        <v/>
      </c>
    </row>
    <row r="46" spans="1:114" ht="15.75">
      <c r="A46" s="1286" t="s">
        <v>284</v>
      </c>
      <c r="B46" s="840"/>
      <c r="C46" s="215"/>
      <c r="D46" s="216"/>
      <c r="E46" s="999" t="s">
        <v>354</v>
      </c>
      <c r="F46" s="999" t="s">
        <v>354</v>
      </c>
      <c r="G46" s="218"/>
      <c r="H46" s="1003" t="s">
        <v>354</v>
      </c>
      <c r="I46" s="1003" t="s">
        <v>354</v>
      </c>
      <c r="J46" s="1339" t="s">
        <v>354</v>
      </c>
      <c r="K46" s="841" t="s">
        <v>354</v>
      </c>
      <c r="L46" s="1402" t="s">
        <v>354</v>
      </c>
      <c r="M46" s="842"/>
      <c r="N46" s="219" t="s">
        <v>354</v>
      </c>
      <c r="O46" s="218"/>
      <c r="P46" s="1003" t="s">
        <v>354</v>
      </c>
      <c r="Q46" s="1003" t="s">
        <v>354</v>
      </c>
      <c r="R46" s="1339" t="s">
        <v>354</v>
      </c>
      <c r="S46" s="841" t="s">
        <v>354</v>
      </c>
      <c r="T46" s="1406" t="str">
        <f t="shared" si="43"/>
        <v/>
      </c>
      <c r="U46" s="842"/>
      <c r="V46" s="219" t="s">
        <v>354</v>
      </c>
      <c r="X46" s="196" t="str">
        <f t="shared" si="4"/>
        <v/>
      </c>
      <c r="Y46" s="196" t="str">
        <f t="shared" si="5"/>
        <v/>
      </c>
      <c r="Z46" s="154" t="b">
        <f>IF(OR(SURVEYMODE=3,C46=""),FALSE,IF(AND(SUMPRODUCT((INDEX('Cover Page'!$I$89:$N$89,1,MATCH(C46,'Cover Page'!$I$88:$N$88,0))=$D$17)*(INDEX('Cover Page'!$I$104:$N$104,1,MATCH(C46,'Cover Page'!$I$88:$N$88,0))&gt;0))=0,D46="Y"),TRUE,FALSE))</f>
        <v>0</v>
      </c>
      <c r="AA46" s="196" t="str">
        <f t="shared" si="6"/>
        <v/>
      </c>
      <c r="AB46" s="196" t="str">
        <f t="shared" si="7"/>
        <v/>
      </c>
      <c r="AD46" s="196" t="str">
        <f t="shared" si="8"/>
        <v/>
      </c>
      <c r="AE46" s="196" t="str">
        <f t="shared" si="9"/>
        <v/>
      </c>
      <c r="AG46" s="196" t="str">
        <f t="shared" si="10"/>
        <v/>
      </c>
      <c r="AH46" s="196" t="str">
        <f t="shared" si="11"/>
        <v/>
      </c>
      <c r="AJ46" s="196" t="str">
        <f t="shared" si="12"/>
        <v/>
      </c>
      <c r="AK46" s="196" t="str">
        <f t="shared" si="13"/>
        <v/>
      </c>
      <c r="AM46" s="196" t="str">
        <f t="shared" si="14"/>
        <v/>
      </c>
      <c r="AN46" s="196" t="str">
        <f t="shared" si="15"/>
        <v/>
      </c>
      <c r="AP46" s="196" t="str">
        <f t="shared" si="16"/>
        <v/>
      </c>
      <c r="AQ46" s="196" t="str">
        <f t="shared" si="17"/>
        <v/>
      </c>
      <c r="AS46" s="196" t="str">
        <f t="shared" si="18"/>
        <v/>
      </c>
      <c r="AT46" s="196" t="str">
        <f t="shared" si="19"/>
        <v/>
      </c>
      <c r="AV46" s="196" t="str">
        <f t="shared" si="20"/>
        <v/>
      </c>
      <c r="AW46" s="196" t="str">
        <f t="shared" si="21"/>
        <v/>
      </c>
      <c r="AY46" s="196" t="str">
        <f t="shared" si="22"/>
        <v/>
      </c>
      <c r="AZ46" s="196" t="str">
        <f t="shared" si="23"/>
        <v/>
      </c>
      <c r="BB46" s="196" t="str">
        <f t="shared" si="69"/>
        <v/>
      </c>
      <c r="BC46" s="196" t="str">
        <f t="shared" si="70"/>
        <v/>
      </c>
      <c r="BE46" s="196" t="str">
        <f t="shared" si="71"/>
        <v/>
      </c>
      <c r="BF46" s="196" t="str">
        <f t="shared" si="72"/>
        <v/>
      </c>
      <c r="BH46" s="196" t="str">
        <f t="shared" si="28"/>
        <v/>
      </c>
      <c r="BI46" s="196" t="str">
        <f t="shared" si="29"/>
        <v/>
      </c>
      <c r="BK46" s="196" t="str">
        <f t="shared" si="30"/>
        <v/>
      </c>
      <c r="BL46" s="196" t="str">
        <f t="shared" si="31"/>
        <v/>
      </c>
      <c r="BN46" s="204" t="str">
        <f t="shared" si="44"/>
        <v/>
      </c>
      <c r="BO46" s="204" t="str">
        <f t="shared" si="45"/>
        <v/>
      </c>
      <c r="BP46" s="204" t="str">
        <f t="shared" si="46"/>
        <v/>
      </c>
      <c r="BQ46" s="204" t="str">
        <f t="shared" si="47"/>
        <v/>
      </c>
      <c r="BR46" s="204" t="str">
        <f t="shared" si="48"/>
        <v/>
      </c>
      <c r="BS46" s="204" t="str">
        <f t="shared" si="49"/>
        <v/>
      </c>
      <c r="BU46" s="204" t="str">
        <f t="shared" si="50"/>
        <v/>
      </c>
      <c r="BV46" s="204" t="str">
        <f t="shared" si="51"/>
        <v/>
      </c>
      <c r="BW46" s="204" t="str">
        <f t="shared" si="52"/>
        <v/>
      </c>
      <c r="BX46" s="204" t="str">
        <f t="shared" si="53"/>
        <v/>
      </c>
      <c r="BY46" s="204" t="str">
        <f t="shared" si="54"/>
        <v/>
      </c>
      <c r="BZ46" s="204" t="str">
        <f t="shared" si="55"/>
        <v/>
      </c>
      <c r="CC46" s="118">
        <v>6</v>
      </c>
      <c r="CD46" s="299" t="str">
        <f t="shared" si="56"/>
        <v/>
      </c>
      <c r="CE46" s="118">
        <v>0.62</v>
      </c>
      <c r="CF46" s="118">
        <v>16.55</v>
      </c>
      <c r="CG46" s="300" t="str">
        <f t="shared" si="57"/>
        <v>ULL?</v>
      </c>
      <c r="CH46" s="118">
        <v>17.202999999999999</v>
      </c>
      <c r="CI46" s="118">
        <v>16.937999999999999</v>
      </c>
      <c r="CJ46" s="300" t="str">
        <f t="shared" si="58"/>
        <v>ULL?</v>
      </c>
      <c r="CK46" s="118">
        <v>17.597000000000001</v>
      </c>
      <c r="CL46" s="300">
        <f t="shared" si="32"/>
        <v>16.55</v>
      </c>
      <c r="CM46" s="301" t="str">
        <f t="shared" si="33"/>
        <v>ULL?</v>
      </c>
      <c r="CN46" s="300">
        <f t="shared" si="34"/>
        <v>17.202999999999999</v>
      </c>
      <c r="CP46" s="118">
        <v>6</v>
      </c>
      <c r="CQ46" s="299" t="str">
        <f t="shared" si="59"/>
        <v/>
      </c>
      <c r="CR46" s="118">
        <v>0.62</v>
      </c>
      <c r="CS46" s="118">
        <v>16.55</v>
      </c>
      <c r="CT46" s="300" t="str">
        <f t="shared" si="60"/>
        <v>ULL?</v>
      </c>
      <c r="CU46" s="118">
        <v>17.202999999999999</v>
      </c>
      <c r="CV46" s="118">
        <v>16.937999999999999</v>
      </c>
      <c r="CW46" s="300" t="str">
        <f t="shared" si="61"/>
        <v>ULL?</v>
      </c>
      <c r="CX46" s="118">
        <v>17.597000000000001</v>
      </c>
      <c r="CY46" s="300" t="str">
        <f t="shared" si="35"/>
        <v>TRIM?</v>
      </c>
      <c r="CZ46" s="301" t="str">
        <f t="shared" si="36"/>
        <v>TRIM?</v>
      </c>
      <c r="DA46" s="300" t="str">
        <f t="shared" si="37"/>
        <v>TRIM?</v>
      </c>
      <c r="DC46" s="204" t="str">
        <f t="shared" si="62"/>
        <v/>
      </c>
      <c r="DD46" s="297" t="str">
        <f t="shared" si="67"/>
        <v/>
      </c>
      <c r="DE46" s="297" t="str">
        <f t="shared" si="63"/>
        <v/>
      </c>
      <c r="DF46" s="1141" t="str">
        <f>IF($DE46="","",IF(DD46&gt;=DJ46,DC46,IF(INDEX('Cover Page'!$AI$106:$AJ$111,MATCH($C46,'Cover Page'!$AC$106:$AC$111,0),D1SEL)="",DC46,INDEX('Cover Page'!$AI$106:$AJ$111,MATCH($C46,'Cover Page'!$AC$106:$AC$111,0),D1SEL))))</f>
        <v/>
      </c>
      <c r="DG46" s="297" t="str">
        <f t="shared" si="64"/>
        <v/>
      </c>
      <c r="DH46" s="297" t="str">
        <f t="shared" si="65"/>
        <v/>
      </c>
      <c r="DI46" s="204" t="str">
        <f t="shared" si="66"/>
        <v/>
      </c>
      <c r="DJ46" s="297" t="str">
        <f t="shared" si="68"/>
        <v/>
      </c>
    </row>
    <row r="47" spans="1:114" ht="15.75">
      <c r="A47" s="1286" t="s">
        <v>284</v>
      </c>
      <c r="B47" s="843"/>
      <c r="C47" s="220"/>
      <c r="D47" s="221"/>
      <c r="E47" s="1000" t="s">
        <v>354</v>
      </c>
      <c r="F47" s="1000" t="s">
        <v>354</v>
      </c>
      <c r="G47" s="223"/>
      <c r="H47" s="1004" t="s">
        <v>354</v>
      </c>
      <c r="I47" s="1004" t="s">
        <v>354</v>
      </c>
      <c r="J47" s="1340" t="s">
        <v>354</v>
      </c>
      <c r="K47" s="844" t="s">
        <v>354</v>
      </c>
      <c r="L47" s="1403" t="s">
        <v>354</v>
      </c>
      <c r="M47" s="845"/>
      <c r="N47" s="224" t="s">
        <v>354</v>
      </c>
      <c r="O47" s="223"/>
      <c r="P47" s="1004" t="s">
        <v>354</v>
      </c>
      <c r="Q47" s="1004" t="s">
        <v>354</v>
      </c>
      <c r="R47" s="1340" t="s">
        <v>354</v>
      </c>
      <c r="S47" s="844" t="s">
        <v>354</v>
      </c>
      <c r="T47" s="1406" t="str">
        <f t="shared" si="43"/>
        <v/>
      </c>
      <c r="U47" s="845"/>
      <c r="V47" s="224" t="s">
        <v>354</v>
      </c>
      <c r="X47" s="196" t="str">
        <f t="shared" si="4"/>
        <v/>
      </c>
      <c r="Y47" s="196" t="str">
        <f t="shared" si="5"/>
        <v/>
      </c>
      <c r="Z47" s="154" t="b">
        <f>IF(OR(SURVEYMODE=3,C47=""),FALSE,IF(AND(SUMPRODUCT((INDEX('Cover Page'!$I$89:$N$89,1,MATCH(C47,'Cover Page'!$I$88:$N$88,0))=$D$17)*(INDEX('Cover Page'!$I$104:$N$104,1,MATCH(C47,'Cover Page'!$I$88:$N$88,0))&gt;0))=0,D47="Y"),TRUE,FALSE))</f>
        <v>0</v>
      </c>
      <c r="AA47" s="196" t="str">
        <f t="shared" si="6"/>
        <v/>
      </c>
      <c r="AB47" s="196" t="str">
        <f t="shared" si="7"/>
        <v/>
      </c>
      <c r="AD47" s="196" t="str">
        <f t="shared" si="8"/>
        <v/>
      </c>
      <c r="AE47" s="196" t="str">
        <f t="shared" si="9"/>
        <v/>
      </c>
      <c r="AG47" s="196" t="str">
        <f t="shared" si="10"/>
        <v/>
      </c>
      <c r="AH47" s="196" t="str">
        <f t="shared" si="11"/>
        <v/>
      </c>
      <c r="AJ47" s="196" t="str">
        <f t="shared" si="12"/>
        <v/>
      </c>
      <c r="AK47" s="196" t="str">
        <f t="shared" si="13"/>
        <v/>
      </c>
      <c r="AM47" s="196" t="str">
        <f t="shared" si="14"/>
        <v/>
      </c>
      <c r="AN47" s="196" t="str">
        <f t="shared" si="15"/>
        <v/>
      </c>
      <c r="AP47" s="196" t="str">
        <f t="shared" si="16"/>
        <v/>
      </c>
      <c r="AQ47" s="196" t="str">
        <f t="shared" si="17"/>
        <v/>
      </c>
      <c r="AS47" s="196" t="str">
        <f t="shared" si="18"/>
        <v/>
      </c>
      <c r="AT47" s="196" t="str">
        <f t="shared" si="19"/>
        <v/>
      </c>
      <c r="AV47" s="196" t="str">
        <f t="shared" si="20"/>
        <v/>
      </c>
      <c r="AW47" s="196" t="str">
        <f t="shared" si="21"/>
        <v/>
      </c>
      <c r="AY47" s="196" t="str">
        <f t="shared" si="22"/>
        <v/>
      </c>
      <c r="AZ47" s="196" t="str">
        <f t="shared" si="23"/>
        <v/>
      </c>
      <c r="BB47" s="196" t="str">
        <f t="shared" si="69"/>
        <v/>
      </c>
      <c r="BC47" s="196" t="str">
        <f t="shared" si="70"/>
        <v/>
      </c>
      <c r="BE47" s="196" t="str">
        <f t="shared" si="71"/>
        <v/>
      </c>
      <c r="BF47" s="196" t="str">
        <f t="shared" si="72"/>
        <v/>
      </c>
      <c r="BH47" s="196" t="str">
        <f t="shared" si="28"/>
        <v/>
      </c>
      <c r="BI47" s="196" t="str">
        <f t="shared" si="29"/>
        <v/>
      </c>
      <c r="BK47" s="196" t="str">
        <f t="shared" si="30"/>
        <v/>
      </c>
      <c r="BL47" s="196" t="str">
        <f t="shared" si="31"/>
        <v/>
      </c>
      <c r="BN47" s="204" t="str">
        <f t="shared" si="44"/>
        <v/>
      </c>
      <c r="BO47" s="204" t="str">
        <f t="shared" si="45"/>
        <v/>
      </c>
      <c r="BP47" s="204" t="str">
        <f t="shared" si="46"/>
        <v/>
      </c>
      <c r="BQ47" s="204" t="str">
        <f t="shared" si="47"/>
        <v/>
      </c>
      <c r="BR47" s="204" t="str">
        <f t="shared" si="48"/>
        <v/>
      </c>
      <c r="BS47" s="204" t="str">
        <f t="shared" si="49"/>
        <v/>
      </c>
      <c r="BU47" s="204" t="str">
        <f t="shared" si="50"/>
        <v/>
      </c>
      <c r="BV47" s="204" t="str">
        <f t="shared" si="51"/>
        <v/>
      </c>
      <c r="BW47" s="204" t="str">
        <f t="shared" si="52"/>
        <v/>
      </c>
      <c r="BX47" s="204" t="str">
        <f t="shared" si="53"/>
        <v/>
      </c>
      <c r="BY47" s="204" t="str">
        <f t="shared" si="54"/>
        <v/>
      </c>
      <c r="BZ47" s="204" t="str">
        <f t="shared" si="55"/>
        <v/>
      </c>
      <c r="CC47" s="118">
        <v>6</v>
      </c>
      <c r="CD47" s="299" t="str">
        <f t="shared" si="56"/>
        <v/>
      </c>
      <c r="CE47" s="118">
        <v>0.62</v>
      </c>
      <c r="CF47" s="118">
        <v>16.55</v>
      </c>
      <c r="CG47" s="300" t="str">
        <f t="shared" si="57"/>
        <v>ULL?</v>
      </c>
      <c r="CH47" s="118">
        <v>17.202999999999999</v>
      </c>
      <c r="CI47" s="118">
        <v>16.937999999999999</v>
      </c>
      <c r="CJ47" s="300" t="str">
        <f t="shared" si="58"/>
        <v>ULL?</v>
      </c>
      <c r="CK47" s="118">
        <v>17.597000000000001</v>
      </c>
      <c r="CL47" s="300">
        <f t="shared" si="32"/>
        <v>16.55</v>
      </c>
      <c r="CM47" s="301" t="str">
        <f t="shared" si="33"/>
        <v>ULL?</v>
      </c>
      <c r="CN47" s="300">
        <f t="shared" si="34"/>
        <v>17.202999999999999</v>
      </c>
      <c r="CP47" s="118">
        <v>6</v>
      </c>
      <c r="CQ47" s="299" t="str">
        <f t="shared" si="59"/>
        <v/>
      </c>
      <c r="CR47" s="118">
        <v>0.62</v>
      </c>
      <c r="CS47" s="118">
        <v>16.55</v>
      </c>
      <c r="CT47" s="300" t="str">
        <f t="shared" si="60"/>
        <v>ULL?</v>
      </c>
      <c r="CU47" s="118">
        <v>17.202999999999999</v>
      </c>
      <c r="CV47" s="118">
        <v>16.937999999999999</v>
      </c>
      <c r="CW47" s="300" t="str">
        <f t="shared" si="61"/>
        <v>ULL?</v>
      </c>
      <c r="CX47" s="118">
        <v>17.597000000000001</v>
      </c>
      <c r="CY47" s="300" t="str">
        <f t="shared" si="35"/>
        <v>TRIM?</v>
      </c>
      <c r="CZ47" s="301" t="str">
        <f t="shared" si="36"/>
        <v>TRIM?</v>
      </c>
      <c r="DA47" s="300" t="str">
        <f t="shared" si="37"/>
        <v>TRIM?</v>
      </c>
      <c r="DC47" s="204" t="str">
        <f t="shared" si="62"/>
        <v/>
      </c>
      <c r="DD47" s="297" t="str">
        <f t="shared" si="67"/>
        <v/>
      </c>
      <c r="DE47" s="297" t="str">
        <f t="shared" si="63"/>
        <v/>
      </c>
      <c r="DF47" s="1141" t="str">
        <f>IF($DE47="","",IF(DD47&gt;=DJ47,DC47,IF(INDEX('Cover Page'!$AI$106:$AJ$111,MATCH($C47,'Cover Page'!$AC$106:$AC$111,0),D1SEL)="",DC47,INDEX('Cover Page'!$AI$106:$AJ$111,MATCH($C47,'Cover Page'!$AC$106:$AC$111,0),D1SEL))))</f>
        <v/>
      </c>
      <c r="DG47" s="297" t="str">
        <f t="shared" si="64"/>
        <v/>
      </c>
      <c r="DH47" s="297" t="str">
        <f t="shared" si="65"/>
        <v/>
      </c>
      <c r="DI47" s="204" t="str">
        <f t="shared" si="66"/>
        <v/>
      </c>
      <c r="DJ47" s="297" t="str">
        <f t="shared" si="68"/>
        <v/>
      </c>
    </row>
    <row r="48" spans="1:114" ht="15.75">
      <c r="A48" s="1286" t="s">
        <v>284</v>
      </c>
      <c r="B48" s="840"/>
      <c r="C48" s="215"/>
      <c r="D48" s="216"/>
      <c r="E48" s="999" t="s">
        <v>354</v>
      </c>
      <c r="F48" s="999" t="s">
        <v>354</v>
      </c>
      <c r="G48" s="218"/>
      <c r="H48" s="1003" t="s">
        <v>354</v>
      </c>
      <c r="I48" s="1003" t="s">
        <v>354</v>
      </c>
      <c r="J48" s="1339" t="s">
        <v>354</v>
      </c>
      <c r="K48" s="841" t="s">
        <v>354</v>
      </c>
      <c r="L48" s="1402" t="s">
        <v>354</v>
      </c>
      <c r="M48" s="842"/>
      <c r="N48" s="219" t="s">
        <v>354</v>
      </c>
      <c r="O48" s="218"/>
      <c r="P48" s="1003" t="s">
        <v>354</v>
      </c>
      <c r="Q48" s="1003" t="s">
        <v>354</v>
      </c>
      <c r="R48" s="1339" t="s">
        <v>354</v>
      </c>
      <c r="S48" s="841" t="s">
        <v>354</v>
      </c>
      <c r="T48" s="1406" t="str">
        <f t="shared" si="43"/>
        <v/>
      </c>
      <c r="U48" s="842"/>
      <c r="V48" s="219" t="s">
        <v>354</v>
      </c>
      <c r="X48" s="196" t="str">
        <f t="shared" si="4"/>
        <v/>
      </c>
      <c r="Y48" s="196" t="str">
        <f t="shared" si="5"/>
        <v/>
      </c>
      <c r="Z48" s="154" t="b">
        <f>IF(OR(SURVEYMODE=3,C48=""),FALSE,IF(AND(SUMPRODUCT((INDEX('Cover Page'!$I$89:$N$89,1,MATCH(C48,'Cover Page'!$I$88:$N$88,0))=$D$17)*(INDEX('Cover Page'!$I$104:$N$104,1,MATCH(C48,'Cover Page'!$I$88:$N$88,0))&gt;0))=0,D48="Y"),TRUE,FALSE))</f>
        <v>0</v>
      </c>
      <c r="AA48" s="196" t="str">
        <f t="shared" si="6"/>
        <v/>
      </c>
      <c r="AB48" s="196" t="str">
        <f t="shared" si="7"/>
        <v/>
      </c>
      <c r="AD48" s="196" t="str">
        <f t="shared" si="8"/>
        <v/>
      </c>
      <c r="AE48" s="196" t="str">
        <f t="shared" si="9"/>
        <v/>
      </c>
      <c r="AG48" s="196" t="str">
        <f t="shared" si="10"/>
        <v/>
      </c>
      <c r="AH48" s="196" t="str">
        <f t="shared" si="11"/>
        <v/>
      </c>
      <c r="AJ48" s="196" t="str">
        <f t="shared" si="12"/>
        <v/>
      </c>
      <c r="AK48" s="196" t="str">
        <f t="shared" si="13"/>
        <v/>
      </c>
      <c r="AM48" s="196" t="str">
        <f t="shared" si="14"/>
        <v/>
      </c>
      <c r="AN48" s="196" t="str">
        <f t="shared" si="15"/>
        <v/>
      </c>
      <c r="AP48" s="196" t="str">
        <f t="shared" si="16"/>
        <v/>
      </c>
      <c r="AQ48" s="196" t="str">
        <f t="shared" si="17"/>
        <v/>
      </c>
      <c r="AS48" s="196" t="str">
        <f t="shared" si="18"/>
        <v/>
      </c>
      <c r="AT48" s="196" t="str">
        <f t="shared" si="19"/>
        <v/>
      </c>
      <c r="AV48" s="196" t="str">
        <f t="shared" si="20"/>
        <v/>
      </c>
      <c r="AW48" s="196" t="str">
        <f t="shared" si="21"/>
        <v/>
      </c>
      <c r="AY48" s="196" t="str">
        <f t="shared" si="22"/>
        <v/>
      </c>
      <c r="AZ48" s="196" t="str">
        <f t="shared" si="23"/>
        <v/>
      </c>
      <c r="BB48" s="196" t="str">
        <f t="shared" si="69"/>
        <v/>
      </c>
      <c r="BC48" s="196" t="str">
        <f t="shared" si="70"/>
        <v/>
      </c>
      <c r="BE48" s="196" t="str">
        <f t="shared" si="71"/>
        <v/>
      </c>
      <c r="BF48" s="196" t="str">
        <f t="shared" si="72"/>
        <v/>
      </c>
      <c r="BH48" s="196" t="str">
        <f t="shared" si="28"/>
        <v/>
      </c>
      <c r="BI48" s="196" t="str">
        <f t="shared" si="29"/>
        <v/>
      </c>
      <c r="BK48" s="196" t="str">
        <f t="shared" si="30"/>
        <v/>
      </c>
      <c r="BL48" s="196" t="str">
        <f t="shared" si="31"/>
        <v/>
      </c>
      <c r="BN48" s="204" t="str">
        <f t="shared" si="44"/>
        <v/>
      </c>
      <c r="BO48" s="204" t="str">
        <f t="shared" si="45"/>
        <v/>
      </c>
      <c r="BP48" s="204" t="str">
        <f t="shared" si="46"/>
        <v/>
      </c>
      <c r="BQ48" s="204" t="str">
        <f t="shared" si="47"/>
        <v/>
      </c>
      <c r="BR48" s="204" t="str">
        <f t="shared" si="48"/>
        <v/>
      </c>
      <c r="BS48" s="204" t="str">
        <f t="shared" si="49"/>
        <v/>
      </c>
      <c r="BU48" s="204" t="str">
        <f t="shared" si="50"/>
        <v/>
      </c>
      <c r="BV48" s="204" t="str">
        <f t="shared" si="51"/>
        <v/>
      </c>
      <c r="BW48" s="204" t="str">
        <f t="shared" si="52"/>
        <v/>
      </c>
      <c r="BX48" s="204" t="str">
        <f t="shared" si="53"/>
        <v/>
      </c>
      <c r="BY48" s="204" t="str">
        <f t="shared" si="54"/>
        <v/>
      </c>
      <c r="BZ48" s="204" t="str">
        <f t="shared" si="55"/>
        <v/>
      </c>
      <c r="CC48" s="118">
        <v>6</v>
      </c>
      <c r="CD48" s="299" t="str">
        <f t="shared" si="56"/>
        <v/>
      </c>
      <c r="CE48" s="118">
        <v>0.62</v>
      </c>
      <c r="CF48" s="118">
        <v>16.55</v>
      </c>
      <c r="CG48" s="300" t="str">
        <f t="shared" si="57"/>
        <v>ULL?</v>
      </c>
      <c r="CH48" s="118">
        <v>17.202999999999999</v>
      </c>
      <c r="CI48" s="118">
        <v>16.937999999999999</v>
      </c>
      <c r="CJ48" s="300" t="str">
        <f t="shared" si="58"/>
        <v>ULL?</v>
      </c>
      <c r="CK48" s="118">
        <v>17.597000000000001</v>
      </c>
      <c r="CL48" s="300">
        <f t="shared" si="32"/>
        <v>16.55</v>
      </c>
      <c r="CM48" s="301" t="str">
        <f t="shared" si="33"/>
        <v>ULL?</v>
      </c>
      <c r="CN48" s="300">
        <f t="shared" si="34"/>
        <v>17.202999999999999</v>
      </c>
      <c r="CP48" s="118">
        <v>6</v>
      </c>
      <c r="CQ48" s="299" t="str">
        <f t="shared" si="59"/>
        <v/>
      </c>
      <c r="CR48" s="118">
        <v>0.62</v>
      </c>
      <c r="CS48" s="118">
        <v>16.55</v>
      </c>
      <c r="CT48" s="300" t="str">
        <f t="shared" si="60"/>
        <v>ULL?</v>
      </c>
      <c r="CU48" s="118">
        <v>17.202999999999999</v>
      </c>
      <c r="CV48" s="118">
        <v>16.937999999999999</v>
      </c>
      <c r="CW48" s="300" t="str">
        <f t="shared" si="61"/>
        <v>ULL?</v>
      </c>
      <c r="CX48" s="118">
        <v>17.597000000000001</v>
      </c>
      <c r="CY48" s="300" t="str">
        <f t="shared" si="35"/>
        <v>TRIM?</v>
      </c>
      <c r="CZ48" s="301" t="str">
        <f t="shared" si="36"/>
        <v>TRIM?</v>
      </c>
      <c r="DA48" s="300" t="str">
        <f t="shared" si="37"/>
        <v>TRIM?</v>
      </c>
      <c r="DC48" s="204" t="str">
        <f t="shared" si="62"/>
        <v/>
      </c>
      <c r="DD48" s="297" t="str">
        <f t="shared" si="67"/>
        <v/>
      </c>
      <c r="DE48" s="297" t="str">
        <f t="shared" si="63"/>
        <v/>
      </c>
      <c r="DF48" s="1141" t="str">
        <f>IF($DE48="","",IF(DD48&gt;=DJ48,DC48,IF(INDEX('Cover Page'!$AI$106:$AJ$111,MATCH($C48,'Cover Page'!$AC$106:$AC$111,0),D1SEL)="",DC48,INDEX('Cover Page'!$AI$106:$AJ$111,MATCH($C48,'Cover Page'!$AC$106:$AC$111,0),D1SEL))))</f>
        <v/>
      </c>
      <c r="DG48" s="297" t="str">
        <f t="shared" si="64"/>
        <v/>
      </c>
      <c r="DH48" s="297" t="str">
        <f t="shared" si="65"/>
        <v/>
      </c>
      <c r="DI48" s="204" t="str">
        <f t="shared" si="66"/>
        <v/>
      </c>
      <c r="DJ48" s="297" t="str">
        <f t="shared" si="68"/>
        <v/>
      </c>
    </row>
    <row r="49" spans="1:114" ht="15.75">
      <c r="A49" s="1286" t="s">
        <v>284</v>
      </c>
      <c r="B49" s="843"/>
      <c r="C49" s="220"/>
      <c r="D49" s="221"/>
      <c r="E49" s="1000" t="s">
        <v>354</v>
      </c>
      <c r="F49" s="1000" t="s">
        <v>354</v>
      </c>
      <c r="G49" s="223"/>
      <c r="H49" s="1004" t="s">
        <v>354</v>
      </c>
      <c r="I49" s="1004" t="s">
        <v>354</v>
      </c>
      <c r="J49" s="1340" t="s">
        <v>354</v>
      </c>
      <c r="K49" s="844" t="s">
        <v>354</v>
      </c>
      <c r="L49" s="1403" t="s">
        <v>354</v>
      </c>
      <c r="M49" s="845"/>
      <c r="N49" s="224" t="s">
        <v>354</v>
      </c>
      <c r="O49" s="223"/>
      <c r="P49" s="1004" t="s">
        <v>354</v>
      </c>
      <c r="Q49" s="1004" t="s">
        <v>354</v>
      </c>
      <c r="R49" s="1340" t="s">
        <v>354</v>
      </c>
      <c r="S49" s="844" t="s">
        <v>354</v>
      </c>
      <c r="T49" s="1406" t="str">
        <f t="shared" si="43"/>
        <v/>
      </c>
      <c r="U49" s="845"/>
      <c r="V49" s="224" t="s">
        <v>354</v>
      </c>
      <c r="X49" s="196" t="str">
        <f t="shared" si="4"/>
        <v/>
      </c>
      <c r="Y49" s="196" t="str">
        <f t="shared" si="5"/>
        <v/>
      </c>
      <c r="Z49" s="154" t="b">
        <f>IF(OR(SURVEYMODE=3,C49=""),FALSE,IF(AND(SUMPRODUCT((INDEX('Cover Page'!$I$89:$N$89,1,MATCH(C49,'Cover Page'!$I$88:$N$88,0))=$D$17)*(INDEX('Cover Page'!$I$104:$N$104,1,MATCH(C49,'Cover Page'!$I$88:$N$88,0))&gt;0))=0,D49="Y"),TRUE,FALSE))</f>
        <v>0</v>
      </c>
      <c r="AA49" s="196" t="str">
        <f t="shared" si="6"/>
        <v/>
      </c>
      <c r="AB49" s="196" t="str">
        <f t="shared" si="7"/>
        <v/>
      </c>
      <c r="AD49" s="196" t="str">
        <f t="shared" si="8"/>
        <v/>
      </c>
      <c r="AE49" s="196" t="str">
        <f t="shared" si="9"/>
        <v/>
      </c>
      <c r="AG49" s="196" t="str">
        <f t="shared" si="10"/>
        <v/>
      </c>
      <c r="AH49" s="196" t="str">
        <f t="shared" si="11"/>
        <v/>
      </c>
      <c r="AJ49" s="196" t="str">
        <f t="shared" si="12"/>
        <v/>
      </c>
      <c r="AK49" s="196" t="str">
        <f t="shared" si="13"/>
        <v/>
      </c>
      <c r="AM49" s="196" t="str">
        <f t="shared" si="14"/>
        <v/>
      </c>
      <c r="AN49" s="196" t="str">
        <f t="shared" si="15"/>
        <v/>
      </c>
      <c r="AP49" s="196" t="str">
        <f t="shared" si="16"/>
        <v/>
      </c>
      <c r="AQ49" s="196" t="str">
        <f t="shared" si="17"/>
        <v/>
      </c>
      <c r="AS49" s="196" t="str">
        <f t="shared" si="18"/>
        <v/>
      </c>
      <c r="AT49" s="196" t="str">
        <f t="shared" si="19"/>
        <v/>
      </c>
      <c r="AV49" s="196" t="str">
        <f t="shared" si="20"/>
        <v/>
      </c>
      <c r="AW49" s="196" t="str">
        <f t="shared" si="21"/>
        <v/>
      </c>
      <c r="AY49" s="196" t="str">
        <f t="shared" si="22"/>
        <v/>
      </c>
      <c r="AZ49" s="196" t="str">
        <f t="shared" si="23"/>
        <v/>
      </c>
      <c r="BB49" s="196" t="str">
        <f t="shared" si="69"/>
        <v/>
      </c>
      <c r="BC49" s="196" t="str">
        <f t="shared" si="70"/>
        <v/>
      </c>
      <c r="BE49" s="196" t="str">
        <f t="shared" si="71"/>
        <v/>
      </c>
      <c r="BF49" s="196" t="str">
        <f t="shared" si="72"/>
        <v/>
      </c>
      <c r="BH49" s="196" t="str">
        <f t="shared" si="28"/>
        <v/>
      </c>
      <c r="BI49" s="196" t="str">
        <f t="shared" si="29"/>
        <v/>
      </c>
      <c r="BK49" s="196" t="str">
        <f t="shared" si="30"/>
        <v/>
      </c>
      <c r="BL49" s="196" t="str">
        <f t="shared" si="31"/>
        <v/>
      </c>
      <c r="BN49" s="204" t="str">
        <f t="shared" si="44"/>
        <v/>
      </c>
      <c r="BO49" s="204" t="str">
        <f t="shared" si="45"/>
        <v/>
      </c>
      <c r="BP49" s="204" t="str">
        <f t="shared" si="46"/>
        <v/>
      </c>
      <c r="BQ49" s="204" t="str">
        <f t="shared" si="47"/>
        <v/>
      </c>
      <c r="BR49" s="204" t="str">
        <f t="shared" si="48"/>
        <v/>
      </c>
      <c r="BS49" s="204" t="str">
        <f t="shared" si="49"/>
        <v/>
      </c>
      <c r="BU49" s="204" t="str">
        <f t="shared" si="50"/>
        <v/>
      </c>
      <c r="BV49" s="204" t="str">
        <f t="shared" si="51"/>
        <v/>
      </c>
      <c r="BW49" s="204" t="str">
        <f t="shared" si="52"/>
        <v/>
      </c>
      <c r="BX49" s="204" t="str">
        <f t="shared" si="53"/>
        <v/>
      </c>
      <c r="BY49" s="204" t="str">
        <f t="shared" si="54"/>
        <v/>
      </c>
      <c r="BZ49" s="204" t="str">
        <f t="shared" si="55"/>
        <v/>
      </c>
      <c r="CC49" s="118">
        <v>6</v>
      </c>
      <c r="CD49" s="299" t="str">
        <f t="shared" si="56"/>
        <v/>
      </c>
      <c r="CE49" s="118">
        <v>0.62</v>
      </c>
      <c r="CF49" s="118">
        <v>16.55</v>
      </c>
      <c r="CG49" s="300" t="str">
        <f t="shared" si="57"/>
        <v>ULL?</v>
      </c>
      <c r="CH49" s="118">
        <v>17.202999999999999</v>
      </c>
      <c r="CI49" s="118">
        <v>16.937999999999999</v>
      </c>
      <c r="CJ49" s="300" t="str">
        <f t="shared" si="58"/>
        <v>ULL?</v>
      </c>
      <c r="CK49" s="118">
        <v>17.597000000000001</v>
      </c>
      <c r="CL49" s="300">
        <f t="shared" si="32"/>
        <v>16.55</v>
      </c>
      <c r="CM49" s="301" t="str">
        <f t="shared" si="33"/>
        <v>ULL?</v>
      </c>
      <c r="CN49" s="300">
        <f t="shared" si="34"/>
        <v>17.202999999999999</v>
      </c>
      <c r="CP49" s="118">
        <v>6</v>
      </c>
      <c r="CQ49" s="299" t="str">
        <f t="shared" si="59"/>
        <v/>
      </c>
      <c r="CR49" s="118">
        <v>0.62</v>
      </c>
      <c r="CS49" s="118">
        <v>16.55</v>
      </c>
      <c r="CT49" s="300" t="str">
        <f t="shared" si="60"/>
        <v>ULL?</v>
      </c>
      <c r="CU49" s="118">
        <v>17.202999999999999</v>
      </c>
      <c r="CV49" s="118">
        <v>16.937999999999999</v>
      </c>
      <c r="CW49" s="300" t="str">
        <f t="shared" si="61"/>
        <v>ULL?</v>
      </c>
      <c r="CX49" s="118">
        <v>17.597000000000001</v>
      </c>
      <c r="CY49" s="300" t="str">
        <f t="shared" si="35"/>
        <v>TRIM?</v>
      </c>
      <c r="CZ49" s="301" t="str">
        <f t="shared" si="36"/>
        <v>TRIM?</v>
      </c>
      <c r="DA49" s="300" t="str">
        <f t="shared" si="37"/>
        <v>TRIM?</v>
      </c>
      <c r="DC49" s="204" t="str">
        <f t="shared" si="62"/>
        <v/>
      </c>
      <c r="DD49" s="297" t="str">
        <f t="shared" si="67"/>
        <v/>
      </c>
      <c r="DE49" s="297" t="str">
        <f t="shared" si="63"/>
        <v/>
      </c>
      <c r="DF49" s="1141" t="str">
        <f>IF($DE49="","",IF(DD49&gt;=DJ49,DC49,IF(INDEX('Cover Page'!$AI$106:$AJ$111,MATCH($C49,'Cover Page'!$AC$106:$AC$111,0),D1SEL)="",DC49,INDEX('Cover Page'!$AI$106:$AJ$111,MATCH($C49,'Cover Page'!$AC$106:$AC$111,0),D1SEL))))</f>
        <v/>
      </c>
      <c r="DG49" s="297" t="str">
        <f t="shared" si="64"/>
        <v/>
      </c>
      <c r="DH49" s="297" t="str">
        <f t="shared" si="65"/>
        <v/>
      </c>
      <c r="DI49" s="204" t="str">
        <f t="shared" si="66"/>
        <v/>
      </c>
      <c r="DJ49" s="297" t="str">
        <f t="shared" si="68"/>
        <v/>
      </c>
    </row>
    <row r="50" spans="1:114" ht="15.75">
      <c r="A50" s="1286" t="s">
        <v>284</v>
      </c>
      <c r="B50" s="840"/>
      <c r="C50" s="215"/>
      <c r="D50" s="216"/>
      <c r="E50" s="999" t="s">
        <v>354</v>
      </c>
      <c r="F50" s="999" t="s">
        <v>354</v>
      </c>
      <c r="G50" s="218"/>
      <c r="H50" s="1003" t="s">
        <v>354</v>
      </c>
      <c r="I50" s="1003" t="s">
        <v>354</v>
      </c>
      <c r="J50" s="1339" t="s">
        <v>354</v>
      </c>
      <c r="K50" s="841" t="s">
        <v>354</v>
      </c>
      <c r="L50" s="1402" t="s">
        <v>354</v>
      </c>
      <c r="M50" s="842"/>
      <c r="N50" s="219" t="s">
        <v>354</v>
      </c>
      <c r="O50" s="218"/>
      <c r="P50" s="1003" t="s">
        <v>354</v>
      </c>
      <c r="Q50" s="1003" t="s">
        <v>354</v>
      </c>
      <c r="R50" s="1339" t="s">
        <v>354</v>
      </c>
      <c r="S50" s="841" t="s">
        <v>354</v>
      </c>
      <c r="T50" s="1406" t="str">
        <f t="shared" si="43"/>
        <v/>
      </c>
      <c r="U50" s="842"/>
      <c r="V50" s="219" t="s">
        <v>354</v>
      </c>
      <c r="X50" s="196" t="str">
        <f t="shared" si="4"/>
        <v/>
      </c>
      <c r="Y50" s="196" t="str">
        <f t="shared" si="5"/>
        <v/>
      </c>
      <c r="Z50" s="154" t="b">
        <f>IF(OR(SURVEYMODE=3,C50=""),FALSE,IF(AND(SUMPRODUCT((INDEX('Cover Page'!$I$89:$N$89,1,MATCH(C50,'Cover Page'!$I$88:$N$88,0))=$D$17)*(INDEX('Cover Page'!$I$104:$N$104,1,MATCH(C50,'Cover Page'!$I$88:$N$88,0))&gt;0))=0,D50="Y"),TRUE,FALSE))</f>
        <v>0</v>
      </c>
      <c r="AA50" s="196" t="str">
        <f t="shared" si="6"/>
        <v/>
      </c>
      <c r="AB50" s="196" t="str">
        <f t="shared" si="7"/>
        <v/>
      </c>
      <c r="AD50" s="196" t="str">
        <f t="shared" si="8"/>
        <v/>
      </c>
      <c r="AE50" s="196" t="str">
        <f t="shared" si="9"/>
        <v/>
      </c>
      <c r="AG50" s="196" t="str">
        <f t="shared" si="10"/>
        <v/>
      </c>
      <c r="AH50" s="196" t="str">
        <f t="shared" si="11"/>
        <v/>
      </c>
      <c r="AJ50" s="196" t="str">
        <f t="shared" si="12"/>
        <v/>
      </c>
      <c r="AK50" s="196" t="str">
        <f t="shared" si="13"/>
        <v/>
      </c>
      <c r="AM50" s="196" t="str">
        <f t="shared" si="14"/>
        <v/>
      </c>
      <c r="AN50" s="196" t="str">
        <f t="shared" si="15"/>
        <v/>
      </c>
      <c r="AP50" s="196" t="str">
        <f t="shared" si="16"/>
        <v/>
      </c>
      <c r="AQ50" s="196" t="str">
        <f t="shared" si="17"/>
        <v/>
      </c>
      <c r="AS50" s="196" t="str">
        <f t="shared" si="18"/>
        <v/>
      </c>
      <c r="AT50" s="196" t="str">
        <f t="shared" si="19"/>
        <v/>
      </c>
      <c r="AV50" s="196" t="str">
        <f t="shared" si="20"/>
        <v/>
      </c>
      <c r="AW50" s="196" t="str">
        <f t="shared" si="21"/>
        <v/>
      </c>
      <c r="AY50" s="196" t="str">
        <f t="shared" si="22"/>
        <v/>
      </c>
      <c r="AZ50" s="196" t="str">
        <f t="shared" si="23"/>
        <v/>
      </c>
      <c r="BB50" s="196" t="str">
        <f t="shared" si="69"/>
        <v/>
      </c>
      <c r="BC50" s="196" t="str">
        <f t="shared" si="70"/>
        <v/>
      </c>
      <c r="BE50" s="196" t="str">
        <f t="shared" si="71"/>
        <v/>
      </c>
      <c r="BF50" s="196" t="str">
        <f t="shared" si="72"/>
        <v/>
      </c>
      <c r="BH50" s="196" t="str">
        <f t="shared" si="28"/>
        <v/>
      </c>
      <c r="BI50" s="196" t="str">
        <f t="shared" si="29"/>
        <v/>
      </c>
      <c r="BK50" s="196" t="str">
        <f t="shared" si="30"/>
        <v/>
      </c>
      <c r="BL50" s="196" t="str">
        <f t="shared" si="31"/>
        <v/>
      </c>
      <c r="BN50" s="204" t="str">
        <f t="shared" si="44"/>
        <v/>
      </c>
      <c r="BO50" s="204" t="str">
        <f t="shared" si="45"/>
        <v/>
      </c>
      <c r="BP50" s="204" t="str">
        <f t="shared" si="46"/>
        <v/>
      </c>
      <c r="BQ50" s="204" t="str">
        <f t="shared" si="47"/>
        <v/>
      </c>
      <c r="BR50" s="204" t="str">
        <f t="shared" si="48"/>
        <v/>
      </c>
      <c r="BS50" s="204" t="str">
        <f t="shared" si="49"/>
        <v/>
      </c>
      <c r="BU50" s="204" t="str">
        <f t="shared" si="50"/>
        <v/>
      </c>
      <c r="BV50" s="204" t="str">
        <f t="shared" si="51"/>
        <v/>
      </c>
      <c r="BW50" s="204" t="str">
        <f t="shared" si="52"/>
        <v/>
      </c>
      <c r="BX50" s="204" t="str">
        <f t="shared" si="53"/>
        <v/>
      </c>
      <c r="BY50" s="204" t="str">
        <f t="shared" si="54"/>
        <v/>
      </c>
      <c r="BZ50" s="204" t="str">
        <f t="shared" si="55"/>
        <v/>
      </c>
      <c r="CC50" s="118">
        <v>6</v>
      </c>
      <c r="CD50" s="299" t="str">
        <f t="shared" si="56"/>
        <v/>
      </c>
      <c r="CE50" s="118">
        <v>0.62</v>
      </c>
      <c r="CF50" s="118">
        <v>16.55</v>
      </c>
      <c r="CG50" s="300" t="str">
        <f t="shared" si="57"/>
        <v>ULL?</v>
      </c>
      <c r="CH50" s="118">
        <v>17.202999999999999</v>
      </c>
      <c r="CI50" s="118">
        <v>16.937999999999999</v>
      </c>
      <c r="CJ50" s="300" t="str">
        <f t="shared" si="58"/>
        <v>ULL?</v>
      </c>
      <c r="CK50" s="118">
        <v>17.597000000000001</v>
      </c>
      <c r="CL50" s="300">
        <f t="shared" si="32"/>
        <v>16.55</v>
      </c>
      <c r="CM50" s="301" t="str">
        <f t="shared" si="33"/>
        <v>ULL?</v>
      </c>
      <c r="CN50" s="300">
        <f t="shared" si="34"/>
        <v>17.202999999999999</v>
      </c>
      <c r="CP50" s="118">
        <v>6</v>
      </c>
      <c r="CQ50" s="299" t="str">
        <f t="shared" si="59"/>
        <v/>
      </c>
      <c r="CR50" s="118">
        <v>0.62</v>
      </c>
      <c r="CS50" s="118">
        <v>16.55</v>
      </c>
      <c r="CT50" s="300" t="str">
        <f t="shared" si="60"/>
        <v>ULL?</v>
      </c>
      <c r="CU50" s="118">
        <v>17.202999999999999</v>
      </c>
      <c r="CV50" s="118">
        <v>16.937999999999999</v>
      </c>
      <c r="CW50" s="300" t="str">
        <f t="shared" si="61"/>
        <v>ULL?</v>
      </c>
      <c r="CX50" s="118">
        <v>17.597000000000001</v>
      </c>
      <c r="CY50" s="300" t="str">
        <f t="shared" si="35"/>
        <v>TRIM?</v>
      </c>
      <c r="CZ50" s="301" t="str">
        <f t="shared" si="36"/>
        <v>TRIM?</v>
      </c>
      <c r="DA50" s="300" t="str">
        <f t="shared" si="37"/>
        <v>TRIM?</v>
      </c>
      <c r="DC50" s="204" t="str">
        <f t="shared" si="62"/>
        <v/>
      </c>
      <c r="DD50" s="297" t="str">
        <f t="shared" si="67"/>
        <v/>
      </c>
      <c r="DE50" s="297" t="str">
        <f t="shared" si="63"/>
        <v/>
      </c>
      <c r="DF50" s="1141" t="str">
        <f>IF($DE50="","",IF(DD50&gt;=DJ50,DC50,IF(INDEX('Cover Page'!$AI$106:$AJ$111,MATCH($C50,'Cover Page'!$AC$106:$AC$111,0),D1SEL)="",DC50,INDEX('Cover Page'!$AI$106:$AJ$111,MATCH($C50,'Cover Page'!$AC$106:$AC$111,0),D1SEL))))</f>
        <v/>
      </c>
      <c r="DG50" s="297" t="str">
        <f t="shared" si="64"/>
        <v/>
      </c>
      <c r="DH50" s="297" t="str">
        <f t="shared" si="65"/>
        <v/>
      </c>
      <c r="DI50" s="204" t="str">
        <f t="shared" si="66"/>
        <v/>
      </c>
      <c r="DJ50" s="297" t="str">
        <f t="shared" si="68"/>
        <v/>
      </c>
    </row>
    <row r="51" spans="1:114" ht="15.75">
      <c r="A51" s="1286" t="s">
        <v>284</v>
      </c>
      <c r="B51" s="843"/>
      <c r="C51" s="220"/>
      <c r="D51" s="221"/>
      <c r="E51" s="1000" t="s">
        <v>354</v>
      </c>
      <c r="F51" s="1000" t="s">
        <v>354</v>
      </c>
      <c r="G51" s="223"/>
      <c r="H51" s="1004" t="s">
        <v>354</v>
      </c>
      <c r="I51" s="1004" t="s">
        <v>354</v>
      </c>
      <c r="J51" s="1340" t="s">
        <v>354</v>
      </c>
      <c r="K51" s="844" t="s">
        <v>354</v>
      </c>
      <c r="L51" s="1403" t="s">
        <v>354</v>
      </c>
      <c r="M51" s="845"/>
      <c r="N51" s="224" t="s">
        <v>354</v>
      </c>
      <c r="O51" s="223"/>
      <c r="P51" s="1004" t="s">
        <v>354</v>
      </c>
      <c r="Q51" s="1004" t="s">
        <v>354</v>
      </c>
      <c r="R51" s="1340" t="s">
        <v>354</v>
      </c>
      <c r="S51" s="844" t="s">
        <v>354</v>
      </c>
      <c r="T51" s="1406" t="str">
        <f t="shared" si="43"/>
        <v/>
      </c>
      <c r="U51" s="845"/>
      <c r="V51" s="224" t="s">
        <v>354</v>
      </c>
      <c r="X51" s="196" t="str">
        <f t="shared" si="4"/>
        <v/>
      </c>
      <c r="Y51" s="196" t="str">
        <f t="shared" si="5"/>
        <v/>
      </c>
      <c r="Z51" s="154" t="b">
        <f>IF(OR(SURVEYMODE=3,C51=""),FALSE,IF(AND(SUMPRODUCT((INDEX('Cover Page'!$I$89:$N$89,1,MATCH(C51,'Cover Page'!$I$88:$N$88,0))=$D$17)*(INDEX('Cover Page'!$I$104:$N$104,1,MATCH(C51,'Cover Page'!$I$88:$N$88,0))&gt;0))=0,D51="Y"),TRUE,FALSE))</f>
        <v>0</v>
      </c>
      <c r="AA51" s="196" t="str">
        <f t="shared" si="6"/>
        <v/>
      </c>
      <c r="AB51" s="196" t="str">
        <f t="shared" si="7"/>
        <v/>
      </c>
      <c r="AD51" s="196" t="str">
        <f t="shared" si="8"/>
        <v/>
      </c>
      <c r="AE51" s="196" t="str">
        <f t="shared" si="9"/>
        <v/>
      </c>
      <c r="AG51" s="196" t="str">
        <f t="shared" si="10"/>
        <v/>
      </c>
      <c r="AH51" s="196" t="str">
        <f t="shared" si="11"/>
        <v/>
      </c>
      <c r="AJ51" s="196" t="str">
        <f t="shared" si="12"/>
        <v/>
      </c>
      <c r="AK51" s="196" t="str">
        <f t="shared" si="13"/>
        <v/>
      </c>
      <c r="AM51" s="196" t="str">
        <f t="shared" si="14"/>
        <v/>
      </c>
      <c r="AN51" s="196" t="str">
        <f t="shared" si="15"/>
        <v/>
      </c>
      <c r="AP51" s="196" t="str">
        <f t="shared" si="16"/>
        <v/>
      </c>
      <c r="AQ51" s="196" t="str">
        <f t="shared" si="17"/>
        <v/>
      </c>
      <c r="AS51" s="196" t="str">
        <f t="shared" si="18"/>
        <v/>
      </c>
      <c r="AT51" s="196" t="str">
        <f t="shared" si="19"/>
        <v/>
      </c>
      <c r="AV51" s="196" t="str">
        <f t="shared" si="20"/>
        <v/>
      </c>
      <c r="AW51" s="196" t="str">
        <f t="shared" si="21"/>
        <v/>
      </c>
      <c r="AY51" s="196" t="str">
        <f t="shared" si="22"/>
        <v/>
      </c>
      <c r="AZ51" s="196" t="str">
        <f t="shared" si="23"/>
        <v/>
      </c>
      <c r="BB51" s="196" t="str">
        <f t="shared" si="69"/>
        <v/>
      </c>
      <c r="BC51" s="196" t="str">
        <f t="shared" si="70"/>
        <v/>
      </c>
      <c r="BE51" s="196" t="str">
        <f t="shared" si="71"/>
        <v/>
      </c>
      <c r="BF51" s="196" t="str">
        <f t="shared" si="72"/>
        <v/>
      </c>
      <c r="BH51" s="196" t="str">
        <f t="shared" si="28"/>
        <v/>
      </c>
      <c r="BI51" s="196" t="str">
        <f t="shared" si="29"/>
        <v/>
      </c>
      <c r="BK51" s="196" t="str">
        <f t="shared" si="30"/>
        <v/>
      </c>
      <c r="BL51" s="196" t="str">
        <f t="shared" si="31"/>
        <v/>
      </c>
      <c r="BN51" s="204" t="str">
        <f t="shared" si="44"/>
        <v/>
      </c>
      <c r="BO51" s="204" t="str">
        <f t="shared" si="45"/>
        <v/>
      </c>
      <c r="BP51" s="204" t="str">
        <f t="shared" si="46"/>
        <v/>
      </c>
      <c r="BQ51" s="204" t="str">
        <f t="shared" si="47"/>
        <v/>
      </c>
      <c r="BR51" s="204" t="str">
        <f t="shared" si="48"/>
        <v/>
      </c>
      <c r="BS51" s="204" t="str">
        <f t="shared" si="49"/>
        <v/>
      </c>
      <c r="BU51" s="204" t="str">
        <f t="shared" si="50"/>
        <v/>
      </c>
      <c r="BV51" s="204" t="str">
        <f t="shared" si="51"/>
        <v/>
      </c>
      <c r="BW51" s="204" t="str">
        <f t="shared" si="52"/>
        <v/>
      </c>
      <c r="BX51" s="204" t="str">
        <f t="shared" si="53"/>
        <v/>
      </c>
      <c r="BY51" s="204" t="str">
        <f t="shared" si="54"/>
        <v/>
      </c>
      <c r="BZ51" s="204" t="str">
        <f t="shared" si="55"/>
        <v/>
      </c>
      <c r="CC51" s="118"/>
      <c r="CD51" s="299" t="str">
        <f t="shared" si="56"/>
        <v/>
      </c>
      <c r="CE51" s="118"/>
      <c r="CF51" s="118"/>
      <c r="CG51" s="300">
        <f t="shared" si="57"/>
        <v>0</v>
      </c>
      <c r="CH51" s="118"/>
      <c r="CI51" s="118"/>
      <c r="CJ51" s="300">
        <f t="shared" si="58"/>
        <v>0</v>
      </c>
      <c r="CK51" s="118"/>
      <c r="CL51" s="300">
        <f t="shared" si="32"/>
        <v>0</v>
      </c>
      <c r="CM51" s="301">
        <f t="shared" si="33"/>
        <v>0</v>
      </c>
      <c r="CN51" s="300">
        <f t="shared" si="34"/>
        <v>0</v>
      </c>
      <c r="CP51" s="118">
        <v>6</v>
      </c>
      <c r="CQ51" s="299" t="str">
        <f t="shared" si="59"/>
        <v/>
      </c>
      <c r="CR51" s="118">
        <v>0.62</v>
      </c>
      <c r="CS51" s="118">
        <v>16.55</v>
      </c>
      <c r="CT51" s="300" t="str">
        <f t="shared" si="60"/>
        <v>ULL?</v>
      </c>
      <c r="CU51" s="118">
        <v>17.202999999999999</v>
      </c>
      <c r="CV51" s="118">
        <v>16.937999999999999</v>
      </c>
      <c r="CW51" s="300" t="str">
        <f t="shared" si="61"/>
        <v>ULL?</v>
      </c>
      <c r="CX51" s="118">
        <v>17.597000000000001</v>
      </c>
      <c r="CY51" s="300" t="str">
        <f t="shared" si="35"/>
        <v>TRIM?</v>
      </c>
      <c r="CZ51" s="301" t="str">
        <f t="shared" si="36"/>
        <v>TRIM?</v>
      </c>
      <c r="DA51" s="300" t="str">
        <f t="shared" si="37"/>
        <v>TRIM?</v>
      </c>
      <c r="DC51" s="204" t="str">
        <f t="shared" si="62"/>
        <v/>
      </c>
      <c r="DD51" s="297" t="str">
        <f t="shared" si="67"/>
        <v/>
      </c>
      <c r="DE51" s="297" t="str">
        <f t="shared" si="63"/>
        <v/>
      </c>
      <c r="DF51" s="1141" t="str">
        <f>IF($DE51="","",IF(DD51&gt;=DJ51,DC51,IF(INDEX('Cover Page'!$AI$106:$AJ$111,MATCH($C51,'Cover Page'!$AC$106:$AC$111,0),D1SEL)="",DC51,INDEX('Cover Page'!$AI$106:$AJ$111,MATCH($C51,'Cover Page'!$AC$106:$AC$111,0),D1SEL))))</f>
        <v/>
      </c>
      <c r="DG51" s="297" t="str">
        <f t="shared" si="64"/>
        <v/>
      </c>
      <c r="DH51" s="297" t="str">
        <f t="shared" si="65"/>
        <v/>
      </c>
      <c r="DI51" s="204" t="str">
        <f t="shared" si="66"/>
        <v/>
      </c>
      <c r="DJ51" s="297" t="str">
        <f t="shared" si="68"/>
        <v/>
      </c>
    </row>
    <row r="52" spans="1:114" ht="15.75">
      <c r="A52" s="1286" t="s">
        <v>284</v>
      </c>
      <c r="B52" s="840"/>
      <c r="C52" s="215"/>
      <c r="D52" s="216"/>
      <c r="E52" s="999" t="s">
        <v>354</v>
      </c>
      <c r="F52" s="999" t="s">
        <v>354</v>
      </c>
      <c r="G52" s="218"/>
      <c r="H52" s="1003" t="s">
        <v>354</v>
      </c>
      <c r="I52" s="1003" t="s">
        <v>354</v>
      </c>
      <c r="J52" s="1339" t="s">
        <v>354</v>
      </c>
      <c r="K52" s="841" t="s">
        <v>354</v>
      </c>
      <c r="L52" s="1402" t="s">
        <v>354</v>
      </c>
      <c r="M52" s="842"/>
      <c r="N52" s="219" t="s">
        <v>354</v>
      </c>
      <c r="O52" s="218"/>
      <c r="P52" s="1003" t="s">
        <v>354</v>
      </c>
      <c r="Q52" s="1003" t="s">
        <v>354</v>
      </c>
      <c r="R52" s="1339" t="s">
        <v>354</v>
      </c>
      <c r="S52" s="841" t="s">
        <v>354</v>
      </c>
      <c r="T52" s="1406" t="str">
        <f t="shared" si="43"/>
        <v/>
      </c>
      <c r="U52" s="842"/>
      <c r="V52" s="219" t="s">
        <v>354</v>
      </c>
      <c r="X52" s="196" t="str">
        <f t="shared" si="4"/>
        <v/>
      </c>
      <c r="Y52" s="196" t="str">
        <f t="shared" si="5"/>
        <v/>
      </c>
      <c r="Z52" s="154" t="b">
        <f>IF(OR(SURVEYMODE=3,C52=""),FALSE,IF(AND(SUMPRODUCT((INDEX('Cover Page'!$I$89:$N$89,1,MATCH(C52,'Cover Page'!$I$88:$N$88,0))=$D$17)*(INDEX('Cover Page'!$I$104:$N$104,1,MATCH(C52,'Cover Page'!$I$88:$N$88,0))&gt;0))=0,D52="Y"),TRUE,FALSE))</f>
        <v>0</v>
      </c>
      <c r="AA52" s="196" t="str">
        <f t="shared" si="6"/>
        <v/>
      </c>
      <c r="AB52" s="196" t="str">
        <f t="shared" si="7"/>
        <v/>
      </c>
      <c r="AD52" s="196" t="str">
        <f t="shared" si="8"/>
        <v/>
      </c>
      <c r="AE52" s="196" t="str">
        <f t="shared" si="9"/>
        <v/>
      </c>
      <c r="AG52" s="196" t="str">
        <f t="shared" si="10"/>
        <v/>
      </c>
      <c r="AH52" s="196" t="str">
        <f t="shared" si="11"/>
        <v/>
      </c>
      <c r="AJ52" s="196" t="str">
        <f t="shared" si="12"/>
        <v/>
      </c>
      <c r="AK52" s="196" t="str">
        <f t="shared" si="13"/>
        <v/>
      </c>
      <c r="AM52" s="196" t="str">
        <f t="shared" si="14"/>
        <v/>
      </c>
      <c r="AN52" s="196" t="str">
        <f t="shared" si="15"/>
        <v/>
      </c>
      <c r="AP52" s="196" t="str">
        <f t="shared" si="16"/>
        <v/>
      </c>
      <c r="AQ52" s="196" t="str">
        <f t="shared" si="17"/>
        <v/>
      </c>
      <c r="AS52" s="196" t="str">
        <f t="shared" si="18"/>
        <v/>
      </c>
      <c r="AT52" s="196" t="str">
        <f t="shared" si="19"/>
        <v/>
      </c>
      <c r="AV52" s="196" t="str">
        <f t="shared" si="20"/>
        <v/>
      </c>
      <c r="AW52" s="196" t="str">
        <f t="shared" si="21"/>
        <v/>
      </c>
      <c r="AY52" s="196" t="str">
        <f t="shared" si="22"/>
        <v/>
      </c>
      <c r="AZ52" s="196" t="str">
        <f t="shared" si="23"/>
        <v/>
      </c>
      <c r="BB52" s="196" t="str">
        <f t="shared" si="69"/>
        <v/>
      </c>
      <c r="BC52" s="196" t="str">
        <f t="shared" si="70"/>
        <v/>
      </c>
      <c r="BE52" s="196" t="str">
        <f t="shared" si="71"/>
        <v/>
      </c>
      <c r="BF52" s="196" t="str">
        <f t="shared" si="72"/>
        <v/>
      </c>
      <c r="BH52" s="196" t="str">
        <f t="shared" si="28"/>
        <v/>
      </c>
      <c r="BI52" s="196" t="str">
        <f t="shared" si="29"/>
        <v/>
      </c>
      <c r="BK52" s="196" t="str">
        <f t="shared" si="30"/>
        <v/>
      </c>
      <c r="BL52" s="196" t="str">
        <f t="shared" si="31"/>
        <v/>
      </c>
      <c r="BN52" s="204" t="str">
        <f t="shared" si="44"/>
        <v/>
      </c>
      <c r="BO52" s="204" t="str">
        <f t="shared" si="45"/>
        <v/>
      </c>
      <c r="BP52" s="204" t="str">
        <f t="shared" si="46"/>
        <v/>
      </c>
      <c r="BQ52" s="204" t="str">
        <f t="shared" si="47"/>
        <v/>
      </c>
      <c r="BR52" s="204" t="str">
        <f t="shared" si="48"/>
        <v/>
      </c>
      <c r="BS52" s="204" t="str">
        <f t="shared" si="49"/>
        <v/>
      </c>
      <c r="BU52" s="204" t="str">
        <f t="shared" si="50"/>
        <v/>
      </c>
      <c r="BV52" s="204" t="str">
        <f t="shared" si="51"/>
        <v/>
      </c>
      <c r="BW52" s="204" t="str">
        <f t="shared" si="52"/>
        <v/>
      </c>
      <c r="BX52" s="204" t="str">
        <f t="shared" si="53"/>
        <v/>
      </c>
      <c r="BY52" s="204" t="str">
        <f t="shared" si="54"/>
        <v/>
      </c>
      <c r="BZ52" s="204" t="str">
        <f t="shared" si="55"/>
        <v/>
      </c>
      <c r="CC52" s="118"/>
      <c r="CD52" s="299" t="str">
        <f t="shared" si="56"/>
        <v/>
      </c>
      <c r="CE52" s="118"/>
      <c r="CF52" s="118"/>
      <c r="CG52" s="300">
        <f t="shared" si="57"/>
        <v>0</v>
      </c>
      <c r="CH52" s="118"/>
      <c r="CI52" s="118"/>
      <c r="CJ52" s="300">
        <f t="shared" si="58"/>
        <v>0</v>
      </c>
      <c r="CK52" s="118"/>
      <c r="CL52" s="300">
        <f t="shared" si="32"/>
        <v>0</v>
      </c>
      <c r="CM52" s="301">
        <f t="shared" si="33"/>
        <v>0</v>
      </c>
      <c r="CN52" s="300">
        <f t="shared" si="34"/>
        <v>0</v>
      </c>
      <c r="CP52" s="118">
        <v>6</v>
      </c>
      <c r="CQ52" s="299" t="str">
        <f t="shared" si="59"/>
        <v/>
      </c>
      <c r="CR52" s="118">
        <v>0.62</v>
      </c>
      <c r="CS52" s="118">
        <v>16.55</v>
      </c>
      <c r="CT52" s="300" t="str">
        <f t="shared" si="60"/>
        <v>ULL?</v>
      </c>
      <c r="CU52" s="118">
        <v>17.202999999999999</v>
      </c>
      <c r="CV52" s="118">
        <v>16.937999999999999</v>
      </c>
      <c r="CW52" s="300" t="str">
        <f t="shared" si="61"/>
        <v>ULL?</v>
      </c>
      <c r="CX52" s="118">
        <v>17.597000000000001</v>
      </c>
      <c r="CY52" s="300" t="str">
        <f t="shared" si="35"/>
        <v>TRIM?</v>
      </c>
      <c r="CZ52" s="301" t="str">
        <f t="shared" si="36"/>
        <v>TRIM?</v>
      </c>
      <c r="DA52" s="300" t="str">
        <f t="shared" si="37"/>
        <v>TRIM?</v>
      </c>
      <c r="DC52" s="204" t="str">
        <f t="shared" si="62"/>
        <v/>
      </c>
      <c r="DD52" s="297" t="str">
        <f t="shared" si="67"/>
        <v/>
      </c>
      <c r="DE52" s="297" t="str">
        <f t="shared" si="63"/>
        <v/>
      </c>
      <c r="DF52" s="1141" t="str">
        <f>IF($DE52="","",IF(DD52&gt;=DJ52,DC52,IF(INDEX('Cover Page'!$AI$106:$AJ$111,MATCH($C52,'Cover Page'!$AC$106:$AC$111,0),D1SEL)="",DC52,INDEX('Cover Page'!$AI$106:$AJ$111,MATCH($C52,'Cover Page'!$AC$106:$AC$111,0),D1SEL))))</f>
        <v/>
      </c>
      <c r="DG52" s="297" t="str">
        <f t="shared" si="64"/>
        <v/>
      </c>
      <c r="DH52" s="297" t="str">
        <f t="shared" si="65"/>
        <v/>
      </c>
      <c r="DI52" s="204" t="str">
        <f t="shared" si="66"/>
        <v/>
      </c>
      <c r="DJ52" s="297" t="str">
        <f t="shared" si="68"/>
        <v/>
      </c>
    </row>
    <row r="53" spans="1:114" ht="15.75">
      <c r="A53" s="1286" t="s">
        <v>284</v>
      </c>
      <c r="B53" s="843"/>
      <c r="C53" s="220"/>
      <c r="D53" s="221"/>
      <c r="E53" s="1000" t="s">
        <v>354</v>
      </c>
      <c r="F53" s="1000" t="s">
        <v>354</v>
      </c>
      <c r="G53" s="223"/>
      <c r="H53" s="1004" t="s">
        <v>354</v>
      </c>
      <c r="I53" s="1004" t="s">
        <v>354</v>
      </c>
      <c r="J53" s="1340" t="s">
        <v>354</v>
      </c>
      <c r="K53" s="844" t="s">
        <v>354</v>
      </c>
      <c r="L53" s="1403" t="s">
        <v>354</v>
      </c>
      <c r="M53" s="845"/>
      <c r="N53" s="224" t="s">
        <v>354</v>
      </c>
      <c r="O53" s="223"/>
      <c r="P53" s="1004" t="s">
        <v>354</v>
      </c>
      <c r="Q53" s="1004" t="s">
        <v>354</v>
      </c>
      <c r="R53" s="1340" t="s">
        <v>354</v>
      </c>
      <c r="S53" s="844" t="s">
        <v>354</v>
      </c>
      <c r="T53" s="1406" t="str">
        <f t="shared" si="43"/>
        <v/>
      </c>
      <c r="U53" s="845"/>
      <c r="V53" s="224" t="s">
        <v>354</v>
      </c>
      <c r="X53" s="196" t="str">
        <f t="shared" si="4"/>
        <v/>
      </c>
      <c r="Y53" s="196" t="str">
        <f t="shared" si="5"/>
        <v/>
      </c>
      <c r="Z53" s="154" t="b">
        <f>IF(OR(SURVEYMODE=3,C53=""),FALSE,IF(AND(SUMPRODUCT((INDEX('Cover Page'!$I$89:$N$89,1,MATCH(C53,'Cover Page'!$I$88:$N$88,0))=$D$17)*(INDEX('Cover Page'!$I$104:$N$104,1,MATCH(C53,'Cover Page'!$I$88:$N$88,0))&gt;0))=0,D53="Y"),TRUE,FALSE))</f>
        <v>0</v>
      </c>
      <c r="AA53" s="196" t="str">
        <f t="shared" si="6"/>
        <v/>
      </c>
      <c r="AB53" s="196" t="str">
        <f t="shared" si="7"/>
        <v/>
      </c>
      <c r="AD53" s="196" t="str">
        <f t="shared" si="8"/>
        <v/>
      </c>
      <c r="AE53" s="196" t="str">
        <f t="shared" si="9"/>
        <v/>
      </c>
      <c r="AG53" s="196" t="str">
        <f t="shared" si="10"/>
        <v/>
      </c>
      <c r="AH53" s="196" t="str">
        <f t="shared" si="11"/>
        <v/>
      </c>
      <c r="AJ53" s="196" t="str">
        <f t="shared" si="12"/>
        <v/>
      </c>
      <c r="AK53" s="196" t="str">
        <f t="shared" si="13"/>
        <v/>
      </c>
      <c r="AM53" s="196" t="str">
        <f t="shared" si="14"/>
        <v/>
      </c>
      <c r="AN53" s="196" t="str">
        <f t="shared" si="15"/>
        <v/>
      </c>
      <c r="AP53" s="196" t="str">
        <f t="shared" si="16"/>
        <v/>
      </c>
      <c r="AQ53" s="196" t="str">
        <f t="shared" si="17"/>
        <v/>
      </c>
      <c r="AS53" s="196" t="str">
        <f t="shared" si="18"/>
        <v/>
      </c>
      <c r="AT53" s="196" t="str">
        <f t="shared" si="19"/>
        <v/>
      </c>
      <c r="AV53" s="196" t="str">
        <f t="shared" si="20"/>
        <v/>
      </c>
      <c r="AW53" s="196" t="str">
        <f t="shared" si="21"/>
        <v/>
      </c>
      <c r="AY53" s="196" t="str">
        <f t="shared" si="22"/>
        <v/>
      </c>
      <c r="AZ53" s="196" t="str">
        <f t="shared" si="23"/>
        <v/>
      </c>
      <c r="BB53" s="196" t="str">
        <f t="shared" si="69"/>
        <v/>
      </c>
      <c r="BC53" s="196" t="str">
        <f t="shared" si="70"/>
        <v/>
      </c>
      <c r="BE53" s="196" t="str">
        <f t="shared" si="71"/>
        <v/>
      </c>
      <c r="BF53" s="196" t="str">
        <f t="shared" si="72"/>
        <v/>
      </c>
      <c r="BH53" s="196" t="str">
        <f t="shared" si="28"/>
        <v/>
      </c>
      <c r="BI53" s="196" t="str">
        <f t="shared" si="29"/>
        <v/>
      </c>
      <c r="BK53" s="196" t="str">
        <f t="shared" si="30"/>
        <v/>
      </c>
      <c r="BL53" s="196" t="str">
        <f t="shared" si="31"/>
        <v/>
      </c>
      <c r="BN53" s="204" t="str">
        <f t="shared" si="44"/>
        <v/>
      </c>
      <c r="BO53" s="204" t="str">
        <f t="shared" si="45"/>
        <v/>
      </c>
      <c r="BP53" s="204" t="str">
        <f t="shared" si="46"/>
        <v/>
      </c>
      <c r="BQ53" s="204" t="str">
        <f t="shared" si="47"/>
        <v/>
      </c>
      <c r="BR53" s="204" t="str">
        <f t="shared" si="48"/>
        <v/>
      </c>
      <c r="BS53" s="204" t="str">
        <f t="shared" si="49"/>
        <v/>
      </c>
      <c r="BU53" s="204" t="str">
        <f t="shared" si="50"/>
        <v/>
      </c>
      <c r="BV53" s="204" t="str">
        <f t="shared" si="51"/>
        <v/>
      </c>
      <c r="BW53" s="204" t="str">
        <f t="shared" si="52"/>
        <v/>
      </c>
      <c r="BX53" s="204" t="str">
        <f t="shared" si="53"/>
        <v/>
      </c>
      <c r="BY53" s="204" t="str">
        <f t="shared" si="54"/>
        <v/>
      </c>
      <c r="BZ53" s="204" t="str">
        <f t="shared" si="55"/>
        <v/>
      </c>
      <c r="CC53" s="118"/>
      <c r="CD53" s="299" t="str">
        <f t="shared" si="56"/>
        <v/>
      </c>
      <c r="CE53" s="118"/>
      <c r="CF53" s="118"/>
      <c r="CG53" s="300">
        <f t="shared" si="57"/>
        <v>0</v>
      </c>
      <c r="CH53" s="118"/>
      <c r="CI53" s="118"/>
      <c r="CJ53" s="300">
        <f t="shared" si="58"/>
        <v>0</v>
      </c>
      <c r="CK53" s="118"/>
      <c r="CL53" s="300">
        <f t="shared" si="32"/>
        <v>0</v>
      </c>
      <c r="CM53" s="301">
        <f t="shared" si="33"/>
        <v>0</v>
      </c>
      <c r="CN53" s="300">
        <f t="shared" si="34"/>
        <v>0</v>
      </c>
      <c r="CP53" s="118">
        <v>6</v>
      </c>
      <c r="CQ53" s="299" t="str">
        <f t="shared" si="59"/>
        <v/>
      </c>
      <c r="CR53" s="118">
        <v>0.62</v>
      </c>
      <c r="CS53" s="118">
        <v>16.55</v>
      </c>
      <c r="CT53" s="300" t="str">
        <f t="shared" si="60"/>
        <v>ULL?</v>
      </c>
      <c r="CU53" s="118">
        <v>17.202999999999999</v>
      </c>
      <c r="CV53" s="118">
        <v>16.937999999999999</v>
      </c>
      <c r="CW53" s="300" t="str">
        <f t="shared" si="61"/>
        <v>ULL?</v>
      </c>
      <c r="CX53" s="118">
        <v>17.597000000000001</v>
      </c>
      <c r="CY53" s="300" t="str">
        <f t="shared" si="35"/>
        <v>TRIM?</v>
      </c>
      <c r="CZ53" s="301" t="str">
        <f t="shared" si="36"/>
        <v>TRIM?</v>
      </c>
      <c r="DA53" s="300" t="str">
        <f t="shared" si="37"/>
        <v>TRIM?</v>
      </c>
      <c r="DC53" s="204" t="str">
        <f t="shared" si="62"/>
        <v/>
      </c>
      <c r="DD53" s="297" t="str">
        <f t="shared" si="67"/>
        <v/>
      </c>
      <c r="DE53" s="297" t="str">
        <f t="shared" si="63"/>
        <v/>
      </c>
      <c r="DF53" s="1141" t="str">
        <f>IF($DE53="","",IF(DD53&gt;=DJ53,DC53,IF(INDEX('Cover Page'!$AI$106:$AJ$111,MATCH($C53,'Cover Page'!$AC$106:$AC$111,0),D1SEL)="",DC53,INDEX('Cover Page'!$AI$106:$AJ$111,MATCH($C53,'Cover Page'!$AC$106:$AC$111,0),D1SEL))))</f>
        <v/>
      </c>
      <c r="DG53" s="297" t="str">
        <f t="shared" si="64"/>
        <v/>
      </c>
      <c r="DH53" s="297" t="str">
        <f t="shared" si="65"/>
        <v/>
      </c>
      <c r="DI53" s="204" t="str">
        <f t="shared" si="66"/>
        <v/>
      </c>
      <c r="DJ53" s="297" t="str">
        <f t="shared" si="68"/>
        <v/>
      </c>
    </row>
    <row r="54" spans="1:114" ht="15.75">
      <c r="A54" s="1286" t="s">
        <v>284</v>
      </c>
      <c r="B54" s="840"/>
      <c r="C54" s="215"/>
      <c r="D54" s="216"/>
      <c r="E54" s="999" t="s">
        <v>354</v>
      </c>
      <c r="F54" s="999" t="s">
        <v>354</v>
      </c>
      <c r="G54" s="218"/>
      <c r="H54" s="1003" t="s">
        <v>354</v>
      </c>
      <c r="I54" s="1003" t="s">
        <v>354</v>
      </c>
      <c r="J54" s="1339" t="s">
        <v>354</v>
      </c>
      <c r="K54" s="841" t="s">
        <v>354</v>
      </c>
      <c r="L54" s="1402" t="s">
        <v>354</v>
      </c>
      <c r="M54" s="842"/>
      <c r="N54" s="219" t="s">
        <v>354</v>
      </c>
      <c r="O54" s="218"/>
      <c r="P54" s="1003" t="s">
        <v>354</v>
      </c>
      <c r="Q54" s="1003" t="s">
        <v>354</v>
      </c>
      <c r="R54" s="1339" t="s">
        <v>354</v>
      </c>
      <c r="S54" s="841" t="s">
        <v>354</v>
      </c>
      <c r="T54" s="1406" t="str">
        <f t="shared" si="43"/>
        <v/>
      </c>
      <c r="U54" s="842"/>
      <c r="V54" s="219" t="s">
        <v>354</v>
      </c>
      <c r="X54" s="196" t="str">
        <f t="shared" si="4"/>
        <v/>
      </c>
      <c r="Y54" s="196" t="str">
        <f t="shared" si="5"/>
        <v/>
      </c>
      <c r="Z54" s="154" t="b">
        <f>IF(OR(SURVEYMODE=3,C54=""),FALSE,IF(AND(SUMPRODUCT((INDEX('Cover Page'!$I$89:$N$89,1,MATCH(C54,'Cover Page'!$I$88:$N$88,0))=$D$17)*(INDEX('Cover Page'!$I$104:$N$104,1,MATCH(C54,'Cover Page'!$I$88:$N$88,0))&gt;0))=0,D54="Y"),TRUE,FALSE))</f>
        <v>0</v>
      </c>
      <c r="AA54" s="196" t="str">
        <f t="shared" si="6"/>
        <v/>
      </c>
      <c r="AB54" s="196" t="str">
        <f t="shared" si="7"/>
        <v/>
      </c>
      <c r="AD54" s="196" t="str">
        <f t="shared" si="8"/>
        <v/>
      </c>
      <c r="AE54" s="196" t="str">
        <f t="shared" si="9"/>
        <v/>
      </c>
      <c r="AG54" s="196" t="str">
        <f t="shared" si="10"/>
        <v/>
      </c>
      <c r="AH54" s="196" t="str">
        <f t="shared" si="11"/>
        <v/>
      </c>
      <c r="AJ54" s="196" t="str">
        <f t="shared" si="12"/>
        <v/>
      </c>
      <c r="AK54" s="196" t="str">
        <f t="shared" si="13"/>
        <v/>
      </c>
      <c r="AM54" s="196" t="str">
        <f t="shared" si="14"/>
        <v/>
      </c>
      <c r="AN54" s="196" t="str">
        <f t="shared" si="15"/>
        <v/>
      </c>
      <c r="AP54" s="196" t="str">
        <f t="shared" si="16"/>
        <v/>
      </c>
      <c r="AQ54" s="196" t="str">
        <f t="shared" si="17"/>
        <v/>
      </c>
      <c r="AS54" s="196" t="str">
        <f t="shared" si="18"/>
        <v/>
      </c>
      <c r="AT54" s="196" t="str">
        <f t="shared" si="19"/>
        <v/>
      </c>
      <c r="AV54" s="196" t="str">
        <f t="shared" si="20"/>
        <v/>
      </c>
      <c r="AW54" s="196" t="str">
        <f t="shared" si="21"/>
        <v/>
      </c>
      <c r="AY54" s="196" t="str">
        <f t="shared" si="22"/>
        <v/>
      </c>
      <c r="AZ54" s="196" t="str">
        <f t="shared" si="23"/>
        <v/>
      </c>
      <c r="BB54" s="196" t="str">
        <f t="shared" si="69"/>
        <v/>
      </c>
      <c r="BC54" s="196" t="str">
        <f t="shared" si="70"/>
        <v/>
      </c>
      <c r="BE54" s="196" t="str">
        <f t="shared" si="71"/>
        <v/>
      </c>
      <c r="BF54" s="196" t="str">
        <f t="shared" si="72"/>
        <v/>
      </c>
      <c r="BH54" s="196" t="str">
        <f t="shared" si="28"/>
        <v/>
      </c>
      <c r="BI54" s="196" t="str">
        <f t="shared" si="29"/>
        <v/>
      </c>
      <c r="BK54" s="196" t="str">
        <f t="shared" si="30"/>
        <v/>
      </c>
      <c r="BL54" s="196" t="str">
        <f t="shared" si="31"/>
        <v/>
      </c>
      <c r="BN54" s="204" t="str">
        <f t="shared" si="44"/>
        <v/>
      </c>
      <c r="BO54" s="204" t="str">
        <f t="shared" si="45"/>
        <v/>
      </c>
      <c r="BP54" s="204" t="str">
        <f t="shared" si="46"/>
        <v/>
      </c>
      <c r="BQ54" s="204" t="str">
        <f t="shared" si="47"/>
        <v/>
      </c>
      <c r="BR54" s="204" t="str">
        <f t="shared" si="48"/>
        <v/>
      </c>
      <c r="BS54" s="204" t="str">
        <f t="shared" si="49"/>
        <v/>
      </c>
      <c r="BU54" s="204" t="str">
        <f t="shared" si="50"/>
        <v/>
      </c>
      <c r="BV54" s="204" t="str">
        <f t="shared" si="51"/>
        <v/>
      </c>
      <c r="BW54" s="204" t="str">
        <f t="shared" si="52"/>
        <v/>
      </c>
      <c r="BX54" s="204" t="str">
        <f t="shared" si="53"/>
        <v/>
      </c>
      <c r="BY54" s="204" t="str">
        <f t="shared" si="54"/>
        <v/>
      </c>
      <c r="BZ54" s="204" t="str">
        <f t="shared" si="55"/>
        <v/>
      </c>
      <c r="CC54" s="118"/>
      <c r="CD54" s="299" t="str">
        <f t="shared" si="56"/>
        <v/>
      </c>
      <c r="CE54" s="118"/>
      <c r="CF54" s="118"/>
      <c r="CG54" s="300">
        <f t="shared" si="57"/>
        <v>0</v>
      </c>
      <c r="CH54" s="118"/>
      <c r="CI54" s="118"/>
      <c r="CJ54" s="300">
        <f t="shared" si="58"/>
        <v>0</v>
      </c>
      <c r="CK54" s="118"/>
      <c r="CL54" s="300">
        <f t="shared" si="32"/>
        <v>0</v>
      </c>
      <c r="CM54" s="301">
        <f t="shared" si="33"/>
        <v>0</v>
      </c>
      <c r="CN54" s="300">
        <f t="shared" si="34"/>
        <v>0</v>
      </c>
      <c r="CP54" s="118">
        <v>6</v>
      </c>
      <c r="CQ54" s="299" t="str">
        <f t="shared" si="59"/>
        <v/>
      </c>
      <c r="CR54" s="118">
        <v>0.62</v>
      </c>
      <c r="CS54" s="118">
        <v>16.55</v>
      </c>
      <c r="CT54" s="300" t="str">
        <f t="shared" si="60"/>
        <v>ULL?</v>
      </c>
      <c r="CU54" s="118">
        <v>17.202999999999999</v>
      </c>
      <c r="CV54" s="118">
        <v>16.937999999999999</v>
      </c>
      <c r="CW54" s="300" t="str">
        <f t="shared" si="61"/>
        <v>ULL?</v>
      </c>
      <c r="CX54" s="118">
        <v>17.597000000000001</v>
      </c>
      <c r="CY54" s="300" t="str">
        <f t="shared" si="35"/>
        <v>TRIM?</v>
      </c>
      <c r="CZ54" s="301" t="str">
        <f t="shared" si="36"/>
        <v>TRIM?</v>
      </c>
      <c r="DA54" s="300" t="str">
        <f t="shared" si="37"/>
        <v>TRIM?</v>
      </c>
      <c r="DC54" s="204" t="str">
        <f t="shared" si="62"/>
        <v/>
      </c>
      <c r="DD54" s="297" t="str">
        <f t="shared" si="67"/>
        <v/>
      </c>
      <c r="DE54" s="297" t="str">
        <f t="shared" si="63"/>
        <v/>
      </c>
      <c r="DF54" s="1141" t="str">
        <f>IF($DE54="","",IF(DD54&gt;=DJ54,DC54,IF(INDEX('Cover Page'!$AI$106:$AJ$111,MATCH($C54,'Cover Page'!$AC$106:$AC$111,0),D1SEL)="",DC54,INDEX('Cover Page'!$AI$106:$AJ$111,MATCH($C54,'Cover Page'!$AC$106:$AC$111,0),D1SEL))))</f>
        <v/>
      </c>
      <c r="DG54" s="297" t="str">
        <f t="shared" si="64"/>
        <v/>
      </c>
      <c r="DH54" s="297" t="str">
        <f t="shared" si="65"/>
        <v/>
      </c>
      <c r="DI54" s="204" t="str">
        <f t="shared" si="66"/>
        <v/>
      </c>
      <c r="DJ54" s="297" t="str">
        <f t="shared" si="68"/>
        <v/>
      </c>
    </row>
    <row r="55" spans="1:114" ht="15.75">
      <c r="A55" s="1286" t="s">
        <v>284</v>
      </c>
      <c r="B55" s="843"/>
      <c r="C55" s="220"/>
      <c r="D55" s="221"/>
      <c r="E55" s="1000" t="s">
        <v>354</v>
      </c>
      <c r="F55" s="1000" t="s">
        <v>354</v>
      </c>
      <c r="G55" s="223"/>
      <c r="H55" s="1004" t="s">
        <v>354</v>
      </c>
      <c r="I55" s="1004" t="s">
        <v>354</v>
      </c>
      <c r="J55" s="1340" t="s">
        <v>354</v>
      </c>
      <c r="K55" s="844" t="s">
        <v>354</v>
      </c>
      <c r="L55" s="1403" t="s">
        <v>354</v>
      </c>
      <c r="M55" s="845"/>
      <c r="N55" s="224" t="s">
        <v>354</v>
      </c>
      <c r="O55" s="218"/>
      <c r="P55" s="1004" t="s">
        <v>354</v>
      </c>
      <c r="Q55" s="1004" t="s">
        <v>354</v>
      </c>
      <c r="R55" s="1340" t="s">
        <v>354</v>
      </c>
      <c r="S55" s="844" t="s">
        <v>354</v>
      </c>
      <c r="T55" s="1406" t="str">
        <f t="shared" si="43"/>
        <v/>
      </c>
      <c r="U55" s="845"/>
      <c r="V55" s="224" t="s">
        <v>354</v>
      </c>
      <c r="X55" s="196" t="str">
        <f t="shared" si="4"/>
        <v/>
      </c>
      <c r="Y55" s="196" t="str">
        <f t="shared" si="5"/>
        <v/>
      </c>
      <c r="Z55" s="154" t="b">
        <f>IF(OR(SURVEYMODE=3,C55=""),FALSE,IF(AND(SUMPRODUCT((INDEX('Cover Page'!$I$89:$N$89,1,MATCH(C55,'Cover Page'!$I$88:$N$88,0))=$D$17)*(INDEX('Cover Page'!$I$104:$N$104,1,MATCH(C55,'Cover Page'!$I$88:$N$88,0))&gt;0))=0,D55="Y"),TRUE,FALSE))</f>
        <v>0</v>
      </c>
      <c r="AA55" s="196" t="str">
        <f t="shared" si="6"/>
        <v/>
      </c>
      <c r="AB55" s="196" t="str">
        <f t="shared" si="7"/>
        <v/>
      </c>
      <c r="AD55" s="196" t="str">
        <f t="shared" si="8"/>
        <v/>
      </c>
      <c r="AE55" s="196" t="str">
        <f t="shared" si="9"/>
        <v/>
      </c>
      <c r="AG55" s="196" t="str">
        <f t="shared" si="10"/>
        <v/>
      </c>
      <c r="AH55" s="196" t="str">
        <f t="shared" si="11"/>
        <v/>
      </c>
      <c r="AJ55" s="196" t="str">
        <f t="shared" si="12"/>
        <v/>
      </c>
      <c r="AK55" s="196" t="str">
        <f t="shared" si="13"/>
        <v/>
      </c>
      <c r="AM55" s="196" t="str">
        <f t="shared" si="14"/>
        <v/>
      </c>
      <c r="AN55" s="196" t="str">
        <f t="shared" si="15"/>
        <v/>
      </c>
      <c r="AP55" s="196" t="str">
        <f t="shared" si="16"/>
        <v/>
      </c>
      <c r="AQ55" s="196" t="str">
        <f t="shared" si="17"/>
        <v/>
      </c>
      <c r="AS55" s="196" t="str">
        <f t="shared" si="18"/>
        <v/>
      </c>
      <c r="AT55" s="196" t="str">
        <f t="shared" si="19"/>
        <v/>
      </c>
      <c r="AV55" s="196" t="str">
        <f t="shared" si="20"/>
        <v/>
      </c>
      <c r="AW55" s="196" t="str">
        <f t="shared" si="21"/>
        <v/>
      </c>
      <c r="AY55" s="196" t="str">
        <f t="shared" si="22"/>
        <v/>
      </c>
      <c r="AZ55" s="196" t="str">
        <f t="shared" si="23"/>
        <v/>
      </c>
      <c r="BB55" s="196" t="str">
        <f t="shared" si="69"/>
        <v/>
      </c>
      <c r="BC55" s="196" t="str">
        <f t="shared" si="70"/>
        <v/>
      </c>
      <c r="BE55" s="196" t="str">
        <f t="shared" si="71"/>
        <v/>
      </c>
      <c r="BF55" s="196" t="str">
        <f t="shared" si="72"/>
        <v/>
      </c>
      <c r="BH55" s="196" t="str">
        <f t="shared" si="28"/>
        <v/>
      </c>
      <c r="BI55" s="196" t="str">
        <f t="shared" si="29"/>
        <v/>
      </c>
      <c r="BK55" s="196" t="str">
        <f t="shared" si="30"/>
        <v/>
      </c>
      <c r="BL55" s="196" t="str">
        <f t="shared" si="31"/>
        <v/>
      </c>
      <c r="BN55" s="204" t="str">
        <f t="shared" si="44"/>
        <v/>
      </c>
      <c r="BO55" s="204" t="str">
        <f t="shared" si="45"/>
        <v/>
      </c>
      <c r="BP55" s="204" t="str">
        <f t="shared" si="46"/>
        <v/>
      </c>
      <c r="BQ55" s="204" t="str">
        <f t="shared" si="47"/>
        <v/>
      </c>
      <c r="BR55" s="204" t="str">
        <f t="shared" si="48"/>
        <v/>
      </c>
      <c r="BS55" s="204" t="str">
        <f t="shared" si="49"/>
        <v/>
      </c>
      <c r="BU55" s="204" t="str">
        <f t="shared" si="50"/>
        <v/>
      </c>
      <c r="BV55" s="204" t="str">
        <f t="shared" si="51"/>
        <v/>
      </c>
      <c r="BW55" s="204" t="str">
        <f t="shared" si="52"/>
        <v/>
      </c>
      <c r="BX55" s="204" t="str">
        <f t="shared" si="53"/>
        <v/>
      </c>
      <c r="BY55" s="204" t="str">
        <f t="shared" si="54"/>
        <v/>
      </c>
      <c r="BZ55" s="204" t="str">
        <f t="shared" si="55"/>
        <v/>
      </c>
      <c r="CC55" s="118"/>
      <c r="CD55" s="299" t="str">
        <f t="shared" si="56"/>
        <v/>
      </c>
      <c r="CE55" s="118"/>
      <c r="CF55" s="118"/>
      <c r="CG55" s="300">
        <f t="shared" si="57"/>
        <v>0</v>
      </c>
      <c r="CH55" s="118"/>
      <c r="CI55" s="118"/>
      <c r="CJ55" s="300">
        <f t="shared" si="58"/>
        <v>0</v>
      </c>
      <c r="CK55" s="118"/>
      <c r="CL55" s="300">
        <f t="shared" si="32"/>
        <v>0</v>
      </c>
      <c r="CM55" s="301">
        <f t="shared" si="33"/>
        <v>0</v>
      </c>
      <c r="CN55" s="300">
        <f t="shared" si="34"/>
        <v>0</v>
      </c>
      <c r="CP55" s="118">
        <v>6</v>
      </c>
      <c r="CQ55" s="299" t="str">
        <f t="shared" si="59"/>
        <v/>
      </c>
      <c r="CR55" s="118">
        <v>0.62</v>
      </c>
      <c r="CS55" s="118">
        <v>16.55</v>
      </c>
      <c r="CT55" s="300" t="str">
        <f t="shared" si="60"/>
        <v>ULL?</v>
      </c>
      <c r="CU55" s="118">
        <v>17.202999999999999</v>
      </c>
      <c r="CV55" s="118">
        <v>16.937999999999999</v>
      </c>
      <c r="CW55" s="300" t="str">
        <f t="shared" si="61"/>
        <v>ULL?</v>
      </c>
      <c r="CX55" s="118">
        <v>17.597000000000001</v>
      </c>
      <c r="CY55" s="300" t="str">
        <f t="shared" si="35"/>
        <v>TRIM?</v>
      </c>
      <c r="CZ55" s="301" t="str">
        <f t="shared" si="36"/>
        <v>TRIM?</v>
      </c>
      <c r="DA55" s="300" t="str">
        <f t="shared" si="37"/>
        <v>TRIM?</v>
      </c>
      <c r="DC55" s="204" t="str">
        <f t="shared" si="62"/>
        <v/>
      </c>
      <c r="DD55" s="297" t="str">
        <f t="shared" si="67"/>
        <v/>
      </c>
      <c r="DE55" s="297" t="str">
        <f t="shared" si="63"/>
        <v/>
      </c>
      <c r="DF55" s="1141" t="str">
        <f>IF($DE55="","",IF(DD55&gt;=DJ55,DC55,IF(INDEX('Cover Page'!$AI$106:$AJ$111,MATCH($C55,'Cover Page'!$AC$106:$AC$111,0),D1SEL)="",DC55,INDEX('Cover Page'!$AI$106:$AJ$111,MATCH($C55,'Cover Page'!$AC$106:$AC$111,0),D1SEL))))</f>
        <v/>
      </c>
      <c r="DG55" s="297" t="str">
        <f t="shared" si="64"/>
        <v/>
      </c>
      <c r="DH55" s="297" t="str">
        <f t="shared" si="65"/>
        <v/>
      </c>
      <c r="DI55" s="204" t="str">
        <f t="shared" si="66"/>
        <v/>
      </c>
      <c r="DJ55" s="297" t="str">
        <f t="shared" si="68"/>
        <v/>
      </c>
    </row>
    <row r="56" spans="1:114" ht="16.5" thickBot="1">
      <c r="A56" s="1286" t="s">
        <v>284</v>
      </c>
      <c r="B56" s="846"/>
      <c r="C56" s="847"/>
      <c r="D56" s="848"/>
      <c r="E56" s="1001" t="s">
        <v>354</v>
      </c>
      <c r="F56" s="1001" t="s">
        <v>354</v>
      </c>
      <c r="G56" s="849"/>
      <c r="H56" s="1005" t="s">
        <v>354</v>
      </c>
      <c r="I56" s="1005" t="s">
        <v>354</v>
      </c>
      <c r="J56" s="1343" t="s">
        <v>354</v>
      </c>
      <c r="K56" s="850" t="s">
        <v>354</v>
      </c>
      <c r="L56" s="1404" t="s">
        <v>354</v>
      </c>
      <c r="M56" s="851"/>
      <c r="N56" s="852" t="s">
        <v>354</v>
      </c>
      <c r="O56" s="849"/>
      <c r="P56" s="1005" t="s">
        <v>354</v>
      </c>
      <c r="Q56" s="1005" t="s">
        <v>354</v>
      </c>
      <c r="R56" s="1343" t="s">
        <v>354</v>
      </c>
      <c r="S56" s="850" t="s">
        <v>354</v>
      </c>
      <c r="T56" s="1407" t="str">
        <f t="shared" si="43"/>
        <v/>
      </c>
      <c r="U56" s="851"/>
      <c r="V56" s="852" t="s">
        <v>354</v>
      </c>
      <c r="X56" s="196" t="str">
        <f t="shared" si="4"/>
        <v/>
      </c>
      <c r="Y56" s="196" t="str">
        <f t="shared" si="5"/>
        <v/>
      </c>
      <c r="Z56" s="154" t="b">
        <f>IF(OR(SURVEYMODE=3,C56=""),FALSE,IF(AND(SUMPRODUCT((INDEX('Cover Page'!$I$89:$N$89,1,MATCH(C56,'Cover Page'!$I$88:$N$88,0))=$D$17)*(INDEX('Cover Page'!$I$104:$N$104,1,MATCH(C56,'Cover Page'!$I$88:$N$88,0))&gt;0))=0,D56="Y"),TRUE,FALSE))</f>
        <v>0</v>
      </c>
      <c r="AA56" s="196" t="str">
        <f t="shared" si="6"/>
        <v/>
      </c>
      <c r="AB56" s="196" t="str">
        <f t="shared" si="7"/>
        <v/>
      </c>
      <c r="AD56" s="196" t="str">
        <f t="shared" si="8"/>
        <v/>
      </c>
      <c r="AE56" s="196" t="str">
        <f t="shared" si="9"/>
        <v/>
      </c>
      <c r="AG56" s="196" t="str">
        <f t="shared" si="10"/>
        <v/>
      </c>
      <c r="AH56" s="196" t="str">
        <f t="shared" si="11"/>
        <v/>
      </c>
      <c r="AJ56" s="196" t="str">
        <f t="shared" si="12"/>
        <v/>
      </c>
      <c r="AK56" s="196" t="str">
        <f t="shared" si="13"/>
        <v/>
      </c>
      <c r="AM56" s="196" t="str">
        <f t="shared" si="14"/>
        <v/>
      </c>
      <c r="AN56" s="196" t="str">
        <f t="shared" si="15"/>
        <v/>
      </c>
      <c r="AP56" s="196" t="str">
        <f t="shared" si="16"/>
        <v/>
      </c>
      <c r="AQ56" s="196" t="str">
        <f t="shared" si="17"/>
        <v/>
      </c>
      <c r="AS56" s="196" t="str">
        <f t="shared" si="18"/>
        <v/>
      </c>
      <c r="AT56" s="196" t="str">
        <f t="shared" si="19"/>
        <v/>
      </c>
      <c r="AV56" s="196" t="str">
        <f t="shared" si="20"/>
        <v/>
      </c>
      <c r="AW56" s="196" t="str">
        <f t="shared" si="21"/>
        <v/>
      </c>
      <c r="AY56" s="196" t="str">
        <f t="shared" si="22"/>
        <v/>
      </c>
      <c r="AZ56" s="196" t="str">
        <f t="shared" si="23"/>
        <v/>
      </c>
      <c r="BB56" s="196" t="str">
        <f t="shared" si="69"/>
        <v/>
      </c>
      <c r="BC56" s="196" t="str">
        <f t="shared" si="70"/>
        <v/>
      </c>
      <c r="BE56" s="196" t="str">
        <f t="shared" si="71"/>
        <v/>
      </c>
      <c r="BF56" s="196" t="str">
        <f t="shared" si="72"/>
        <v/>
      </c>
      <c r="BH56" s="196" t="str">
        <f t="shared" si="28"/>
        <v/>
      </c>
      <c r="BI56" s="196" t="str">
        <f t="shared" si="29"/>
        <v/>
      </c>
      <c r="BK56" s="196" t="str">
        <f t="shared" si="30"/>
        <v/>
      </c>
      <c r="BL56" s="196" t="str">
        <f t="shared" si="31"/>
        <v/>
      </c>
      <c r="BN56" s="204" t="str">
        <f t="shared" si="44"/>
        <v/>
      </c>
      <c r="BO56" s="204" t="str">
        <f t="shared" si="45"/>
        <v/>
      </c>
      <c r="BP56" s="204" t="str">
        <f t="shared" si="46"/>
        <v/>
      </c>
      <c r="BQ56" s="204" t="str">
        <f t="shared" si="47"/>
        <v/>
      </c>
      <c r="BR56" s="204" t="str">
        <f t="shared" si="48"/>
        <v/>
      </c>
      <c r="BS56" s="204" t="str">
        <f t="shared" si="49"/>
        <v/>
      </c>
      <c r="BU56" s="204" t="str">
        <f t="shared" si="50"/>
        <v/>
      </c>
      <c r="BV56" s="204" t="str">
        <f t="shared" si="51"/>
        <v/>
      </c>
      <c r="BW56" s="204" t="str">
        <f t="shared" si="52"/>
        <v/>
      </c>
      <c r="BX56" s="204" t="str">
        <f t="shared" si="53"/>
        <v/>
      </c>
      <c r="BY56" s="204" t="str">
        <f t="shared" si="54"/>
        <v/>
      </c>
      <c r="BZ56" s="204" t="str">
        <f t="shared" si="55"/>
        <v/>
      </c>
      <c r="CC56" s="118"/>
      <c r="CD56" s="299" t="str">
        <f t="shared" si="56"/>
        <v/>
      </c>
      <c r="CE56" s="118"/>
      <c r="CF56" s="118"/>
      <c r="CG56" s="300">
        <f t="shared" si="57"/>
        <v>0</v>
      </c>
      <c r="CH56" s="118"/>
      <c r="CI56" s="118"/>
      <c r="CJ56" s="300">
        <f t="shared" si="58"/>
        <v>0</v>
      </c>
      <c r="CK56" s="118"/>
      <c r="CL56" s="300">
        <f t="shared" si="32"/>
        <v>0</v>
      </c>
      <c r="CM56" s="301">
        <f t="shared" si="33"/>
        <v>0</v>
      </c>
      <c r="CN56" s="300">
        <f t="shared" si="34"/>
        <v>0</v>
      </c>
      <c r="CP56" s="118">
        <v>6</v>
      </c>
      <c r="CQ56" s="299" t="str">
        <f t="shared" si="59"/>
        <v/>
      </c>
      <c r="CR56" s="118">
        <v>0.62</v>
      </c>
      <c r="CS56" s="118">
        <v>16.55</v>
      </c>
      <c r="CT56" s="300" t="str">
        <f t="shared" si="60"/>
        <v>ULL?</v>
      </c>
      <c r="CU56" s="118">
        <v>17.202999999999999</v>
      </c>
      <c r="CV56" s="118">
        <v>16.937999999999999</v>
      </c>
      <c r="CW56" s="300" t="str">
        <f t="shared" si="61"/>
        <v>ULL?</v>
      </c>
      <c r="CX56" s="118">
        <v>17.597000000000001</v>
      </c>
      <c r="CY56" s="300" t="str">
        <f t="shared" si="35"/>
        <v>TRIM?</v>
      </c>
      <c r="CZ56" s="301" t="str">
        <f t="shared" si="36"/>
        <v>TRIM?</v>
      </c>
      <c r="DA56" s="300" t="str">
        <f t="shared" si="37"/>
        <v>TRIM?</v>
      </c>
      <c r="DC56" s="204" t="str">
        <f t="shared" si="62"/>
        <v/>
      </c>
      <c r="DD56" s="297" t="str">
        <f t="shared" si="67"/>
        <v/>
      </c>
      <c r="DE56" s="297" t="str">
        <f t="shared" si="63"/>
        <v/>
      </c>
      <c r="DF56" s="1141" t="str">
        <f>IF($DE56="","",IF(DD56&gt;=DJ56,DC56,IF(INDEX('Cover Page'!$AI$106:$AJ$111,MATCH($C56,'Cover Page'!$AC$106:$AC$111,0),D1SEL)="",DC56,INDEX('Cover Page'!$AI$106:$AJ$111,MATCH($C56,'Cover Page'!$AC$106:$AC$111,0),D1SEL))))</f>
        <v/>
      </c>
      <c r="DG56" s="297" t="str">
        <f t="shared" si="64"/>
        <v/>
      </c>
      <c r="DH56" s="297" t="str">
        <f t="shared" si="65"/>
        <v/>
      </c>
      <c r="DI56" s="204" t="str">
        <f t="shared" si="66"/>
        <v/>
      </c>
      <c r="DJ56" s="297" t="str">
        <f t="shared" si="68"/>
        <v/>
      </c>
    </row>
    <row r="57" spans="1:114" ht="15.75" thickTop="1">
      <c r="A57" s="1296" t="str">
        <f>A58</f>
        <v>Y</v>
      </c>
    </row>
    <row r="58" spans="1:114">
      <c r="A58" s="1296" t="str">
        <f>IF(COUNTIF(A60:A65,"Y")&gt;0,"Y","N")</f>
        <v>Y</v>
      </c>
      <c r="B58" s="752" t="s">
        <v>1175</v>
      </c>
      <c r="G58" s="1293" t="str">
        <f>"Drafts "&amp;PROPER(G23)</f>
        <v>Drafts Before Bunkering (Opening Gauging)</v>
      </c>
      <c r="O58" s="1293" t="str">
        <f>"Drafts "&amp;PROPER(O23)</f>
        <v>Drafts After Bunkering (Closing Gauging)</v>
      </c>
      <c r="P58" s="1287"/>
    </row>
    <row r="59" spans="1:114">
      <c r="A59" s="1296" t="str">
        <f>A58</f>
        <v>Y</v>
      </c>
      <c r="G59" s="1290" t="s">
        <v>764</v>
      </c>
      <c r="H59" s="1290" t="s">
        <v>1176</v>
      </c>
      <c r="I59" s="1290" t="s">
        <v>1177</v>
      </c>
      <c r="J59" s="1290" t="s">
        <v>793</v>
      </c>
      <c r="K59" s="1290" t="s">
        <v>798</v>
      </c>
      <c r="O59" s="1290" t="s">
        <v>764</v>
      </c>
      <c r="P59" s="1290" t="s">
        <v>1176</v>
      </c>
      <c r="Q59" s="1290" t="s">
        <v>1177</v>
      </c>
      <c r="R59" s="1290" t="s">
        <v>793</v>
      </c>
      <c r="S59" s="1290" t="s">
        <v>798</v>
      </c>
    </row>
    <row r="60" spans="1:114" hidden="1">
      <c r="A60" s="1296" t="str">
        <f t="shared" ref="A60:A65" si="73">IF(OR(G60="",SURVEYMODE=3,GRADESQTY&lt;2),"N","Y")</f>
        <v>N</v>
      </c>
      <c r="G60" s="1291" t="str">
        <f>IF(OR(Drafts!W2="",Drafts!I$1&lt;&gt;MYBARGENAME),"",Drafts!W2&amp;": ")</f>
        <v/>
      </c>
      <c r="H60" s="1288">
        <f>Drafts!I21</f>
        <v>5</v>
      </c>
      <c r="I60" s="1288">
        <f>Drafts!I22</f>
        <v>6</v>
      </c>
      <c r="J60" s="1288">
        <f>Drafts!I23</f>
        <v>1</v>
      </c>
      <c r="K60" s="1294">
        <f>Drafts!I24</f>
        <v>0</v>
      </c>
      <c r="O60" s="1291" t="str">
        <f>G60</f>
        <v/>
      </c>
      <c r="P60" s="1288">
        <f>Drafts!J21</f>
        <v>0</v>
      </c>
      <c r="Q60" s="1288">
        <f>Drafts!J22</f>
        <v>0</v>
      </c>
      <c r="R60" s="1288" t="str">
        <f>Drafts!J23</f>
        <v/>
      </c>
      <c r="S60" s="1294">
        <f>Drafts!J24</f>
        <v>0</v>
      </c>
    </row>
    <row r="61" spans="1:114">
      <c r="A61" s="1296" t="str">
        <f t="shared" si="73"/>
        <v>Y</v>
      </c>
      <c r="G61" s="1292" t="str">
        <f>IF(OR(Drafts!W3="",Drafts!K$1&lt;&gt;MYBARGENAME),"",Drafts!W3&amp;": ")</f>
        <v xml:space="preserve">LSFO: </v>
      </c>
      <c r="H61" s="1289">
        <f>Drafts!K21</f>
        <v>0</v>
      </c>
      <c r="I61" s="1289">
        <f>Drafts!K22</f>
        <v>0</v>
      </c>
      <c r="J61" s="1289" t="str">
        <f>Drafts!K23</f>
        <v/>
      </c>
      <c r="K61" s="1295">
        <f>Drafts!K24</f>
        <v>0</v>
      </c>
      <c r="O61" s="1292" t="str">
        <f t="shared" ref="O61:O65" si="74">G61</f>
        <v xml:space="preserve">LSFO: </v>
      </c>
      <c r="P61" s="1289">
        <f>Drafts!L21</f>
        <v>0</v>
      </c>
      <c r="Q61" s="1289">
        <f>Drafts!L22</f>
        <v>0</v>
      </c>
      <c r="R61" s="1289" t="str">
        <f>Drafts!L23</f>
        <v/>
      </c>
      <c r="S61" s="1295">
        <f>Drafts!L24</f>
        <v>0</v>
      </c>
    </row>
    <row r="62" spans="1:114" hidden="1">
      <c r="A62" s="1296" t="str">
        <f t="shared" si="73"/>
        <v>N</v>
      </c>
      <c r="G62" s="1292" t="str">
        <f>IF(OR(Drafts!W4="",Drafts!M$1&lt;&gt;MYBARGENAME),"",Drafts!W4&amp;": ")</f>
        <v/>
      </c>
      <c r="H62" s="1289">
        <f>Drafts!M21</f>
        <v>0</v>
      </c>
      <c r="I62" s="1289">
        <f>Drafts!M22</f>
        <v>0</v>
      </c>
      <c r="J62" s="1289" t="str">
        <f>Drafts!M23</f>
        <v/>
      </c>
      <c r="K62" s="1295">
        <f>Drafts!M24</f>
        <v>0</v>
      </c>
      <c r="O62" s="1292" t="str">
        <f t="shared" si="74"/>
        <v/>
      </c>
      <c r="P62" s="1289">
        <f>Drafts!N21</f>
        <v>0</v>
      </c>
      <c r="Q62" s="1289">
        <f>Drafts!N22</f>
        <v>0</v>
      </c>
      <c r="R62" s="1289" t="str">
        <f>Drafts!N23</f>
        <v/>
      </c>
      <c r="S62" s="1295">
        <f>Drafts!N24</f>
        <v>0</v>
      </c>
    </row>
    <row r="63" spans="1:114" hidden="1">
      <c r="A63" s="1296" t="str">
        <f t="shared" si="73"/>
        <v>N</v>
      </c>
      <c r="G63" s="1292" t="str">
        <f>IF(OR(Drafts!W5="",Drafts!O$1&lt;&gt;MYBARGENAME),"",Drafts!W5&amp;": ")</f>
        <v/>
      </c>
      <c r="H63" s="1289">
        <f>Drafts!O21</f>
        <v>0</v>
      </c>
      <c r="I63" s="1289">
        <f>Drafts!O22</f>
        <v>0</v>
      </c>
      <c r="J63" s="1289" t="str">
        <f>Drafts!O23</f>
        <v/>
      </c>
      <c r="K63" s="1295">
        <f>Drafts!O24</f>
        <v>0</v>
      </c>
      <c r="O63" s="1292" t="str">
        <f t="shared" si="74"/>
        <v/>
      </c>
      <c r="P63" s="1289">
        <f>Drafts!P21</f>
        <v>0</v>
      </c>
      <c r="Q63" s="1289">
        <f>Drafts!P22</f>
        <v>0</v>
      </c>
      <c r="R63" s="1289" t="str">
        <f>Drafts!P23</f>
        <v/>
      </c>
      <c r="S63" s="1295">
        <f>Drafts!P24</f>
        <v>0</v>
      </c>
    </row>
    <row r="64" spans="1:114" hidden="1">
      <c r="A64" s="1296" t="str">
        <f t="shared" si="73"/>
        <v>N</v>
      </c>
      <c r="G64" s="1292" t="str">
        <f>IF(OR(Drafts!W6="",Drafts!Q$1&lt;&gt;MYBARGENAME),"",Drafts!W6&amp;": ")</f>
        <v/>
      </c>
      <c r="H64" s="1289">
        <f>Drafts!Q21</f>
        <v>0</v>
      </c>
      <c r="I64" s="1289">
        <f>Drafts!Q22</f>
        <v>0</v>
      </c>
      <c r="J64" s="1289" t="str">
        <f>Drafts!Q23</f>
        <v/>
      </c>
      <c r="K64" s="1295">
        <f>Drafts!Q24</f>
        <v>0</v>
      </c>
      <c r="O64" s="1292" t="str">
        <f t="shared" si="74"/>
        <v/>
      </c>
      <c r="P64" s="1289">
        <f>Drafts!R21</f>
        <v>0</v>
      </c>
      <c r="Q64" s="1289">
        <f>Drafts!R22</f>
        <v>0</v>
      </c>
      <c r="R64" s="1289" t="str">
        <f>Drafts!R23</f>
        <v/>
      </c>
      <c r="S64" s="1295">
        <f>Drafts!R24</f>
        <v>0</v>
      </c>
    </row>
    <row r="65" spans="1:23">
      <c r="A65" s="1296" t="str">
        <f t="shared" si="73"/>
        <v>Y</v>
      </c>
      <c r="G65" s="1292" t="str">
        <f>IF(OR(Drafts!W7="",Drafts!S$1&lt;&gt;MYBARGENAME),"",Drafts!W7&amp;": ")</f>
        <v xml:space="preserve">LSMGO: </v>
      </c>
      <c r="H65" s="1289">
        <f>Drafts!S21</f>
        <v>0</v>
      </c>
      <c r="I65" s="1289">
        <f>Drafts!S22</f>
        <v>0</v>
      </c>
      <c r="J65" s="1289" t="str">
        <f>Drafts!S23</f>
        <v/>
      </c>
      <c r="K65" s="1295">
        <f>Drafts!S24</f>
        <v>0</v>
      </c>
      <c r="O65" s="1292" t="str">
        <f t="shared" si="74"/>
        <v xml:space="preserve">LSMGO: </v>
      </c>
      <c r="P65" s="1289">
        <f>Drafts!T21</f>
        <v>0</v>
      </c>
      <c r="Q65" s="1289">
        <f>Drafts!T22</f>
        <v>0</v>
      </c>
      <c r="R65" s="1289" t="str">
        <f>Drafts!T23</f>
        <v/>
      </c>
      <c r="S65" s="1295">
        <f>Drafts!T24</f>
        <v>0</v>
      </c>
    </row>
    <row r="66" spans="1:23">
      <c r="A66" s="1286" t="s">
        <v>284</v>
      </c>
    </row>
    <row r="67" spans="1:23" s="1286" customFormat="1">
      <c r="A67" s="1286" t="s">
        <v>284</v>
      </c>
      <c r="B67" s="752" t="s">
        <v>179</v>
      </c>
      <c r="C67" s="2370"/>
      <c r="D67" s="2371"/>
      <c r="E67" s="2371"/>
      <c r="F67" s="2371"/>
      <c r="G67" s="2371"/>
      <c r="H67" s="2371"/>
      <c r="I67" s="2371"/>
      <c r="J67" s="2371"/>
      <c r="K67" s="2371"/>
      <c r="L67" s="2371"/>
      <c r="M67" s="2371"/>
      <c r="N67" s="2371"/>
      <c r="O67" s="2371"/>
      <c r="P67" s="2371"/>
      <c r="Q67" s="2371"/>
      <c r="R67" s="2371"/>
      <c r="S67" s="2371"/>
      <c r="T67" s="2371"/>
      <c r="U67" s="2372"/>
      <c r="W67" s="1297"/>
    </row>
    <row r="68" spans="1:23" s="1286" customFormat="1">
      <c r="A68" s="1286" t="s">
        <v>284</v>
      </c>
      <c r="C68" s="2370"/>
      <c r="D68" s="2371"/>
      <c r="E68" s="2371"/>
      <c r="F68" s="2371"/>
      <c r="G68" s="2371"/>
      <c r="H68" s="2371"/>
      <c r="I68" s="2371"/>
      <c r="J68" s="2371"/>
      <c r="K68" s="2371"/>
      <c r="L68" s="2371"/>
      <c r="M68" s="2371"/>
      <c r="N68" s="2371"/>
      <c r="O68" s="2371"/>
      <c r="P68" s="2371"/>
      <c r="Q68" s="2371"/>
      <c r="R68" s="2371"/>
      <c r="S68" s="2371"/>
      <c r="T68" s="2371"/>
      <c r="U68" s="2372"/>
      <c r="W68" s="1297"/>
    </row>
    <row r="69" spans="1:23" s="1286" customFormat="1">
      <c r="A69" s="1286" t="s">
        <v>284</v>
      </c>
      <c r="C69" s="2370"/>
      <c r="D69" s="2371"/>
      <c r="E69" s="2371"/>
      <c r="F69" s="2371"/>
      <c r="G69" s="2371"/>
      <c r="H69" s="2371"/>
      <c r="I69" s="2371"/>
      <c r="J69" s="2371"/>
      <c r="K69" s="2371"/>
      <c r="L69" s="2371"/>
      <c r="M69" s="2371"/>
      <c r="N69" s="2371"/>
      <c r="O69" s="2371"/>
      <c r="P69" s="2371"/>
      <c r="Q69" s="2371"/>
      <c r="R69" s="2371"/>
      <c r="S69" s="2371"/>
      <c r="T69" s="2371"/>
      <c r="U69" s="2372"/>
      <c r="W69" s="1297"/>
    </row>
    <row r="70" spans="1:23" s="1286" customFormat="1">
      <c r="A70" s="1286" t="s">
        <v>284</v>
      </c>
      <c r="C70" s="2370"/>
      <c r="D70" s="2371"/>
      <c r="E70" s="2371"/>
      <c r="F70" s="2371"/>
      <c r="G70" s="2371"/>
      <c r="H70" s="2371"/>
      <c r="I70" s="2371"/>
      <c r="J70" s="2371"/>
      <c r="K70" s="2371"/>
      <c r="L70" s="2371"/>
      <c r="M70" s="2371"/>
      <c r="N70" s="2371"/>
      <c r="O70" s="2371"/>
      <c r="P70" s="2371"/>
      <c r="Q70" s="2371"/>
      <c r="R70" s="2371"/>
      <c r="S70" s="2371"/>
      <c r="T70" s="2371"/>
      <c r="U70" s="2372"/>
      <c r="W70" s="1297"/>
    </row>
    <row r="71" spans="1:23">
      <c r="A71" s="1286" t="s">
        <v>284</v>
      </c>
    </row>
    <row r="72" spans="1:23">
      <c r="A72" s="1286" t="s">
        <v>284</v>
      </c>
    </row>
    <row r="73" spans="1:23">
      <c r="A73" s="1286" t="s">
        <v>284</v>
      </c>
    </row>
    <row r="74" spans="1:23">
      <c r="A74" s="1286" t="s">
        <v>284</v>
      </c>
      <c r="B74" s="2378" t="str">
        <f>CHENG</f>
        <v>CANO ARTHUR D. CADAVOS</v>
      </c>
      <c r="C74" s="2378"/>
      <c r="D74" s="2378"/>
      <c r="E74" s="2378"/>
      <c r="K74" s="2373" t="str">
        <f>SURVEYOR</f>
        <v>MEHMET EROĞLU</v>
      </c>
      <c r="L74" s="2373"/>
      <c r="M74" s="2373"/>
      <c r="N74" s="2373"/>
    </row>
    <row r="75" spans="1:23">
      <c r="A75" s="1286" t="s">
        <v>284</v>
      </c>
      <c r="B75" s="2379" t="s">
        <v>15</v>
      </c>
      <c r="C75" s="2379"/>
      <c r="D75" s="2379"/>
      <c r="E75" s="2379"/>
      <c r="K75" s="2374" t="str">
        <f>"Bunker Surveyor"&amp;IF(SPORE=TRUE,", License No. "&amp;SURVLIC,"")</f>
        <v>Bunker Surveyor</v>
      </c>
      <c r="L75" s="2374"/>
      <c r="M75" s="2374"/>
      <c r="N75" s="2374"/>
    </row>
    <row r="76" spans="1:23" ht="3" customHeight="1">
      <c r="A76" s="1286" t="s">
        <v>284</v>
      </c>
    </row>
  </sheetData>
  <sheetProtection algorithmName="SHA-512" hashValue="j5v/ryUP4w406tPh/6NU/xDQdoIPqMUFoOvyyHFd4vE/UMTPq35x4L1V2cG2AdG5Lvm6no9IvlpUB7H11Asw9A==" saltValue="lRRE/L99WcgY5CG1cv4mjA==" spinCount="100000" sheet="1" objects="1" scenarios="1" autoFilter="0"/>
  <autoFilter ref="A25:A76" xr:uid="{00000000-0009-0000-0000-000008000000}">
    <filterColumn colId="0">
      <filters>
        <filter val="Y"/>
      </filters>
    </filterColumn>
  </autoFilter>
  <mergeCells count="22">
    <mergeCell ref="O12:V12"/>
    <mergeCell ref="B18:C18"/>
    <mergeCell ref="B20:C20"/>
    <mergeCell ref="B19:C19"/>
    <mergeCell ref="B21:C21"/>
    <mergeCell ref="D18:F18"/>
    <mergeCell ref="D19:F19"/>
    <mergeCell ref="D20:F20"/>
    <mergeCell ref="D21:F21"/>
    <mergeCell ref="D17:F17"/>
    <mergeCell ref="B17:C17"/>
    <mergeCell ref="C69:U69"/>
    <mergeCell ref="C70:U70"/>
    <mergeCell ref="K74:N74"/>
    <mergeCell ref="K75:N75"/>
    <mergeCell ref="B23:F23"/>
    <mergeCell ref="G23:N23"/>
    <mergeCell ref="O23:V23"/>
    <mergeCell ref="C67:U67"/>
    <mergeCell ref="C68:U68"/>
    <mergeCell ref="B74:E74"/>
    <mergeCell ref="B75:E75"/>
  </mergeCells>
  <conditionalFormatting sqref="B27:B56">
    <cfRule type="expression" dxfId="129" priority="1">
      <formula>AND($B27=0,$C27&lt;&gt;"",$D27&lt;&gt;"")</formula>
    </cfRule>
    <cfRule type="expression" dxfId="128" priority="10">
      <formula>COUNTIF($B$27:$B$56,$B27)&gt;1</formula>
    </cfRule>
    <cfRule type="expression" dxfId="127" priority="11">
      <formula>AND($B27&lt;&gt;0,ISERROR(MATCH($B27,TANKSLIST,0)),$D27=NOMY,SURVEYMODE&lt;&gt;3)</formula>
    </cfRule>
    <cfRule type="expression" dxfId="126" priority="23">
      <formula>AND($B27&lt;&gt;0,ISERROR(MATCH($B27,TANKSLIST,0)),$D27=NOMN,SURVEYMODE&lt;&gt;3)</formula>
    </cfRule>
  </conditionalFormatting>
  <conditionalFormatting sqref="C27:C56">
    <cfRule type="expression" dxfId="125" priority="15">
      <formula>AND($C27&lt;&gt;0,ISERROR(MATCH($C27,GRADESLIST,0)))</formula>
    </cfRule>
  </conditionalFormatting>
  <conditionalFormatting sqref="D27:D56">
    <cfRule type="expression" dxfId="124" priority="13" stopIfTrue="1">
      <formula>OR(AND($D27&lt;&gt;0,ISERROR(MATCH($D27,NOMLIST,0))),$Z27=TRUE)</formula>
    </cfRule>
  </conditionalFormatting>
  <conditionalFormatting sqref="W67:W70">
    <cfRule type="expression" dxfId="123" priority="9">
      <formula>SURVEYMODE=3</formula>
    </cfRule>
  </conditionalFormatting>
  <conditionalFormatting sqref="F27:F56">
    <cfRule type="expression" dxfId="122" priority="96">
      <formula>OR(AND(1=2,$F27&lt;&gt;"",SURVEYMODE=3,$G27=UMETHOD),AND(1=2,$F27&lt;&gt;"",SURVEYMODE&lt;&gt;3,$G27=UMETHOD,$O27=UMETHOD))</formula>
    </cfRule>
  </conditionalFormatting>
  <conditionalFormatting sqref="T27:T56">
    <cfRule type="expression" dxfId="121" priority="3">
      <formula>AND($C27&gt;0,$T27&lt;&gt;"",ISERROR(MATCH($C27,DISTILLATES,0))=FALSE,$BY27&gt;HIDIS_DEN)</formula>
    </cfRule>
    <cfRule type="expression" dxfId="120" priority="4">
      <formula>AND($C27&gt;0,$T27&lt;&gt;"",ISERROR(MATCH($C27,RESIDUALS,0))=FALSE,$BY27&gt;HIRES_DEN)</formula>
    </cfRule>
  </conditionalFormatting>
  <conditionalFormatting sqref="L27:L56">
    <cfRule type="expression" dxfId="119" priority="73">
      <formula>AND($C27&gt;0,$L27&lt;&gt;"",ISERROR(MATCH($C27,DISTILLATES,0))=FALSE,$BR27&gt;HIDIS_DEN)</formula>
    </cfRule>
    <cfRule type="expression" dxfId="118" priority="74">
      <formula>AND($C27&gt;0,$L27&lt;&gt;"",ISERROR(MATCH($C27,RESIDUALS,0))=FALSE,$BR27&gt;HIRES_DEN)</formula>
    </cfRule>
  </conditionalFormatting>
  <conditionalFormatting sqref="B27:V56">
    <cfRule type="expression" dxfId="117" priority="105">
      <formula>AND($D27=NOMY,SURVEYMODE&lt;&gt;3)</formula>
    </cfRule>
    <cfRule type="expression" dxfId="116" priority="106">
      <formula>AND($D27=NOMN,SURVEYMODE&lt;&gt;3)</formula>
    </cfRule>
  </conditionalFormatting>
  <conditionalFormatting sqref="B17:C17">
    <cfRule type="expression" dxfId="115" priority="2">
      <formula>$D$17=""</formula>
    </cfRule>
  </conditionalFormatting>
  <dataValidations xWindow="1349" yWindow="315" count="5">
    <dataValidation allowBlank="1" showInputMessage="1" showErrorMessage="1" prompt="Red cells indicate possible offspec fuel." sqref="L26 T26:T56" xr:uid="{00000000-0002-0000-0800-000000000000}"/>
    <dataValidation allowBlank="1" showInputMessage="1" showErrorMessage="1" prompt="When taking tank ullage leave 'Actual Height as Measured' blank." sqref="F26:F56" xr:uid="{00000000-0002-0000-0800-000001000000}"/>
    <dataValidation allowBlank="1" showInputMessage="1" showErrorMessage="1" prompt="Double click to interpolate." sqref="H27:J56 P27:R56" xr:uid="{00000000-0002-0000-0800-000002000000}"/>
    <dataValidation type="list" errorStyle="information" allowBlank="1" showInputMessage="1" showErrorMessage="1" prompt="Choose Remarks from list or edit yours." sqref="C67:U70" xr:uid="{00000000-0002-0000-0800-000003000000}">
      <formula1>REMCOL</formula1>
    </dataValidation>
    <dataValidation type="decimal" allowBlank="1" showInputMessage="1" showErrorMessage="1" errorTitle="API/Density" error="This API/Density is not valid." prompt="Red cells indicate possible offspec fuel." sqref="L27:L56" xr:uid="{00000000-0002-0000-0800-000004000000}">
      <formula1>-5</formula1>
      <formula2>50</formula2>
    </dataValidation>
  </dataValidations>
  <hyperlinks>
    <hyperlink ref="B67" location="REMCODE" display="Remarks:" xr:uid="{00000000-0004-0000-0800-000000000000}"/>
    <hyperlink ref="B58" location="VSLDRAFT" display="Drafts" xr:uid="{00000000-0004-0000-0800-000001000000}"/>
  </hyperlinks>
  <printOptions horizontalCentered="1"/>
  <pageMargins left="0.3" right="0.3" top="0.2" bottom="0.3" header="0.31496062992125984" footer="0.1"/>
  <pageSetup paperSize="9" scale="59" orientation="portrait" r:id="rId1"/>
  <headerFooter scaleWithDoc="0">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4421" r:id="rId4" name="List Box 37">
              <controlPr defaultSize="0" print="0" autoLine="0" autoPict="0" macro="[0]!CLICK_SIZEPREVSL">
                <anchor moveWithCells="1" sizeWithCells="1">
                  <from>
                    <xdr:col>6</xdr:col>
                    <xdr:colOff>9525</xdr:colOff>
                    <xdr:row>14</xdr:row>
                    <xdr:rowOff>228600</xdr:rowOff>
                  </from>
                  <to>
                    <xdr:col>7</xdr:col>
                    <xdr:colOff>142875</xdr:colOff>
                    <xdr:row>21</xdr:row>
                    <xdr:rowOff>9525</xdr:rowOff>
                  </to>
                </anchor>
              </controlPr>
            </control>
          </mc:Choice>
        </mc:AlternateContent>
        <mc:AlternateContent xmlns:mc="http://schemas.openxmlformats.org/markup-compatibility/2006">
          <mc:Choice Requires="x14">
            <control shapeId="144422" r:id="rId5" name="List Box 38">
              <controlPr defaultSize="0" print="0" autoLine="0" autoPict="0" macro="[0]!CLICK_SIZEPREVSL">
                <anchor moveWithCells="1" sizeWithCells="1">
                  <from>
                    <xdr:col>6</xdr:col>
                    <xdr:colOff>495300</xdr:colOff>
                    <xdr:row>14</xdr:row>
                    <xdr:rowOff>228600</xdr:rowOff>
                  </from>
                  <to>
                    <xdr:col>8</xdr:col>
                    <xdr:colOff>180975</xdr:colOff>
                    <xdr:row>21</xdr:row>
                    <xdr:rowOff>9525</xdr:rowOff>
                  </to>
                </anchor>
              </controlPr>
            </control>
          </mc:Choice>
        </mc:AlternateContent>
        <mc:AlternateContent xmlns:mc="http://schemas.openxmlformats.org/markup-compatibility/2006">
          <mc:Choice Requires="x14">
            <control shapeId="144432" r:id="rId6" name="List Box 48">
              <controlPr defaultSize="0" print="0" autoLine="0" autoPict="0" macro="[0]!CLICK_SIZEPREVSLBRG_V">
                <anchor moveWithCells="1" sizeWithCells="1">
                  <from>
                    <xdr:col>18</xdr:col>
                    <xdr:colOff>247650</xdr:colOff>
                    <xdr:row>14</xdr:row>
                    <xdr:rowOff>238125</xdr:rowOff>
                  </from>
                  <to>
                    <xdr:col>19</xdr:col>
                    <xdr:colOff>409575</xdr:colOff>
                    <xdr:row>21</xdr:row>
                    <xdr:rowOff>19050</xdr:rowOff>
                  </to>
                </anchor>
              </controlPr>
            </control>
          </mc:Choice>
        </mc:AlternateContent>
        <mc:AlternateContent xmlns:mc="http://schemas.openxmlformats.org/markup-compatibility/2006">
          <mc:Choice Requires="x14">
            <control shapeId="144433" r:id="rId7" name="List Box 49">
              <controlPr defaultSize="0" print="0" autoLine="0" autoPict="0" macro="[0]!CLICK_SIZEPREVSLBRG_V">
                <anchor moveWithCells="1" sizeWithCells="1">
                  <from>
                    <xdr:col>19</xdr:col>
                    <xdr:colOff>257175</xdr:colOff>
                    <xdr:row>14</xdr:row>
                    <xdr:rowOff>238125</xdr:rowOff>
                  </from>
                  <to>
                    <xdr:col>20</xdr:col>
                    <xdr:colOff>381000</xdr:colOff>
                    <xdr:row>21</xdr:row>
                    <xdr:rowOff>19050</xdr:rowOff>
                  </to>
                </anchor>
              </controlPr>
            </control>
          </mc:Choice>
        </mc:AlternateContent>
        <mc:AlternateContent xmlns:mc="http://schemas.openxmlformats.org/markup-compatibility/2006">
          <mc:Choice Requires="x14">
            <control shapeId="144434" r:id="rId8" name="List Box 50">
              <controlPr defaultSize="0" print="0" autoLine="0" autoPict="0" macro="[0]!CLICK_SIZEPREVSLBRG_V">
                <anchor moveWithCells="1" sizeWithCells="1">
                  <from>
                    <xdr:col>20</xdr:col>
                    <xdr:colOff>238125</xdr:colOff>
                    <xdr:row>14</xdr:row>
                    <xdr:rowOff>238125</xdr:rowOff>
                  </from>
                  <to>
                    <xdr:col>21</xdr:col>
                    <xdr:colOff>457200</xdr:colOff>
                    <xdr:row>21</xdr:row>
                    <xdr:rowOff>19050</xdr:rowOff>
                  </to>
                </anchor>
              </controlPr>
            </control>
          </mc:Choice>
        </mc:AlternateContent>
        <mc:AlternateContent xmlns:mc="http://schemas.openxmlformats.org/markup-compatibility/2006">
          <mc:Choice Requires="x14">
            <control shapeId="144435" r:id="rId9" name="Drop Down 51">
              <controlPr defaultSize="0" print="0" autoLine="0" autoPict="0" macro="[0]!MYFEET1">
                <anchor moveWithCells="1">
                  <from>
                    <xdr:col>4</xdr:col>
                    <xdr:colOff>19050</xdr:colOff>
                    <xdr:row>24</xdr:row>
                    <xdr:rowOff>19050</xdr:rowOff>
                  </from>
                  <to>
                    <xdr:col>4</xdr:col>
                    <xdr:colOff>657225</xdr:colOff>
                    <xdr:row>24</xdr:row>
                    <xdr:rowOff>219075</xdr:rowOff>
                  </to>
                </anchor>
              </controlPr>
            </control>
          </mc:Choice>
        </mc:AlternateContent>
        <mc:AlternateContent xmlns:mc="http://schemas.openxmlformats.org/markup-compatibility/2006">
          <mc:Choice Requires="x14">
            <control shapeId="144436" r:id="rId10" name="Drop Down 52">
              <controlPr defaultSize="0" print="0" autoLine="0" autoPict="0" macro="[0]!MYFEET1">
                <anchor moveWithCells="1">
                  <from>
                    <xdr:col>5</xdr:col>
                    <xdr:colOff>9525</xdr:colOff>
                    <xdr:row>24</xdr:row>
                    <xdr:rowOff>19050</xdr:rowOff>
                  </from>
                  <to>
                    <xdr:col>5</xdr:col>
                    <xdr:colOff>533400</xdr:colOff>
                    <xdr:row>24</xdr:row>
                    <xdr:rowOff>219075</xdr:rowOff>
                  </to>
                </anchor>
              </controlPr>
            </control>
          </mc:Choice>
        </mc:AlternateContent>
        <mc:AlternateContent xmlns:mc="http://schemas.openxmlformats.org/markup-compatibility/2006">
          <mc:Choice Requires="x14">
            <control shapeId="144437" r:id="rId11" name="Drop Down 53">
              <controlPr defaultSize="0" print="0" autoLine="0" autoPict="0" macro="[0]!MYFEET1">
                <anchor moveWithCells="1">
                  <from>
                    <xdr:col>7</xdr:col>
                    <xdr:colOff>9525</xdr:colOff>
                    <xdr:row>24</xdr:row>
                    <xdr:rowOff>19050</xdr:rowOff>
                  </from>
                  <to>
                    <xdr:col>7</xdr:col>
                    <xdr:colOff>523875</xdr:colOff>
                    <xdr:row>24</xdr:row>
                    <xdr:rowOff>219075</xdr:rowOff>
                  </to>
                </anchor>
              </controlPr>
            </control>
          </mc:Choice>
        </mc:AlternateContent>
        <mc:AlternateContent xmlns:mc="http://schemas.openxmlformats.org/markup-compatibility/2006">
          <mc:Choice Requires="x14">
            <control shapeId="144438" r:id="rId12" name="Drop Down 54">
              <controlPr defaultSize="0" print="0" autoLine="0" autoPict="0" macro="[0]!MYFEET1">
                <anchor moveWithCells="1" sizeWithCells="1">
                  <from>
                    <xdr:col>15</xdr:col>
                    <xdr:colOff>9525</xdr:colOff>
                    <xdr:row>24</xdr:row>
                    <xdr:rowOff>19050</xdr:rowOff>
                  </from>
                  <to>
                    <xdr:col>15</xdr:col>
                    <xdr:colOff>523875</xdr:colOff>
                    <xdr:row>24</xdr:row>
                    <xdr:rowOff>219075</xdr:rowOff>
                  </to>
                </anchor>
              </controlPr>
            </control>
          </mc:Choice>
        </mc:AlternateContent>
        <mc:AlternateContent xmlns:mc="http://schemas.openxmlformats.org/markup-compatibility/2006">
          <mc:Choice Requires="x14">
            <control shapeId="144439" r:id="rId13" name="Drop Down 55">
              <controlPr defaultSize="0" print="0" autoLine="0" autoPict="0" macro="[0]!MYBBLS1">
                <anchor moveWithCells="1">
                  <from>
                    <xdr:col>9</xdr:col>
                    <xdr:colOff>19050</xdr:colOff>
                    <xdr:row>24</xdr:row>
                    <xdr:rowOff>19050</xdr:rowOff>
                  </from>
                  <to>
                    <xdr:col>9</xdr:col>
                    <xdr:colOff>600075</xdr:colOff>
                    <xdr:row>24</xdr:row>
                    <xdr:rowOff>219075</xdr:rowOff>
                  </to>
                </anchor>
              </controlPr>
            </control>
          </mc:Choice>
        </mc:AlternateContent>
        <mc:AlternateContent xmlns:mc="http://schemas.openxmlformats.org/markup-compatibility/2006">
          <mc:Choice Requires="x14">
            <control shapeId="144440" r:id="rId14" name="Drop Down 56">
              <controlPr defaultSize="0" print="0" autoLine="0" autoPict="0" macro="[0]!MYBBLS1">
                <anchor moveWithCells="1">
                  <from>
                    <xdr:col>13</xdr:col>
                    <xdr:colOff>9525</xdr:colOff>
                    <xdr:row>24</xdr:row>
                    <xdr:rowOff>19050</xdr:rowOff>
                  </from>
                  <to>
                    <xdr:col>13</xdr:col>
                    <xdr:colOff>514350</xdr:colOff>
                    <xdr:row>24</xdr:row>
                    <xdr:rowOff>219075</xdr:rowOff>
                  </to>
                </anchor>
              </controlPr>
            </control>
          </mc:Choice>
        </mc:AlternateContent>
        <mc:AlternateContent xmlns:mc="http://schemas.openxmlformats.org/markup-compatibility/2006">
          <mc:Choice Requires="x14">
            <control shapeId="144441" r:id="rId15" name="Drop Down 57">
              <controlPr defaultSize="0" print="0" autoLine="0" autoPict="0" macro="[0]!MYBBLS1">
                <anchor moveWithCells="1" sizeWithCells="1">
                  <from>
                    <xdr:col>17</xdr:col>
                    <xdr:colOff>19050</xdr:colOff>
                    <xdr:row>24</xdr:row>
                    <xdr:rowOff>19050</xdr:rowOff>
                  </from>
                  <to>
                    <xdr:col>17</xdr:col>
                    <xdr:colOff>600075</xdr:colOff>
                    <xdr:row>24</xdr:row>
                    <xdr:rowOff>219075</xdr:rowOff>
                  </to>
                </anchor>
              </controlPr>
            </control>
          </mc:Choice>
        </mc:AlternateContent>
        <mc:AlternateContent xmlns:mc="http://schemas.openxmlformats.org/markup-compatibility/2006">
          <mc:Choice Requires="x14">
            <control shapeId="144442" r:id="rId16" name="Drop Down 58">
              <controlPr defaultSize="0" print="0" autoLine="0" autoPict="0" macro="[0]!MYBBLS1">
                <anchor moveWithCells="1" sizeWithCells="1">
                  <from>
                    <xdr:col>21</xdr:col>
                    <xdr:colOff>9525</xdr:colOff>
                    <xdr:row>24</xdr:row>
                    <xdr:rowOff>19050</xdr:rowOff>
                  </from>
                  <to>
                    <xdr:col>21</xdr:col>
                    <xdr:colOff>514350</xdr:colOff>
                    <xdr:row>24</xdr:row>
                    <xdr:rowOff>219075</xdr:rowOff>
                  </to>
                </anchor>
              </controlPr>
            </control>
          </mc:Choice>
        </mc:AlternateContent>
        <mc:AlternateContent xmlns:mc="http://schemas.openxmlformats.org/markup-compatibility/2006">
          <mc:Choice Requires="x14">
            <control shapeId="144443" r:id="rId17" name="Drop Down 59">
              <controlPr defaultSize="0" print="0" autoLine="0" autoPict="0" macro="[0]!MYTEMP1">
                <anchor moveWithCells="1">
                  <from>
                    <xdr:col>10</xdr:col>
                    <xdr:colOff>19050</xdr:colOff>
                    <xdr:row>24</xdr:row>
                    <xdr:rowOff>19050</xdr:rowOff>
                  </from>
                  <to>
                    <xdr:col>10</xdr:col>
                    <xdr:colOff>466725</xdr:colOff>
                    <xdr:row>24</xdr:row>
                    <xdr:rowOff>219075</xdr:rowOff>
                  </to>
                </anchor>
              </controlPr>
            </control>
          </mc:Choice>
        </mc:AlternateContent>
        <mc:AlternateContent xmlns:mc="http://schemas.openxmlformats.org/markup-compatibility/2006">
          <mc:Choice Requires="x14">
            <control shapeId="144444" r:id="rId18" name="Drop Down 60">
              <controlPr defaultSize="0" print="0" autoLine="0" autoPict="0" macro="[0]!MYTEMP1">
                <anchor moveWithCells="1" sizeWithCells="1">
                  <from>
                    <xdr:col>18</xdr:col>
                    <xdr:colOff>19050</xdr:colOff>
                    <xdr:row>24</xdr:row>
                    <xdr:rowOff>19050</xdr:rowOff>
                  </from>
                  <to>
                    <xdr:col>18</xdr:col>
                    <xdr:colOff>466725</xdr:colOff>
                    <xdr:row>24</xdr:row>
                    <xdr:rowOff>219075</xdr:rowOff>
                  </to>
                </anchor>
              </controlPr>
            </control>
          </mc:Choice>
        </mc:AlternateContent>
        <mc:AlternateContent xmlns:mc="http://schemas.openxmlformats.org/markup-compatibility/2006">
          <mc:Choice Requires="x14">
            <control shapeId="144445" r:id="rId19" name="Drop Down 61">
              <controlPr defaultSize="0" print="0" autoLine="0" autoPict="0" macro="[0]!MYWATER1">
                <anchor moveWithCells="1">
                  <from>
                    <xdr:col>12</xdr:col>
                    <xdr:colOff>19050</xdr:colOff>
                    <xdr:row>24</xdr:row>
                    <xdr:rowOff>19050</xdr:rowOff>
                  </from>
                  <to>
                    <xdr:col>12</xdr:col>
                    <xdr:colOff>495300</xdr:colOff>
                    <xdr:row>24</xdr:row>
                    <xdr:rowOff>219075</xdr:rowOff>
                  </to>
                </anchor>
              </controlPr>
            </control>
          </mc:Choice>
        </mc:AlternateContent>
        <mc:AlternateContent xmlns:mc="http://schemas.openxmlformats.org/markup-compatibility/2006">
          <mc:Choice Requires="x14">
            <control shapeId="144446" r:id="rId20" name="Drop Down 62">
              <controlPr defaultSize="0" print="0" autoLine="0" autoPict="0" macro="[0]!MYWATER1">
                <anchor moveWithCells="1" sizeWithCells="1">
                  <from>
                    <xdr:col>20</xdr:col>
                    <xdr:colOff>19050</xdr:colOff>
                    <xdr:row>24</xdr:row>
                    <xdr:rowOff>19050</xdr:rowOff>
                  </from>
                  <to>
                    <xdr:col>20</xdr:col>
                    <xdr:colOff>495300</xdr:colOff>
                    <xdr:row>24</xdr:row>
                    <xdr:rowOff>219075</xdr:rowOff>
                  </to>
                </anchor>
              </controlPr>
            </control>
          </mc:Choice>
        </mc:AlternateContent>
        <mc:AlternateContent xmlns:mc="http://schemas.openxmlformats.org/markup-compatibility/2006">
          <mc:Choice Requires="x14">
            <control shapeId="144447" r:id="rId21" name="Drop Down 63">
              <controlPr defaultSize="0" print="0" autoLine="0" autoPict="0" macro="[0]!MYAPI1">
                <anchor moveWithCells="1">
                  <from>
                    <xdr:col>11</xdr:col>
                    <xdr:colOff>19050</xdr:colOff>
                    <xdr:row>24</xdr:row>
                    <xdr:rowOff>19050</xdr:rowOff>
                  </from>
                  <to>
                    <xdr:col>11</xdr:col>
                    <xdr:colOff>581025</xdr:colOff>
                    <xdr:row>24</xdr:row>
                    <xdr:rowOff>219075</xdr:rowOff>
                  </to>
                </anchor>
              </controlPr>
            </control>
          </mc:Choice>
        </mc:AlternateContent>
        <mc:AlternateContent xmlns:mc="http://schemas.openxmlformats.org/markup-compatibility/2006">
          <mc:Choice Requires="x14">
            <control shapeId="144448" r:id="rId22" name="Drop Down 64">
              <controlPr defaultSize="0" print="0" autoLine="0" autoPict="0" macro="[0]!MYAPI1">
                <anchor moveWithCells="1" sizeWithCells="1">
                  <from>
                    <xdr:col>19</xdr:col>
                    <xdr:colOff>19050</xdr:colOff>
                    <xdr:row>24</xdr:row>
                    <xdr:rowOff>19050</xdr:rowOff>
                  </from>
                  <to>
                    <xdr:col>19</xdr:col>
                    <xdr:colOff>581025</xdr:colOff>
                    <xdr:row>24</xdr:row>
                    <xdr:rowOff>219075</xdr:rowOff>
                  </to>
                </anchor>
              </controlPr>
            </control>
          </mc:Choice>
        </mc:AlternateContent>
        <mc:AlternateContent xmlns:mc="http://schemas.openxmlformats.org/markup-compatibility/2006">
          <mc:Choice Requires="x14">
            <control shapeId="144449" r:id="rId23" name="Drop Down 65">
              <controlPr defaultSize="0" print="0" autoLine="0" autoPict="0" macro="[0]!MYFEET1">
                <anchor moveWithCells="1" sizeWithCells="1">
                  <from>
                    <xdr:col>8</xdr:col>
                    <xdr:colOff>9525</xdr:colOff>
                    <xdr:row>24</xdr:row>
                    <xdr:rowOff>19050</xdr:rowOff>
                  </from>
                  <to>
                    <xdr:col>8</xdr:col>
                    <xdr:colOff>523875</xdr:colOff>
                    <xdr:row>24</xdr:row>
                    <xdr:rowOff>219075</xdr:rowOff>
                  </to>
                </anchor>
              </controlPr>
            </control>
          </mc:Choice>
        </mc:AlternateContent>
        <mc:AlternateContent xmlns:mc="http://schemas.openxmlformats.org/markup-compatibility/2006">
          <mc:Choice Requires="x14">
            <control shapeId="144450" r:id="rId24" name="Drop Down 66">
              <controlPr defaultSize="0" print="0" autoLine="0" autoPict="0" macro="[0]!MYFEET1">
                <anchor moveWithCells="1" sizeWithCells="1">
                  <from>
                    <xdr:col>16</xdr:col>
                    <xdr:colOff>9525</xdr:colOff>
                    <xdr:row>24</xdr:row>
                    <xdr:rowOff>19050</xdr:rowOff>
                  </from>
                  <to>
                    <xdr:col>16</xdr:col>
                    <xdr:colOff>523875</xdr:colOff>
                    <xdr:row>24</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49" yWindow="315" count="4">
        <x14:dataValidation type="list" errorStyle="information" allowBlank="1" showInputMessage="1" showErrorMessage="1" errorTitle="Tank ID" error="Tank Name is not included into the proposed list (optional)._x000a_Proceed?" xr:uid="{00000000-0002-0000-0800-000005000000}">
          <x14:formula1>
            <xm:f>'STANDARD SETT'!$B$6:$B$65</xm:f>
          </x14:formula1>
          <xm:sqref>B27:B56</xm:sqref>
        </x14:dataValidation>
        <x14:dataValidation type="list" allowBlank="1" showInputMessage="1" showErrorMessage="1" errorTitle="Fuel Grade" error="Choose Fuel Grade from list." xr:uid="{00000000-0002-0000-0800-000006000000}">
          <x14:formula1>
            <xm:f>'STANDARD SETT'!$O$16:$O$21</xm:f>
          </x14:formula1>
          <xm:sqref>C27:C56</xm:sqref>
        </x14:dataValidation>
        <x14:dataValidation type="list" allowBlank="1" showInputMessage="1" showErrorMessage="1" errorTitle="Nomination" error="Choose Y/N from list." xr:uid="{00000000-0002-0000-0800-000007000000}">
          <x14:formula1>
            <xm:f>'POWER SETT'!$E$21:$E$23</xm:f>
          </x14:formula1>
          <xm:sqref>D27:D56</xm:sqref>
        </x14:dataValidation>
        <x14:dataValidation type="list" allowBlank="1" showInputMessage="1" showErrorMessage="1" errorTitle="U-S-G-E" error="Choose Method of Gauging from list." prompt="U: Ullage_x000a_S: Sounding_x000a_G: Gauge_x000a_E: Electronic" xr:uid="{00000000-0002-0000-0800-000008000000}">
          <x14:formula1>
            <xm:f>'POWER SETT'!$F$21:$F$25</xm:f>
          </x14:formula1>
          <xm:sqref>O27:O56 G27:G56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filterMode="1">
    <tabColor rgb="FF00B050"/>
    <pageSetUpPr fitToPage="1"/>
  </sheetPr>
  <dimension ref="A1:DL76"/>
  <sheetViews>
    <sheetView showGridLines="0" showRowColHeaders="0" topLeftCell="B13" zoomScaleNormal="100" zoomScaleSheetLayoutView="100" workbookViewId="0">
      <pane ySplit="14" topLeftCell="A42" activePane="bottomLeft" state="frozen"/>
      <selection pane="bottomLeft" activeCell="J28" sqref="J28"/>
    </sheetView>
  </sheetViews>
  <sheetFormatPr defaultColWidth="0" defaultRowHeight="15" zeroHeight="1"/>
  <cols>
    <col min="1" max="1" width="8" style="154" hidden="1" customWidth="1"/>
    <col min="2" max="2" width="9.5" style="154" customWidth="1"/>
    <col min="3" max="3" width="7.875" style="154" customWidth="1"/>
    <col min="4" max="4" width="7.5" style="154" customWidth="1"/>
    <col min="5" max="5" width="8.875" style="154" customWidth="1"/>
    <col min="6" max="6" width="7.375" style="154" bestFit="1" customWidth="1"/>
    <col min="7" max="7" width="6.625" style="154" customWidth="1"/>
    <col min="8" max="8" width="7" style="154" bestFit="1" customWidth="1"/>
    <col min="9" max="9" width="7" style="154" customWidth="1"/>
    <col min="10" max="10" width="8.125" style="154" customWidth="1"/>
    <col min="11" max="11" width="6.25" style="154" customWidth="1"/>
    <col min="12" max="12" width="7.875" style="154" customWidth="1"/>
    <col min="13" max="13" width="6.625" style="154" customWidth="1"/>
    <col min="14" max="14" width="7" style="154" bestFit="1" customWidth="1"/>
    <col min="15" max="15" width="6.625" style="154" customWidth="1"/>
    <col min="16" max="17" width="7" style="154" customWidth="1"/>
    <col min="18" max="18" width="8.125" style="154" customWidth="1"/>
    <col min="19" max="19" width="6.25" style="154" customWidth="1"/>
    <col min="20" max="20" width="7.875" style="154" customWidth="1"/>
    <col min="21" max="21" width="6.625" style="154" customWidth="1"/>
    <col min="22" max="22" width="7" style="154" customWidth="1"/>
    <col min="23" max="23" width="0.25" style="154" customWidth="1"/>
    <col min="24" max="24" width="8.375" style="154" hidden="1" customWidth="1"/>
    <col min="25" max="25" width="7.875" style="154" hidden="1" customWidth="1"/>
    <col min="26" max="26" width="8.875" style="154" hidden="1" customWidth="1"/>
    <col min="27" max="28" width="9" style="154" hidden="1" customWidth="1"/>
    <col min="29" max="29" width="3" style="154" hidden="1" customWidth="1"/>
    <col min="30" max="31" width="9" style="154" hidden="1" customWidth="1"/>
    <col min="32" max="32" width="3" style="154" hidden="1" customWidth="1"/>
    <col min="33" max="34" width="9" style="154" hidden="1" customWidth="1"/>
    <col min="35" max="35" width="3.125" style="154" hidden="1" customWidth="1"/>
    <col min="36" max="37" width="9" style="154" hidden="1" customWidth="1"/>
    <col min="38" max="38" width="3" style="154" hidden="1" customWidth="1"/>
    <col min="39" max="40" width="9" style="154" hidden="1" customWidth="1"/>
    <col min="41" max="41" width="3" style="154" hidden="1" customWidth="1"/>
    <col min="42" max="43" width="7.25" style="154" hidden="1" customWidth="1"/>
    <col min="44" max="44" width="2.5" style="154" hidden="1" customWidth="1"/>
    <col min="45" max="46" width="7.25" style="154" hidden="1" customWidth="1"/>
    <col min="47" max="47" width="2.625" style="154" hidden="1" customWidth="1"/>
    <col min="48" max="49" width="7.25" style="154" hidden="1" customWidth="1"/>
    <col min="50" max="50" width="1.75" style="154" hidden="1" customWidth="1"/>
    <col min="51" max="52" width="7.25" style="154" hidden="1" customWidth="1"/>
    <col min="53" max="55" width="9" style="154" hidden="1" customWidth="1"/>
    <col min="56" max="56" width="2.75" style="154" hidden="1" customWidth="1"/>
    <col min="57" max="61" width="9" style="154" hidden="1" customWidth="1"/>
    <col min="62" max="62" width="2.125" style="154" hidden="1" customWidth="1"/>
    <col min="63" max="64" width="9" style="154" hidden="1" customWidth="1"/>
    <col min="65" max="65" width="6" style="154" hidden="1" customWidth="1"/>
    <col min="66" max="66" width="5.75" style="154" hidden="1" customWidth="1"/>
    <col min="67" max="68" width="6.625" style="154" hidden="1" customWidth="1"/>
    <col min="69" max="69" width="8.125" style="154" hidden="1" customWidth="1"/>
    <col min="70" max="70" width="6" style="154" hidden="1" customWidth="1"/>
    <col min="71" max="71" width="6.625" style="154" hidden="1" customWidth="1"/>
    <col min="72" max="72" width="2.875" style="154" hidden="1" customWidth="1"/>
    <col min="73" max="73" width="5.75" style="154" hidden="1" customWidth="1"/>
    <col min="74" max="75" width="6.625" style="154" hidden="1" customWidth="1"/>
    <col min="76" max="76" width="8.125" style="154" hidden="1" customWidth="1"/>
    <col min="77" max="77" width="8.75" style="154" hidden="1" customWidth="1"/>
    <col min="78" max="78" width="6.625" style="154" hidden="1" customWidth="1"/>
    <col min="79" max="79" width="9.125" style="154" hidden="1" customWidth="1"/>
    <col min="80" max="80" width="8.625" style="154" hidden="1" customWidth="1"/>
    <col min="81" max="108" width="9" style="154" hidden="1" customWidth="1"/>
    <col min="109" max="109" width="11.125" style="154" hidden="1" customWidth="1"/>
    <col min="110" max="111" width="9" style="154" hidden="1" customWidth="1"/>
    <col min="112" max="112" width="17.25" style="154" hidden="1" customWidth="1"/>
    <col min="113" max="114" width="9" style="154" hidden="1" customWidth="1"/>
    <col min="115" max="115" width="1.125" style="154" hidden="1" customWidth="1"/>
    <col min="116" max="16384" width="9" style="154" hidden="1"/>
  </cols>
  <sheetData>
    <row r="1" spans="1:114" s="303" customFormat="1" hidden="1">
      <c r="A1" s="303" t="s">
        <v>467</v>
      </c>
      <c r="B1" s="304">
        <f>ERRTANKMISS_2+ERRTANKREP_2+ERRGRADE_2+ERRNOM_2+ERRHEIGHT_2+ERRDENSDIST_2+ERRDENSRES_2+ERRWRONGNOM_2+ERRMISSNOM_2</f>
        <v>0</v>
      </c>
      <c r="C1" s="303" t="s">
        <v>736</v>
      </c>
      <c r="D1" s="304">
        <f>SUMPRODUCT((D$27:D$56&lt;&gt;0)*(ISERROR(MATCH(D$27:D$56,NOMLIST,0))=TRUE))</f>
        <v>0</v>
      </c>
      <c r="E1" s="305">
        <v>1</v>
      </c>
      <c r="F1" s="306">
        <f>FONESEL_2</f>
        <v>1</v>
      </c>
      <c r="H1" s="306">
        <f>FONESEL_2</f>
        <v>1</v>
      </c>
      <c r="I1" s="306">
        <f>FONESEL_2</f>
        <v>1</v>
      </c>
      <c r="J1" s="305">
        <v>1</v>
      </c>
      <c r="K1" s="305">
        <v>1</v>
      </c>
      <c r="L1" s="305">
        <v>1</v>
      </c>
      <c r="M1" s="305">
        <v>1</v>
      </c>
      <c r="N1" s="306">
        <f>B1SEL_2</f>
        <v>1</v>
      </c>
      <c r="P1" s="306">
        <f>FONESEL_2</f>
        <v>1</v>
      </c>
      <c r="Q1" s="306">
        <f>FONESEL_2</f>
        <v>1</v>
      </c>
      <c r="R1" s="306">
        <f>B1SEL_2</f>
        <v>1</v>
      </c>
      <c r="S1" s="306">
        <f>K1</f>
        <v>1</v>
      </c>
      <c r="T1" s="306">
        <f>L1</f>
        <v>1</v>
      </c>
      <c r="U1" s="306">
        <f t="shared" ref="U1:U3" si="0">M1</f>
        <v>1</v>
      </c>
      <c r="V1" s="306">
        <f>B1SEL_2</f>
        <v>1</v>
      </c>
      <c r="X1" s="307" t="s">
        <v>396</v>
      </c>
      <c r="Y1" s="307" t="s">
        <v>32</v>
      </c>
      <c r="AA1" s="308" t="s">
        <v>323</v>
      </c>
      <c r="AB1" s="1149" t="s">
        <v>952</v>
      </c>
      <c r="AD1" s="1149" t="s">
        <v>954</v>
      </c>
      <c r="BX1" s="288" t="s">
        <v>452</v>
      </c>
      <c r="BY1" s="288" t="s">
        <v>453</v>
      </c>
      <c r="BZ1" s="294" t="s">
        <v>145</v>
      </c>
      <c r="CA1" s="294" t="s">
        <v>456</v>
      </c>
      <c r="CB1" s="294" t="s">
        <v>143</v>
      </c>
      <c r="CC1" s="296" t="s">
        <v>441</v>
      </c>
      <c r="CD1" s="296" t="s">
        <v>457</v>
      </c>
      <c r="CE1" s="296" t="s">
        <v>443</v>
      </c>
      <c r="CF1" s="296" t="s">
        <v>444</v>
      </c>
      <c r="CG1" s="296" t="s">
        <v>440</v>
      </c>
      <c r="CH1" s="296" t="s">
        <v>445</v>
      </c>
      <c r="CI1" s="296" t="s">
        <v>446</v>
      </c>
      <c r="CJ1" s="296" t="s">
        <v>447</v>
      </c>
      <c r="CK1" s="296" t="s">
        <v>448</v>
      </c>
      <c r="CL1" s="296" t="s">
        <v>449</v>
      </c>
      <c r="CM1" s="296" t="s">
        <v>450</v>
      </c>
      <c r="CN1" s="296" t="s">
        <v>451</v>
      </c>
      <c r="DC1" s="294" t="s">
        <v>739</v>
      </c>
      <c r="DD1" s="294" t="s">
        <v>945</v>
      </c>
      <c r="DE1" s="294" t="s">
        <v>946</v>
      </c>
      <c r="DF1" s="294" t="s">
        <v>924</v>
      </c>
      <c r="DG1" s="294" t="s">
        <v>944</v>
      </c>
      <c r="DH1" s="294" t="s">
        <v>948</v>
      </c>
      <c r="DI1" s="294" t="s">
        <v>740</v>
      </c>
      <c r="DJ1" s="294" t="s">
        <v>949</v>
      </c>
    </row>
    <row r="2" spans="1:114" s="303" customFormat="1" ht="17.25" hidden="1">
      <c r="A2" s="303" t="s">
        <v>391</v>
      </c>
      <c r="B2" s="304">
        <f>SUMPRODUCT((B$27:B$56=0)*(C$27:C$56&lt;&gt;"")*(D$27:D$56&lt;&gt;""))</f>
        <v>0</v>
      </c>
      <c r="C2" s="309" t="s">
        <v>733</v>
      </c>
      <c r="D2" s="312">
        <f>IF(0=0,0,SUMPRODUCT((FTWODEST_2&lt;&gt;"")*($G$27:$G$56=UMETHOD)*($O$27:$O$56=UMETHOD)))</f>
        <v>0</v>
      </c>
      <c r="E2" s="310" t="s">
        <v>33</v>
      </c>
      <c r="F2" s="310" t="str">
        <f>E2</f>
        <v>m</v>
      </c>
      <c r="H2" s="310" t="str">
        <f>E2</f>
        <v>m</v>
      </c>
      <c r="I2" s="1150" t="str">
        <f>E2</f>
        <v>m</v>
      </c>
      <c r="J2" s="310" t="s">
        <v>295</v>
      </c>
      <c r="K2" s="155" t="s">
        <v>293</v>
      </c>
      <c r="L2" s="307" t="s">
        <v>291</v>
      </c>
      <c r="M2" s="310" t="s">
        <v>166</v>
      </c>
      <c r="N2" s="310" t="str">
        <f>J2</f>
        <v>m3</v>
      </c>
      <c r="P2" s="310" t="str">
        <f>E2</f>
        <v>m</v>
      </c>
      <c r="Q2" s="1150" t="str">
        <f>E2</f>
        <v>m</v>
      </c>
      <c r="R2" s="310" t="str">
        <f>J2</f>
        <v>m3</v>
      </c>
      <c r="S2" s="155" t="str">
        <f>K2</f>
        <v>° C</v>
      </c>
      <c r="T2" s="307" t="s">
        <v>291</v>
      </c>
      <c r="U2" s="310" t="str">
        <f t="shared" si="0"/>
        <v>cm</v>
      </c>
      <c r="V2" s="310" t="str">
        <f>J2</f>
        <v>m3</v>
      </c>
      <c r="X2" s="307" t="s">
        <v>397</v>
      </c>
      <c r="Y2" s="307" t="s">
        <v>292</v>
      </c>
      <c r="AA2" s="304" t="str">
        <f>'STANDARD SETT'!O16</f>
        <v>HSFO</v>
      </c>
      <c r="AB2" s="304" t="str">
        <f>IF(SUMPRODUCT(('Barge Gauging Data'!$C$27:$C$56=$AA2)*('Barge Gauging Data'!$D$27:$D$56=NOMY))=0,"",", "&amp;$AA2)</f>
        <v/>
      </c>
      <c r="AD2" s="304" t="str">
        <f t="shared" ref="AD2:AD7" si="1">IF(ISERROR(MATCH($AA2,IF(GRADECHNO_2=2,RESIDUALS,IF(GRADECHNO_2=3,DISTILLATES,GRADESLIST)),0))=TRUE,"",IF(SUMPRODUCT(($C$27:$C$56=$AA2)*($D$27:$D$56=NOMY))=0,"",", "&amp;$AA2))</f>
        <v/>
      </c>
      <c r="BX2" s="153">
        <v>8</v>
      </c>
      <c r="BY2" s="153">
        <v>1</v>
      </c>
      <c r="BZ2" s="474">
        <f>IF(TIMECH_2=1,FTRIM1A_2,FTRIM1B_2)</f>
        <v>0</v>
      </c>
      <c r="CA2" s="295">
        <f>IF(TIMECH_2=1,FTRIMACTA_2,FTRIMACTB_2)</f>
        <v>1</v>
      </c>
      <c r="CB2" s="474">
        <f>IF(TIMECH_2=1,FTRIM2A_2,FTRIM2B_2)</f>
        <v>1</v>
      </c>
      <c r="CC2" s="297">
        <f>INDEX($CC$27:$DA$56,TANKCH_2,IF(TIMECH_2=1,0,13)+1)</f>
        <v>6</v>
      </c>
      <c r="CD2" s="297">
        <f>INDEX($CC$27:$DA$56,TANKCH_2,IF(TIMECH_2=1,0,13)+2)</f>
        <v>0</v>
      </c>
      <c r="CE2" s="297">
        <f>INDEX($CC$27:$DA$56,TANKCH_2,IF(TIMECH_2=1,0,13)+3)</f>
        <v>0.62</v>
      </c>
      <c r="CF2" s="297">
        <f>INDEX($CC$27:$DA$56,TANKCH_2,IF(TIMECH_2=1,0,13)+4)</f>
        <v>16.55</v>
      </c>
      <c r="CG2" s="297" t="str">
        <f>IF(AND(FULLACT_2=FULL1_2,FULLACT_2=FULL2_2),FVOL11_2,INDEX($CC$27:$DA$56,TANKCH_2,IF(TIMECH_2=1,0,13)+5))</f>
        <v>ULL?</v>
      </c>
      <c r="CH2" s="297">
        <f>IF(AND(FULLACT_2=FULL1_2,FULLACT_2=FULL2_2),FVOL11_2,INDEX($CC$27:$DA$56,TANKCH_2,IF(TIMECH_2=1,0,13)+6))</f>
        <v>17.202999999999999</v>
      </c>
      <c r="CI2" s="297">
        <f>IF(AND(FTRIMACTA_2=FTRIM1A_2,FTRIMACTA_2=FTRIM2A_2),FVOL11_2,INDEX($CC$27:$DA$56,TANKCH_2,IF(TIMECH_2=1,0,13)+7))</f>
        <v>16.937999999999999</v>
      </c>
      <c r="CJ2" s="297" t="str">
        <f>IF(AND(FTRIMACTA_2=FTRIM1A_2,FTRIMACTA_2=FTRIM2A_2),FVOL1_2,IF(AND(FULLACT_2=FULL1_2,FULLACT_2=FULL2_2),FVOL21_2,INDEX($CC$27:$DA$56,TANKCH_2,IF(TIMECH_2=1,0,13)+8)))</f>
        <v>ULL?</v>
      </c>
      <c r="CK2" s="297">
        <f>IF(AND(FTRIMACTA_2=FTRIM1A_2,FTRIMACTA_2=FTRIM2A_2),FVOL12_2,IF(AND(FULLACT_2=FULL1_2,FULLACT_2=FULL2_2),FVOL21_2,INDEX($CC$27:$DA$56,TANKCH_2,IF(TIMECH_2=1,0,13)+9)))</f>
        <v>17.597000000000001</v>
      </c>
      <c r="CL2" s="297">
        <f>IF(AND(FULLACT_2=FULL1_2,FULLACT_2=FULL2_2),FVOL11_2,INDEX($CC$27:$DA$56,TANKCH_2,IF(TIMECH_2=1,0,13)+10))</f>
        <v>16.937999999999999</v>
      </c>
      <c r="CM2" s="297" t="str">
        <f>IF(AND(FTRIMACTA_2=FTRIM1A_2,FTRIMACTA_2=FTRIM2A_2),FVOL1_2,IF(AND(FULLACT_2=FULL1_2,FULLACT_2=FULL2_2),FVOL31_2,INDEX($CC$27:$DA$56,TANKCH_2,IF(TIMECH_2=1,0,13)+11)))</f>
        <v>ULL?</v>
      </c>
      <c r="CN2" s="297">
        <f>IF(AND(FTRIMACTA_2=FTRIM1A_2,FTRIMACTA_2=FTRIM2A_2),FVOL12_2,IF(AND(FULLACT_2=FULL1_2,FULLACT_2=FULL2_2),FVOL31_2,INDEX($CC$27:$DA$56,TANKCH_2,IF(TIMECH_2=1,0,13)+12)))</f>
        <v>17.597000000000001</v>
      </c>
      <c r="DC2" s="204" t="str">
        <f>IF(INDEX($DC$27:$DJ$56,TANKCH_2,1)="","DENS?",INDEX($DC$27:$DJ$56,TANKCH_2,1))</f>
        <v>DENS?</v>
      </c>
      <c r="DD2" s="297">
        <f>IF(INDEX($DC$27:$DJ$56,TANKCH_2,2)="","VOL?",INDEX($DC$27:$DJ$56,TANKCH_2,2))</f>
        <v>0</v>
      </c>
      <c r="DE2" s="297" t="str">
        <f>INDEX($DC$27:$DJ$56,TANKCH_2,3)</f>
        <v/>
      </c>
      <c r="DF2" s="204" t="str">
        <f>IF(INDEX($DC$27:$DJ$56,TANKCH_2,4)="","DENS?",INDEX($DC$27:$DJ$56,TANKCH_2,4))</f>
        <v>DENS?</v>
      </c>
      <c r="DG2" s="297">
        <f>IF(INDEX($DC$27:$DJ$56,TANKCH_2,5)="","VOL?",INDEX($DC$27:$DJ$56,TANKCH_2,5))</f>
        <v>0</v>
      </c>
      <c r="DH2" s="297">
        <f>INDEX($DC$27:$DJ$56,TANKCH_2,6)</f>
        <v>0</v>
      </c>
      <c r="DI2" s="204" t="str">
        <f>IF(OR(BDENS1="DENS?",BDENS2="DENS?"),"DENS?",IF(OR(BTOV1="VOL?",BTOV2="VOL?"),"VOL?",INDEX($DC$27:$DJ$56,TANKCH_2,7)))</f>
        <v>DENS?</v>
      </c>
      <c r="DJ2" s="297">
        <f>IF(INDEX($DC$27:$DJ$56,TANKCH_2,8)="","VOL?",INDEX($DC$27:$DJ$56,TANKCH_2,8))</f>
        <v>0</v>
      </c>
    </row>
    <row r="3" spans="1:114" s="303" customFormat="1" ht="17.25" hidden="1">
      <c r="A3" s="303" t="s">
        <v>392</v>
      </c>
      <c r="B3" s="304">
        <f>SUMPRODUCT(($B$27:$B$56&lt;&gt;0)*(COUNTIF($B$27:$B$56,$B$27:$B$56)&gt;1=TRUE))</f>
        <v>0</v>
      </c>
      <c r="C3" s="309" t="s">
        <v>734</v>
      </c>
      <c r="D3" s="304">
        <f>SUMPRODUCT(($C$27:$C$56&gt;0)*($L$27:$L$56&lt;&gt;"")*(ISERROR(MATCH($C$27:$C$56,DISTILLATES,0))=FALSE)*($BR$27:$BR$56&gt;HIDIS_DEN))+SUMPRODUCT(($C$27:$C$56&gt;0)*($T$27:$T$56&lt;&gt;"")*(ISERROR(MATCH($C$27:$C$56,DISTILLATES,0))=FALSE)*($BY$27:$BY$56&gt;HIDIS_DEN))</f>
        <v>0</v>
      </c>
      <c r="E3" s="310" t="s">
        <v>353</v>
      </c>
      <c r="F3" s="310" t="str">
        <f>E3</f>
        <v>ft</v>
      </c>
      <c r="H3" s="310" t="str">
        <f>E3</f>
        <v>ft</v>
      </c>
      <c r="I3" s="1150" t="str">
        <f>E3</f>
        <v>ft</v>
      </c>
      <c r="J3" s="310" t="s">
        <v>296</v>
      </c>
      <c r="K3" s="155" t="s">
        <v>294</v>
      </c>
      <c r="L3" s="307" t="s">
        <v>292</v>
      </c>
      <c r="M3" s="310" t="s">
        <v>325</v>
      </c>
      <c r="N3" s="310" t="str">
        <f>J3</f>
        <v>Bbls</v>
      </c>
      <c r="P3" s="310" t="str">
        <f>E3</f>
        <v>ft</v>
      </c>
      <c r="Q3" s="1150" t="str">
        <f>E3</f>
        <v>ft</v>
      </c>
      <c r="R3" s="310" t="str">
        <f>J3</f>
        <v>Bbls</v>
      </c>
      <c r="S3" s="155" t="str">
        <f>K3</f>
        <v>° F</v>
      </c>
      <c r="T3" s="307" t="s">
        <v>292</v>
      </c>
      <c r="U3" s="310" t="str">
        <f t="shared" si="0"/>
        <v>inches</v>
      </c>
      <c r="V3" s="310" t="str">
        <f>J3</f>
        <v>Bbls</v>
      </c>
      <c r="AA3" s="304" t="str">
        <f>'STANDARD SETT'!O17</f>
        <v>LSFO</v>
      </c>
      <c r="AB3" s="304" t="str">
        <f>IF(SUMPRODUCT(('Barge Gauging Data'!$C$27:$C$56=$AA3)*('Barge Gauging Data'!$D$27:$D$56=NOMY))=0,"",", "&amp;$AA3)</f>
        <v>, LSFO</v>
      </c>
      <c r="AD3" s="304" t="str">
        <f t="shared" si="1"/>
        <v/>
      </c>
      <c r="BX3" s="154"/>
      <c r="BY3" s="290">
        <f>TIMECHOICE_2</f>
        <v>1</v>
      </c>
    </row>
    <row r="4" spans="1:114" s="303" customFormat="1" hidden="1">
      <c r="A4" s="303" t="s">
        <v>393</v>
      </c>
      <c r="B4" s="304">
        <f>SUMPRODUCT((B$27:B$56&lt;&gt;0)*(ISERROR(MATCH(B$27:B$56,TANKSLIST_BRG,0))=TRUE))</f>
        <v>6</v>
      </c>
      <c r="C4" s="309" t="s">
        <v>735</v>
      </c>
      <c r="D4" s="304">
        <f>SUMPRODUCT(($C$27:$C$56&gt;0)*($L$27:$L$56&lt;&gt;"")*(ISERROR(MATCH($C$27:$C$56,RESIDUALS,0))=FALSE)*($BR$27:$BR$56&gt;HIRES_DEN))+SUMPRODUCT(($C$27:$C$56&gt;0)*($T$27:$T$56&lt;&gt;"")*(ISERROR(MATCH($C$27:$C$56,RESIDUALS,0))=FALSE)*($BY$27:$BY$56&gt;HIRES_DEN))</f>
        <v>0</v>
      </c>
      <c r="E4" s="311"/>
      <c r="AA4" s="304" t="str">
        <f>'STANDARD SETT'!O18</f>
        <v>MDO</v>
      </c>
      <c r="AB4" s="304" t="str">
        <f>IF(SUMPRODUCT(('Barge Gauging Data'!$C$27:$C$56=$AA4)*('Barge Gauging Data'!$D$27:$D$56=NOMY))=0,"",", "&amp;$AA4)</f>
        <v/>
      </c>
      <c r="AD4" s="304" t="str">
        <f t="shared" si="1"/>
        <v/>
      </c>
      <c r="BX4" s="154"/>
      <c r="BY4" s="290" t="s">
        <v>506</v>
      </c>
    </row>
    <row r="5" spans="1:114" s="303" customFormat="1" hidden="1">
      <c r="A5" s="303" t="s">
        <v>685</v>
      </c>
      <c r="B5" s="304">
        <f>SUMPRODUCT((C$27:C$56&lt;&gt;0)*(ISERROR(MATCH(C$27:C$56,GRADESLIST,0))=TRUE))</f>
        <v>0</v>
      </c>
      <c r="C5" s="1217" t="s">
        <v>1087</v>
      </c>
      <c r="D5" s="304">
        <f>IF(SURVEYMODE=3,0,COUNTIF(Z27:Z56,TRUE))</f>
        <v>0</v>
      </c>
      <c r="E5" s="1217" t="s">
        <v>1091</v>
      </c>
      <c r="F5" s="304">
        <f>IF(SURVEYMODE=3,0,'Preliminary Report'!T19)</f>
        <v>0</v>
      </c>
      <c r="G5" s="304" t="str">
        <f>'Preliminary Report'!T21</f>
        <v/>
      </c>
      <c r="AA5" s="304" t="str">
        <f>'STANDARD SETT'!O19</f>
        <v>LSMDO</v>
      </c>
      <c r="AB5" s="304" t="str">
        <f>IF(SUMPRODUCT(('Barge Gauging Data'!$C$27:$C$56=$AA5)*('Barge Gauging Data'!$D$27:$D$56=NOMY))=0,"",", "&amp;$AA5)</f>
        <v/>
      </c>
      <c r="AD5" s="304" t="str">
        <f t="shared" si="1"/>
        <v/>
      </c>
      <c r="BX5" s="154"/>
      <c r="BY5" s="290" t="s">
        <v>507</v>
      </c>
    </row>
    <row r="6" spans="1:114">
      <c r="C6" s="225"/>
      <c r="D6" s="226"/>
      <c r="AA6" s="192" t="str">
        <f>'STANDARD SETT'!O20</f>
        <v>MGO</v>
      </c>
      <c r="AB6" s="304" t="str">
        <f>IF(SUMPRODUCT(('Barge Gauging Data'!$C$27:$C$56=$AA6)*('Barge Gauging Data'!$D$27:$D$56=NOMY))=0,"",", "&amp;$AA6)</f>
        <v/>
      </c>
      <c r="AD6" s="304" t="str">
        <f t="shared" si="1"/>
        <v/>
      </c>
    </row>
    <row r="7" spans="1:114">
      <c r="C7" s="225"/>
      <c r="D7" s="226"/>
      <c r="AA7" s="192" t="str">
        <f>'STANDARD SETT'!O21</f>
        <v>LSMGO</v>
      </c>
      <c r="AB7" s="304" t="str">
        <f>IF(SUMPRODUCT(('Barge Gauging Data'!$C$27:$C$56=$AA7)*('Barge Gauging Data'!$D$27:$D$56=NOMY))=0,"",", "&amp;$AA7)</f>
        <v>, LSMGO</v>
      </c>
      <c r="AD7" s="304" t="str">
        <f t="shared" si="1"/>
        <v>, LSMGO</v>
      </c>
    </row>
    <row r="8" spans="1:114">
      <c r="C8" s="225"/>
      <c r="D8" s="226"/>
      <c r="AB8" s="192" t="str">
        <f>CONCATENATE(AB2,AB3,AB4,AB5,AB6,AB7)</f>
        <v>, LSFO, LSMGO</v>
      </c>
      <c r="AD8" s="192" t="str">
        <f>CONCATENATE(AD2,AD3,AD4,AD5,AD6,AD7)</f>
        <v>, LSMGO</v>
      </c>
    </row>
    <row r="9" spans="1:114" ht="18">
      <c r="D9" s="226"/>
      <c r="V9" s="5" t="str">
        <f>COMPANY1</f>
        <v>Petro Inspect International</v>
      </c>
      <c r="AB9" s="192" t="str">
        <f>RIGHT(AB8,LEN(AB8)-2)</f>
        <v>LSFO, LSMGO</v>
      </c>
      <c r="AD9" s="192" t="str">
        <f>RIGHT(AD8,LEN(AD8)-2)</f>
        <v>LSMGO</v>
      </c>
    </row>
    <row r="10" spans="1:114">
      <c r="V10" s="3" t="str">
        <f>COMPANY2</f>
        <v>ops@petro-inspect.com</v>
      </c>
      <c r="AD10" s="156"/>
    </row>
    <row r="11" spans="1:114">
      <c r="V11" s="3" t="str">
        <f>COMPANY3</f>
        <v/>
      </c>
      <c r="AD11" s="156"/>
    </row>
    <row r="12" spans="1:114">
      <c r="V12" s="3" t="str">
        <f>COMPANY4</f>
        <v/>
      </c>
      <c r="AD12" s="156"/>
    </row>
    <row r="13" spans="1:114" ht="3.75" customHeight="1" thickBot="1">
      <c r="B13" s="302"/>
      <c r="C13" s="302"/>
      <c r="D13" s="302"/>
      <c r="E13" s="302"/>
      <c r="F13" s="302"/>
      <c r="G13" s="302"/>
      <c r="H13" s="302"/>
      <c r="I13" s="302"/>
      <c r="J13" s="302"/>
      <c r="K13" s="302"/>
      <c r="L13" s="302"/>
      <c r="M13" s="302"/>
      <c r="N13" s="302"/>
      <c r="O13" s="302"/>
      <c r="P13" s="302"/>
      <c r="Q13" s="302"/>
      <c r="R13" s="302"/>
      <c r="S13" s="302"/>
      <c r="T13" s="302"/>
      <c r="U13" s="302"/>
      <c r="V13" s="302"/>
    </row>
    <row r="14" spans="1:114" ht="3" customHeight="1"/>
    <row r="15" spans="1:114" ht="18.75">
      <c r="B15" s="961"/>
      <c r="C15" s="961"/>
      <c r="D15" s="961"/>
      <c r="E15" s="961"/>
      <c r="F15" s="908"/>
      <c r="G15" s="908"/>
      <c r="H15" s="908" t="s">
        <v>552</v>
      </c>
      <c r="I15" s="908"/>
      <c r="J15" s="908"/>
      <c r="K15" s="961"/>
      <c r="L15" s="908"/>
      <c r="M15" s="961"/>
      <c r="N15" s="961"/>
      <c r="O15" s="961"/>
      <c r="P15" s="961"/>
      <c r="Q15" s="961"/>
      <c r="R15" s="961"/>
      <c r="S15" s="961"/>
      <c r="T15" s="908"/>
      <c r="U15" s="961"/>
      <c r="V15" s="961"/>
    </row>
    <row r="16" spans="1:114" ht="4.5" customHeight="1"/>
    <row r="17" spans="1:116" ht="15" customHeight="1">
      <c r="B17" s="2381" t="s">
        <v>160</v>
      </c>
      <c r="C17" s="2381"/>
      <c r="D17" s="2383" t="str">
        <f>VESSEL</f>
        <v>MV PESSADA</v>
      </c>
      <c r="E17" s="2383"/>
      <c r="F17" s="2383"/>
      <c r="M17" s="229" t="str">
        <f>IF(SURVEYMODE=3,"","DRAFTS")</f>
        <v>DRAFTS</v>
      </c>
      <c r="N17" s="229" t="str">
        <f>IF(SURVEYMODE=3,"DRAFTS","INITIAL")</f>
        <v>INITIAL</v>
      </c>
      <c r="O17" s="230" t="s">
        <v>1173</v>
      </c>
    </row>
    <row r="18" spans="1:116">
      <c r="B18" s="2381" t="s">
        <v>175</v>
      </c>
      <c r="C18" s="2381"/>
      <c r="D18" s="2383" t="str">
        <f>MYBARGENAME</f>
        <v>M/T YALÇIN 2</v>
      </c>
      <c r="E18" s="2383"/>
      <c r="F18" s="2383"/>
      <c r="M18" s="506" t="s">
        <v>47</v>
      </c>
      <c r="N18" s="227">
        <v>2</v>
      </c>
      <c r="O18" s="228">
        <v>1</v>
      </c>
      <c r="CC18" s="324" t="s">
        <v>471</v>
      </c>
      <c r="CD18" s="192">
        <f>ROW('Barge Gauging Data'!$B$26)</f>
        <v>26</v>
      </c>
      <c r="CL18" s="292"/>
    </row>
    <row r="19" spans="1:116">
      <c r="B19" s="2382" t="s">
        <v>11</v>
      </c>
      <c r="C19" s="2382"/>
      <c r="D19" s="2384" t="str">
        <f>PORT</f>
        <v>ISTANBUL / TURKEY</v>
      </c>
      <c r="E19" s="2384"/>
      <c r="F19" s="2384"/>
      <c r="M19" s="507" t="s">
        <v>45</v>
      </c>
      <c r="N19" s="231">
        <v>3</v>
      </c>
      <c r="O19" s="232">
        <v>2</v>
      </c>
      <c r="CC19" s="298" t="s">
        <v>459</v>
      </c>
      <c r="CD19" s="192">
        <f>ROW('Barge Gauging Data'!$B$26)+BX2</f>
        <v>34</v>
      </c>
      <c r="CL19" s="293"/>
    </row>
    <row r="20" spans="1:116">
      <c r="B20" s="2382" t="s">
        <v>174</v>
      </c>
      <c r="C20" s="2382"/>
      <c r="D20" s="2384">
        <f>DATESURVC</f>
        <v>44792</v>
      </c>
      <c r="E20" s="2384"/>
      <c r="F20" s="2384"/>
      <c r="M20" s="508" t="s">
        <v>43</v>
      </c>
      <c r="N20" s="509">
        <f>ROUND(N19-N18,2)</f>
        <v>1</v>
      </c>
      <c r="O20" s="509">
        <f>ROUND(O19-O18,2)</f>
        <v>1</v>
      </c>
      <c r="CC20" s="298" t="s">
        <v>460</v>
      </c>
      <c r="CD20" s="192">
        <f>COLUMN('Barge Gauging Data'!$H$26)</f>
        <v>8</v>
      </c>
      <c r="CL20" s="292"/>
      <c r="CO20" s="298" t="s">
        <v>460</v>
      </c>
      <c r="CP20" s="192">
        <f>COLUMN('Barge Gauging Data'!$P$26)</f>
        <v>16</v>
      </c>
      <c r="DB20" s="991" t="s">
        <v>741</v>
      </c>
      <c r="DC20" s="192">
        <f>COLUMN($T$26)</f>
        <v>20</v>
      </c>
      <c r="DE20" s="1148" t="s">
        <v>951</v>
      </c>
    </row>
    <row r="21" spans="1:116">
      <c r="B21" s="2382" t="s">
        <v>10</v>
      </c>
      <c r="C21" s="2382"/>
      <c r="D21" s="2385">
        <f>TIMESURVC</f>
        <v>0.27083333333333331</v>
      </c>
      <c r="E21" s="2385"/>
      <c r="F21" s="2385"/>
      <c r="M21" s="508" t="s">
        <v>41</v>
      </c>
      <c r="N21" s="233">
        <v>0</v>
      </c>
      <c r="O21" s="234">
        <v>0</v>
      </c>
      <c r="CC21" s="298" t="s">
        <v>461</v>
      </c>
      <c r="CD21" s="192">
        <f>COLUMN('Barge Gauging Data'!$J$26)</f>
        <v>10</v>
      </c>
      <c r="CF21" s="289" t="s">
        <v>177</v>
      </c>
      <c r="CL21" s="292"/>
      <c r="CO21" s="298" t="s">
        <v>461</v>
      </c>
      <c r="CP21" s="192">
        <f>COLUMN('Barge Gauging Data'!$R$26)</f>
        <v>18</v>
      </c>
      <c r="CS21" s="291" t="s">
        <v>176</v>
      </c>
      <c r="DL21" s="1171" t="s">
        <v>968</v>
      </c>
    </row>
    <row r="22" spans="1:116" ht="4.5" customHeight="1" thickBot="1"/>
    <row r="23" spans="1:116" ht="16.5" thickTop="1">
      <c r="B23" s="2375" t="s">
        <v>560</v>
      </c>
      <c r="C23" s="2376"/>
      <c r="D23" s="2376"/>
      <c r="E23" s="2376"/>
      <c r="F23" s="2377"/>
      <c r="G23" s="2375" t="s">
        <v>165</v>
      </c>
      <c r="H23" s="2376"/>
      <c r="I23" s="2376"/>
      <c r="J23" s="2376"/>
      <c r="K23" s="2376"/>
      <c r="L23" s="2376"/>
      <c r="M23" s="2376"/>
      <c r="N23" s="2377"/>
      <c r="O23" s="2375" t="s">
        <v>164</v>
      </c>
      <c r="P23" s="2376"/>
      <c r="Q23" s="2376"/>
      <c r="R23" s="2376"/>
      <c r="S23" s="2376"/>
      <c r="T23" s="2376"/>
      <c r="U23" s="2376"/>
      <c r="V23" s="2377"/>
      <c r="X23" s="154" t="s">
        <v>177</v>
      </c>
      <c r="AA23" s="1165" t="s">
        <v>176</v>
      </c>
      <c r="AD23" s="154" t="s">
        <v>177</v>
      </c>
      <c r="AG23" s="154" t="s">
        <v>176</v>
      </c>
      <c r="AJ23" s="154" t="s">
        <v>177</v>
      </c>
      <c r="AM23" s="154" t="s">
        <v>176</v>
      </c>
      <c r="AP23" s="154" t="s">
        <v>177</v>
      </c>
      <c r="AS23" s="154" t="s">
        <v>176</v>
      </c>
      <c r="AV23" s="154" t="s">
        <v>177</v>
      </c>
      <c r="AY23" s="154" t="s">
        <v>176</v>
      </c>
      <c r="BB23" s="154" t="s">
        <v>177</v>
      </c>
      <c r="BE23" s="154" t="s">
        <v>176</v>
      </c>
      <c r="BH23" s="154" t="s">
        <v>177</v>
      </c>
      <c r="BK23" s="154" t="s">
        <v>176</v>
      </c>
      <c r="BN23" s="1165" t="s">
        <v>177</v>
      </c>
      <c r="BU23" s="1165" t="s">
        <v>176</v>
      </c>
      <c r="CC23" s="294" t="s">
        <v>145</v>
      </c>
      <c r="CD23" s="294" t="s">
        <v>456</v>
      </c>
      <c r="CE23" s="294" t="s">
        <v>143</v>
      </c>
      <c r="CF23" s="294" t="s">
        <v>145</v>
      </c>
      <c r="CG23" s="294" t="s">
        <v>145</v>
      </c>
      <c r="CH23" s="294" t="s">
        <v>145</v>
      </c>
      <c r="CI23" s="294" t="s">
        <v>143</v>
      </c>
      <c r="CJ23" s="294" t="s">
        <v>143</v>
      </c>
      <c r="CK23" s="294" t="s">
        <v>143</v>
      </c>
      <c r="CL23" s="294" t="s">
        <v>144</v>
      </c>
      <c r="CM23" s="294" t="s">
        <v>144</v>
      </c>
      <c r="CN23" s="294" t="s">
        <v>144</v>
      </c>
      <c r="CP23" s="294" t="s">
        <v>145</v>
      </c>
      <c r="CQ23" s="294" t="s">
        <v>456</v>
      </c>
      <c r="CR23" s="294" t="s">
        <v>143</v>
      </c>
      <c r="CS23" s="294" t="s">
        <v>145</v>
      </c>
      <c r="CT23" s="294" t="s">
        <v>145</v>
      </c>
      <c r="CU23" s="294" t="s">
        <v>145</v>
      </c>
      <c r="CV23" s="294" t="s">
        <v>143</v>
      </c>
      <c r="CW23" s="294" t="s">
        <v>143</v>
      </c>
      <c r="CX23" s="294" t="s">
        <v>143</v>
      </c>
      <c r="CY23" s="294" t="s">
        <v>144</v>
      </c>
      <c r="CZ23" s="294" t="s">
        <v>144</v>
      </c>
      <c r="DA23" s="294" t="s">
        <v>144</v>
      </c>
      <c r="DC23" s="294" t="s">
        <v>739</v>
      </c>
      <c r="DD23" s="294" t="s">
        <v>945</v>
      </c>
      <c r="DE23" s="294" t="s">
        <v>946</v>
      </c>
      <c r="DF23" s="294" t="s">
        <v>924</v>
      </c>
      <c r="DG23" s="294" t="s">
        <v>944</v>
      </c>
      <c r="DH23" s="294" t="s">
        <v>948</v>
      </c>
      <c r="DI23" s="294" t="s">
        <v>740</v>
      </c>
      <c r="DJ23" s="294" t="s">
        <v>949</v>
      </c>
      <c r="DL23" s="294" t="s">
        <v>924</v>
      </c>
    </row>
    <row r="24" spans="1:116" ht="52.5" customHeight="1">
      <c r="B24" s="994" t="s">
        <v>173</v>
      </c>
      <c r="C24" s="450" t="s">
        <v>172</v>
      </c>
      <c r="D24" s="1325" t="s">
        <v>1195</v>
      </c>
      <c r="E24" s="995" t="s">
        <v>171</v>
      </c>
      <c r="F24" s="450" t="s">
        <v>39</v>
      </c>
      <c r="G24" s="994" t="s">
        <v>964</v>
      </c>
      <c r="H24" s="1423" t="s">
        <v>1230</v>
      </c>
      <c r="I24" s="1423" t="s">
        <v>963</v>
      </c>
      <c r="J24" s="1424" t="s">
        <v>352</v>
      </c>
      <c r="K24" s="993" t="s">
        <v>36</v>
      </c>
      <c r="L24" s="997" t="str">
        <f>INDEX(X1:X2,D1SEL_2,1)</f>
        <v>Density
 @ 15°C</v>
      </c>
      <c r="M24" s="995" t="s">
        <v>398</v>
      </c>
      <c r="N24" s="996" t="s">
        <v>169</v>
      </c>
      <c r="O24" s="994" t="s">
        <v>964</v>
      </c>
      <c r="P24" s="1423" t="str">
        <f>H24</f>
        <v>Observed Ullage Sounding Gauge</v>
      </c>
      <c r="Q24" s="1423" t="str">
        <f>CORRULL3</f>
        <v>Corrected Ullage Sounding Gauge</v>
      </c>
      <c r="R24" s="1424" t="s">
        <v>352</v>
      </c>
      <c r="S24" s="993" t="s">
        <v>36</v>
      </c>
      <c r="T24" s="997" t="str">
        <f>INDEX(X1:X2,D1SEL_2,1)</f>
        <v>Density
 @ 15°C</v>
      </c>
      <c r="U24" s="450" t="s">
        <v>398</v>
      </c>
      <c r="V24" s="996" t="s">
        <v>399</v>
      </c>
      <c r="X24" s="313" t="s">
        <v>171</v>
      </c>
      <c r="Y24" s="313" t="s">
        <v>171</v>
      </c>
      <c r="Z24" s="303" t="s">
        <v>1087</v>
      </c>
      <c r="AA24" s="314" t="s">
        <v>39</v>
      </c>
      <c r="AB24" s="314" t="s">
        <v>39</v>
      </c>
      <c r="AC24" s="303"/>
      <c r="AD24" s="314" t="s">
        <v>38</v>
      </c>
      <c r="AE24" s="314" t="s">
        <v>38</v>
      </c>
      <c r="AF24" s="303"/>
      <c r="AG24" s="314" t="s">
        <v>38</v>
      </c>
      <c r="AH24" s="314" t="s">
        <v>38</v>
      </c>
      <c r="AI24" s="303"/>
      <c r="AJ24" s="314" t="s">
        <v>38</v>
      </c>
      <c r="AK24" s="314" t="s">
        <v>38</v>
      </c>
      <c r="AL24" s="303"/>
      <c r="AM24" s="314" t="s">
        <v>38</v>
      </c>
      <c r="AN24" s="314" t="s">
        <v>38</v>
      </c>
      <c r="AO24" s="303"/>
      <c r="AP24" s="199" t="s">
        <v>352</v>
      </c>
      <c r="AQ24" s="199" t="s">
        <v>352</v>
      </c>
      <c r="AR24" s="303"/>
      <c r="AS24" s="199" t="s">
        <v>352</v>
      </c>
      <c r="AT24" s="199" t="s">
        <v>352</v>
      </c>
      <c r="AU24" s="303"/>
      <c r="AV24" s="199" t="s">
        <v>352</v>
      </c>
      <c r="AW24" s="199" t="s">
        <v>352</v>
      </c>
      <c r="AX24" s="303"/>
      <c r="AY24" s="199" t="s">
        <v>352</v>
      </c>
      <c r="AZ24" s="199" t="s">
        <v>352</v>
      </c>
      <c r="BA24" s="303"/>
      <c r="BB24" s="199" t="s">
        <v>36</v>
      </c>
      <c r="BC24" s="199" t="s">
        <v>36</v>
      </c>
      <c r="BD24" s="303"/>
      <c r="BE24" s="199" t="s">
        <v>36</v>
      </c>
      <c r="BF24" s="199" t="s">
        <v>36</v>
      </c>
      <c r="BG24" s="303"/>
      <c r="BH24" s="315" t="s">
        <v>170</v>
      </c>
      <c r="BI24" s="315" t="s">
        <v>170</v>
      </c>
      <c r="BJ24" s="303"/>
      <c r="BK24" s="315" t="s">
        <v>170</v>
      </c>
      <c r="BL24" s="315" t="s">
        <v>170</v>
      </c>
      <c r="BM24" s="303"/>
      <c r="BN24" s="315" t="s">
        <v>356</v>
      </c>
      <c r="BO24" s="315" t="s">
        <v>355</v>
      </c>
      <c r="BP24" s="315" t="s">
        <v>356</v>
      </c>
      <c r="BQ24" s="315" t="s">
        <v>355</v>
      </c>
      <c r="BR24" s="315" t="s">
        <v>385</v>
      </c>
      <c r="BS24" s="315" t="s">
        <v>385</v>
      </c>
      <c r="BU24" s="315" t="s">
        <v>356</v>
      </c>
      <c r="BV24" s="315" t="s">
        <v>355</v>
      </c>
      <c r="BW24" s="315" t="s">
        <v>356</v>
      </c>
      <c r="BX24" s="315" t="s">
        <v>355</v>
      </c>
      <c r="BY24" s="315" t="s">
        <v>385</v>
      </c>
      <c r="BZ24" s="315" t="s">
        <v>385</v>
      </c>
      <c r="CA24" s="303"/>
      <c r="CB24" s="303"/>
      <c r="CC24" s="128">
        <v>0</v>
      </c>
      <c r="CD24" s="295">
        <f>N20</f>
        <v>1</v>
      </c>
      <c r="CE24" s="128">
        <v>1</v>
      </c>
      <c r="CF24" s="296" t="s">
        <v>441</v>
      </c>
      <c r="CG24" s="296" t="s">
        <v>442</v>
      </c>
      <c r="CH24" s="296" t="s">
        <v>443</v>
      </c>
      <c r="CI24" s="296" t="s">
        <v>441</v>
      </c>
      <c r="CJ24" s="296" t="s">
        <v>442</v>
      </c>
      <c r="CK24" s="296" t="s">
        <v>443</v>
      </c>
      <c r="CL24" s="296" t="s">
        <v>441</v>
      </c>
      <c r="CM24" s="296" t="s">
        <v>442</v>
      </c>
      <c r="CN24" s="296" t="s">
        <v>443</v>
      </c>
      <c r="CO24" s="303"/>
      <c r="CP24" s="128">
        <v>0.3</v>
      </c>
      <c r="CQ24" s="295">
        <f>O20</f>
        <v>1</v>
      </c>
      <c r="CR24" s="128">
        <v>2</v>
      </c>
      <c r="CS24" s="296" t="s">
        <v>441</v>
      </c>
      <c r="CT24" s="296" t="s">
        <v>442</v>
      </c>
      <c r="CU24" s="296" t="s">
        <v>443</v>
      </c>
      <c r="CV24" s="296" t="s">
        <v>441</v>
      </c>
      <c r="CW24" s="296" t="s">
        <v>442</v>
      </c>
      <c r="CX24" s="296" t="s">
        <v>443</v>
      </c>
      <c r="CY24" s="296" t="s">
        <v>441</v>
      </c>
      <c r="CZ24" s="296" t="s">
        <v>442</v>
      </c>
      <c r="DA24" s="296" t="s">
        <v>443</v>
      </c>
      <c r="DC24" s="296"/>
      <c r="DD24" s="296"/>
      <c r="DE24" s="296"/>
      <c r="DF24" s="296"/>
      <c r="DG24" s="296" t="s">
        <v>950</v>
      </c>
      <c r="DH24" s="296"/>
      <c r="DI24" s="296"/>
      <c r="DJ24" s="296"/>
      <c r="DL24" s="296" t="s">
        <v>967</v>
      </c>
    </row>
    <row r="25" spans="1:116" s="157" customFormat="1" ht="19.5" thickBot="1">
      <c r="A25" s="157" t="s">
        <v>284</v>
      </c>
      <c r="B25" s="1427"/>
      <c r="C25" s="1428"/>
      <c r="D25" s="1426" t="s">
        <v>1200</v>
      </c>
      <c r="E25" s="1426" t="str">
        <f>INDEX(E$2:E$3,E$1,1)</f>
        <v>m</v>
      </c>
      <c r="F25" s="1426" t="str">
        <f>INDEX(F$2:F$3,F$1,1)</f>
        <v>m</v>
      </c>
      <c r="G25" s="1425" t="s">
        <v>972</v>
      </c>
      <c r="H25" s="1426" t="str">
        <f t="shared" ref="H25:N25" si="2">INDEX(H$2:H$3,H$1,1)</f>
        <v>m</v>
      </c>
      <c r="I25" s="1426" t="str">
        <f t="shared" si="2"/>
        <v>m</v>
      </c>
      <c r="J25" s="1429" t="str">
        <f t="shared" si="2"/>
        <v>m3</v>
      </c>
      <c r="K25" s="1430" t="str">
        <f t="shared" si="2"/>
        <v>° C</v>
      </c>
      <c r="L25" s="1431" t="str">
        <f t="shared" si="2"/>
        <v>Density</v>
      </c>
      <c r="M25" s="1426" t="str">
        <f t="shared" si="2"/>
        <v>cm</v>
      </c>
      <c r="N25" s="1432" t="str">
        <f t="shared" si="2"/>
        <v>m3</v>
      </c>
      <c r="O25" s="1425" t="s">
        <v>972</v>
      </c>
      <c r="P25" s="1426" t="str">
        <f>INDEX(P$2:P$3,P$1,1)</f>
        <v>m</v>
      </c>
      <c r="Q25" s="1426" t="str">
        <f>INDEX(Q$2:Q$3,Q$1,1)</f>
        <v>m</v>
      </c>
      <c r="R25" s="1429" t="str">
        <f>INDEX(R$2:R$3,R$1,1)</f>
        <v>m3</v>
      </c>
      <c r="S25" s="1430" t="str">
        <f>INDEX(S$2:S$3,S$1,1)</f>
        <v>° C</v>
      </c>
      <c r="T25" s="1431" t="str">
        <f>INDEX(L$2:L$3,L$1,1)</f>
        <v>Density</v>
      </c>
      <c r="U25" s="1426" t="str">
        <f>INDEX(U$2:U$3,U$1,1)</f>
        <v>cm</v>
      </c>
      <c r="V25" s="2228" t="str">
        <f>INDEX(V$2:V$3,V$1,1)</f>
        <v>m3</v>
      </c>
      <c r="X25" s="195" t="str">
        <f>E3</f>
        <v>ft</v>
      </c>
      <c r="Y25" s="195" t="str">
        <f>E2</f>
        <v>m</v>
      </c>
      <c r="Z25" s="316"/>
      <c r="AA25" s="195" t="str">
        <f>F3</f>
        <v>ft</v>
      </c>
      <c r="AB25" s="195" t="str">
        <f>F2</f>
        <v>m</v>
      </c>
      <c r="AC25" s="316"/>
      <c r="AD25" s="195" t="str">
        <f>H3</f>
        <v>ft</v>
      </c>
      <c r="AE25" s="195" t="str">
        <f>H2</f>
        <v>m</v>
      </c>
      <c r="AF25" s="316"/>
      <c r="AG25" s="195" t="str">
        <f>I3</f>
        <v>ft</v>
      </c>
      <c r="AH25" s="195" t="str">
        <f>I2</f>
        <v>m</v>
      </c>
      <c r="AI25" s="316"/>
      <c r="AJ25" s="195" t="str">
        <f>P3</f>
        <v>ft</v>
      </c>
      <c r="AK25" s="195" t="str">
        <f>P2</f>
        <v>m</v>
      </c>
      <c r="AL25" s="316"/>
      <c r="AM25" s="195" t="str">
        <f>Q3</f>
        <v>ft</v>
      </c>
      <c r="AN25" s="195" t="str">
        <f>Q2</f>
        <v>m</v>
      </c>
      <c r="AO25" s="316"/>
      <c r="AP25" s="197" t="str">
        <f>J3</f>
        <v>Bbls</v>
      </c>
      <c r="AQ25" s="197" t="str">
        <f>J2</f>
        <v>m3</v>
      </c>
      <c r="AR25" s="316"/>
      <c r="AS25" s="197" t="str">
        <f>N3</f>
        <v>Bbls</v>
      </c>
      <c r="AT25" s="197" t="str">
        <f>N2</f>
        <v>m3</v>
      </c>
      <c r="AU25" s="316"/>
      <c r="AV25" s="197" t="str">
        <f>R3</f>
        <v>Bbls</v>
      </c>
      <c r="AW25" s="197" t="str">
        <f>R2</f>
        <v>m3</v>
      </c>
      <c r="AX25" s="316"/>
      <c r="AY25" s="197" t="str">
        <f>V3</f>
        <v>Bbls</v>
      </c>
      <c r="AZ25" s="197" t="str">
        <f>V2</f>
        <v>m3</v>
      </c>
      <c r="BA25" s="316"/>
      <c r="BB25" s="197" t="str">
        <f>K3</f>
        <v>° F</v>
      </c>
      <c r="BC25" s="197" t="str">
        <f>K2</f>
        <v>° C</v>
      </c>
      <c r="BD25" s="316"/>
      <c r="BE25" s="197" t="str">
        <f>S3</f>
        <v>° F</v>
      </c>
      <c r="BF25" s="197" t="str">
        <f>S2</f>
        <v>° C</v>
      </c>
      <c r="BG25" s="316"/>
      <c r="BH25" s="197" t="str">
        <f>M3</f>
        <v>inches</v>
      </c>
      <c r="BI25" s="197" t="str">
        <f>M2</f>
        <v>cm</v>
      </c>
      <c r="BJ25" s="316"/>
      <c r="BK25" s="197" t="str">
        <f>U3</f>
        <v>inches</v>
      </c>
      <c r="BL25" s="197" t="str">
        <f>U2</f>
        <v>cm</v>
      </c>
      <c r="BM25" s="316"/>
      <c r="BN25" s="197" t="s">
        <v>357</v>
      </c>
      <c r="BO25" s="197" t="str">
        <f>L3</f>
        <v>API</v>
      </c>
      <c r="BP25" s="197" t="s">
        <v>357</v>
      </c>
      <c r="BQ25" s="197" t="str">
        <f>L2</f>
        <v>Density</v>
      </c>
      <c r="BR25" s="197" t="str">
        <f>L2</f>
        <v>Density</v>
      </c>
      <c r="BS25" s="197" t="str">
        <f>L3</f>
        <v>API</v>
      </c>
      <c r="BU25" s="197" t="s">
        <v>357</v>
      </c>
      <c r="BV25" s="197" t="str">
        <f>T3</f>
        <v>API</v>
      </c>
      <c r="BW25" s="197" t="s">
        <v>357</v>
      </c>
      <c r="BX25" s="197" t="str">
        <f>T2</f>
        <v>Density</v>
      </c>
      <c r="BY25" s="197" t="str">
        <f>T2</f>
        <v>Density</v>
      </c>
      <c r="BZ25" s="197" t="str">
        <f>T3</f>
        <v>API</v>
      </c>
      <c r="CA25" s="316"/>
      <c r="CB25" s="316"/>
      <c r="CC25" s="296" t="s">
        <v>441</v>
      </c>
      <c r="CD25" s="296" t="s">
        <v>442</v>
      </c>
      <c r="CE25" s="296" t="s">
        <v>443</v>
      </c>
      <c r="CF25" s="296" t="s">
        <v>444</v>
      </c>
      <c r="CG25" s="296" t="s">
        <v>440</v>
      </c>
      <c r="CH25" s="296" t="s">
        <v>445</v>
      </c>
      <c r="CI25" s="296" t="s">
        <v>446</v>
      </c>
      <c r="CJ25" s="296" t="s">
        <v>447</v>
      </c>
      <c r="CK25" s="296" t="s">
        <v>448</v>
      </c>
      <c r="CL25" s="296" t="s">
        <v>449</v>
      </c>
      <c r="CM25" s="296" t="s">
        <v>450</v>
      </c>
      <c r="CN25" s="296" t="s">
        <v>451</v>
      </c>
      <c r="CO25" s="316"/>
      <c r="CP25" s="296" t="s">
        <v>441</v>
      </c>
      <c r="CQ25" s="296" t="s">
        <v>442</v>
      </c>
      <c r="CR25" s="296" t="s">
        <v>443</v>
      </c>
      <c r="CS25" s="296" t="s">
        <v>444</v>
      </c>
      <c r="CT25" s="296" t="s">
        <v>440</v>
      </c>
      <c r="CU25" s="296" t="s">
        <v>445</v>
      </c>
      <c r="CV25" s="296" t="s">
        <v>446</v>
      </c>
      <c r="CW25" s="296" t="s">
        <v>447</v>
      </c>
      <c r="CX25" s="296" t="s">
        <v>448</v>
      </c>
      <c r="CY25" s="296" t="s">
        <v>449</v>
      </c>
      <c r="CZ25" s="296" t="s">
        <v>450</v>
      </c>
      <c r="DA25" s="296" t="s">
        <v>451</v>
      </c>
      <c r="DC25" s="296" t="str">
        <f>L25</f>
        <v>Density</v>
      </c>
      <c r="DD25" s="296" t="str">
        <f>J25</f>
        <v>m3</v>
      </c>
      <c r="DE25" s="296"/>
      <c r="DF25" s="296" t="str">
        <f>DC25</f>
        <v>Density</v>
      </c>
      <c r="DG25" s="296" t="str">
        <f>DD25</f>
        <v>m3</v>
      </c>
      <c r="DH25" s="296"/>
      <c r="DI25" s="296" t="str">
        <f>T25</f>
        <v>Density</v>
      </c>
      <c r="DJ25" s="296" t="str">
        <f>R25</f>
        <v>m3</v>
      </c>
      <c r="DL25" s="296" t="str">
        <f>DC25</f>
        <v>Density</v>
      </c>
    </row>
    <row r="26" spans="1:116" hidden="1">
      <c r="B26" s="575" t="s">
        <v>367</v>
      </c>
      <c r="C26" s="576" t="s">
        <v>368</v>
      </c>
      <c r="D26" s="576" t="s">
        <v>369</v>
      </c>
      <c r="E26" s="576" t="s">
        <v>370</v>
      </c>
      <c r="F26" s="576" t="s">
        <v>371</v>
      </c>
      <c r="G26" s="577">
        <v>6</v>
      </c>
      <c r="H26" s="578" t="s">
        <v>373</v>
      </c>
      <c r="I26" s="578" t="s">
        <v>374</v>
      </c>
      <c r="J26" s="576" t="s">
        <v>375</v>
      </c>
      <c r="K26" s="579" t="s">
        <v>376</v>
      </c>
      <c r="L26" s="576" t="s">
        <v>377</v>
      </c>
      <c r="M26" s="579" t="s">
        <v>378</v>
      </c>
      <c r="N26" s="576" t="s">
        <v>379</v>
      </c>
      <c r="O26" s="577" t="s">
        <v>380</v>
      </c>
      <c r="P26" s="578" t="s">
        <v>381</v>
      </c>
      <c r="Q26" s="578" t="s">
        <v>382</v>
      </c>
      <c r="R26" s="576">
        <v>17</v>
      </c>
      <c r="S26" s="579">
        <v>18</v>
      </c>
      <c r="T26" s="576">
        <v>19</v>
      </c>
      <c r="U26" s="579">
        <v>20</v>
      </c>
      <c r="V26" s="860">
        <v>21</v>
      </c>
      <c r="BN26" s="205"/>
      <c r="BS26" s="205"/>
      <c r="BU26" s="205"/>
      <c r="BZ26" s="205"/>
      <c r="CB26" s="298" t="s">
        <v>458</v>
      </c>
      <c r="CC26" s="192">
        <f>COLUMN()</f>
        <v>81</v>
      </c>
      <c r="CD26" s="192"/>
      <c r="CE26" s="192">
        <f>COLUMN()</f>
        <v>83</v>
      </c>
      <c r="CF26" s="192">
        <f>COLUMN()</f>
        <v>84</v>
      </c>
      <c r="CG26" s="192"/>
      <c r="CH26" s="192">
        <f>COLUMN()</f>
        <v>86</v>
      </c>
      <c r="CI26" s="192">
        <f>COLUMN()</f>
        <v>87</v>
      </c>
      <c r="CJ26" s="192"/>
      <c r="CK26" s="192">
        <f>COLUMN()</f>
        <v>89</v>
      </c>
      <c r="CL26" s="192"/>
      <c r="CM26" s="192"/>
      <c r="CN26" s="192"/>
      <c r="CO26" s="298" t="s">
        <v>458</v>
      </c>
      <c r="CP26" s="192">
        <f>COLUMN()</f>
        <v>94</v>
      </c>
      <c r="CQ26" s="192"/>
      <c r="CR26" s="192">
        <f>COLUMN()</f>
        <v>96</v>
      </c>
      <c r="CS26" s="192">
        <f>COLUMN()</f>
        <v>97</v>
      </c>
      <c r="CT26" s="192"/>
      <c r="CU26" s="192">
        <f>COLUMN()</f>
        <v>99</v>
      </c>
      <c r="CV26" s="192">
        <f>COLUMN()</f>
        <v>100</v>
      </c>
      <c r="CW26" s="192"/>
      <c r="CX26" s="192">
        <f>COLUMN()</f>
        <v>102</v>
      </c>
      <c r="CY26" s="192"/>
      <c r="CZ26" s="192"/>
      <c r="DA26" s="192"/>
      <c r="DF26" s="192">
        <f>COLUMN()</f>
        <v>110</v>
      </c>
    </row>
    <row r="27" spans="1:116" ht="15.75">
      <c r="A27" s="1286" t="s">
        <v>284</v>
      </c>
      <c r="B27" s="868" t="s">
        <v>1575</v>
      </c>
      <c r="C27" s="861" t="s">
        <v>21</v>
      </c>
      <c r="D27" s="862" t="s">
        <v>284</v>
      </c>
      <c r="E27" s="1006">
        <v>4.8150000000000004</v>
      </c>
      <c r="F27" s="1006">
        <v>4.8150000000000004</v>
      </c>
      <c r="G27" s="864" t="s">
        <v>25</v>
      </c>
      <c r="H27" s="1006">
        <v>0.83</v>
      </c>
      <c r="I27" s="1006">
        <v>0.9</v>
      </c>
      <c r="J27" s="1338">
        <v>69.423000000000002</v>
      </c>
      <c r="K27" s="865">
        <v>36</v>
      </c>
      <c r="L27" s="1408">
        <v>0.92059999999999997</v>
      </c>
      <c r="M27" s="866">
        <v>0</v>
      </c>
      <c r="N27" s="863">
        <v>0</v>
      </c>
      <c r="O27" s="864" t="s">
        <v>16</v>
      </c>
      <c r="P27" s="1008">
        <v>0</v>
      </c>
      <c r="Q27" s="1008">
        <v>0</v>
      </c>
      <c r="R27" s="1338">
        <v>0</v>
      </c>
      <c r="S27" s="865">
        <v>15</v>
      </c>
      <c r="T27" s="1408">
        <v>0.92059999999999997</v>
      </c>
      <c r="U27" s="866">
        <v>0</v>
      </c>
      <c r="V27" s="863">
        <v>0</v>
      </c>
      <c r="X27" s="196">
        <f t="shared" ref="X27:X56" si="3">IF($E27="","",IF($E$25=X$25,$E27,IF(ISTEXT($E27),$E27,$E27/FFEET)))</f>
        <v>1.4676119530364176</v>
      </c>
      <c r="Y27" s="196">
        <f t="shared" ref="Y27:Y56" si="4">IF($E27="","",IF($E$25=Y$25,$E27,IF(ISTEXT($E27),$E27,$E27*FFEET)))</f>
        <v>4.8150000000000004</v>
      </c>
      <c r="Z27" s="154" t="b">
        <f>IF(OR(SURVEYMODE=3,C27=""),FALSE,IF(AND(SUMPRODUCT((INDEX('Cover Page'!$I$89:$N$89,1,MATCH(C27,'Cover Page'!$I$88:$N$88,0))=$D$18)*(INDEX('Cover Page'!$I$104:$N$104,1,MATCH(C27,'Cover Page'!$I$88:$N$88,0))&gt;0))=0,D27="Y"),TRUE,FALSE))</f>
        <v>0</v>
      </c>
      <c r="AA27" s="196">
        <f t="shared" ref="AA27:AA56" si="5">IF($F27="","",IF($F$25=AA$25,$F27,IF(ISTEXT($F27),$F27,$F27/FFEET)))</f>
        <v>1.4676119530364176</v>
      </c>
      <c r="AB27" s="196">
        <f t="shared" ref="AB27:AB56" si="6">IF($F27="","",IF($F$25=AB$25,$F27,IF(ISTEXT($F27),$F27,$F27*FFEET)))</f>
        <v>4.8150000000000004</v>
      </c>
      <c r="AD27" s="196">
        <f t="shared" ref="AD27:AD56" si="7">IF($H27="","",IF($H$25=AD$25,$H27,IF(ISTEXT($H27),$H27,$H27/FFEET)))</f>
        <v>0.25298399190451226</v>
      </c>
      <c r="AE27" s="196">
        <f t="shared" ref="AE27:AE56" si="8">IF($H27="","",IF($H$25=AE$25,$H27,IF(ISTEXT($H27),$H27,$H27*FFEET)))</f>
        <v>0.83</v>
      </c>
      <c r="AG27" s="196">
        <f t="shared" ref="AG27:AG56" si="9">IF($I27="","",IF($I$25=AG$25,$I27,IF(ISTEXT($I27),$I27,$I27/FFEET)))</f>
        <v>0.27431999122176026</v>
      </c>
      <c r="AH27" s="196">
        <f t="shared" ref="AH27:AH56" si="10">IF($I27="","",IF($I$25=AH$25,$I27,IF(ISTEXT($I27),$I27,$I27*FFEET)))</f>
        <v>0.9</v>
      </c>
      <c r="AJ27" s="196">
        <f t="shared" ref="AJ27:AJ56" si="11">IF($P27="","",IF($P$25=AJ$25,$P27,IF(ISTEXT($P27),$P27,$P27/FFEET)))</f>
        <v>0</v>
      </c>
      <c r="AK27" s="196">
        <f t="shared" ref="AK27:AK56" si="12">IF($P27="","",IF($P$25=AK$25,$P27,IF(ISTEXT($P27),$P27,$P27*FFEET)))</f>
        <v>0</v>
      </c>
      <c r="AM27" s="196">
        <f t="shared" ref="AM27:AM56" si="13">IF($Q27="","",IF($Q$25=AM$25,$Q27,IF(ISTEXT($Q27),$Q27,$Q27/FFEET)))</f>
        <v>0</v>
      </c>
      <c r="AN27" s="196">
        <f t="shared" ref="AN27:AN56" si="14">IF($Q27="","",IF($Q$25=AN$25,$Q27,IF(ISTEXT($Q27),$Q27,$Q27*FFEET)))</f>
        <v>0</v>
      </c>
      <c r="AP27" s="196">
        <f t="shared" ref="AP27:AP56" si="15">IF($J27="","",IF($J$25=AP$25,$J27,IF(ISTEXT($J27),$J27,$J27/FBBLS)))</f>
        <v>11.037376327742809</v>
      </c>
      <c r="AQ27" s="196">
        <f t="shared" ref="AQ27:AQ56" si="16">IF($J27="","",IF($J$25=AQ$25,$J27,IF(ISTEXT($J27),$J27,$J27*FBBLS)))</f>
        <v>69.423000000000002</v>
      </c>
      <c r="AS27" s="196">
        <f t="shared" ref="AS27:AS56" si="17">IF($N27="","",IF($N$25=AS$25,$N27,IF(ISTEXT($N27),$N27,$N27/FBBLS)))</f>
        <v>0</v>
      </c>
      <c r="AT27" s="196">
        <f t="shared" ref="AT27:AT56" si="18">IF($N27="","",IF($N$25=AT$25,$N27,IF(ISTEXT($N27),$N27,$N27*FBBLS)))</f>
        <v>0</v>
      </c>
      <c r="AV27" s="196">
        <f t="shared" ref="AV27:AV56" si="19">IF($R27="","",IF($R$25=AV$25,$R27,IF(ISTEXT($R27),$R27,$R27/FBBLS)))</f>
        <v>0</v>
      </c>
      <c r="AW27" s="196">
        <f t="shared" ref="AW27:AW56" si="20">IF($R27="","",IF($R$25=AW$25,$R27,IF(ISTEXT($R27),$R27,$R27*FBBLS)))</f>
        <v>0</v>
      </c>
      <c r="AY27" s="196">
        <f t="shared" ref="AY27:AY56" si="21">IF($V27="","",IF($V$25=AY$25,$V27,IF(ISTEXT($V27),$V27,$V27/FBBLS)))</f>
        <v>0</v>
      </c>
      <c r="AZ27" s="196">
        <f t="shared" ref="AZ27:AZ56" si="22">IF($V27="","",IF($V$25=AZ$25,$V27,IF(ISTEXT($V27),$V27,$V27*FBBLS)))</f>
        <v>0</v>
      </c>
      <c r="BB27" s="196">
        <f t="shared" ref="BB27:BB42" si="23">IF($K27="","",IF($K$25=BB$25,$K27,IF(ISTEXT($K27),$K27,($K27-32)*5/9)))</f>
        <v>2.2222222222222223</v>
      </c>
      <c r="BC27" s="196">
        <f t="shared" ref="BC27:BC42" si="24">IF($K27="","",IF($K$25=BC$25,$K27,IF(ISTEXT($K27),$K27,($K27*9/5)+32)))</f>
        <v>36</v>
      </c>
      <c r="BE27" s="196">
        <f t="shared" ref="BE27:BE42" si="25">IF($S27="","",IF($S$25=BE$25,$S27,IF(ISTEXT($S27),$S27,($S27-32)*5/9)))</f>
        <v>-9.4444444444444446</v>
      </c>
      <c r="BF27" s="196">
        <f t="shared" ref="BF27:BF42" si="26">IF($S27="","",IF($S$25=BF$25,$S27,IF(ISTEXT($S27),$S27,($S27*9/5)+32)))</f>
        <v>15</v>
      </c>
      <c r="BH27" s="196">
        <f t="shared" ref="BH27:BH56" si="27">IF($M27="","",IF($M$25=BH$25,$M27,IF(ISTEXT($M27),$M27,$M27/FINCH)))</f>
        <v>0</v>
      </c>
      <c r="BI27" s="196">
        <f t="shared" ref="BI27:BI56" si="28">IF($M27="","",IF($M$25=BI$25,$M27,IF(ISTEXT($M27),$M27,$M27*FINCH)))</f>
        <v>0</v>
      </c>
      <c r="BK27" s="196">
        <f t="shared" ref="BK27:BK56" si="29">IF($U27="","",IF($U$25=BK$25,$U27,IF(ISTEXT($U27),$U27,$U27/FINCH)))</f>
        <v>0</v>
      </c>
      <c r="BL27" s="196">
        <f t="shared" ref="BL27:BL56" si="30">IF($U27="","",IF($U$25=BL$25,$U27,IF(ISTEXT($U27),$U27,$U27*FINCH)))</f>
        <v>0</v>
      </c>
      <c r="BN27" s="204">
        <f>IF(L27&lt;&gt;"",ROUND(141.5/(L27+131.5),4+5),"")</f>
        <v>1.068564861</v>
      </c>
      <c r="BO27" s="204">
        <f>IF(L27="","",IF(L$25=BO$25,L27,IF(BN27&lt;&gt;"",IF(BN27&lt;0.6244,BN27-0,IF(BN27&lt;0.6834,BN27-0.0001,IF(BN27&lt;0.7574,BN27-0.0002,IF(BN27&lt;0.7864,BN27-0.0003,IF(BN27&lt;0.8524,BN27-0.0004,IF(BN27&lt;0.9414,BN27-0.0005,IF(BN27&lt;1.0334,BN27-0.0006,BN27-0.0007))))))),"")))</f>
        <v>1.0678648610000001</v>
      </c>
      <c r="BP27" s="204">
        <f>IF(L27&lt;&gt;"",IF(L27&lt;0.6245,L27+0,IF(L27&lt;0.6835,L27+0.0001,IF(L27&lt;0.7565,L27+0.0002,IF(L27&lt;0.7855,L27+0.0003,IF(L27&lt;0.8515,L27+0.0004,IF(L27&lt;0.9415,L27+0.0005,IF(L27&lt;1.0325,L27+0.0006,L27+0.0007))))))),"")</f>
        <v>0.92109999999999992</v>
      </c>
      <c r="BQ27" s="204">
        <f>IF(OR(L27=0,L27=""),"",IF(L$25=BQ$25,L27,IF(BP27&lt;&gt;"",ROUND(141.5/BP27-131.5,2+5),"")))</f>
        <v>0.92059999999999997</v>
      </c>
      <c r="BR27" s="204">
        <f>IF(L27="","",IF(L$25=BR$25,L27,IF(BN27&lt;&gt;"",IF(BN27&lt;0.6244,BN27-0,IF(BN27&lt;0.6834,BN27-0.0001,IF(BN27&lt;0.7574,BN27-0.0002,IF(BN27&lt;0.7864,BN27-0.0003,IF(BN27&lt;0.8524,BN27-0.0004,IF(BN27&lt;0.9414,BN27-0.0005,IF(BN27&lt;1.0334,BN27-0.0006,BN27-0.0007))))))),"")))</f>
        <v>0.92059999999999997</v>
      </c>
      <c r="BS27" s="204">
        <f>IF(OR(L27=0,L27=""),"",IF(L$25=BS$25,L27,IF(BP27&lt;&gt;"",ROUND(141.5/BP27-131.5,2+5),"")))</f>
        <v>22.1206709</v>
      </c>
      <c r="BU27" s="204">
        <f>IF(T27&lt;&gt;"",ROUND(141.5/(T27+131.5),4+5),"")</f>
        <v>1.068564861</v>
      </c>
      <c r="BV27" s="204">
        <f>IF(T27="","",IF(T$25=BV$25,T27,IF(BU27&lt;&gt;"",IF(BU27&lt;0.6244,BU27-0,IF(BU27&lt;0.6834,BU27-0.0001,IF(BU27&lt;0.7574,BU27-0.0002,IF(BU27&lt;0.7864,BU27-0.0003,IF(BU27&lt;0.8524,BU27-0.0004,IF(BU27&lt;0.9414,BU27-0.0005,IF(BU27&lt;1.0334,BU27-0.0006,BU27-0.0007))))))),"")))</f>
        <v>1.0678648610000001</v>
      </c>
      <c r="BW27" s="204">
        <f>IF(T27&lt;&gt;"",IF(T27&lt;0.6245,T27+0,IF(T27&lt;0.6835,T27+0.0001,IF(T27&lt;0.7565,T27+0.0002,IF(T27&lt;0.7855,T27+0.0003,IF(T27&lt;0.8515,T27+0.0004,IF(T27&lt;0.9415,T27+0.0005,IF(T27&lt;1.0325,T27+0.0006,T27+0.0007))))))),"")</f>
        <v>0.92109999999999992</v>
      </c>
      <c r="BX27" s="204">
        <f>IF(OR(T27=0,T27=""),"",IF(T$25=BX$25,T27,IF(BW27&lt;&gt;"",ROUND(141.5/BW27-131.5,2+5),"")))</f>
        <v>0.92059999999999997</v>
      </c>
      <c r="BY27" s="204">
        <f>IF(T27="","",IF(T$25=BY$25,T27,IF(BU27&lt;&gt;"",IF(BU27&lt;0.6244,BU27-0,IF(BU27&lt;0.6834,BU27-0.0001,IF(BU27&lt;0.7574,BU27-0.0002,IF(BU27&lt;0.7864,BU27-0.0003,IF(BU27&lt;0.8524,BU27-0.0004,IF(BU27&lt;0.9414,BU27-0.0005,IF(BU27&lt;1.0334,BU27-0.0006,BU27-0.0007))))))),"")))</f>
        <v>0.92059999999999997</v>
      </c>
      <c r="BZ27" s="204">
        <f>IF(OR(T27=0,T27=""),"",IF(T$25=BZ$25,T27,IF(BW27&lt;&gt;"",ROUND(141.5/BW27-131.5,2+5),"")))</f>
        <v>22.1206709</v>
      </c>
      <c r="CC27" s="118">
        <v>0.6</v>
      </c>
      <c r="CD27" s="299">
        <f>H27</f>
        <v>0.83</v>
      </c>
      <c r="CE27" s="118">
        <v>0.62</v>
      </c>
      <c r="CF27" s="118">
        <v>16.55</v>
      </c>
      <c r="CG27" s="300" t="str">
        <f>IF(OR(AND(CC27=CE27,CC27&lt;&gt;CD27),AND(CD27&gt;CC27,CD27&gt;CE27),AND(CD27&lt;CC27,CD27&lt;CE27)),"ULL?",IF(ISERROR((((CD27-CC27)/(CE27-CC27))*(CH27-CF27))+CF27),IF(CC27=CE27,CF27,"ULL?"),ROUND((((CD27-CC27)/(CE27-CC27))*(CH27-CF27))+CF27,3)))</f>
        <v>ULL?</v>
      </c>
      <c r="CH27" s="118">
        <v>17.202999999999999</v>
      </c>
      <c r="CI27" s="118">
        <v>16.937999999999999</v>
      </c>
      <c r="CJ27" s="300" t="str">
        <f>IF(OR(AND(CC27=CE27,CE27&lt;&gt;CD27),AND(CD27&gt;CC27,CD27&gt;CE27),AND(CD27&lt;CC27,CD27&lt;CE27)),"ULL?",IF(ISERROR((((CD27-CC27)/(CE27-CC27))*(CK27-CI27))+CI27),IF(CC27=CE27,CI27,"ULL?"),ROUND((((CD27-CC27)/(CE27-CC27))*(CK27-CI27))+CI27,3)))</f>
        <v>ULL?</v>
      </c>
      <c r="CK27" s="118">
        <v>17.597000000000001</v>
      </c>
      <c r="CL27" s="300">
        <f t="shared" ref="CL27:CL56" si="31">IF(OR(AND(FTRIM1A_2=FTRIM2A_2,FTRIM1A_2&lt;&gt;FTRIMACTA_2),AND(FTRIMACTA_2&gt;FTRIM1A_2,FTRIMACTA_2&gt;FTRIM2A_2),AND(FTRIMACTA_2&lt;FTRIM1A_2,FTRIMACTA_2&lt;FTRIM2A_2)),"TRIM?",IF(ISERROR((((CD$24-CC$24)/(CE$24-CC$24))*(CI27-CF27))+CF27),IF(FTRIM1A_2=FTRIM2A_2,CF27,"VOL?"),ROUND((((CD$24-CC$24)/(CE$24-CC$24))*(CI27-CF27))+CF27,3)))</f>
        <v>16.937999999999999</v>
      </c>
      <c r="CM27" s="301" t="str">
        <f t="shared" ref="CM27:CM56" si="32">IF(OR(AND(FTRIM1A_2=FTRIM2A_2,FTRIM1A_2&lt;&gt;FTRIMACTA_2),AND(FTRIMACTA_2&gt;FTRIM1A_2,FTRIMACTA_2&gt;FTRIM2A_2),AND(FTRIMACTA_2&lt;FTRIM1A_2,FTRIMACTA_2&lt;FTRIM2A_2)),"TRIM?",IF(OR(AND(CC27=CE27,CC27&lt;&gt;CD27),AND(CD27&gt;CC27,CD27&gt;CE27),AND(CD27&lt;CC27,CD27&lt;CE27)),"ULL?",IF(ISERROR((((CD27-CC27)/(CE27-CC27))*(CN27-CL27))+CL27),IF(FTRIM1A_2=FTRIM2A_2,CG27,IF(CC27=CE27,CL27,"ULL?/VOL?")),ROUND((((CD27-CC27)/(CE27-CC27))*(CN27-CL27))+CL27,3))))</f>
        <v>ULL?</v>
      </c>
      <c r="CN27" s="300">
        <f t="shared" ref="CN27:CN56" si="33">IF(OR(AND(FTRIM1A_2=FTRIM2A_2,FTRIM2A_2&lt;&gt;FTRIMACTA_2),AND(FTRIMACTA_2&gt;FTRIM1A_2,FTRIMACTA_2&gt;FTRIM2A_2),AND(FTRIMACTA_2&lt;FTRIM1A_2,FTRIMACTA_2&lt;FTRIM2A_2)),"TRIM?",IF(ISERROR((((CD$24-CC$24)/(CE$24-CC$24))*(CK27-CH27))+CH27),IF(FTRIM1A_2=FTRIM2A_2,CH27,"VOL?"),ROUND((((CD$24-CC$24)/(CE$24-CC$24))*(CK27-CH27))+CH27,3)))</f>
        <v>17.597000000000001</v>
      </c>
      <c r="CP27" s="118">
        <v>8.8699999999999992</v>
      </c>
      <c r="CQ27" s="299">
        <f>P27</f>
        <v>0</v>
      </c>
      <c r="CR27" s="118">
        <v>0.62</v>
      </c>
      <c r="CS27" s="118">
        <v>16.55</v>
      </c>
      <c r="CT27" s="300" t="str">
        <f>IF(OR(AND(CP27=CR27,CP27&lt;&gt;CQ27),AND(CQ27&gt;CP27,CQ27&gt;CR27),AND(CQ27&lt;CP27,CQ27&lt;CR27)),"ULL?",IF(ISERROR((((CQ27-CP27)/(CR27-CP27))*(CU27-CS27))+CS27),IF(CP27=CR27,CS27,"ULL?"),ROUND((((CQ27-CP27)/(CR27-CP27))*(CU27-CS27))+CS27,3)))</f>
        <v>ULL?</v>
      </c>
      <c r="CU27" s="118">
        <v>17.202999999999999</v>
      </c>
      <c r="CV27" s="118">
        <v>16.937999999999999</v>
      </c>
      <c r="CW27" s="300" t="str">
        <f>IF(OR(AND(CP27=CR27,CR27&lt;&gt;CQ27),AND(CQ27&gt;CP27,CQ27&gt;CR27),AND(CQ27&lt;CP27,CQ27&lt;CR27)),"ULL?",IF(ISERROR((((CQ27-CP27)/(CR27-CP27))*(CX27-CV27))+CV27),IF(CP27=CR27,CV27,"ULL?"),ROUND((((CQ27-CP27)/(CR27-CP27))*(CX27-CV27))+CV27,3)))</f>
        <v>ULL?</v>
      </c>
      <c r="CX27" s="118">
        <v>17.597000000000001</v>
      </c>
      <c r="CY27" s="300">
        <f t="shared" ref="CY27:CY56" si="34">IF(OR(AND(FTRIM1B_2=FTRIM2B_2,FTRIM1B_2&lt;&gt;FTRIMACTB_2),AND(FTRIMACTB_2&gt;FTRIM1B_2,FTRIMACTB_2&gt;FTRIM2B_2),AND(FTRIMACTB_2&lt;FTRIM1B_2,FTRIMACTB_2&lt;FTRIM2B_2)),"TRIM?",IF(ISERROR((((CQ$24-CP$24)/(CR$24-CP$24))*(CV27-CS27))+CS27),IF(FTRIM1B_2=FTRIM2B_2,CS27,"VOL?"),ROUND((((CQ$24-CP$24)/(CR$24-CP$24))*(CV27-CS27))+CS27,3)))</f>
        <v>16.71</v>
      </c>
      <c r="CZ27" s="301" t="str">
        <f t="shared" ref="CZ27:CZ56" si="35">IF(OR(AND(FTRIM1B_2=FTRIM2B_2,FTRIM1B_2&lt;&gt;FTRIMACTB_2),AND(FTRIMACTB_2&gt;FTRIM1B_2,FTRIMACTB_2&gt;FTRIM2B_2),AND(FTRIMACTB_2&lt;FTRIM1B_2,FTRIMACTB_2&lt;FTRIM2B_2)),"TRIM?",IF(OR(AND(CP27=CR27,CP27&lt;&gt;CQ27),AND(CQ27&gt;CP27,CQ27&gt;CR27),AND(CQ27&lt;CP27,CQ27&lt;CR27)),"ULL?",IF(ISERROR((((CQ27-CP27)/(CR27-CP27))*(DA27-CY27))+CY27),IF(FTRIM1B_2=FTRIM2B_2,CT27,IF(CP27=CR27,CY27,"ULL?/VOL?")),ROUND((((CQ27-CP27)/(CR27-CP27))*(DA27-CY27))+CY27,3))))</f>
        <v>ULL?</v>
      </c>
      <c r="DA27" s="300">
        <f t="shared" ref="DA27:DA56" si="36">IF(OR(AND(FTRIM1B_2=FTRIM2B_2,FTRIM2B_2&lt;&gt;FTRIMACTB_2),AND(FTRIMACTB_2&gt;FTRIM1B_2,FTRIMACTB_2&gt;FTRIM2B_2),AND(FTRIMACTB_2&lt;FTRIM1B_2,FTRIMACTB_2&lt;FTRIM2B_2)),"TRIM?",IF(ISERROR((((CQ$24-CP$24)/(CR$24-CP$24))*(CX27-CU27))+CU27),IF(FTRIM1B_2=FTRIM2B_2,CU27,"VOL?"),ROUND((((CQ$24-CP$24)/(CR$24-CP$24))*(CX27-CU27))+CU27,3)))</f>
        <v>17.364999999999998</v>
      </c>
      <c r="DC27" s="204">
        <f>IF(ISBLANK(L27),"",L27)</f>
        <v>0.92059999999999997</v>
      </c>
      <c r="DD27" s="297">
        <f>IF(ISERROR(J27-IF(N27="",0,N27)),"",IF(AND(N27&lt;&gt;"",N27&gt;J27),0,J27-IF(N27="",0,N27)))</f>
        <v>69.423000000000002</v>
      </c>
      <c r="DE27" s="297">
        <f t="shared" ref="DE27" si="37">IF(ISERROR(DC27*DD27),"",DC27*DD27)</f>
        <v>63.9108138</v>
      </c>
      <c r="DF27" s="1170" t="s">
        <v>1459</v>
      </c>
      <c r="DG27" s="297">
        <f>IF(ISERROR(DD27-DJ27),"",DD27-DJ27)</f>
        <v>69.423000000000002</v>
      </c>
      <c r="DH27" s="297" t="str">
        <f t="shared" ref="DH27" si="38">IF(ISERROR(DF27*DG27),"",DF27*DG27)</f>
        <v/>
      </c>
      <c r="DI27" s="204" t="str">
        <f t="shared" ref="DI27:DI56" si="39">IF(ISERROR((DE27-DH27)/DJ27),"",ROUND((DE27-DH27)/DJ27,IF(D1SEL_2=1,9,7)))</f>
        <v/>
      </c>
      <c r="DJ27" s="297">
        <f>IF(ISERROR(R27-IF(V27="",0,V27)),"",IF(AND(V27&lt;&gt;"",V27&gt;R27),0,R27-IF(V27="",0,V27)))</f>
        <v>0</v>
      </c>
      <c r="DL27" s="1141">
        <f>IF($DE27="","",INDEX('Cover Page'!$AI$106:$AJ$111,MATCH($C27,'Cover Page'!$AC$106:$AC$111,0),D1SEL_2))</f>
        <v>0.92059999999999997</v>
      </c>
    </row>
    <row r="28" spans="1:116" ht="15.75">
      <c r="A28" s="1286" t="s">
        <v>284</v>
      </c>
      <c r="B28" s="867" t="s">
        <v>1559</v>
      </c>
      <c r="C28" s="861" t="s">
        <v>21</v>
      </c>
      <c r="D28" s="216" t="s">
        <v>284</v>
      </c>
      <c r="E28" s="1006">
        <v>4.8150000000000004</v>
      </c>
      <c r="F28" s="1006">
        <v>4.8150000000000004</v>
      </c>
      <c r="G28" s="864" t="s">
        <v>25</v>
      </c>
      <c r="H28" s="1006">
        <v>0.83</v>
      </c>
      <c r="I28" s="1006">
        <v>0.9</v>
      </c>
      <c r="J28" s="1338">
        <v>69.659000000000006</v>
      </c>
      <c r="K28" s="865">
        <v>36</v>
      </c>
      <c r="L28" s="1408">
        <v>0.92059999999999997</v>
      </c>
      <c r="M28" s="842">
        <v>0</v>
      </c>
      <c r="N28" s="217">
        <v>0</v>
      </c>
      <c r="O28" s="864" t="s">
        <v>16</v>
      </c>
      <c r="P28" s="1003">
        <v>0</v>
      </c>
      <c r="Q28" s="1003">
        <v>0</v>
      </c>
      <c r="R28" s="1339">
        <v>0</v>
      </c>
      <c r="S28" s="841">
        <v>15</v>
      </c>
      <c r="T28" s="1408">
        <v>0.92059999999999997</v>
      </c>
      <c r="U28" s="842">
        <v>0</v>
      </c>
      <c r="V28" s="217">
        <v>0</v>
      </c>
      <c r="X28" s="196">
        <f t="shared" si="3"/>
        <v>1.4676119530364176</v>
      </c>
      <c r="Y28" s="196">
        <f t="shared" si="4"/>
        <v>4.8150000000000004</v>
      </c>
      <c r="Z28" s="154" t="b">
        <f>IF(OR(SURVEYMODE=3,C28=""),FALSE,IF(AND(SUMPRODUCT((INDEX('Cover Page'!$I$89:$N$89,1,MATCH(C28,'Cover Page'!$I$88:$N$88,0))=$D$18)*(INDEX('Cover Page'!$I$104:$N$104,1,MATCH(C28,'Cover Page'!$I$88:$N$88,0))&gt;0))=0,D28="Y"),TRUE,FALSE))</f>
        <v>0</v>
      </c>
      <c r="AA28" s="196">
        <f t="shared" si="5"/>
        <v>1.4676119530364176</v>
      </c>
      <c r="AB28" s="196">
        <f t="shared" si="6"/>
        <v>4.8150000000000004</v>
      </c>
      <c r="AD28" s="196">
        <f t="shared" si="7"/>
        <v>0.25298399190451226</v>
      </c>
      <c r="AE28" s="196">
        <f t="shared" si="8"/>
        <v>0.83</v>
      </c>
      <c r="AG28" s="196">
        <f t="shared" si="9"/>
        <v>0.27431999122176026</v>
      </c>
      <c r="AH28" s="196">
        <f t="shared" si="10"/>
        <v>0.9</v>
      </c>
      <c r="AJ28" s="196">
        <f t="shared" si="11"/>
        <v>0</v>
      </c>
      <c r="AK28" s="196">
        <f t="shared" si="12"/>
        <v>0</v>
      </c>
      <c r="AM28" s="196">
        <f t="shared" si="13"/>
        <v>0</v>
      </c>
      <c r="AN28" s="196">
        <f t="shared" si="14"/>
        <v>0</v>
      </c>
      <c r="AP28" s="196">
        <f t="shared" si="15"/>
        <v>11.074897333941726</v>
      </c>
      <c r="AQ28" s="196">
        <f t="shared" si="16"/>
        <v>69.659000000000006</v>
      </c>
      <c r="AS28" s="196">
        <f t="shared" si="17"/>
        <v>0</v>
      </c>
      <c r="AT28" s="196">
        <f t="shared" si="18"/>
        <v>0</v>
      </c>
      <c r="AV28" s="196">
        <f t="shared" si="19"/>
        <v>0</v>
      </c>
      <c r="AW28" s="196">
        <f t="shared" si="20"/>
        <v>0</v>
      </c>
      <c r="AY28" s="196">
        <f t="shared" si="21"/>
        <v>0</v>
      </c>
      <c r="AZ28" s="196">
        <f t="shared" si="22"/>
        <v>0</v>
      </c>
      <c r="BB28" s="196">
        <f t="shared" si="23"/>
        <v>2.2222222222222223</v>
      </c>
      <c r="BC28" s="196">
        <f t="shared" si="24"/>
        <v>36</v>
      </c>
      <c r="BE28" s="196">
        <f t="shared" si="25"/>
        <v>-9.4444444444444446</v>
      </c>
      <c r="BF28" s="196">
        <f t="shared" si="26"/>
        <v>15</v>
      </c>
      <c r="BH28" s="196">
        <f t="shared" si="27"/>
        <v>0</v>
      </c>
      <c r="BI28" s="196">
        <f t="shared" si="28"/>
        <v>0</v>
      </c>
      <c r="BK28" s="196">
        <f t="shared" si="29"/>
        <v>0</v>
      </c>
      <c r="BL28" s="196">
        <f t="shared" si="30"/>
        <v>0</v>
      </c>
      <c r="BN28" s="204">
        <f t="shared" ref="BN28:BN56" si="40">IF(L28&lt;&gt;"",ROUND(141.5/(L28+131.5),4+5),"")</f>
        <v>1.068564861</v>
      </c>
      <c r="BO28" s="204">
        <f t="shared" ref="BO28:BO56" si="41">IF(L28="","",IF(L$25=BO$25,L28,IF(BN28&lt;&gt;"",IF(BN28&lt;0.6244,BN28-0,IF(BN28&lt;0.6834,BN28-0.0001,IF(BN28&lt;0.7574,BN28-0.0002,IF(BN28&lt;0.7864,BN28-0.0003,IF(BN28&lt;0.8524,BN28-0.0004,IF(BN28&lt;0.9414,BN28-0.0005,IF(BN28&lt;1.0334,BN28-0.0006,BN28-0.0007))))))),"")))</f>
        <v>1.0678648610000001</v>
      </c>
      <c r="BP28" s="204">
        <f t="shared" ref="BP28:BP56" si="42">IF(L28&lt;&gt;"",IF(L28&lt;0.6245,L28+0,IF(L28&lt;0.6835,L28+0.0001,IF(L28&lt;0.7565,L28+0.0002,IF(L28&lt;0.7855,L28+0.0003,IF(L28&lt;0.8515,L28+0.0004,IF(L28&lt;0.9415,L28+0.0005,IF(L28&lt;1.0325,L28+0.0006,L28+0.0007))))))),"")</f>
        <v>0.92109999999999992</v>
      </c>
      <c r="BQ28" s="204">
        <f t="shared" ref="BQ28:BQ56" si="43">IF(OR(L28=0,L28=""),"",IF(L$25=BQ$25,L28,IF(BP28&lt;&gt;"",ROUND(141.5/BP28-131.5,2+5),"")))</f>
        <v>0.92059999999999997</v>
      </c>
      <c r="BR28" s="204">
        <f t="shared" ref="BR28:BR56" si="44">IF(L28="","",IF(L$25=BR$25,L28,IF(BN28&lt;&gt;"",IF(BN28&lt;0.6244,BN28-0,IF(BN28&lt;0.6834,BN28-0.0001,IF(BN28&lt;0.7574,BN28-0.0002,IF(BN28&lt;0.7864,BN28-0.0003,IF(BN28&lt;0.8524,BN28-0.0004,IF(BN28&lt;0.9414,BN28-0.0005,IF(BN28&lt;1.0334,BN28-0.0006,BN28-0.0007))))))),"")))</f>
        <v>0.92059999999999997</v>
      </c>
      <c r="BS28" s="204">
        <f t="shared" ref="BS28:BS56" si="45">IF(OR(L28=0,L28=""),"",IF(L$25=BS$25,L28,IF(BP28&lt;&gt;"",ROUND(141.5/BP28-131.5,2+5),"")))</f>
        <v>22.1206709</v>
      </c>
      <c r="BU28" s="204">
        <f t="shared" ref="BU28:BU56" si="46">IF(T28&lt;&gt;"",ROUND(141.5/(T28+131.5),4+5),"")</f>
        <v>1.068564861</v>
      </c>
      <c r="BV28" s="204">
        <f t="shared" ref="BV28:BV56" si="47">IF(T28="","",IF(T$25=BV$25,T28,IF(BU28&lt;&gt;"",IF(BU28&lt;0.6244,BU28-0,IF(BU28&lt;0.6834,BU28-0.0001,IF(BU28&lt;0.7574,BU28-0.0002,IF(BU28&lt;0.7864,BU28-0.0003,IF(BU28&lt;0.8524,BU28-0.0004,IF(BU28&lt;0.9414,BU28-0.0005,IF(BU28&lt;1.0334,BU28-0.0006,BU28-0.0007))))))),"")))</f>
        <v>1.0678648610000001</v>
      </c>
      <c r="BW28" s="204">
        <f t="shared" ref="BW28:BW56" si="48">IF(T28&lt;&gt;"",IF(T28&lt;0.6245,T28+0,IF(T28&lt;0.6835,T28+0.0001,IF(T28&lt;0.7565,T28+0.0002,IF(T28&lt;0.7855,T28+0.0003,IF(T28&lt;0.8515,T28+0.0004,IF(T28&lt;0.9415,T28+0.0005,IF(T28&lt;1.0325,T28+0.0006,T28+0.0007))))))),"")</f>
        <v>0.92109999999999992</v>
      </c>
      <c r="BX28" s="204">
        <f t="shared" ref="BX28:BX56" si="49">IF(OR(T28=0,T28=""),"",IF(T$25=BX$25,T28,IF(BW28&lt;&gt;"",ROUND(141.5/BW28-131.5,2+5),"")))</f>
        <v>0.92059999999999997</v>
      </c>
      <c r="BY28" s="204">
        <f t="shared" ref="BY28:BY56" si="50">IF(T28="","",IF(T$25=BY$25,T28,IF(BU28&lt;&gt;"",IF(BU28&lt;0.6244,BU28-0,IF(BU28&lt;0.6834,BU28-0.0001,IF(BU28&lt;0.7574,BU28-0.0002,IF(BU28&lt;0.7864,BU28-0.0003,IF(BU28&lt;0.8524,BU28-0.0004,IF(BU28&lt;0.9414,BU28-0.0005,IF(BU28&lt;1.0334,BU28-0.0006,BU28-0.0007))))))),"")))</f>
        <v>0.92059999999999997</v>
      </c>
      <c r="BZ28" s="204">
        <f t="shared" ref="BZ28:BZ56" si="51">IF(OR(T28=0,T28=""),"",IF(T$25=BZ$25,T28,IF(BW28&lt;&gt;"",ROUND(141.5/BW28-131.5,2+5),"")))</f>
        <v>22.1206709</v>
      </c>
      <c r="CC28" s="118">
        <v>6</v>
      </c>
      <c r="CD28" s="299">
        <f t="shared" ref="CD28:CD56" si="52">H28</f>
        <v>0.83</v>
      </c>
      <c r="CE28" s="118">
        <v>0.62</v>
      </c>
      <c r="CF28" s="118">
        <v>16.55</v>
      </c>
      <c r="CG28" s="300">
        <f t="shared" ref="CG28:CG56" si="53">IF(OR(AND(CC28=CE28,CC28&lt;&gt;CD28),AND(CD28&gt;CC28,CD28&gt;CE28),AND(CD28&lt;CC28,CD28&lt;CE28)),"ULL?",IF(ISERROR((((CD28-CC28)/(CE28-CC28))*(CH28-CF28))+CF28),IF(CC28=CE28,CF28,"ULL?"),ROUND((((CD28-CC28)/(CE28-CC28))*(CH28-CF28))+CF28,3)))</f>
        <v>17.178000000000001</v>
      </c>
      <c r="CH28" s="118">
        <v>17.202999999999999</v>
      </c>
      <c r="CI28" s="118">
        <v>16.55</v>
      </c>
      <c r="CJ28" s="300">
        <f t="shared" ref="CJ28:CJ56" si="54">IF(OR(AND(CC28=CE28,CE28&lt;&gt;CD28),AND(CD28&gt;CC28,CD28&gt;CE28),AND(CD28&lt;CC28,CD28&lt;CE28)),"ULL?",IF(ISERROR((((CD28-CC28)/(CE28-CC28))*(CK28-CI28))+CI28),IF(CC28=CE28,CI28,"ULL?"),ROUND((((CD28-CC28)/(CE28-CC28))*(CK28-CI28))+CI28,3)))</f>
        <v>17.178000000000001</v>
      </c>
      <c r="CK28" s="118">
        <v>17.202999999999999</v>
      </c>
      <c r="CL28" s="300">
        <f t="shared" si="31"/>
        <v>16.55</v>
      </c>
      <c r="CM28" s="301">
        <f t="shared" si="32"/>
        <v>17.178000000000001</v>
      </c>
      <c r="CN28" s="300">
        <f t="shared" si="33"/>
        <v>17.202999999999999</v>
      </c>
      <c r="CP28" s="118">
        <v>6</v>
      </c>
      <c r="CQ28" s="299">
        <f t="shared" ref="CQ28:CQ56" si="55">P28</f>
        <v>0</v>
      </c>
      <c r="CR28" s="118">
        <v>0.62</v>
      </c>
      <c r="CS28" s="118">
        <v>16.55</v>
      </c>
      <c r="CT28" s="300" t="str">
        <f t="shared" ref="CT28:CT56" si="56">IF(OR(AND(CP28=CR28,CP28&lt;&gt;CQ28),AND(CQ28&gt;CP28,CQ28&gt;CR28),AND(CQ28&lt;CP28,CQ28&lt;CR28)),"ULL?",IF(ISERROR((((CQ28-CP28)/(CR28-CP28))*(CU28-CS28))+CS28),IF(CP28=CR28,CS28,"ULL?"),ROUND((((CQ28-CP28)/(CR28-CP28))*(CU28-CS28))+CS28,3)))</f>
        <v>ULL?</v>
      </c>
      <c r="CU28" s="118">
        <v>17.202999999999999</v>
      </c>
      <c r="CV28" s="118">
        <v>16.937999999999999</v>
      </c>
      <c r="CW28" s="300" t="str">
        <f t="shared" ref="CW28:CW56" si="57">IF(OR(AND(CP28=CR28,CR28&lt;&gt;CQ28),AND(CQ28&gt;CP28,CQ28&gt;CR28),AND(CQ28&lt;CP28,CQ28&lt;CR28)),"ULL?",IF(ISERROR((((CQ28-CP28)/(CR28-CP28))*(CX28-CV28))+CV28),IF(CP28=CR28,CV28,"ULL?"),ROUND((((CQ28-CP28)/(CR28-CP28))*(CX28-CV28))+CV28,3)))</f>
        <v>ULL?</v>
      </c>
      <c r="CX28" s="118">
        <v>17.597000000000001</v>
      </c>
      <c r="CY28" s="300">
        <f t="shared" si="34"/>
        <v>16.71</v>
      </c>
      <c r="CZ28" s="301" t="str">
        <f t="shared" si="35"/>
        <v>ULL?</v>
      </c>
      <c r="DA28" s="300">
        <f t="shared" si="36"/>
        <v>17.364999999999998</v>
      </c>
      <c r="DC28" s="204">
        <f t="shared" ref="DC28:DC56" si="58">IF(ISBLANK(L28),"",L28)</f>
        <v>0.92059999999999997</v>
      </c>
      <c r="DD28" s="297">
        <f t="shared" ref="DD28:DD56" si="59">IF(ISERROR(J28-IF(N28="",0,N28)),"",IF(AND(N28&lt;&gt;"",N28&gt;J28),0,J28-IF(N28="",0,N28)))</f>
        <v>69.659000000000006</v>
      </c>
      <c r="DE28" s="297">
        <f t="shared" ref="DE28:DE56" si="60">IF(ISERROR(DC28*DD28),"",DC28*DD28)</f>
        <v>64.1280754</v>
      </c>
      <c r="DF28" s="1170"/>
      <c r="DG28" s="297">
        <f t="shared" ref="DG28:DG56" si="61">IF(ISERROR(DD28-DJ28),"",DD28-DJ28)</f>
        <v>69.659000000000006</v>
      </c>
      <c r="DH28" s="297">
        <f t="shared" ref="DH28:DH56" si="62">IF(ISERROR(DF28*DG28),"",DF28*DG28)</f>
        <v>0</v>
      </c>
      <c r="DI28" s="204" t="str">
        <f t="shared" si="39"/>
        <v/>
      </c>
      <c r="DJ28" s="297">
        <f t="shared" ref="DJ28:DJ56" si="63">IF(ISERROR(R28-IF(V28="",0,V28)),"",IF(AND(V28&lt;&gt;"",V28&gt;R28),0,R28-IF(V28="",0,V28)))</f>
        <v>0</v>
      </c>
      <c r="DL28" s="1141">
        <f>IF($DE28="","",INDEX('Cover Page'!$AI$106:$AJ$111,MATCH($C28,'Cover Page'!$AC$106:$AC$111,0),D1SEL_2))</f>
        <v>0.92059999999999997</v>
      </c>
    </row>
    <row r="29" spans="1:116" ht="15.75">
      <c r="A29" s="1286" t="s">
        <v>284</v>
      </c>
      <c r="B29" s="868" t="s">
        <v>1560</v>
      </c>
      <c r="C29" s="861" t="s">
        <v>21</v>
      </c>
      <c r="D29" s="216" t="s">
        <v>284</v>
      </c>
      <c r="E29" s="1006">
        <v>4.84</v>
      </c>
      <c r="F29" s="1006">
        <v>4.84</v>
      </c>
      <c r="G29" s="864" t="s">
        <v>25</v>
      </c>
      <c r="H29" s="1006">
        <v>0.83</v>
      </c>
      <c r="I29" s="1006">
        <v>0.9</v>
      </c>
      <c r="J29" s="1340">
        <v>69.659000000000006</v>
      </c>
      <c r="K29" s="865">
        <v>36</v>
      </c>
      <c r="L29" s="1408">
        <v>0.92059999999999997</v>
      </c>
      <c r="M29" s="845">
        <v>0</v>
      </c>
      <c r="N29" s="222">
        <v>0</v>
      </c>
      <c r="O29" s="864" t="s">
        <v>16</v>
      </c>
      <c r="P29" s="1004">
        <v>0</v>
      </c>
      <c r="Q29" s="1004">
        <v>0</v>
      </c>
      <c r="R29" s="1004">
        <v>0</v>
      </c>
      <c r="S29" s="865">
        <v>15</v>
      </c>
      <c r="T29" s="1408">
        <v>0.92059999999999997</v>
      </c>
      <c r="U29" s="845">
        <v>0</v>
      </c>
      <c r="V29" s="222">
        <v>0</v>
      </c>
      <c r="X29" s="196">
        <f t="shared" si="3"/>
        <v>1.4752319527925775</v>
      </c>
      <c r="Y29" s="196">
        <f t="shared" si="4"/>
        <v>4.84</v>
      </c>
      <c r="Z29" s="154" t="b">
        <f>IF(OR(SURVEYMODE=3,C29=""),FALSE,IF(AND(SUMPRODUCT((INDEX('Cover Page'!$I$89:$N$89,1,MATCH(C29,'Cover Page'!$I$88:$N$88,0))=$D$18)*(INDEX('Cover Page'!$I$104:$N$104,1,MATCH(C29,'Cover Page'!$I$88:$N$88,0))&gt;0))=0,D29="Y"),TRUE,FALSE))</f>
        <v>0</v>
      </c>
      <c r="AA29" s="196">
        <f t="shared" si="5"/>
        <v>1.4752319527925775</v>
      </c>
      <c r="AB29" s="196">
        <f t="shared" si="6"/>
        <v>4.84</v>
      </c>
      <c r="AD29" s="196">
        <f t="shared" si="7"/>
        <v>0.25298399190451226</v>
      </c>
      <c r="AE29" s="196">
        <f t="shared" si="8"/>
        <v>0.83</v>
      </c>
      <c r="AG29" s="196">
        <f t="shared" si="9"/>
        <v>0.27431999122176026</v>
      </c>
      <c r="AH29" s="196">
        <f t="shared" si="10"/>
        <v>0.9</v>
      </c>
      <c r="AJ29" s="196">
        <f t="shared" si="11"/>
        <v>0</v>
      </c>
      <c r="AK29" s="196">
        <f t="shared" si="12"/>
        <v>0</v>
      </c>
      <c r="AM29" s="196">
        <f t="shared" si="13"/>
        <v>0</v>
      </c>
      <c r="AN29" s="196">
        <f t="shared" si="14"/>
        <v>0</v>
      </c>
      <c r="AP29" s="196">
        <f t="shared" si="15"/>
        <v>11.074897333941726</v>
      </c>
      <c r="AQ29" s="196">
        <f t="shared" si="16"/>
        <v>69.659000000000006</v>
      </c>
      <c r="AS29" s="196">
        <f t="shared" si="17"/>
        <v>0</v>
      </c>
      <c r="AT29" s="196">
        <f t="shared" si="18"/>
        <v>0</v>
      </c>
      <c r="AV29" s="196">
        <f t="shared" si="19"/>
        <v>0</v>
      </c>
      <c r="AW29" s="196">
        <f t="shared" si="20"/>
        <v>0</v>
      </c>
      <c r="AY29" s="196">
        <f t="shared" si="21"/>
        <v>0</v>
      </c>
      <c r="AZ29" s="196">
        <f t="shared" si="22"/>
        <v>0</v>
      </c>
      <c r="BB29" s="196">
        <f t="shared" si="23"/>
        <v>2.2222222222222223</v>
      </c>
      <c r="BC29" s="196">
        <f t="shared" si="24"/>
        <v>36</v>
      </c>
      <c r="BE29" s="196">
        <f t="shared" si="25"/>
        <v>-9.4444444444444446</v>
      </c>
      <c r="BF29" s="196">
        <f t="shared" si="26"/>
        <v>15</v>
      </c>
      <c r="BH29" s="196">
        <f t="shared" si="27"/>
        <v>0</v>
      </c>
      <c r="BI29" s="196">
        <f t="shared" si="28"/>
        <v>0</v>
      </c>
      <c r="BK29" s="196">
        <f t="shared" si="29"/>
        <v>0</v>
      </c>
      <c r="BL29" s="196">
        <f t="shared" si="30"/>
        <v>0</v>
      </c>
      <c r="BN29" s="204">
        <f t="shared" si="40"/>
        <v>1.068564861</v>
      </c>
      <c r="BO29" s="204">
        <f t="shared" si="41"/>
        <v>1.0678648610000001</v>
      </c>
      <c r="BP29" s="204">
        <f t="shared" si="42"/>
        <v>0.92109999999999992</v>
      </c>
      <c r="BQ29" s="204">
        <f t="shared" si="43"/>
        <v>0.92059999999999997</v>
      </c>
      <c r="BR29" s="204">
        <f t="shared" si="44"/>
        <v>0.92059999999999997</v>
      </c>
      <c r="BS29" s="204">
        <f t="shared" si="45"/>
        <v>22.1206709</v>
      </c>
      <c r="BU29" s="204">
        <f t="shared" si="46"/>
        <v>1.068564861</v>
      </c>
      <c r="BV29" s="204">
        <f t="shared" si="47"/>
        <v>1.0678648610000001</v>
      </c>
      <c r="BW29" s="204">
        <f t="shared" si="48"/>
        <v>0.92109999999999992</v>
      </c>
      <c r="BX29" s="204">
        <f t="shared" si="49"/>
        <v>0.92059999999999997</v>
      </c>
      <c r="BY29" s="204">
        <f t="shared" si="50"/>
        <v>0.92059999999999997</v>
      </c>
      <c r="BZ29" s="204">
        <f t="shared" si="51"/>
        <v>22.1206709</v>
      </c>
      <c r="CC29" s="118">
        <v>6</v>
      </c>
      <c r="CD29" s="299">
        <f t="shared" si="52"/>
        <v>0.83</v>
      </c>
      <c r="CE29" s="118">
        <v>0.62</v>
      </c>
      <c r="CF29" s="118">
        <v>16.55</v>
      </c>
      <c r="CG29" s="300">
        <f t="shared" si="53"/>
        <v>17.178000000000001</v>
      </c>
      <c r="CH29" s="118">
        <v>17.202999999999999</v>
      </c>
      <c r="CI29" s="118">
        <v>16.55</v>
      </c>
      <c r="CJ29" s="300">
        <f t="shared" si="54"/>
        <v>17.178000000000001</v>
      </c>
      <c r="CK29" s="118">
        <v>17.202999999999999</v>
      </c>
      <c r="CL29" s="300">
        <f t="shared" si="31"/>
        <v>16.55</v>
      </c>
      <c r="CM29" s="301">
        <f t="shared" si="32"/>
        <v>17.178000000000001</v>
      </c>
      <c r="CN29" s="300">
        <f t="shared" si="33"/>
        <v>17.202999999999999</v>
      </c>
      <c r="CP29" s="118">
        <v>6</v>
      </c>
      <c r="CQ29" s="299">
        <f t="shared" si="55"/>
        <v>0</v>
      </c>
      <c r="CR29" s="118">
        <v>0.62</v>
      </c>
      <c r="CS29" s="118">
        <v>16.55</v>
      </c>
      <c r="CT29" s="300" t="str">
        <f t="shared" si="56"/>
        <v>ULL?</v>
      </c>
      <c r="CU29" s="118">
        <v>17.202999999999999</v>
      </c>
      <c r="CV29" s="118">
        <v>16.937999999999999</v>
      </c>
      <c r="CW29" s="300" t="str">
        <f t="shared" si="57"/>
        <v>ULL?</v>
      </c>
      <c r="CX29" s="118">
        <v>17.597000000000001</v>
      </c>
      <c r="CY29" s="300">
        <f t="shared" si="34"/>
        <v>16.71</v>
      </c>
      <c r="CZ29" s="301" t="str">
        <f t="shared" si="35"/>
        <v>ULL?</v>
      </c>
      <c r="DA29" s="300">
        <f t="shared" si="36"/>
        <v>17.364999999999998</v>
      </c>
      <c r="DC29" s="204">
        <f t="shared" si="58"/>
        <v>0.92059999999999997</v>
      </c>
      <c r="DD29" s="297">
        <f t="shared" si="59"/>
        <v>69.659000000000006</v>
      </c>
      <c r="DE29" s="297">
        <f t="shared" si="60"/>
        <v>64.1280754</v>
      </c>
      <c r="DF29" s="1170">
        <v>0.98780000000000001</v>
      </c>
      <c r="DG29" s="297">
        <f t="shared" si="61"/>
        <v>69.659000000000006</v>
      </c>
      <c r="DH29" s="297">
        <f t="shared" si="62"/>
        <v>68.809160200000008</v>
      </c>
      <c r="DI29" s="204" t="str">
        <f t="shared" si="39"/>
        <v/>
      </c>
      <c r="DJ29" s="297">
        <f t="shared" si="63"/>
        <v>0</v>
      </c>
      <c r="DL29" s="1141">
        <f>IF($DE29="","",INDEX('Cover Page'!$AI$106:$AJ$111,MATCH($C29,'Cover Page'!$AC$106:$AC$111,0),D1SEL_2))</f>
        <v>0.92059999999999997</v>
      </c>
    </row>
    <row r="30" spans="1:116" ht="15.75">
      <c r="A30" s="1286" t="s">
        <v>284</v>
      </c>
      <c r="B30" s="867" t="s">
        <v>1576</v>
      </c>
      <c r="C30" s="861" t="s">
        <v>21</v>
      </c>
      <c r="D30" s="216" t="s">
        <v>284</v>
      </c>
      <c r="E30" s="1006">
        <v>4.05</v>
      </c>
      <c r="F30" s="1006">
        <v>4.05</v>
      </c>
      <c r="G30" s="864" t="s">
        <v>25</v>
      </c>
      <c r="H30" s="1006">
        <v>0.84</v>
      </c>
      <c r="I30" s="1006">
        <v>0.9</v>
      </c>
      <c r="J30" s="1339">
        <v>67.808999999999997</v>
      </c>
      <c r="K30" s="865">
        <v>36</v>
      </c>
      <c r="L30" s="1408">
        <v>0.92059999999999997</v>
      </c>
      <c r="M30" s="842">
        <v>0</v>
      </c>
      <c r="N30" s="217">
        <v>0</v>
      </c>
      <c r="O30" s="864" t="s">
        <v>16</v>
      </c>
      <c r="P30" s="1003">
        <v>0</v>
      </c>
      <c r="Q30" s="1003">
        <v>0</v>
      </c>
      <c r="R30" s="1003">
        <v>0</v>
      </c>
      <c r="S30" s="865">
        <v>15</v>
      </c>
      <c r="T30" s="1408">
        <v>0.92059999999999997</v>
      </c>
      <c r="U30" s="842">
        <v>0</v>
      </c>
      <c r="V30" s="217">
        <v>0</v>
      </c>
      <c r="X30" s="196">
        <f t="shared" si="3"/>
        <v>1.2344399604979213</v>
      </c>
      <c r="Y30" s="196">
        <f t="shared" si="4"/>
        <v>4.05</v>
      </c>
      <c r="Z30" s="154" t="b">
        <f>IF(OR(SURVEYMODE=3,C30=""),FALSE,IF(AND(SUMPRODUCT((INDEX('Cover Page'!$I$89:$N$89,1,MATCH(C30,'Cover Page'!$I$88:$N$88,0))=$D$18)*(INDEX('Cover Page'!$I$104:$N$104,1,MATCH(C30,'Cover Page'!$I$88:$N$88,0))&gt;0))=0,D30="Y"),TRUE,FALSE))</f>
        <v>0</v>
      </c>
      <c r="AA30" s="196">
        <f t="shared" si="5"/>
        <v>1.2344399604979213</v>
      </c>
      <c r="AB30" s="196">
        <f t="shared" si="6"/>
        <v>4.05</v>
      </c>
      <c r="AD30" s="196">
        <f t="shared" si="7"/>
        <v>0.25603199180697628</v>
      </c>
      <c r="AE30" s="196">
        <f t="shared" si="8"/>
        <v>0.84</v>
      </c>
      <c r="AG30" s="196">
        <f t="shared" si="9"/>
        <v>0.27431999122176026</v>
      </c>
      <c r="AH30" s="196">
        <f t="shared" si="10"/>
        <v>0.9</v>
      </c>
      <c r="AJ30" s="196">
        <f t="shared" si="11"/>
        <v>0</v>
      </c>
      <c r="AK30" s="196">
        <f t="shared" si="12"/>
        <v>0</v>
      </c>
      <c r="AM30" s="196">
        <f t="shared" si="13"/>
        <v>0</v>
      </c>
      <c r="AN30" s="196">
        <f t="shared" si="14"/>
        <v>0</v>
      </c>
      <c r="AP30" s="196">
        <f t="shared" si="15"/>
        <v>10.780770802297685</v>
      </c>
      <c r="AQ30" s="196">
        <f t="shared" si="16"/>
        <v>67.808999999999997</v>
      </c>
      <c r="AS30" s="196">
        <f t="shared" si="17"/>
        <v>0</v>
      </c>
      <c r="AT30" s="196">
        <f t="shared" si="18"/>
        <v>0</v>
      </c>
      <c r="AV30" s="196">
        <f t="shared" si="19"/>
        <v>0</v>
      </c>
      <c r="AW30" s="196">
        <f t="shared" si="20"/>
        <v>0</v>
      </c>
      <c r="AY30" s="196">
        <f t="shared" si="21"/>
        <v>0</v>
      </c>
      <c r="AZ30" s="196">
        <f t="shared" si="22"/>
        <v>0</v>
      </c>
      <c r="BB30" s="196">
        <f t="shared" si="23"/>
        <v>2.2222222222222223</v>
      </c>
      <c r="BC30" s="196">
        <f t="shared" si="24"/>
        <v>36</v>
      </c>
      <c r="BE30" s="196">
        <f t="shared" si="25"/>
        <v>-9.4444444444444446</v>
      </c>
      <c r="BF30" s="196">
        <f t="shared" si="26"/>
        <v>15</v>
      </c>
      <c r="BH30" s="196">
        <f t="shared" si="27"/>
        <v>0</v>
      </c>
      <c r="BI30" s="196">
        <f t="shared" si="28"/>
        <v>0</v>
      </c>
      <c r="BK30" s="196">
        <f t="shared" si="29"/>
        <v>0</v>
      </c>
      <c r="BL30" s="196">
        <f t="shared" si="30"/>
        <v>0</v>
      </c>
      <c r="BN30" s="204">
        <f t="shared" si="40"/>
        <v>1.068564861</v>
      </c>
      <c r="BO30" s="204">
        <f t="shared" si="41"/>
        <v>1.0678648610000001</v>
      </c>
      <c r="BP30" s="204">
        <f t="shared" si="42"/>
        <v>0.92109999999999992</v>
      </c>
      <c r="BQ30" s="204">
        <f t="shared" si="43"/>
        <v>0.92059999999999997</v>
      </c>
      <c r="BR30" s="204">
        <f t="shared" si="44"/>
        <v>0.92059999999999997</v>
      </c>
      <c r="BS30" s="204">
        <f t="shared" si="45"/>
        <v>22.1206709</v>
      </c>
      <c r="BU30" s="204">
        <f t="shared" si="46"/>
        <v>1.068564861</v>
      </c>
      <c r="BV30" s="204">
        <f t="shared" si="47"/>
        <v>1.0678648610000001</v>
      </c>
      <c r="BW30" s="204">
        <f t="shared" si="48"/>
        <v>0.92109999999999992</v>
      </c>
      <c r="BX30" s="204">
        <f t="shared" si="49"/>
        <v>0.92059999999999997</v>
      </c>
      <c r="BY30" s="204">
        <f t="shared" si="50"/>
        <v>0.92059999999999997</v>
      </c>
      <c r="BZ30" s="204">
        <f t="shared" si="51"/>
        <v>22.1206709</v>
      </c>
      <c r="CC30" s="118">
        <v>6</v>
      </c>
      <c r="CD30" s="299">
        <f t="shared" si="52"/>
        <v>0.84</v>
      </c>
      <c r="CE30" s="118">
        <v>0.62</v>
      </c>
      <c r="CF30" s="118">
        <v>16.55</v>
      </c>
      <c r="CG30" s="300">
        <f t="shared" si="53"/>
        <v>17.175999999999998</v>
      </c>
      <c r="CH30" s="118">
        <v>17.202999999999999</v>
      </c>
      <c r="CI30" s="118">
        <v>16.937999999999999</v>
      </c>
      <c r="CJ30" s="300">
        <f t="shared" si="54"/>
        <v>17.57</v>
      </c>
      <c r="CK30" s="118">
        <v>17.597000000000001</v>
      </c>
      <c r="CL30" s="300">
        <f t="shared" si="31"/>
        <v>16.937999999999999</v>
      </c>
      <c r="CM30" s="301">
        <f t="shared" si="32"/>
        <v>17.57</v>
      </c>
      <c r="CN30" s="300">
        <f t="shared" si="33"/>
        <v>17.597000000000001</v>
      </c>
      <c r="CP30" s="118">
        <v>6</v>
      </c>
      <c r="CQ30" s="299">
        <f t="shared" si="55"/>
        <v>0</v>
      </c>
      <c r="CR30" s="118">
        <v>0.62</v>
      </c>
      <c r="CS30" s="118">
        <v>16.55</v>
      </c>
      <c r="CT30" s="300" t="str">
        <f t="shared" si="56"/>
        <v>ULL?</v>
      </c>
      <c r="CU30" s="118">
        <v>17.202999999999999</v>
      </c>
      <c r="CV30" s="118">
        <v>16.937999999999999</v>
      </c>
      <c r="CW30" s="300" t="str">
        <f t="shared" si="57"/>
        <v>ULL?</v>
      </c>
      <c r="CX30" s="118">
        <v>17.597000000000001</v>
      </c>
      <c r="CY30" s="300">
        <f t="shared" si="34"/>
        <v>16.71</v>
      </c>
      <c r="CZ30" s="301" t="str">
        <f t="shared" si="35"/>
        <v>ULL?</v>
      </c>
      <c r="DA30" s="300">
        <f t="shared" si="36"/>
        <v>17.364999999999998</v>
      </c>
      <c r="DC30" s="204">
        <f t="shared" si="58"/>
        <v>0.92059999999999997</v>
      </c>
      <c r="DD30" s="297">
        <f t="shared" si="59"/>
        <v>67.808999999999997</v>
      </c>
      <c r="DE30" s="297">
        <f t="shared" si="60"/>
        <v>62.424965399999998</v>
      </c>
      <c r="DF30" s="1170"/>
      <c r="DG30" s="297">
        <f t="shared" si="61"/>
        <v>67.808999999999997</v>
      </c>
      <c r="DH30" s="297">
        <f t="shared" si="62"/>
        <v>0</v>
      </c>
      <c r="DI30" s="204" t="str">
        <f t="shared" si="39"/>
        <v/>
      </c>
      <c r="DJ30" s="297">
        <f t="shared" si="63"/>
        <v>0</v>
      </c>
      <c r="DL30" s="1141">
        <f>IF($DE30="","",INDEX('Cover Page'!$AI$106:$AJ$111,MATCH($C30,'Cover Page'!$AC$106:$AC$111,0),D1SEL_2))</f>
        <v>0.92059999999999997</v>
      </c>
    </row>
    <row r="31" spans="1:116" ht="15.75">
      <c r="A31" s="1286" t="s">
        <v>284</v>
      </c>
      <c r="B31" s="868"/>
      <c r="C31" s="861"/>
      <c r="D31" s="216"/>
      <c r="E31" s="1006"/>
      <c r="F31" s="1006"/>
      <c r="G31" s="864"/>
      <c r="H31" s="1006"/>
      <c r="I31" s="1006"/>
      <c r="J31" s="1339"/>
      <c r="K31" s="865"/>
      <c r="L31" s="1408"/>
      <c r="M31" s="842"/>
      <c r="N31" s="217"/>
      <c r="O31" s="864"/>
      <c r="P31" s="1003"/>
      <c r="Q31" s="1003"/>
      <c r="R31" s="1003"/>
      <c r="S31" s="865"/>
      <c r="T31" s="1408"/>
      <c r="U31" s="842"/>
      <c r="V31" s="217"/>
      <c r="X31" s="196" t="str">
        <f t="shared" si="3"/>
        <v/>
      </c>
      <c r="Y31" s="196" t="str">
        <f t="shared" si="4"/>
        <v/>
      </c>
      <c r="Z31" s="154" t="b">
        <f>IF(OR(SURVEYMODE=3,C31=""),FALSE,IF(AND(SUMPRODUCT((INDEX('Cover Page'!$I$89:$N$89,1,MATCH(C31,'Cover Page'!$I$88:$N$88,0))=$D$18)*(INDEX('Cover Page'!$I$104:$N$104,1,MATCH(C31,'Cover Page'!$I$88:$N$88,0))&gt;0))=0,D31="Y"),TRUE,FALSE))</f>
        <v>0</v>
      </c>
      <c r="AA31" s="196" t="str">
        <f t="shared" si="5"/>
        <v/>
      </c>
      <c r="AB31" s="196" t="str">
        <f t="shared" si="6"/>
        <v/>
      </c>
      <c r="AD31" s="196" t="str">
        <f t="shared" si="7"/>
        <v/>
      </c>
      <c r="AE31" s="196" t="str">
        <f t="shared" si="8"/>
        <v/>
      </c>
      <c r="AG31" s="196" t="str">
        <f t="shared" si="9"/>
        <v/>
      </c>
      <c r="AH31" s="196" t="str">
        <f t="shared" si="10"/>
        <v/>
      </c>
      <c r="AJ31" s="196" t="str">
        <f t="shared" si="11"/>
        <v/>
      </c>
      <c r="AK31" s="196" t="str">
        <f t="shared" si="12"/>
        <v/>
      </c>
      <c r="AM31" s="196" t="str">
        <f t="shared" si="13"/>
        <v/>
      </c>
      <c r="AN31" s="196" t="str">
        <f t="shared" si="14"/>
        <v/>
      </c>
      <c r="AP31" s="196" t="str">
        <f t="shared" si="15"/>
        <v/>
      </c>
      <c r="AQ31" s="196" t="str">
        <f t="shared" si="16"/>
        <v/>
      </c>
      <c r="AS31" s="196" t="str">
        <f t="shared" si="17"/>
        <v/>
      </c>
      <c r="AT31" s="196" t="str">
        <f t="shared" si="18"/>
        <v/>
      </c>
      <c r="AV31" s="196" t="str">
        <f t="shared" si="19"/>
        <v/>
      </c>
      <c r="AW31" s="196" t="str">
        <f t="shared" si="20"/>
        <v/>
      </c>
      <c r="AY31" s="196" t="str">
        <f t="shared" si="21"/>
        <v/>
      </c>
      <c r="AZ31" s="196" t="str">
        <f t="shared" si="22"/>
        <v/>
      </c>
      <c r="BB31" s="196" t="str">
        <f t="shared" si="23"/>
        <v/>
      </c>
      <c r="BC31" s="196" t="str">
        <f t="shared" si="24"/>
        <v/>
      </c>
      <c r="BE31" s="196" t="str">
        <f t="shared" si="25"/>
        <v/>
      </c>
      <c r="BF31" s="196" t="str">
        <f t="shared" si="26"/>
        <v/>
      </c>
      <c r="BH31" s="196" t="str">
        <f t="shared" si="27"/>
        <v/>
      </c>
      <c r="BI31" s="196" t="str">
        <f t="shared" si="28"/>
        <v/>
      </c>
      <c r="BK31" s="196" t="str">
        <f t="shared" si="29"/>
        <v/>
      </c>
      <c r="BL31" s="196" t="str">
        <f t="shared" si="30"/>
        <v/>
      </c>
      <c r="BN31" s="204" t="str">
        <f t="shared" si="40"/>
        <v/>
      </c>
      <c r="BO31" s="204" t="str">
        <f t="shared" si="41"/>
        <v/>
      </c>
      <c r="BP31" s="204" t="str">
        <f t="shared" si="42"/>
        <v/>
      </c>
      <c r="BQ31" s="204" t="str">
        <f t="shared" si="43"/>
        <v/>
      </c>
      <c r="BR31" s="204" t="str">
        <f t="shared" si="44"/>
        <v/>
      </c>
      <c r="BS31" s="204" t="str">
        <f t="shared" si="45"/>
        <v/>
      </c>
      <c r="BU31" s="204" t="str">
        <f t="shared" si="46"/>
        <v/>
      </c>
      <c r="BV31" s="204" t="str">
        <f t="shared" si="47"/>
        <v/>
      </c>
      <c r="BW31" s="204" t="str">
        <f t="shared" si="48"/>
        <v/>
      </c>
      <c r="BX31" s="204" t="str">
        <f t="shared" si="49"/>
        <v/>
      </c>
      <c r="BY31" s="204" t="str">
        <f t="shared" si="50"/>
        <v/>
      </c>
      <c r="BZ31" s="204" t="str">
        <f t="shared" si="51"/>
        <v/>
      </c>
      <c r="CC31" s="118">
        <v>6</v>
      </c>
      <c r="CD31" s="299">
        <f t="shared" si="52"/>
        <v>0</v>
      </c>
      <c r="CE31" s="118">
        <v>4</v>
      </c>
      <c r="CF31" s="118">
        <v>16.55</v>
      </c>
      <c r="CG31" s="300" t="str">
        <f t="shared" si="53"/>
        <v>ULL?</v>
      </c>
      <c r="CH31" s="118">
        <v>17.202999999999999</v>
      </c>
      <c r="CI31" s="118">
        <v>79.156000000000006</v>
      </c>
      <c r="CJ31" s="300" t="str">
        <f t="shared" si="54"/>
        <v>ULL?</v>
      </c>
      <c r="CK31" s="118">
        <v>80.760999999999996</v>
      </c>
      <c r="CL31" s="300">
        <f t="shared" si="31"/>
        <v>79.156000000000006</v>
      </c>
      <c r="CM31" s="301" t="str">
        <f t="shared" si="32"/>
        <v>ULL?</v>
      </c>
      <c r="CN31" s="300">
        <f t="shared" si="33"/>
        <v>80.760999999999996</v>
      </c>
      <c r="CP31" s="118">
        <v>6</v>
      </c>
      <c r="CQ31" s="299">
        <f t="shared" si="55"/>
        <v>0</v>
      </c>
      <c r="CR31" s="118">
        <v>0.62</v>
      </c>
      <c r="CS31" s="118">
        <v>16.55</v>
      </c>
      <c r="CT31" s="300" t="str">
        <f t="shared" si="56"/>
        <v>ULL?</v>
      </c>
      <c r="CU31" s="118">
        <v>17.202999999999999</v>
      </c>
      <c r="CV31" s="118">
        <v>16.937999999999999</v>
      </c>
      <c r="CW31" s="300" t="str">
        <f t="shared" si="57"/>
        <v>ULL?</v>
      </c>
      <c r="CX31" s="118">
        <v>17.597000000000001</v>
      </c>
      <c r="CY31" s="300">
        <f t="shared" si="34"/>
        <v>16.71</v>
      </c>
      <c r="CZ31" s="301" t="str">
        <f t="shared" si="35"/>
        <v>ULL?</v>
      </c>
      <c r="DA31" s="300">
        <f t="shared" si="36"/>
        <v>17.364999999999998</v>
      </c>
      <c r="DC31" s="204" t="str">
        <f t="shared" si="58"/>
        <v/>
      </c>
      <c r="DD31" s="297">
        <f t="shared" si="59"/>
        <v>0</v>
      </c>
      <c r="DE31" s="297" t="str">
        <f t="shared" si="60"/>
        <v/>
      </c>
      <c r="DF31" s="1170">
        <v>0.98599999999999999</v>
      </c>
      <c r="DG31" s="297">
        <f t="shared" si="61"/>
        <v>0</v>
      </c>
      <c r="DH31" s="297">
        <f t="shared" si="62"/>
        <v>0</v>
      </c>
      <c r="DI31" s="204" t="str">
        <f t="shared" si="39"/>
        <v/>
      </c>
      <c r="DJ31" s="297">
        <f t="shared" si="63"/>
        <v>0</v>
      </c>
      <c r="DL31" s="1141" t="str">
        <f>IF($DE31="","",INDEX('Cover Page'!$AI$106:$AJ$111,MATCH($C31,'Cover Page'!$AC$106:$AC$111,0),D1SEL_2))</f>
        <v/>
      </c>
    </row>
    <row r="32" spans="1:116" ht="15.75">
      <c r="A32" s="1286" t="s">
        <v>284</v>
      </c>
      <c r="B32" s="867" t="s">
        <v>1548</v>
      </c>
      <c r="C32" s="861" t="s">
        <v>17</v>
      </c>
      <c r="D32" s="216" t="s">
        <v>284</v>
      </c>
      <c r="E32" s="1006">
        <v>4.05</v>
      </c>
      <c r="F32" s="1006">
        <v>4.05</v>
      </c>
      <c r="G32" s="864" t="s">
        <v>25</v>
      </c>
      <c r="H32" s="999">
        <v>2.62</v>
      </c>
      <c r="I32" s="999">
        <v>2.69</v>
      </c>
      <c r="J32" s="1339">
        <v>39.856999999999999</v>
      </c>
      <c r="K32" s="865">
        <v>24</v>
      </c>
      <c r="L32" s="1408">
        <v>0.83520000000000005</v>
      </c>
      <c r="M32" s="842">
        <v>0</v>
      </c>
      <c r="N32" s="217">
        <v>0</v>
      </c>
      <c r="O32" s="864" t="s">
        <v>16</v>
      </c>
      <c r="P32" s="1003">
        <v>3.8849999999999998</v>
      </c>
      <c r="Q32" s="1003">
        <v>3.9550000000000001</v>
      </c>
      <c r="R32" s="1339">
        <v>15.275</v>
      </c>
      <c r="S32" s="841">
        <v>24</v>
      </c>
      <c r="T32" s="1408">
        <v>0.83520000000000005</v>
      </c>
      <c r="U32" s="842">
        <v>0</v>
      </c>
      <c r="V32" s="217">
        <v>0</v>
      </c>
      <c r="X32" s="196">
        <f t="shared" si="3"/>
        <v>1.2344399604979213</v>
      </c>
      <c r="Y32" s="196">
        <f t="shared" si="4"/>
        <v>4.05</v>
      </c>
      <c r="Z32" s="154" t="b">
        <f>IF(OR(SURVEYMODE=3,C32=""),FALSE,IF(AND(SUMPRODUCT((INDEX('Cover Page'!$I$89:$N$89,1,MATCH(C32,'Cover Page'!$I$88:$N$88,0))=$D$18)*(INDEX('Cover Page'!$I$104:$N$104,1,MATCH(C32,'Cover Page'!$I$88:$N$88,0))&gt;0))=0,D32="Y"),TRUE,FALSE))</f>
        <v>0</v>
      </c>
      <c r="AA32" s="196">
        <f t="shared" si="5"/>
        <v>1.2344399604979213</v>
      </c>
      <c r="AB32" s="196">
        <f t="shared" si="6"/>
        <v>4.05</v>
      </c>
      <c r="AD32" s="196">
        <f t="shared" si="7"/>
        <v>0.79857597444556883</v>
      </c>
      <c r="AE32" s="196">
        <f t="shared" si="8"/>
        <v>2.62</v>
      </c>
      <c r="AG32" s="196">
        <f t="shared" si="9"/>
        <v>0.81991197376281688</v>
      </c>
      <c r="AH32" s="196">
        <f t="shared" si="10"/>
        <v>2.69</v>
      </c>
      <c r="AJ32" s="196">
        <f t="shared" si="11"/>
        <v>1.1841479621072653</v>
      </c>
      <c r="AK32" s="196">
        <f t="shared" si="12"/>
        <v>3.8849999999999998</v>
      </c>
      <c r="AM32" s="196">
        <f t="shared" si="13"/>
        <v>1.2054839614245132</v>
      </c>
      <c r="AN32" s="196">
        <f t="shared" si="14"/>
        <v>3.9550000000000001</v>
      </c>
      <c r="AP32" s="196">
        <f t="shared" si="15"/>
        <v>6.3367573901278416</v>
      </c>
      <c r="AQ32" s="196">
        <f t="shared" si="16"/>
        <v>39.856999999999999</v>
      </c>
      <c r="AS32" s="196">
        <f t="shared" si="17"/>
        <v>0</v>
      </c>
      <c r="AT32" s="196">
        <f t="shared" si="18"/>
        <v>0</v>
      </c>
      <c r="AV32" s="196">
        <f t="shared" si="19"/>
        <v>2.4285312274933584</v>
      </c>
      <c r="AW32" s="196">
        <f t="shared" si="20"/>
        <v>15.275</v>
      </c>
      <c r="AY32" s="196">
        <f t="shared" si="21"/>
        <v>0</v>
      </c>
      <c r="AZ32" s="196">
        <f t="shared" si="22"/>
        <v>0</v>
      </c>
      <c r="BB32" s="196">
        <f t="shared" si="23"/>
        <v>-4.4444444444444446</v>
      </c>
      <c r="BC32" s="196">
        <f t="shared" si="24"/>
        <v>24</v>
      </c>
      <c r="BE32" s="196">
        <f t="shared" si="25"/>
        <v>-4.4444444444444446</v>
      </c>
      <c r="BF32" s="196">
        <f t="shared" si="26"/>
        <v>24</v>
      </c>
      <c r="BH32" s="196">
        <f t="shared" si="27"/>
        <v>0</v>
      </c>
      <c r="BI32" s="196">
        <f t="shared" si="28"/>
        <v>0</v>
      </c>
      <c r="BK32" s="196">
        <f t="shared" si="29"/>
        <v>0</v>
      </c>
      <c r="BL32" s="196">
        <f t="shared" si="30"/>
        <v>0</v>
      </c>
      <c r="BN32" s="204">
        <f t="shared" si="40"/>
        <v>1.0692544390000001</v>
      </c>
      <c r="BO32" s="204">
        <f t="shared" si="41"/>
        <v>1.0685544390000001</v>
      </c>
      <c r="BP32" s="204">
        <f t="shared" si="42"/>
        <v>0.83560000000000001</v>
      </c>
      <c r="BQ32" s="204">
        <f t="shared" si="43"/>
        <v>0.83520000000000005</v>
      </c>
      <c r="BR32" s="204">
        <f t="shared" si="44"/>
        <v>0.83520000000000005</v>
      </c>
      <c r="BS32" s="204">
        <f t="shared" si="45"/>
        <v>37.839396800000003</v>
      </c>
      <c r="BU32" s="204">
        <f t="shared" si="46"/>
        <v>1.0692544390000001</v>
      </c>
      <c r="BV32" s="204">
        <f t="shared" si="47"/>
        <v>1.0685544390000001</v>
      </c>
      <c r="BW32" s="204">
        <f t="shared" si="48"/>
        <v>0.83560000000000001</v>
      </c>
      <c r="BX32" s="204">
        <f t="shared" si="49"/>
        <v>0.83520000000000005</v>
      </c>
      <c r="BY32" s="204">
        <f t="shared" si="50"/>
        <v>0.83520000000000005</v>
      </c>
      <c r="BZ32" s="204">
        <f t="shared" si="51"/>
        <v>37.839396800000003</v>
      </c>
      <c r="CC32" s="118">
        <v>6</v>
      </c>
      <c r="CD32" s="299">
        <f t="shared" si="52"/>
        <v>2.62</v>
      </c>
      <c r="CE32" s="118">
        <v>6.5</v>
      </c>
      <c r="CF32" s="118">
        <v>16.55</v>
      </c>
      <c r="CG32" s="300" t="str">
        <f t="shared" si="53"/>
        <v>ULL?</v>
      </c>
      <c r="CH32" s="118">
        <v>17.202999999999999</v>
      </c>
      <c r="CI32" s="118">
        <v>16.55</v>
      </c>
      <c r="CJ32" s="300" t="str">
        <f t="shared" si="54"/>
        <v>ULL?</v>
      </c>
      <c r="CK32" s="118">
        <v>17.202999999999999</v>
      </c>
      <c r="CL32" s="300">
        <f t="shared" si="31"/>
        <v>16.55</v>
      </c>
      <c r="CM32" s="301" t="str">
        <f t="shared" si="32"/>
        <v>ULL?</v>
      </c>
      <c r="CN32" s="300">
        <f t="shared" si="33"/>
        <v>17.202999999999999</v>
      </c>
      <c r="CP32" s="118">
        <v>6</v>
      </c>
      <c r="CQ32" s="299">
        <f t="shared" si="55"/>
        <v>3.8849999999999998</v>
      </c>
      <c r="CR32" s="118">
        <v>0.62</v>
      </c>
      <c r="CS32" s="118">
        <v>16.55</v>
      </c>
      <c r="CT32" s="300">
        <f t="shared" si="56"/>
        <v>16.806999999999999</v>
      </c>
      <c r="CU32" s="118">
        <v>17.202999999999999</v>
      </c>
      <c r="CV32" s="118">
        <v>16.937999999999999</v>
      </c>
      <c r="CW32" s="300">
        <f t="shared" si="57"/>
        <v>17.196999999999999</v>
      </c>
      <c r="CX32" s="118">
        <v>17.597000000000001</v>
      </c>
      <c r="CY32" s="300">
        <f t="shared" si="34"/>
        <v>16.71</v>
      </c>
      <c r="CZ32" s="301">
        <f t="shared" si="35"/>
        <v>16.966999999999999</v>
      </c>
      <c r="DA32" s="300">
        <f t="shared" si="36"/>
        <v>17.364999999999998</v>
      </c>
      <c r="DC32" s="204">
        <f t="shared" si="58"/>
        <v>0.83520000000000005</v>
      </c>
      <c r="DD32" s="297">
        <f t="shared" si="59"/>
        <v>39.856999999999999</v>
      </c>
      <c r="DE32" s="297">
        <f t="shared" si="60"/>
        <v>33.288566400000001</v>
      </c>
      <c r="DF32" s="1170"/>
      <c r="DG32" s="297">
        <f t="shared" si="61"/>
        <v>24.582000000000001</v>
      </c>
      <c r="DH32" s="297">
        <f t="shared" si="62"/>
        <v>0</v>
      </c>
      <c r="DI32" s="204">
        <f t="shared" si="39"/>
        <v>2.1792842160000001</v>
      </c>
      <c r="DJ32" s="297">
        <f t="shared" si="63"/>
        <v>15.275</v>
      </c>
      <c r="DL32" s="1141">
        <f>IF($DE32="","",INDEX('Cover Page'!$AI$106:$AJ$111,MATCH($C32,'Cover Page'!$AC$106:$AC$111,0),D1SEL_2))</f>
        <v>0.83520000000000005</v>
      </c>
    </row>
    <row r="33" spans="1:116" ht="15.75">
      <c r="A33" s="1286" t="s">
        <v>284</v>
      </c>
      <c r="B33" s="868" t="s">
        <v>1549</v>
      </c>
      <c r="C33" s="861" t="s">
        <v>17</v>
      </c>
      <c r="D33" s="216" t="s">
        <v>284</v>
      </c>
      <c r="E33" s="1006">
        <v>4.05</v>
      </c>
      <c r="F33" s="1006">
        <v>4.05</v>
      </c>
      <c r="G33" s="864" t="s">
        <v>25</v>
      </c>
      <c r="H33" s="999">
        <v>2.68</v>
      </c>
      <c r="I33" s="999">
        <v>2.75</v>
      </c>
      <c r="J33" s="1339">
        <v>39.271000000000001</v>
      </c>
      <c r="K33" s="865">
        <v>24</v>
      </c>
      <c r="L33" s="1408">
        <v>0.83520000000000005</v>
      </c>
      <c r="M33" s="842">
        <v>0</v>
      </c>
      <c r="N33" s="217">
        <v>0</v>
      </c>
      <c r="O33" s="864" t="s">
        <v>16</v>
      </c>
      <c r="P33" s="1003">
        <v>3.8849999999999998</v>
      </c>
      <c r="Q33" s="1003">
        <v>3.9550000000000001</v>
      </c>
      <c r="R33" s="1339">
        <v>15.275</v>
      </c>
      <c r="S33" s="841">
        <v>24</v>
      </c>
      <c r="T33" s="1408">
        <v>0.83520000000000005</v>
      </c>
      <c r="U33" s="842">
        <v>0</v>
      </c>
      <c r="V33" s="217">
        <v>0</v>
      </c>
      <c r="X33" s="196">
        <f t="shared" si="3"/>
        <v>1.2344399604979213</v>
      </c>
      <c r="Y33" s="196">
        <f t="shared" si="4"/>
        <v>4.05</v>
      </c>
      <c r="Z33" s="154" t="b">
        <f>IF(OR(SURVEYMODE=3,C33=""),FALSE,IF(AND(SUMPRODUCT((INDEX('Cover Page'!$I$89:$N$89,1,MATCH(C33,'Cover Page'!$I$88:$N$88,0))=$D$18)*(INDEX('Cover Page'!$I$104:$N$104,1,MATCH(C33,'Cover Page'!$I$88:$N$88,0))&gt;0))=0,D33="Y"),TRUE,FALSE))</f>
        <v>0</v>
      </c>
      <c r="AA33" s="196">
        <f t="shared" si="5"/>
        <v>1.2344399604979213</v>
      </c>
      <c r="AB33" s="196">
        <f t="shared" si="6"/>
        <v>4.05</v>
      </c>
      <c r="AD33" s="196">
        <f t="shared" si="7"/>
        <v>0.81686397386035292</v>
      </c>
      <c r="AE33" s="196">
        <f t="shared" si="8"/>
        <v>2.68</v>
      </c>
      <c r="AG33" s="196">
        <f t="shared" si="9"/>
        <v>0.83819997317760087</v>
      </c>
      <c r="AH33" s="196">
        <f t="shared" si="10"/>
        <v>2.75</v>
      </c>
      <c r="AJ33" s="196">
        <f t="shared" si="11"/>
        <v>1.1841479621072653</v>
      </c>
      <c r="AK33" s="196">
        <f t="shared" si="12"/>
        <v>3.8849999999999998</v>
      </c>
      <c r="AM33" s="196">
        <f t="shared" si="13"/>
        <v>1.2054839614245132</v>
      </c>
      <c r="AN33" s="196">
        <f t="shared" si="14"/>
        <v>3.9550000000000001</v>
      </c>
      <c r="AP33" s="196">
        <f t="shared" si="15"/>
        <v>6.2435908238881623</v>
      </c>
      <c r="AQ33" s="196">
        <f t="shared" si="16"/>
        <v>39.271000000000001</v>
      </c>
      <c r="AS33" s="196">
        <f t="shared" si="17"/>
        <v>0</v>
      </c>
      <c r="AT33" s="196">
        <f t="shared" si="18"/>
        <v>0</v>
      </c>
      <c r="AV33" s="196">
        <f t="shared" si="19"/>
        <v>2.4285312274933584</v>
      </c>
      <c r="AW33" s="196">
        <f t="shared" si="20"/>
        <v>15.275</v>
      </c>
      <c r="AY33" s="196">
        <f t="shared" si="21"/>
        <v>0</v>
      </c>
      <c r="AZ33" s="196">
        <f t="shared" si="22"/>
        <v>0</v>
      </c>
      <c r="BB33" s="196">
        <f t="shared" si="23"/>
        <v>-4.4444444444444446</v>
      </c>
      <c r="BC33" s="196">
        <f t="shared" si="24"/>
        <v>24</v>
      </c>
      <c r="BE33" s="196">
        <f t="shared" si="25"/>
        <v>-4.4444444444444446</v>
      </c>
      <c r="BF33" s="196">
        <f t="shared" si="26"/>
        <v>24</v>
      </c>
      <c r="BH33" s="196">
        <f t="shared" si="27"/>
        <v>0</v>
      </c>
      <c r="BI33" s="196">
        <f t="shared" si="28"/>
        <v>0</v>
      </c>
      <c r="BK33" s="196">
        <f t="shared" si="29"/>
        <v>0</v>
      </c>
      <c r="BL33" s="196">
        <f t="shared" si="30"/>
        <v>0</v>
      </c>
      <c r="BN33" s="204">
        <f t="shared" si="40"/>
        <v>1.0692544390000001</v>
      </c>
      <c r="BO33" s="204">
        <f t="shared" si="41"/>
        <v>1.0685544390000001</v>
      </c>
      <c r="BP33" s="204">
        <f t="shared" si="42"/>
        <v>0.83560000000000001</v>
      </c>
      <c r="BQ33" s="204">
        <f t="shared" si="43"/>
        <v>0.83520000000000005</v>
      </c>
      <c r="BR33" s="204">
        <f t="shared" si="44"/>
        <v>0.83520000000000005</v>
      </c>
      <c r="BS33" s="204">
        <f t="shared" si="45"/>
        <v>37.839396800000003</v>
      </c>
      <c r="BU33" s="204">
        <f t="shared" si="46"/>
        <v>1.0692544390000001</v>
      </c>
      <c r="BV33" s="204">
        <f t="shared" si="47"/>
        <v>1.0685544390000001</v>
      </c>
      <c r="BW33" s="204">
        <f t="shared" si="48"/>
        <v>0.83560000000000001</v>
      </c>
      <c r="BX33" s="204">
        <f t="shared" si="49"/>
        <v>0.83520000000000005</v>
      </c>
      <c r="BY33" s="204">
        <f t="shared" si="50"/>
        <v>0.83520000000000005</v>
      </c>
      <c r="BZ33" s="204">
        <f t="shared" si="51"/>
        <v>37.839396800000003</v>
      </c>
      <c r="CC33" s="118">
        <v>0</v>
      </c>
      <c r="CD33" s="299">
        <f t="shared" si="52"/>
        <v>2.68</v>
      </c>
      <c r="CE33" s="118">
        <v>0.62</v>
      </c>
      <c r="CF33" s="118">
        <v>16.55</v>
      </c>
      <c r="CG33" s="300" t="str">
        <f t="shared" si="53"/>
        <v>ULL?</v>
      </c>
      <c r="CH33" s="118">
        <v>17.202999999999999</v>
      </c>
      <c r="CI33" s="118">
        <v>15.645</v>
      </c>
      <c r="CJ33" s="300" t="str">
        <f t="shared" si="54"/>
        <v>ULL?</v>
      </c>
      <c r="CK33" s="118">
        <v>16.283999999999999</v>
      </c>
      <c r="CL33" s="300">
        <f t="shared" si="31"/>
        <v>15.645</v>
      </c>
      <c r="CM33" s="301" t="str">
        <f t="shared" si="32"/>
        <v>ULL?</v>
      </c>
      <c r="CN33" s="300">
        <f t="shared" si="33"/>
        <v>16.283999999999999</v>
      </c>
      <c r="CP33" s="118">
        <v>6</v>
      </c>
      <c r="CQ33" s="299">
        <f t="shared" si="55"/>
        <v>3.8849999999999998</v>
      </c>
      <c r="CR33" s="118">
        <v>0.62</v>
      </c>
      <c r="CS33" s="118">
        <v>16.55</v>
      </c>
      <c r="CT33" s="300">
        <f t="shared" si="56"/>
        <v>16.806999999999999</v>
      </c>
      <c r="CU33" s="118">
        <v>17.202999999999999</v>
      </c>
      <c r="CV33" s="118">
        <v>16.937999999999999</v>
      </c>
      <c r="CW33" s="300">
        <f t="shared" si="57"/>
        <v>17.196999999999999</v>
      </c>
      <c r="CX33" s="118">
        <v>17.597000000000001</v>
      </c>
      <c r="CY33" s="300">
        <f t="shared" si="34"/>
        <v>16.71</v>
      </c>
      <c r="CZ33" s="301">
        <f t="shared" si="35"/>
        <v>16.966999999999999</v>
      </c>
      <c r="DA33" s="300">
        <f t="shared" si="36"/>
        <v>17.364999999999998</v>
      </c>
      <c r="DC33" s="204">
        <f t="shared" si="58"/>
        <v>0.83520000000000005</v>
      </c>
      <c r="DD33" s="297">
        <f t="shared" si="59"/>
        <v>39.271000000000001</v>
      </c>
      <c r="DE33" s="297">
        <f t="shared" si="60"/>
        <v>32.799139200000006</v>
      </c>
      <c r="DF33" s="1170"/>
      <c r="DG33" s="297">
        <f t="shared" si="61"/>
        <v>23.996000000000002</v>
      </c>
      <c r="DH33" s="297">
        <f t="shared" si="62"/>
        <v>0</v>
      </c>
      <c r="DI33" s="204">
        <f t="shared" si="39"/>
        <v>2.147243155</v>
      </c>
      <c r="DJ33" s="297">
        <f t="shared" si="63"/>
        <v>15.275</v>
      </c>
      <c r="DL33" s="1141">
        <f>IF($DE33="","",INDEX('Cover Page'!$AI$106:$AJ$111,MATCH($C33,'Cover Page'!$AC$106:$AC$111,0),D1SEL_2))</f>
        <v>0.83520000000000005</v>
      </c>
    </row>
    <row r="34" spans="1:116" ht="15.75">
      <c r="A34" s="1286" t="s">
        <v>284</v>
      </c>
      <c r="B34" s="867"/>
      <c r="C34" s="861"/>
      <c r="D34" s="216"/>
      <c r="E34" s="999"/>
      <c r="F34" s="999"/>
      <c r="G34" s="864"/>
      <c r="H34" s="1003"/>
      <c r="I34" s="1003"/>
      <c r="J34" s="1003"/>
      <c r="K34" s="865"/>
      <c r="L34" s="1408"/>
      <c r="M34" s="842"/>
      <c r="N34" s="217"/>
      <c r="O34" s="218"/>
      <c r="P34" s="1003"/>
      <c r="Q34" s="1003"/>
      <c r="R34" s="1339"/>
      <c r="S34" s="844"/>
      <c r="T34" s="1408"/>
      <c r="U34" s="842"/>
      <c r="V34" s="217"/>
      <c r="X34" s="196" t="str">
        <f t="shared" si="3"/>
        <v/>
      </c>
      <c r="Y34" s="196" t="str">
        <f t="shared" si="4"/>
        <v/>
      </c>
      <c r="Z34" s="154" t="b">
        <f>IF(OR(SURVEYMODE=3,C34=""),FALSE,IF(AND(SUMPRODUCT((INDEX('Cover Page'!$I$89:$N$89,1,MATCH(C34,'Cover Page'!$I$88:$N$88,0))=$D$18)*(INDEX('Cover Page'!$I$104:$N$104,1,MATCH(C34,'Cover Page'!$I$88:$N$88,0))&gt;0))=0,D34="Y"),TRUE,FALSE))</f>
        <v>0</v>
      </c>
      <c r="AA34" s="196" t="str">
        <f t="shared" si="5"/>
        <v/>
      </c>
      <c r="AB34" s="196" t="str">
        <f t="shared" si="6"/>
        <v/>
      </c>
      <c r="AD34" s="196" t="str">
        <f t="shared" si="7"/>
        <v/>
      </c>
      <c r="AE34" s="196" t="str">
        <f t="shared" si="8"/>
        <v/>
      </c>
      <c r="AG34" s="196" t="str">
        <f t="shared" si="9"/>
        <v/>
      </c>
      <c r="AH34" s="196" t="str">
        <f t="shared" si="10"/>
        <v/>
      </c>
      <c r="AJ34" s="196" t="str">
        <f t="shared" si="11"/>
        <v/>
      </c>
      <c r="AK34" s="196" t="str">
        <f t="shared" si="12"/>
        <v/>
      </c>
      <c r="AM34" s="196" t="str">
        <f t="shared" si="13"/>
        <v/>
      </c>
      <c r="AN34" s="196" t="str">
        <f t="shared" si="14"/>
        <v/>
      </c>
      <c r="AP34" s="196" t="str">
        <f t="shared" si="15"/>
        <v/>
      </c>
      <c r="AQ34" s="196" t="str">
        <f t="shared" si="16"/>
        <v/>
      </c>
      <c r="AS34" s="196" t="str">
        <f t="shared" si="17"/>
        <v/>
      </c>
      <c r="AT34" s="196" t="str">
        <f t="shared" si="18"/>
        <v/>
      </c>
      <c r="AV34" s="196" t="str">
        <f t="shared" si="19"/>
        <v/>
      </c>
      <c r="AW34" s="196" t="str">
        <f t="shared" si="20"/>
        <v/>
      </c>
      <c r="AY34" s="196" t="str">
        <f t="shared" si="21"/>
        <v/>
      </c>
      <c r="AZ34" s="196" t="str">
        <f t="shared" si="22"/>
        <v/>
      </c>
      <c r="BB34" s="196" t="str">
        <f t="shared" si="23"/>
        <v/>
      </c>
      <c r="BC34" s="196" t="str">
        <f t="shared" si="24"/>
        <v/>
      </c>
      <c r="BE34" s="196" t="str">
        <f t="shared" si="25"/>
        <v/>
      </c>
      <c r="BF34" s="196" t="str">
        <f t="shared" si="26"/>
        <v/>
      </c>
      <c r="BH34" s="196" t="str">
        <f t="shared" si="27"/>
        <v/>
      </c>
      <c r="BI34" s="196" t="str">
        <f t="shared" si="28"/>
        <v/>
      </c>
      <c r="BK34" s="196" t="str">
        <f t="shared" si="29"/>
        <v/>
      </c>
      <c r="BL34" s="196" t="str">
        <f t="shared" si="30"/>
        <v/>
      </c>
      <c r="BN34" s="204" t="str">
        <f t="shared" si="40"/>
        <v/>
      </c>
      <c r="BO34" s="204" t="str">
        <f t="shared" si="41"/>
        <v/>
      </c>
      <c r="BP34" s="204" t="str">
        <f t="shared" si="42"/>
        <v/>
      </c>
      <c r="BQ34" s="204" t="str">
        <f t="shared" si="43"/>
        <v/>
      </c>
      <c r="BR34" s="204" t="str">
        <f t="shared" si="44"/>
        <v/>
      </c>
      <c r="BS34" s="204" t="str">
        <f t="shared" si="45"/>
        <v/>
      </c>
      <c r="BU34" s="204" t="str">
        <f t="shared" si="46"/>
        <v/>
      </c>
      <c r="BV34" s="204" t="str">
        <f t="shared" si="47"/>
        <v/>
      </c>
      <c r="BW34" s="204" t="str">
        <f t="shared" si="48"/>
        <v/>
      </c>
      <c r="BX34" s="204" t="str">
        <f t="shared" si="49"/>
        <v/>
      </c>
      <c r="BY34" s="204" t="str">
        <f t="shared" si="50"/>
        <v/>
      </c>
      <c r="BZ34" s="204" t="str">
        <f t="shared" si="51"/>
        <v/>
      </c>
      <c r="CC34" s="118">
        <v>6</v>
      </c>
      <c r="CD34" s="299">
        <f t="shared" si="52"/>
        <v>0</v>
      </c>
      <c r="CE34" s="118">
        <v>0.62</v>
      </c>
      <c r="CF34" s="118">
        <v>16.55</v>
      </c>
      <c r="CG34" s="300" t="str">
        <f t="shared" si="53"/>
        <v>ULL?</v>
      </c>
      <c r="CH34" s="118">
        <v>17.202999999999999</v>
      </c>
      <c r="CI34" s="118">
        <v>16.937999999999999</v>
      </c>
      <c r="CJ34" s="300" t="str">
        <f t="shared" si="54"/>
        <v>ULL?</v>
      </c>
      <c r="CK34" s="118">
        <v>17.597000000000001</v>
      </c>
      <c r="CL34" s="300">
        <f t="shared" si="31"/>
        <v>16.937999999999999</v>
      </c>
      <c r="CM34" s="301" t="str">
        <f t="shared" si="32"/>
        <v>ULL?</v>
      </c>
      <c r="CN34" s="300">
        <f t="shared" si="33"/>
        <v>17.597000000000001</v>
      </c>
      <c r="CP34" s="118">
        <v>6</v>
      </c>
      <c r="CQ34" s="299">
        <f t="shared" si="55"/>
        <v>0</v>
      </c>
      <c r="CR34" s="118">
        <v>0.62</v>
      </c>
      <c r="CS34" s="118">
        <v>16.55</v>
      </c>
      <c r="CT34" s="300" t="str">
        <f t="shared" si="56"/>
        <v>ULL?</v>
      </c>
      <c r="CU34" s="118">
        <v>17.202999999999999</v>
      </c>
      <c r="CV34" s="118">
        <v>16.937999999999999</v>
      </c>
      <c r="CW34" s="300" t="str">
        <f t="shared" si="57"/>
        <v>ULL?</v>
      </c>
      <c r="CX34" s="118">
        <v>17.597000000000001</v>
      </c>
      <c r="CY34" s="300">
        <f t="shared" si="34"/>
        <v>16.71</v>
      </c>
      <c r="CZ34" s="301" t="str">
        <f t="shared" si="35"/>
        <v>ULL?</v>
      </c>
      <c r="DA34" s="300">
        <f t="shared" si="36"/>
        <v>17.364999999999998</v>
      </c>
      <c r="DC34" s="204" t="str">
        <f t="shared" si="58"/>
        <v/>
      </c>
      <c r="DD34" s="297">
        <f t="shared" si="59"/>
        <v>0</v>
      </c>
      <c r="DE34" s="297" t="str">
        <f t="shared" si="60"/>
        <v/>
      </c>
      <c r="DF34" s="1170"/>
      <c r="DG34" s="297">
        <f t="shared" si="61"/>
        <v>0</v>
      </c>
      <c r="DH34" s="297">
        <f t="shared" si="62"/>
        <v>0</v>
      </c>
      <c r="DI34" s="204" t="str">
        <f t="shared" si="39"/>
        <v/>
      </c>
      <c r="DJ34" s="297">
        <f t="shared" si="63"/>
        <v>0</v>
      </c>
      <c r="DL34" s="1141" t="str">
        <f>IF($DE34="","",INDEX('Cover Page'!$AI$106:$AJ$111,MATCH($C34,'Cover Page'!$AC$106:$AC$111,0),D1SEL_2))</f>
        <v/>
      </c>
    </row>
    <row r="35" spans="1:116" ht="15.75">
      <c r="A35" s="1286" t="s">
        <v>284</v>
      </c>
      <c r="B35" s="868"/>
      <c r="C35" s="861"/>
      <c r="D35" s="221"/>
      <c r="E35" s="999"/>
      <c r="F35" s="999"/>
      <c r="G35" s="223"/>
      <c r="H35" s="1004"/>
      <c r="I35" s="1004"/>
      <c r="J35" s="1004"/>
      <c r="K35" s="865"/>
      <c r="L35" s="1408"/>
      <c r="M35" s="845"/>
      <c r="N35" s="222"/>
      <c r="O35" s="223"/>
      <c r="P35" s="1004"/>
      <c r="Q35" s="1004"/>
      <c r="R35" s="1340"/>
      <c r="S35" s="844"/>
      <c r="T35" s="1408"/>
      <c r="U35" s="845"/>
      <c r="V35" s="224"/>
      <c r="X35" s="196" t="str">
        <f t="shared" si="3"/>
        <v/>
      </c>
      <c r="Y35" s="196" t="str">
        <f t="shared" si="4"/>
        <v/>
      </c>
      <c r="Z35" s="154" t="b">
        <f>IF(OR(SURVEYMODE=3,C35=""),FALSE,IF(AND(SUMPRODUCT((INDEX('Cover Page'!$I$89:$N$89,1,MATCH(C35,'Cover Page'!$I$88:$N$88,0))=$D$18)*(INDEX('Cover Page'!$I$104:$N$104,1,MATCH(C35,'Cover Page'!$I$88:$N$88,0))&gt;0))=0,D35="Y"),TRUE,FALSE))</f>
        <v>0</v>
      </c>
      <c r="AA35" s="196" t="str">
        <f t="shared" si="5"/>
        <v/>
      </c>
      <c r="AB35" s="196" t="str">
        <f t="shared" si="6"/>
        <v/>
      </c>
      <c r="AD35" s="196" t="str">
        <f t="shared" si="7"/>
        <v/>
      </c>
      <c r="AE35" s="196" t="str">
        <f t="shared" si="8"/>
        <v/>
      </c>
      <c r="AG35" s="196" t="str">
        <f t="shared" si="9"/>
        <v/>
      </c>
      <c r="AH35" s="196" t="str">
        <f t="shared" si="10"/>
        <v/>
      </c>
      <c r="AJ35" s="196" t="str">
        <f t="shared" si="11"/>
        <v/>
      </c>
      <c r="AK35" s="196" t="str">
        <f t="shared" si="12"/>
        <v/>
      </c>
      <c r="AM35" s="196" t="str">
        <f t="shared" si="13"/>
        <v/>
      </c>
      <c r="AN35" s="196" t="str">
        <f t="shared" si="14"/>
        <v/>
      </c>
      <c r="AP35" s="196" t="str">
        <f t="shared" si="15"/>
        <v/>
      </c>
      <c r="AQ35" s="196" t="str">
        <f t="shared" si="16"/>
        <v/>
      </c>
      <c r="AS35" s="196" t="str">
        <f t="shared" si="17"/>
        <v/>
      </c>
      <c r="AT35" s="196" t="str">
        <f t="shared" si="18"/>
        <v/>
      </c>
      <c r="AV35" s="196" t="str">
        <f t="shared" si="19"/>
        <v/>
      </c>
      <c r="AW35" s="196" t="str">
        <f t="shared" si="20"/>
        <v/>
      </c>
      <c r="AY35" s="196" t="str">
        <f t="shared" si="21"/>
        <v/>
      </c>
      <c r="AZ35" s="196" t="str">
        <f t="shared" si="22"/>
        <v/>
      </c>
      <c r="BB35" s="196" t="str">
        <f t="shared" si="23"/>
        <v/>
      </c>
      <c r="BC35" s="196" t="str">
        <f t="shared" si="24"/>
        <v/>
      </c>
      <c r="BE35" s="196" t="str">
        <f t="shared" si="25"/>
        <v/>
      </c>
      <c r="BF35" s="196" t="str">
        <f t="shared" si="26"/>
        <v/>
      </c>
      <c r="BH35" s="196" t="str">
        <f t="shared" si="27"/>
        <v/>
      </c>
      <c r="BI35" s="196" t="str">
        <f t="shared" si="28"/>
        <v/>
      </c>
      <c r="BK35" s="196" t="str">
        <f t="shared" si="29"/>
        <v/>
      </c>
      <c r="BL35" s="196" t="str">
        <f t="shared" si="30"/>
        <v/>
      </c>
      <c r="BN35" s="204" t="str">
        <f t="shared" si="40"/>
        <v/>
      </c>
      <c r="BO35" s="204" t="str">
        <f t="shared" si="41"/>
        <v/>
      </c>
      <c r="BP35" s="204" t="str">
        <f t="shared" si="42"/>
        <v/>
      </c>
      <c r="BQ35" s="204" t="str">
        <f t="shared" si="43"/>
        <v/>
      </c>
      <c r="BR35" s="204" t="str">
        <f t="shared" si="44"/>
        <v/>
      </c>
      <c r="BS35" s="204" t="str">
        <f t="shared" si="45"/>
        <v/>
      </c>
      <c r="BU35" s="204" t="str">
        <f t="shared" si="46"/>
        <v/>
      </c>
      <c r="BV35" s="204" t="str">
        <f t="shared" si="47"/>
        <v/>
      </c>
      <c r="BW35" s="204" t="str">
        <f t="shared" si="48"/>
        <v/>
      </c>
      <c r="BX35" s="204" t="str">
        <f t="shared" si="49"/>
        <v/>
      </c>
      <c r="BY35" s="204" t="str">
        <f t="shared" si="50"/>
        <v/>
      </c>
      <c r="BZ35" s="204" t="str">
        <f t="shared" si="51"/>
        <v/>
      </c>
      <c r="CC35" s="118">
        <v>6</v>
      </c>
      <c r="CD35" s="299">
        <f t="shared" si="52"/>
        <v>0</v>
      </c>
      <c r="CE35" s="118">
        <v>0.62</v>
      </c>
      <c r="CF35" s="118">
        <v>16.55</v>
      </c>
      <c r="CG35" s="300" t="str">
        <f t="shared" si="53"/>
        <v>ULL?</v>
      </c>
      <c r="CH35" s="118">
        <v>17.202999999999999</v>
      </c>
      <c r="CI35" s="118">
        <v>16.937999999999999</v>
      </c>
      <c r="CJ35" s="300" t="str">
        <f t="shared" si="54"/>
        <v>ULL?</v>
      </c>
      <c r="CK35" s="118">
        <v>17.597000000000001</v>
      </c>
      <c r="CL35" s="300">
        <f t="shared" si="31"/>
        <v>16.937999999999999</v>
      </c>
      <c r="CM35" s="301" t="str">
        <f t="shared" si="32"/>
        <v>ULL?</v>
      </c>
      <c r="CN35" s="300">
        <f t="shared" si="33"/>
        <v>17.597000000000001</v>
      </c>
      <c r="CP35" s="118">
        <v>6</v>
      </c>
      <c r="CQ35" s="299">
        <f t="shared" si="55"/>
        <v>0</v>
      </c>
      <c r="CR35" s="118">
        <v>0.62</v>
      </c>
      <c r="CS35" s="118">
        <v>16.55</v>
      </c>
      <c r="CT35" s="300" t="str">
        <f t="shared" si="56"/>
        <v>ULL?</v>
      </c>
      <c r="CU35" s="118">
        <v>17.202999999999999</v>
      </c>
      <c r="CV35" s="118">
        <v>16.937999999999999</v>
      </c>
      <c r="CW35" s="300" t="str">
        <f t="shared" si="57"/>
        <v>ULL?</v>
      </c>
      <c r="CX35" s="118">
        <v>17.597000000000001</v>
      </c>
      <c r="CY35" s="300">
        <f t="shared" si="34"/>
        <v>16.71</v>
      </c>
      <c r="CZ35" s="301" t="str">
        <f t="shared" si="35"/>
        <v>ULL?</v>
      </c>
      <c r="DA35" s="300">
        <f t="shared" si="36"/>
        <v>17.364999999999998</v>
      </c>
      <c r="DC35" s="204" t="str">
        <f t="shared" si="58"/>
        <v/>
      </c>
      <c r="DD35" s="297">
        <f t="shared" si="59"/>
        <v>0</v>
      </c>
      <c r="DE35" s="297" t="str">
        <f t="shared" si="60"/>
        <v/>
      </c>
      <c r="DF35" s="1170"/>
      <c r="DG35" s="297">
        <f t="shared" si="61"/>
        <v>0</v>
      </c>
      <c r="DH35" s="297">
        <f t="shared" si="62"/>
        <v>0</v>
      </c>
      <c r="DI35" s="204" t="str">
        <f t="shared" si="39"/>
        <v/>
      </c>
      <c r="DJ35" s="297">
        <f t="shared" si="63"/>
        <v>0</v>
      </c>
      <c r="DL35" s="1141" t="str">
        <f>IF($DE35="","",INDEX('Cover Page'!$AI$106:$AJ$111,MATCH($C35,'Cover Page'!$AC$106:$AC$111,0),D1SEL_2))</f>
        <v/>
      </c>
    </row>
    <row r="36" spans="1:116" ht="15.75">
      <c r="A36" s="1286" t="s">
        <v>284</v>
      </c>
      <c r="B36" s="867"/>
      <c r="C36" s="861"/>
      <c r="D36" s="216"/>
      <c r="E36" s="1000"/>
      <c r="F36" s="1000"/>
      <c r="G36" s="218"/>
      <c r="H36" s="1004"/>
      <c r="I36" s="1004"/>
      <c r="J36" s="1003"/>
      <c r="K36" s="865"/>
      <c r="L36" s="1408"/>
      <c r="M36" s="842"/>
      <c r="N36" s="217"/>
      <c r="O36" s="218"/>
      <c r="P36" s="1003"/>
      <c r="Q36" s="1003"/>
      <c r="R36" s="1339"/>
      <c r="S36" s="844"/>
      <c r="T36" s="1408"/>
      <c r="U36" s="842"/>
      <c r="V36" s="219"/>
      <c r="X36" s="196" t="str">
        <f t="shared" si="3"/>
        <v/>
      </c>
      <c r="Y36" s="196" t="str">
        <f t="shared" si="4"/>
        <v/>
      </c>
      <c r="Z36" s="154" t="b">
        <f>IF(OR(SURVEYMODE=3,C36=""),FALSE,IF(AND(SUMPRODUCT((INDEX('Cover Page'!$I$89:$N$89,1,MATCH(C36,'Cover Page'!$I$88:$N$88,0))=$D$18)*(INDEX('Cover Page'!$I$104:$N$104,1,MATCH(C36,'Cover Page'!$I$88:$N$88,0))&gt;0))=0,D36="Y"),TRUE,FALSE))</f>
        <v>0</v>
      </c>
      <c r="AA36" s="196" t="str">
        <f t="shared" si="5"/>
        <v/>
      </c>
      <c r="AB36" s="196" t="str">
        <f t="shared" si="6"/>
        <v/>
      </c>
      <c r="AD36" s="196" t="str">
        <f t="shared" si="7"/>
        <v/>
      </c>
      <c r="AE36" s="196" t="str">
        <f t="shared" si="8"/>
        <v/>
      </c>
      <c r="AG36" s="196" t="str">
        <f t="shared" si="9"/>
        <v/>
      </c>
      <c r="AH36" s="196" t="str">
        <f t="shared" si="10"/>
        <v/>
      </c>
      <c r="AJ36" s="196" t="str">
        <f t="shared" si="11"/>
        <v/>
      </c>
      <c r="AK36" s="196" t="str">
        <f t="shared" si="12"/>
        <v/>
      </c>
      <c r="AM36" s="196" t="str">
        <f t="shared" si="13"/>
        <v/>
      </c>
      <c r="AN36" s="196" t="str">
        <f t="shared" si="14"/>
        <v/>
      </c>
      <c r="AP36" s="196" t="str">
        <f t="shared" si="15"/>
        <v/>
      </c>
      <c r="AQ36" s="196" t="str">
        <f t="shared" si="16"/>
        <v/>
      </c>
      <c r="AS36" s="196" t="str">
        <f t="shared" si="17"/>
        <v/>
      </c>
      <c r="AT36" s="196" t="str">
        <f t="shared" si="18"/>
        <v/>
      </c>
      <c r="AV36" s="196" t="str">
        <f t="shared" si="19"/>
        <v/>
      </c>
      <c r="AW36" s="196" t="str">
        <f t="shared" si="20"/>
        <v/>
      </c>
      <c r="AY36" s="196" t="str">
        <f t="shared" si="21"/>
        <v/>
      </c>
      <c r="AZ36" s="196" t="str">
        <f t="shared" si="22"/>
        <v/>
      </c>
      <c r="BB36" s="196" t="str">
        <f t="shared" si="23"/>
        <v/>
      </c>
      <c r="BC36" s="196" t="str">
        <f t="shared" si="24"/>
        <v/>
      </c>
      <c r="BE36" s="196" t="str">
        <f t="shared" si="25"/>
        <v/>
      </c>
      <c r="BF36" s="196" t="str">
        <f t="shared" si="26"/>
        <v/>
      </c>
      <c r="BH36" s="196" t="str">
        <f t="shared" si="27"/>
        <v/>
      </c>
      <c r="BI36" s="196" t="str">
        <f t="shared" si="28"/>
        <v/>
      </c>
      <c r="BK36" s="196" t="str">
        <f t="shared" si="29"/>
        <v/>
      </c>
      <c r="BL36" s="196" t="str">
        <f t="shared" si="30"/>
        <v/>
      </c>
      <c r="BN36" s="204" t="str">
        <f t="shared" si="40"/>
        <v/>
      </c>
      <c r="BO36" s="204" t="str">
        <f t="shared" si="41"/>
        <v/>
      </c>
      <c r="BP36" s="204" t="str">
        <f t="shared" si="42"/>
        <v/>
      </c>
      <c r="BQ36" s="204" t="str">
        <f t="shared" si="43"/>
        <v/>
      </c>
      <c r="BR36" s="204" t="str">
        <f t="shared" si="44"/>
        <v/>
      </c>
      <c r="BS36" s="204" t="str">
        <f t="shared" si="45"/>
        <v/>
      </c>
      <c r="BU36" s="204" t="str">
        <f t="shared" si="46"/>
        <v/>
      </c>
      <c r="BV36" s="204" t="str">
        <f t="shared" si="47"/>
        <v/>
      </c>
      <c r="BW36" s="204" t="str">
        <f t="shared" si="48"/>
        <v/>
      </c>
      <c r="BX36" s="204" t="str">
        <f t="shared" si="49"/>
        <v/>
      </c>
      <c r="BY36" s="204" t="str">
        <f t="shared" si="50"/>
        <v/>
      </c>
      <c r="BZ36" s="204" t="str">
        <f t="shared" si="51"/>
        <v/>
      </c>
      <c r="CC36" s="118">
        <v>6</v>
      </c>
      <c r="CD36" s="299">
        <f t="shared" si="52"/>
        <v>0</v>
      </c>
      <c r="CE36" s="118">
        <v>0.62</v>
      </c>
      <c r="CF36" s="118">
        <v>16.55</v>
      </c>
      <c r="CG36" s="300" t="str">
        <f t="shared" si="53"/>
        <v>ULL?</v>
      </c>
      <c r="CH36" s="118">
        <v>17.202999999999999</v>
      </c>
      <c r="CI36" s="118">
        <v>16.937999999999999</v>
      </c>
      <c r="CJ36" s="300" t="str">
        <f t="shared" si="54"/>
        <v>ULL?</v>
      </c>
      <c r="CK36" s="118">
        <v>17.597000000000001</v>
      </c>
      <c r="CL36" s="300">
        <f t="shared" si="31"/>
        <v>16.937999999999999</v>
      </c>
      <c r="CM36" s="301" t="str">
        <f t="shared" si="32"/>
        <v>ULL?</v>
      </c>
      <c r="CN36" s="300">
        <f t="shared" si="33"/>
        <v>17.597000000000001</v>
      </c>
      <c r="CP36" s="118">
        <v>6</v>
      </c>
      <c r="CQ36" s="299">
        <f t="shared" si="55"/>
        <v>0</v>
      </c>
      <c r="CR36" s="118">
        <v>0.62</v>
      </c>
      <c r="CS36" s="118">
        <v>16.55</v>
      </c>
      <c r="CT36" s="300" t="str">
        <f t="shared" si="56"/>
        <v>ULL?</v>
      </c>
      <c r="CU36" s="118">
        <v>17.202999999999999</v>
      </c>
      <c r="CV36" s="118">
        <v>16.937999999999999</v>
      </c>
      <c r="CW36" s="300" t="str">
        <f t="shared" si="57"/>
        <v>ULL?</v>
      </c>
      <c r="CX36" s="118">
        <v>17.597000000000001</v>
      </c>
      <c r="CY36" s="300">
        <f t="shared" si="34"/>
        <v>16.71</v>
      </c>
      <c r="CZ36" s="301" t="str">
        <f t="shared" si="35"/>
        <v>ULL?</v>
      </c>
      <c r="DA36" s="300">
        <f t="shared" si="36"/>
        <v>17.364999999999998</v>
      </c>
      <c r="DC36" s="204" t="str">
        <f t="shared" si="58"/>
        <v/>
      </c>
      <c r="DD36" s="297">
        <f t="shared" si="59"/>
        <v>0</v>
      </c>
      <c r="DE36" s="297" t="str">
        <f t="shared" si="60"/>
        <v/>
      </c>
      <c r="DF36" s="1170"/>
      <c r="DG36" s="297">
        <f t="shared" si="61"/>
        <v>0</v>
      </c>
      <c r="DH36" s="297">
        <f t="shared" si="62"/>
        <v>0</v>
      </c>
      <c r="DI36" s="204" t="str">
        <f t="shared" si="39"/>
        <v/>
      </c>
      <c r="DJ36" s="297">
        <f t="shared" si="63"/>
        <v>0</v>
      </c>
      <c r="DL36" s="1141" t="str">
        <f>IF($DE36="","",INDEX('Cover Page'!$AI$106:$AJ$111,MATCH($C36,'Cover Page'!$AC$106:$AC$111,0),D1SEL_2))</f>
        <v/>
      </c>
    </row>
    <row r="37" spans="1:116" ht="15.75">
      <c r="A37" s="1286" t="s">
        <v>284</v>
      </c>
      <c r="B37" s="868"/>
      <c r="C37" s="861"/>
      <c r="D37" s="221"/>
      <c r="E37" s="1000"/>
      <c r="F37" s="1000"/>
      <c r="G37" s="223"/>
      <c r="H37" s="1004"/>
      <c r="I37" s="1004"/>
      <c r="J37" s="1004"/>
      <c r="K37" s="865"/>
      <c r="L37" s="1408"/>
      <c r="M37" s="845"/>
      <c r="N37" s="222"/>
      <c r="O37" s="223"/>
      <c r="P37" s="1004"/>
      <c r="Q37" s="1004"/>
      <c r="R37" s="1340"/>
      <c r="S37" s="844"/>
      <c r="T37" s="1408"/>
      <c r="U37" s="845"/>
      <c r="V37" s="224"/>
      <c r="X37" s="196" t="str">
        <f t="shared" si="3"/>
        <v/>
      </c>
      <c r="Y37" s="196" t="str">
        <f t="shared" si="4"/>
        <v/>
      </c>
      <c r="Z37" s="154" t="b">
        <f>IF(OR(SURVEYMODE=3,C37=""),FALSE,IF(AND(SUMPRODUCT((INDEX('Cover Page'!$I$89:$N$89,1,MATCH(C37,'Cover Page'!$I$88:$N$88,0))=$D$18)*(INDEX('Cover Page'!$I$104:$N$104,1,MATCH(C37,'Cover Page'!$I$88:$N$88,0))&gt;0))=0,D37="Y"),TRUE,FALSE))</f>
        <v>0</v>
      </c>
      <c r="AA37" s="196" t="str">
        <f t="shared" si="5"/>
        <v/>
      </c>
      <c r="AB37" s="196" t="str">
        <f t="shared" si="6"/>
        <v/>
      </c>
      <c r="AD37" s="196" t="str">
        <f t="shared" si="7"/>
        <v/>
      </c>
      <c r="AE37" s="196" t="str">
        <f t="shared" si="8"/>
        <v/>
      </c>
      <c r="AG37" s="196" t="str">
        <f t="shared" si="9"/>
        <v/>
      </c>
      <c r="AH37" s="196" t="str">
        <f t="shared" si="10"/>
        <v/>
      </c>
      <c r="AJ37" s="196" t="str">
        <f t="shared" si="11"/>
        <v/>
      </c>
      <c r="AK37" s="196" t="str">
        <f t="shared" si="12"/>
        <v/>
      </c>
      <c r="AM37" s="196" t="str">
        <f t="shared" si="13"/>
        <v/>
      </c>
      <c r="AN37" s="196" t="str">
        <f t="shared" si="14"/>
        <v/>
      </c>
      <c r="AP37" s="196" t="str">
        <f t="shared" si="15"/>
        <v/>
      </c>
      <c r="AQ37" s="196" t="str">
        <f t="shared" si="16"/>
        <v/>
      </c>
      <c r="AS37" s="196" t="str">
        <f t="shared" si="17"/>
        <v/>
      </c>
      <c r="AT37" s="196" t="str">
        <f t="shared" si="18"/>
        <v/>
      </c>
      <c r="AV37" s="196" t="str">
        <f t="shared" si="19"/>
        <v/>
      </c>
      <c r="AW37" s="196" t="str">
        <f t="shared" si="20"/>
        <v/>
      </c>
      <c r="AY37" s="196" t="str">
        <f t="shared" si="21"/>
        <v/>
      </c>
      <c r="AZ37" s="196" t="str">
        <f t="shared" si="22"/>
        <v/>
      </c>
      <c r="BB37" s="196" t="str">
        <f t="shared" si="23"/>
        <v/>
      </c>
      <c r="BC37" s="196" t="str">
        <f t="shared" si="24"/>
        <v/>
      </c>
      <c r="BE37" s="196" t="str">
        <f t="shared" si="25"/>
        <v/>
      </c>
      <c r="BF37" s="196" t="str">
        <f t="shared" si="26"/>
        <v/>
      </c>
      <c r="BH37" s="196" t="str">
        <f t="shared" si="27"/>
        <v/>
      </c>
      <c r="BI37" s="196" t="str">
        <f t="shared" si="28"/>
        <v/>
      </c>
      <c r="BK37" s="196" t="str">
        <f t="shared" si="29"/>
        <v/>
      </c>
      <c r="BL37" s="196" t="str">
        <f t="shared" si="30"/>
        <v/>
      </c>
      <c r="BN37" s="204" t="str">
        <f t="shared" si="40"/>
        <v/>
      </c>
      <c r="BO37" s="204" t="str">
        <f t="shared" si="41"/>
        <v/>
      </c>
      <c r="BP37" s="204" t="str">
        <f t="shared" si="42"/>
        <v/>
      </c>
      <c r="BQ37" s="204" t="str">
        <f t="shared" si="43"/>
        <v/>
      </c>
      <c r="BR37" s="204" t="str">
        <f t="shared" si="44"/>
        <v/>
      </c>
      <c r="BS37" s="204" t="str">
        <f t="shared" si="45"/>
        <v/>
      </c>
      <c r="BU37" s="204" t="str">
        <f t="shared" si="46"/>
        <v/>
      </c>
      <c r="BV37" s="204" t="str">
        <f t="shared" si="47"/>
        <v/>
      </c>
      <c r="BW37" s="204" t="str">
        <f t="shared" si="48"/>
        <v/>
      </c>
      <c r="BX37" s="204" t="str">
        <f t="shared" si="49"/>
        <v/>
      </c>
      <c r="BY37" s="204" t="str">
        <f t="shared" si="50"/>
        <v/>
      </c>
      <c r="BZ37" s="204" t="str">
        <f t="shared" si="51"/>
        <v/>
      </c>
      <c r="CC37" s="118"/>
      <c r="CD37" s="299">
        <f t="shared" si="52"/>
        <v>0</v>
      </c>
      <c r="CE37" s="118">
        <v>0.62</v>
      </c>
      <c r="CF37" s="118">
        <v>16.55</v>
      </c>
      <c r="CG37" s="300">
        <f t="shared" si="53"/>
        <v>16.55</v>
      </c>
      <c r="CH37" s="118">
        <v>17.202999999999999</v>
      </c>
      <c r="CI37" s="118">
        <v>16.937999999999999</v>
      </c>
      <c r="CJ37" s="300">
        <f t="shared" si="54"/>
        <v>16.937999999999999</v>
      </c>
      <c r="CK37" s="118">
        <v>17.597000000000001</v>
      </c>
      <c r="CL37" s="300">
        <f t="shared" si="31"/>
        <v>16.937999999999999</v>
      </c>
      <c r="CM37" s="301">
        <f t="shared" si="32"/>
        <v>16.937999999999999</v>
      </c>
      <c r="CN37" s="300">
        <f t="shared" si="33"/>
        <v>17.597000000000001</v>
      </c>
      <c r="CP37" s="118">
        <v>6</v>
      </c>
      <c r="CQ37" s="299">
        <f t="shared" si="55"/>
        <v>0</v>
      </c>
      <c r="CR37" s="118">
        <v>0.62</v>
      </c>
      <c r="CS37" s="118">
        <v>16.55</v>
      </c>
      <c r="CT37" s="300" t="str">
        <f t="shared" si="56"/>
        <v>ULL?</v>
      </c>
      <c r="CU37" s="118">
        <v>17.202999999999999</v>
      </c>
      <c r="CV37" s="118">
        <v>16.937999999999999</v>
      </c>
      <c r="CW37" s="300" t="str">
        <f t="shared" si="57"/>
        <v>ULL?</v>
      </c>
      <c r="CX37" s="118">
        <v>17.597000000000001</v>
      </c>
      <c r="CY37" s="300">
        <f t="shared" si="34"/>
        <v>16.71</v>
      </c>
      <c r="CZ37" s="301" t="str">
        <f t="shared" si="35"/>
        <v>ULL?</v>
      </c>
      <c r="DA37" s="300">
        <f t="shared" si="36"/>
        <v>17.364999999999998</v>
      </c>
      <c r="DC37" s="204" t="str">
        <f t="shared" si="58"/>
        <v/>
      </c>
      <c r="DD37" s="297">
        <f t="shared" si="59"/>
        <v>0</v>
      </c>
      <c r="DE37" s="297" t="str">
        <f t="shared" si="60"/>
        <v/>
      </c>
      <c r="DF37" s="1170"/>
      <c r="DG37" s="297">
        <f t="shared" si="61"/>
        <v>0</v>
      </c>
      <c r="DH37" s="297">
        <f t="shared" si="62"/>
        <v>0</v>
      </c>
      <c r="DI37" s="204" t="str">
        <f t="shared" si="39"/>
        <v/>
      </c>
      <c r="DJ37" s="297">
        <f t="shared" si="63"/>
        <v>0</v>
      </c>
      <c r="DL37" s="1141" t="str">
        <f>IF($DE37="","",INDEX('Cover Page'!$AI$106:$AJ$111,MATCH($C37,'Cover Page'!$AC$106:$AC$111,0),D1SEL_2))</f>
        <v/>
      </c>
    </row>
    <row r="38" spans="1:116" ht="15.75">
      <c r="A38" s="1286" t="s">
        <v>284</v>
      </c>
      <c r="B38" s="867"/>
      <c r="C38" s="861"/>
      <c r="D38" s="216"/>
      <c r="E38" s="999"/>
      <c r="F38" s="999"/>
      <c r="G38" s="218"/>
      <c r="H38" s="1003"/>
      <c r="I38" s="1003"/>
      <c r="J38" s="1003"/>
      <c r="K38" s="841"/>
      <c r="L38" s="1403"/>
      <c r="M38" s="842"/>
      <c r="N38" s="217"/>
      <c r="O38" s="218"/>
      <c r="P38" s="1003"/>
      <c r="Q38" s="1003"/>
      <c r="R38" s="1339"/>
      <c r="S38" s="844"/>
      <c r="T38" s="1403"/>
      <c r="U38" s="842"/>
      <c r="V38" s="219"/>
      <c r="X38" s="196" t="str">
        <f t="shared" si="3"/>
        <v/>
      </c>
      <c r="Y38" s="196" t="str">
        <f t="shared" si="4"/>
        <v/>
      </c>
      <c r="Z38" s="154" t="b">
        <f>IF(OR(SURVEYMODE=3,C38=""),FALSE,IF(AND(SUMPRODUCT((INDEX('Cover Page'!$I$89:$N$89,1,MATCH(C38,'Cover Page'!$I$88:$N$88,0))=$D$18)*(INDEX('Cover Page'!$I$104:$N$104,1,MATCH(C38,'Cover Page'!$I$88:$N$88,0))&gt;0))=0,D38="Y"),TRUE,FALSE))</f>
        <v>0</v>
      </c>
      <c r="AA38" s="196" t="str">
        <f t="shared" si="5"/>
        <v/>
      </c>
      <c r="AB38" s="196" t="str">
        <f t="shared" si="6"/>
        <v/>
      </c>
      <c r="AD38" s="196" t="str">
        <f t="shared" si="7"/>
        <v/>
      </c>
      <c r="AE38" s="196" t="str">
        <f t="shared" si="8"/>
        <v/>
      </c>
      <c r="AG38" s="196" t="str">
        <f t="shared" si="9"/>
        <v/>
      </c>
      <c r="AH38" s="196" t="str">
        <f t="shared" si="10"/>
        <v/>
      </c>
      <c r="AJ38" s="196" t="str">
        <f t="shared" si="11"/>
        <v/>
      </c>
      <c r="AK38" s="196" t="str">
        <f t="shared" si="12"/>
        <v/>
      </c>
      <c r="AM38" s="196" t="str">
        <f t="shared" si="13"/>
        <v/>
      </c>
      <c r="AN38" s="196" t="str">
        <f t="shared" si="14"/>
        <v/>
      </c>
      <c r="AP38" s="196" t="str">
        <f t="shared" si="15"/>
        <v/>
      </c>
      <c r="AQ38" s="196" t="str">
        <f t="shared" si="16"/>
        <v/>
      </c>
      <c r="AS38" s="196" t="str">
        <f t="shared" si="17"/>
        <v/>
      </c>
      <c r="AT38" s="196" t="str">
        <f t="shared" si="18"/>
        <v/>
      </c>
      <c r="AV38" s="196" t="str">
        <f t="shared" si="19"/>
        <v/>
      </c>
      <c r="AW38" s="196" t="str">
        <f t="shared" si="20"/>
        <v/>
      </c>
      <c r="AY38" s="196" t="str">
        <f t="shared" si="21"/>
        <v/>
      </c>
      <c r="AZ38" s="196" t="str">
        <f t="shared" si="22"/>
        <v/>
      </c>
      <c r="BB38" s="196" t="str">
        <f t="shared" si="23"/>
        <v/>
      </c>
      <c r="BC38" s="196" t="str">
        <f t="shared" si="24"/>
        <v/>
      </c>
      <c r="BE38" s="196" t="str">
        <f t="shared" si="25"/>
        <v/>
      </c>
      <c r="BF38" s="196" t="str">
        <f t="shared" si="26"/>
        <v/>
      </c>
      <c r="BH38" s="196" t="str">
        <f t="shared" si="27"/>
        <v/>
      </c>
      <c r="BI38" s="196" t="str">
        <f t="shared" si="28"/>
        <v/>
      </c>
      <c r="BK38" s="196" t="str">
        <f t="shared" si="29"/>
        <v/>
      </c>
      <c r="BL38" s="196" t="str">
        <f t="shared" si="30"/>
        <v/>
      </c>
      <c r="BN38" s="204" t="str">
        <f t="shared" si="40"/>
        <v/>
      </c>
      <c r="BO38" s="204" t="str">
        <f t="shared" si="41"/>
        <v/>
      </c>
      <c r="BP38" s="204" t="str">
        <f t="shared" si="42"/>
        <v/>
      </c>
      <c r="BQ38" s="204" t="str">
        <f t="shared" si="43"/>
        <v/>
      </c>
      <c r="BR38" s="204" t="str">
        <f t="shared" si="44"/>
        <v/>
      </c>
      <c r="BS38" s="204" t="str">
        <f t="shared" si="45"/>
        <v/>
      </c>
      <c r="BU38" s="204" t="str">
        <f t="shared" si="46"/>
        <v/>
      </c>
      <c r="BV38" s="204" t="str">
        <f t="shared" si="47"/>
        <v/>
      </c>
      <c r="BW38" s="204" t="str">
        <f t="shared" si="48"/>
        <v/>
      </c>
      <c r="BX38" s="204" t="str">
        <f t="shared" si="49"/>
        <v/>
      </c>
      <c r="BY38" s="204" t="str">
        <f t="shared" si="50"/>
        <v/>
      </c>
      <c r="BZ38" s="204" t="str">
        <f t="shared" si="51"/>
        <v/>
      </c>
      <c r="CC38" s="118"/>
      <c r="CD38" s="299">
        <f t="shared" si="52"/>
        <v>0</v>
      </c>
      <c r="CE38" s="118"/>
      <c r="CF38" s="118">
        <v>16.55</v>
      </c>
      <c r="CG38" s="300">
        <f t="shared" si="53"/>
        <v>16.55</v>
      </c>
      <c r="CH38" s="118">
        <v>17.202999999999999</v>
      </c>
      <c r="CI38" s="118">
        <v>16.937999999999999</v>
      </c>
      <c r="CJ38" s="300">
        <f t="shared" si="54"/>
        <v>16.937999999999999</v>
      </c>
      <c r="CK38" s="118">
        <v>17.597000000000001</v>
      </c>
      <c r="CL38" s="300">
        <f t="shared" si="31"/>
        <v>16.937999999999999</v>
      </c>
      <c r="CM38" s="301">
        <f t="shared" si="32"/>
        <v>16.937999999999999</v>
      </c>
      <c r="CN38" s="300">
        <f t="shared" si="33"/>
        <v>17.597000000000001</v>
      </c>
      <c r="CP38" s="118">
        <v>6</v>
      </c>
      <c r="CQ38" s="299">
        <f t="shared" si="55"/>
        <v>0</v>
      </c>
      <c r="CR38" s="118">
        <v>0.62</v>
      </c>
      <c r="CS38" s="118">
        <v>16.55</v>
      </c>
      <c r="CT38" s="300" t="str">
        <f t="shared" si="56"/>
        <v>ULL?</v>
      </c>
      <c r="CU38" s="118">
        <v>17.202999999999999</v>
      </c>
      <c r="CV38" s="118">
        <v>16.937999999999999</v>
      </c>
      <c r="CW38" s="300" t="str">
        <f t="shared" si="57"/>
        <v>ULL?</v>
      </c>
      <c r="CX38" s="118">
        <v>17.597000000000001</v>
      </c>
      <c r="CY38" s="300">
        <f t="shared" si="34"/>
        <v>16.71</v>
      </c>
      <c r="CZ38" s="301" t="str">
        <f t="shared" si="35"/>
        <v>ULL?</v>
      </c>
      <c r="DA38" s="300">
        <f t="shared" si="36"/>
        <v>17.364999999999998</v>
      </c>
      <c r="DC38" s="204" t="str">
        <f t="shared" si="58"/>
        <v/>
      </c>
      <c r="DD38" s="297">
        <f t="shared" si="59"/>
        <v>0</v>
      </c>
      <c r="DE38" s="297" t="str">
        <f t="shared" si="60"/>
        <v/>
      </c>
      <c r="DF38" s="1170"/>
      <c r="DG38" s="297">
        <f t="shared" si="61"/>
        <v>0</v>
      </c>
      <c r="DH38" s="297">
        <f t="shared" si="62"/>
        <v>0</v>
      </c>
      <c r="DI38" s="204" t="str">
        <f t="shared" si="39"/>
        <v/>
      </c>
      <c r="DJ38" s="297">
        <f t="shared" si="63"/>
        <v>0</v>
      </c>
      <c r="DL38" s="1141" t="str">
        <f>IF($DE38="","",INDEX('Cover Page'!$AI$106:$AJ$111,MATCH($C38,'Cover Page'!$AC$106:$AC$111,0),D1SEL_2))</f>
        <v/>
      </c>
    </row>
    <row r="39" spans="1:116" ht="15.75">
      <c r="A39" s="1286" t="s">
        <v>284</v>
      </c>
      <c r="B39" s="868"/>
      <c r="C39" s="220"/>
      <c r="D39" s="221"/>
      <c r="E39" s="1000"/>
      <c r="F39" s="1000"/>
      <c r="G39" s="223"/>
      <c r="H39" s="1004"/>
      <c r="I39" s="1004"/>
      <c r="J39" s="1340"/>
      <c r="K39" s="844"/>
      <c r="L39" s="1403"/>
      <c r="M39" s="845"/>
      <c r="N39" s="222"/>
      <c r="O39" s="223"/>
      <c r="P39" s="1004"/>
      <c r="Q39" s="1004"/>
      <c r="R39" s="1340"/>
      <c r="S39" s="844"/>
      <c r="T39" s="1402"/>
      <c r="U39" s="845"/>
      <c r="V39" s="224"/>
      <c r="X39" s="196" t="str">
        <f t="shared" si="3"/>
        <v/>
      </c>
      <c r="Y39" s="196" t="str">
        <f t="shared" si="4"/>
        <v/>
      </c>
      <c r="Z39" s="154" t="b">
        <f>IF(OR(SURVEYMODE=3,C39=""),FALSE,IF(AND(SUMPRODUCT((INDEX('Cover Page'!$I$89:$N$89,1,MATCH(C39,'Cover Page'!$I$88:$N$88,0))=$D$18)*(INDEX('Cover Page'!$I$104:$N$104,1,MATCH(C39,'Cover Page'!$I$88:$N$88,0))&gt;0))=0,D39="Y"),TRUE,FALSE))</f>
        <v>0</v>
      </c>
      <c r="AA39" s="196" t="str">
        <f t="shared" si="5"/>
        <v/>
      </c>
      <c r="AB39" s="196" t="str">
        <f t="shared" si="6"/>
        <v/>
      </c>
      <c r="AD39" s="196" t="str">
        <f t="shared" si="7"/>
        <v/>
      </c>
      <c r="AE39" s="196" t="str">
        <f t="shared" si="8"/>
        <v/>
      </c>
      <c r="AG39" s="196" t="str">
        <f t="shared" si="9"/>
        <v/>
      </c>
      <c r="AH39" s="196" t="str">
        <f t="shared" si="10"/>
        <v/>
      </c>
      <c r="AJ39" s="196" t="str">
        <f t="shared" si="11"/>
        <v/>
      </c>
      <c r="AK39" s="196" t="str">
        <f t="shared" si="12"/>
        <v/>
      </c>
      <c r="AM39" s="196" t="str">
        <f t="shared" si="13"/>
        <v/>
      </c>
      <c r="AN39" s="196" t="str">
        <f t="shared" si="14"/>
        <v/>
      </c>
      <c r="AP39" s="196" t="str">
        <f t="shared" si="15"/>
        <v/>
      </c>
      <c r="AQ39" s="196" t="str">
        <f t="shared" si="16"/>
        <v/>
      </c>
      <c r="AS39" s="196" t="str">
        <f t="shared" si="17"/>
        <v/>
      </c>
      <c r="AT39" s="196" t="str">
        <f t="shared" si="18"/>
        <v/>
      </c>
      <c r="AV39" s="196" t="str">
        <f t="shared" si="19"/>
        <v/>
      </c>
      <c r="AW39" s="196" t="str">
        <f t="shared" si="20"/>
        <v/>
      </c>
      <c r="AY39" s="196" t="str">
        <f t="shared" si="21"/>
        <v/>
      </c>
      <c r="AZ39" s="196" t="str">
        <f t="shared" si="22"/>
        <v/>
      </c>
      <c r="BB39" s="196" t="str">
        <f t="shared" si="23"/>
        <v/>
      </c>
      <c r="BC39" s="196" t="str">
        <f t="shared" si="24"/>
        <v/>
      </c>
      <c r="BE39" s="196" t="str">
        <f t="shared" si="25"/>
        <v/>
      </c>
      <c r="BF39" s="196" t="str">
        <f t="shared" si="26"/>
        <v/>
      </c>
      <c r="BH39" s="196" t="str">
        <f t="shared" si="27"/>
        <v/>
      </c>
      <c r="BI39" s="196" t="str">
        <f t="shared" si="28"/>
        <v/>
      </c>
      <c r="BK39" s="196" t="str">
        <f t="shared" si="29"/>
        <v/>
      </c>
      <c r="BL39" s="196" t="str">
        <f t="shared" si="30"/>
        <v/>
      </c>
      <c r="BN39" s="204" t="str">
        <f t="shared" si="40"/>
        <v/>
      </c>
      <c r="BO39" s="204" t="str">
        <f t="shared" si="41"/>
        <v/>
      </c>
      <c r="BP39" s="204" t="str">
        <f t="shared" si="42"/>
        <v/>
      </c>
      <c r="BQ39" s="204" t="str">
        <f t="shared" si="43"/>
        <v/>
      </c>
      <c r="BR39" s="204" t="str">
        <f t="shared" si="44"/>
        <v/>
      </c>
      <c r="BS39" s="204" t="str">
        <f t="shared" si="45"/>
        <v/>
      </c>
      <c r="BU39" s="204" t="str">
        <f t="shared" si="46"/>
        <v/>
      </c>
      <c r="BV39" s="204" t="str">
        <f t="shared" si="47"/>
        <v/>
      </c>
      <c r="BW39" s="204" t="str">
        <f t="shared" si="48"/>
        <v/>
      </c>
      <c r="BX39" s="204" t="str">
        <f t="shared" si="49"/>
        <v/>
      </c>
      <c r="BY39" s="204" t="str">
        <f t="shared" si="50"/>
        <v/>
      </c>
      <c r="BZ39" s="204" t="str">
        <f t="shared" si="51"/>
        <v/>
      </c>
      <c r="CC39" s="118">
        <v>6</v>
      </c>
      <c r="CD39" s="299">
        <f t="shared" si="52"/>
        <v>0</v>
      </c>
      <c r="CE39" s="118">
        <v>0.62</v>
      </c>
      <c r="CF39" s="118">
        <v>16.55</v>
      </c>
      <c r="CG39" s="300" t="str">
        <f t="shared" si="53"/>
        <v>ULL?</v>
      </c>
      <c r="CH39" s="118">
        <v>17.202999999999999</v>
      </c>
      <c r="CI39" s="118">
        <v>16.937999999999999</v>
      </c>
      <c r="CJ39" s="300" t="str">
        <f t="shared" si="54"/>
        <v>ULL?</v>
      </c>
      <c r="CK39" s="118">
        <v>17.597000000000001</v>
      </c>
      <c r="CL39" s="300">
        <f t="shared" si="31"/>
        <v>16.937999999999999</v>
      </c>
      <c r="CM39" s="301" t="str">
        <f t="shared" si="32"/>
        <v>ULL?</v>
      </c>
      <c r="CN39" s="300">
        <f t="shared" si="33"/>
        <v>17.597000000000001</v>
      </c>
      <c r="CP39" s="118">
        <v>6</v>
      </c>
      <c r="CQ39" s="299">
        <f t="shared" si="55"/>
        <v>0</v>
      </c>
      <c r="CR39" s="118">
        <v>0.62</v>
      </c>
      <c r="CS39" s="118">
        <v>16.55</v>
      </c>
      <c r="CT39" s="300" t="str">
        <f t="shared" si="56"/>
        <v>ULL?</v>
      </c>
      <c r="CU39" s="118">
        <v>17.202999999999999</v>
      </c>
      <c r="CV39" s="118">
        <v>16.937999999999999</v>
      </c>
      <c r="CW39" s="300" t="str">
        <f t="shared" si="57"/>
        <v>ULL?</v>
      </c>
      <c r="CX39" s="118">
        <v>17.597000000000001</v>
      </c>
      <c r="CY39" s="300">
        <f t="shared" si="34"/>
        <v>16.71</v>
      </c>
      <c r="CZ39" s="301" t="str">
        <f t="shared" si="35"/>
        <v>ULL?</v>
      </c>
      <c r="DA39" s="300">
        <f t="shared" si="36"/>
        <v>17.364999999999998</v>
      </c>
      <c r="DC39" s="204" t="str">
        <f t="shared" si="58"/>
        <v/>
      </c>
      <c r="DD39" s="297">
        <f t="shared" si="59"/>
        <v>0</v>
      </c>
      <c r="DE39" s="297" t="str">
        <f t="shared" si="60"/>
        <v/>
      </c>
      <c r="DF39" s="1170"/>
      <c r="DG39" s="297">
        <f t="shared" si="61"/>
        <v>0</v>
      </c>
      <c r="DH39" s="297">
        <f t="shared" si="62"/>
        <v>0</v>
      </c>
      <c r="DI39" s="204" t="str">
        <f t="shared" si="39"/>
        <v/>
      </c>
      <c r="DJ39" s="297">
        <f t="shared" si="63"/>
        <v>0</v>
      </c>
      <c r="DL39" s="1141" t="str">
        <f>IF($DE39="","",INDEX('Cover Page'!$AI$106:$AJ$111,MATCH($C39,'Cover Page'!$AC$106:$AC$111,0),D1SEL_2))</f>
        <v/>
      </c>
    </row>
    <row r="40" spans="1:116" ht="15.75">
      <c r="A40" s="1286" t="s">
        <v>284</v>
      </c>
      <c r="B40" s="867"/>
      <c r="C40" s="215"/>
      <c r="D40" s="216"/>
      <c r="E40" s="999"/>
      <c r="F40" s="999"/>
      <c r="G40" s="218"/>
      <c r="H40" s="1003"/>
      <c r="I40" s="1003"/>
      <c r="J40" s="1339"/>
      <c r="K40" s="841"/>
      <c r="L40" s="1402"/>
      <c r="M40" s="842"/>
      <c r="N40" s="217"/>
      <c r="O40" s="218"/>
      <c r="P40" s="1003"/>
      <c r="Q40" s="1003"/>
      <c r="R40" s="1339"/>
      <c r="S40" s="841"/>
      <c r="T40" s="1402"/>
      <c r="U40" s="842"/>
      <c r="V40" s="219"/>
      <c r="X40" s="196" t="str">
        <f t="shared" si="3"/>
        <v/>
      </c>
      <c r="Y40" s="196" t="str">
        <f t="shared" si="4"/>
        <v/>
      </c>
      <c r="Z40" s="154" t="b">
        <f>IF(OR(SURVEYMODE=3,C40=""),FALSE,IF(AND(SUMPRODUCT((INDEX('Cover Page'!$I$89:$N$89,1,MATCH(C40,'Cover Page'!$I$88:$N$88,0))=$D$18)*(INDEX('Cover Page'!$I$104:$N$104,1,MATCH(C40,'Cover Page'!$I$88:$N$88,0))&gt;0))=0,D40="Y"),TRUE,FALSE))</f>
        <v>0</v>
      </c>
      <c r="AA40" s="196" t="str">
        <f t="shared" si="5"/>
        <v/>
      </c>
      <c r="AB40" s="196" t="str">
        <f t="shared" si="6"/>
        <v/>
      </c>
      <c r="AD40" s="196" t="str">
        <f t="shared" si="7"/>
        <v/>
      </c>
      <c r="AE40" s="196" t="str">
        <f t="shared" si="8"/>
        <v/>
      </c>
      <c r="AG40" s="196" t="str">
        <f t="shared" si="9"/>
        <v/>
      </c>
      <c r="AH40" s="196" t="str">
        <f t="shared" si="10"/>
        <v/>
      </c>
      <c r="AJ40" s="196" t="str">
        <f t="shared" si="11"/>
        <v/>
      </c>
      <c r="AK40" s="196" t="str">
        <f t="shared" si="12"/>
        <v/>
      </c>
      <c r="AM40" s="196" t="str">
        <f t="shared" si="13"/>
        <v/>
      </c>
      <c r="AN40" s="196" t="str">
        <f t="shared" si="14"/>
        <v/>
      </c>
      <c r="AP40" s="196" t="str">
        <f t="shared" si="15"/>
        <v/>
      </c>
      <c r="AQ40" s="196" t="str">
        <f t="shared" si="16"/>
        <v/>
      </c>
      <c r="AS40" s="196" t="str">
        <f t="shared" si="17"/>
        <v/>
      </c>
      <c r="AT40" s="196" t="str">
        <f t="shared" si="18"/>
        <v/>
      </c>
      <c r="AV40" s="196" t="str">
        <f t="shared" si="19"/>
        <v/>
      </c>
      <c r="AW40" s="196" t="str">
        <f t="shared" si="20"/>
        <v/>
      </c>
      <c r="AY40" s="196" t="str">
        <f t="shared" si="21"/>
        <v/>
      </c>
      <c r="AZ40" s="196" t="str">
        <f t="shared" si="22"/>
        <v/>
      </c>
      <c r="BB40" s="196" t="str">
        <f t="shared" si="23"/>
        <v/>
      </c>
      <c r="BC40" s="196" t="str">
        <f t="shared" si="24"/>
        <v/>
      </c>
      <c r="BE40" s="196" t="str">
        <f t="shared" si="25"/>
        <v/>
      </c>
      <c r="BF40" s="196" t="str">
        <f t="shared" si="26"/>
        <v/>
      </c>
      <c r="BH40" s="196" t="str">
        <f t="shared" si="27"/>
        <v/>
      </c>
      <c r="BI40" s="196" t="str">
        <f t="shared" si="28"/>
        <v/>
      </c>
      <c r="BK40" s="196" t="str">
        <f t="shared" si="29"/>
        <v/>
      </c>
      <c r="BL40" s="196" t="str">
        <f t="shared" si="30"/>
        <v/>
      </c>
      <c r="BN40" s="204" t="str">
        <f t="shared" si="40"/>
        <v/>
      </c>
      <c r="BO40" s="204" t="str">
        <f t="shared" si="41"/>
        <v/>
      </c>
      <c r="BP40" s="204" t="str">
        <f t="shared" si="42"/>
        <v/>
      </c>
      <c r="BQ40" s="204" t="str">
        <f t="shared" si="43"/>
        <v/>
      </c>
      <c r="BR40" s="204" t="str">
        <f t="shared" si="44"/>
        <v/>
      </c>
      <c r="BS40" s="204" t="str">
        <f t="shared" si="45"/>
        <v/>
      </c>
      <c r="BU40" s="204" t="str">
        <f t="shared" si="46"/>
        <v/>
      </c>
      <c r="BV40" s="204" t="str">
        <f t="shared" si="47"/>
        <v/>
      </c>
      <c r="BW40" s="204" t="str">
        <f t="shared" si="48"/>
        <v/>
      </c>
      <c r="BX40" s="204" t="str">
        <f t="shared" si="49"/>
        <v/>
      </c>
      <c r="BY40" s="204" t="str">
        <f t="shared" si="50"/>
        <v/>
      </c>
      <c r="BZ40" s="204" t="str">
        <f t="shared" si="51"/>
        <v/>
      </c>
      <c r="CC40" s="118">
        <v>6</v>
      </c>
      <c r="CD40" s="299">
        <f t="shared" si="52"/>
        <v>0</v>
      </c>
      <c r="CE40" s="118">
        <v>0.62</v>
      </c>
      <c r="CF40" s="118">
        <v>16.55</v>
      </c>
      <c r="CG40" s="300" t="str">
        <f t="shared" si="53"/>
        <v>ULL?</v>
      </c>
      <c r="CH40" s="118">
        <v>17.202999999999999</v>
      </c>
      <c r="CI40" s="118">
        <v>16.937999999999999</v>
      </c>
      <c r="CJ40" s="300" t="str">
        <f t="shared" si="54"/>
        <v>ULL?</v>
      </c>
      <c r="CK40" s="118">
        <v>17.597000000000001</v>
      </c>
      <c r="CL40" s="300">
        <f t="shared" si="31"/>
        <v>16.937999999999999</v>
      </c>
      <c r="CM40" s="301" t="str">
        <f t="shared" si="32"/>
        <v>ULL?</v>
      </c>
      <c r="CN40" s="300">
        <f t="shared" si="33"/>
        <v>17.597000000000001</v>
      </c>
      <c r="CP40" s="118">
        <v>6</v>
      </c>
      <c r="CQ40" s="299">
        <f t="shared" si="55"/>
        <v>0</v>
      </c>
      <c r="CR40" s="118">
        <v>0.62</v>
      </c>
      <c r="CS40" s="118">
        <v>16.55</v>
      </c>
      <c r="CT40" s="300" t="str">
        <f t="shared" si="56"/>
        <v>ULL?</v>
      </c>
      <c r="CU40" s="118">
        <v>17.202999999999999</v>
      </c>
      <c r="CV40" s="118">
        <v>16.937999999999999</v>
      </c>
      <c r="CW40" s="300" t="str">
        <f t="shared" si="57"/>
        <v>ULL?</v>
      </c>
      <c r="CX40" s="118">
        <v>17.597000000000001</v>
      </c>
      <c r="CY40" s="300">
        <f t="shared" si="34"/>
        <v>16.71</v>
      </c>
      <c r="CZ40" s="301" t="str">
        <f t="shared" si="35"/>
        <v>ULL?</v>
      </c>
      <c r="DA40" s="300">
        <f t="shared" si="36"/>
        <v>17.364999999999998</v>
      </c>
      <c r="DC40" s="204" t="str">
        <f t="shared" si="58"/>
        <v/>
      </c>
      <c r="DD40" s="297">
        <f t="shared" si="59"/>
        <v>0</v>
      </c>
      <c r="DE40" s="297" t="str">
        <f t="shared" si="60"/>
        <v/>
      </c>
      <c r="DF40" s="1170"/>
      <c r="DG40" s="297">
        <f t="shared" si="61"/>
        <v>0</v>
      </c>
      <c r="DH40" s="297">
        <f t="shared" si="62"/>
        <v>0</v>
      </c>
      <c r="DI40" s="204" t="str">
        <f t="shared" si="39"/>
        <v/>
      </c>
      <c r="DJ40" s="297">
        <f t="shared" si="63"/>
        <v>0</v>
      </c>
      <c r="DL40" s="1141" t="str">
        <f>IF($DE40="","",INDEX('Cover Page'!$AI$106:$AJ$111,MATCH($C40,'Cover Page'!$AC$106:$AC$111,0),D1SEL_2))</f>
        <v/>
      </c>
    </row>
    <row r="41" spans="1:116" ht="15.75">
      <c r="A41" s="1286" t="s">
        <v>284</v>
      </c>
      <c r="B41" s="868"/>
      <c r="C41" s="220"/>
      <c r="D41" s="221"/>
      <c r="E41" s="1000"/>
      <c r="F41" s="1000"/>
      <c r="G41" s="223"/>
      <c r="H41" s="1004"/>
      <c r="I41" s="1004"/>
      <c r="J41" s="1340"/>
      <c r="K41" s="844"/>
      <c r="L41" s="1403"/>
      <c r="M41" s="845"/>
      <c r="N41" s="222"/>
      <c r="O41" s="223"/>
      <c r="P41" s="1004"/>
      <c r="Q41" s="1004"/>
      <c r="R41" s="1340"/>
      <c r="S41" s="844"/>
      <c r="T41" s="1402"/>
      <c r="U41" s="845"/>
      <c r="V41" s="224"/>
      <c r="X41" s="196" t="str">
        <f t="shared" si="3"/>
        <v/>
      </c>
      <c r="Y41" s="196" t="str">
        <f t="shared" si="4"/>
        <v/>
      </c>
      <c r="Z41" s="154" t="b">
        <f>IF(OR(SURVEYMODE=3,C41=""),FALSE,IF(AND(SUMPRODUCT((INDEX('Cover Page'!$I$89:$N$89,1,MATCH(C41,'Cover Page'!$I$88:$N$88,0))=$D$18)*(INDEX('Cover Page'!$I$104:$N$104,1,MATCH(C41,'Cover Page'!$I$88:$N$88,0))&gt;0))=0,D41="Y"),TRUE,FALSE))</f>
        <v>0</v>
      </c>
      <c r="AA41" s="196" t="str">
        <f t="shared" si="5"/>
        <v/>
      </c>
      <c r="AB41" s="196" t="str">
        <f t="shared" si="6"/>
        <v/>
      </c>
      <c r="AD41" s="196" t="str">
        <f t="shared" si="7"/>
        <v/>
      </c>
      <c r="AE41" s="196" t="str">
        <f t="shared" si="8"/>
        <v/>
      </c>
      <c r="AG41" s="196" t="str">
        <f t="shared" si="9"/>
        <v/>
      </c>
      <c r="AH41" s="196" t="str">
        <f t="shared" si="10"/>
        <v/>
      </c>
      <c r="AJ41" s="196" t="str">
        <f t="shared" si="11"/>
        <v/>
      </c>
      <c r="AK41" s="196" t="str">
        <f t="shared" si="12"/>
        <v/>
      </c>
      <c r="AM41" s="196" t="str">
        <f t="shared" si="13"/>
        <v/>
      </c>
      <c r="AN41" s="196" t="str">
        <f t="shared" si="14"/>
        <v/>
      </c>
      <c r="AP41" s="196" t="str">
        <f t="shared" si="15"/>
        <v/>
      </c>
      <c r="AQ41" s="196" t="str">
        <f t="shared" si="16"/>
        <v/>
      </c>
      <c r="AS41" s="196" t="str">
        <f t="shared" si="17"/>
        <v/>
      </c>
      <c r="AT41" s="196" t="str">
        <f t="shared" si="18"/>
        <v/>
      </c>
      <c r="AV41" s="196" t="str">
        <f t="shared" si="19"/>
        <v/>
      </c>
      <c r="AW41" s="196" t="str">
        <f t="shared" si="20"/>
        <v/>
      </c>
      <c r="AY41" s="196" t="str">
        <f t="shared" si="21"/>
        <v/>
      </c>
      <c r="AZ41" s="196" t="str">
        <f t="shared" si="22"/>
        <v/>
      </c>
      <c r="BB41" s="196" t="str">
        <f t="shared" si="23"/>
        <v/>
      </c>
      <c r="BC41" s="196" t="str">
        <f t="shared" si="24"/>
        <v/>
      </c>
      <c r="BE41" s="196" t="str">
        <f t="shared" si="25"/>
        <v/>
      </c>
      <c r="BF41" s="196" t="str">
        <f t="shared" si="26"/>
        <v/>
      </c>
      <c r="BH41" s="196" t="str">
        <f t="shared" si="27"/>
        <v/>
      </c>
      <c r="BI41" s="196" t="str">
        <f t="shared" si="28"/>
        <v/>
      </c>
      <c r="BK41" s="196" t="str">
        <f t="shared" si="29"/>
        <v/>
      </c>
      <c r="BL41" s="196" t="str">
        <f t="shared" si="30"/>
        <v/>
      </c>
      <c r="BN41" s="204" t="str">
        <f t="shared" si="40"/>
        <v/>
      </c>
      <c r="BO41" s="204" t="str">
        <f t="shared" si="41"/>
        <v/>
      </c>
      <c r="BP41" s="204" t="str">
        <f t="shared" si="42"/>
        <v/>
      </c>
      <c r="BQ41" s="204" t="str">
        <f t="shared" si="43"/>
        <v/>
      </c>
      <c r="BR41" s="204" t="str">
        <f t="shared" si="44"/>
        <v/>
      </c>
      <c r="BS41" s="204" t="str">
        <f t="shared" si="45"/>
        <v/>
      </c>
      <c r="BU41" s="204" t="str">
        <f t="shared" si="46"/>
        <v/>
      </c>
      <c r="BV41" s="204" t="str">
        <f t="shared" si="47"/>
        <v/>
      </c>
      <c r="BW41" s="204" t="str">
        <f t="shared" si="48"/>
        <v/>
      </c>
      <c r="BX41" s="204" t="str">
        <f t="shared" si="49"/>
        <v/>
      </c>
      <c r="BY41" s="204" t="str">
        <f t="shared" si="50"/>
        <v/>
      </c>
      <c r="BZ41" s="204" t="str">
        <f t="shared" si="51"/>
        <v/>
      </c>
      <c r="CC41" s="118">
        <v>6</v>
      </c>
      <c r="CD41" s="299">
        <f t="shared" si="52"/>
        <v>0</v>
      </c>
      <c r="CE41" s="118">
        <v>0.62</v>
      </c>
      <c r="CF41" s="118">
        <v>16.55</v>
      </c>
      <c r="CG41" s="300" t="str">
        <f t="shared" si="53"/>
        <v>ULL?</v>
      </c>
      <c r="CH41" s="118">
        <v>17.202999999999999</v>
      </c>
      <c r="CI41" s="118">
        <v>16.937999999999999</v>
      </c>
      <c r="CJ41" s="300" t="str">
        <f t="shared" si="54"/>
        <v>ULL?</v>
      </c>
      <c r="CK41" s="118">
        <v>17.597000000000001</v>
      </c>
      <c r="CL41" s="300">
        <f t="shared" si="31"/>
        <v>16.937999999999999</v>
      </c>
      <c r="CM41" s="301" t="str">
        <f t="shared" si="32"/>
        <v>ULL?</v>
      </c>
      <c r="CN41" s="300">
        <f t="shared" si="33"/>
        <v>17.597000000000001</v>
      </c>
      <c r="CP41" s="118">
        <v>6</v>
      </c>
      <c r="CQ41" s="299">
        <f t="shared" si="55"/>
        <v>0</v>
      </c>
      <c r="CR41" s="118">
        <v>0.62</v>
      </c>
      <c r="CS41" s="118">
        <v>16.55</v>
      </c>
      <c r="CT41" s="300" t="str">
        <f t="shared" si="56"/>
        <v>ULL?</v>
      </c>
      <c r="CU41" s="118">
        <v>17.202999999999999</v>
      </c>
      <c r="CV41" s="118">
        <v>16.937999999999999</v>
      </c>
      <c r="CW41" s="300" t="str">
        <f t="shared" si="57"/>
        <v>ULL?</v>
      </c>
      <c r="CX41" s="118">
        <v>17.597000000000001</v>
      </c>
      <c r="CY41" s="300">
        <f t="shared" si="34"/>
        <v>16.71</v>
      </c>
      <c r="CZ41" s="301" t="str">
        <f t="shared" si="35"/>
        <v>ULL?</v>
      </c>
      <c r="DA41" s="300">
        <f t="shared" si="36"/>
        <v>17.364999999999998</v>
      </c>
      <c r="DC41" s="204" t="str">
        <f t="shared" si="58"/>
        <v/>
      </c>
      <c r="DD41" s="297">
        <f t="shared" si="59"/>
        <v>0</v>
      </c>
      <c r="DE41" s="297" t="str">
        <f t="shared" si="60"/>
        <v/>
      </c>
      <c r="DF41" s="1170"/>
      <c r="DG41" s="297">
        <f t="shared" si="61"/>
        <v>0</v>
      </c>
      <c r="DH41" s="297">
        <f t="shared" si="62"/>
        <v>0</v>
      </c>
      <c r="DI41" s="204" t="str">
        <f t="shared" si="39"/>
        <v/>
      </c>
      <c r="DJ41" s="297">
        <f t="shared" si="63"/>
        <v>0</v>
      </c>
      <c r="DL41" s="1141" t="str">
        <f>IF($DE41="","",INDEX('Cover Page'!$AI$106:$AJ$111,MATCH($C41,'Cover Page'!$AC$106:$AC$111,0),D1SEL_2))</f>
        <v/>
      </c>
    </row>
    <row r="42" spans="1:116" ht="15.75">
      <c r="A42" s="1286" t="s">
        <v>284</v>
      </c>
      <c r="B42" s="867"/>
      <c r="C42" s="215"/>
      <c r="D42" s="216"/>
      <c r="E42" s="999"/>
      <c r="F42" s="999"/>
      <c r="G42" s="218"/>
      <c r="H42" s="1003"/>
      <c r="I42" s="1003"/>
      <c r="J42" s="1339"/>
      <c r="K42" s="841"/>
      <c r="L42" s="1402"/>
      <c r="M42" s="842"/>
      <c r="N42" s="217"/>
      <c r="O42" s="218"/>
      <c r="P42" s="1003"/>
      <c r="Q42" s="1003"/>
      <c r="R42" s="1339"/>
      <c r="S42" s="841"/>
      <c r="T42" s="1402"/>
      <c r="U42" s="842"/>
      <c r="V42" s="219"/>
      <c r="X42" s="196" t="str">
        <f t="shared" si="3"/>
        <v/>
      </c>
      <c r="Y42" s="196" t="str">
        <f t="shared" si="4"/>
        <v/>
      </c>
      <c r="Z42" s="154" t="b">
        <f>IF(OR(SURVEYMODE=3,C42=""),FALSE,IF(AND(SUMPRODUCT((INDEX('Cover Page'!$I$89:$N$89,1,MATCH(C42,'Cover Page'!$I$88:$N$88,0))=$D$18)*(INDEX('Cover Page'!$I$104:$N$104,1,MATCH(C42,'Cover Page'!$I$88:$N$88,0))&gt;0))=0,D42="Y"),TRUE,FALSE))</f>
        <v>0</v>
      </c>
      <c r="AA42" s="196" t="str">
        <f t="shared" si="5"/>
        <v/>
      </c>
      <c r="AB42" s="196" t="str">
        <f t="shared" si="6"/>
        <v/>
      </c>
      <c r="AD42" s="196" t="str">
        <f t="shared" si="7"/>
        <v/>
      </c>
      <c r="AE42" s="196" t="str">
        <f t="shared" si="8"/>
        <v/>
      </c>
      <c r="AG42" s="196" t="str">
        <f t="shared" si="9"/>
        <v/>
      </c>
      <c r="AH42" s="196" t="str">
        <f t="shared" si="10"/>
        <v/>
      </c>
      <c r="AJ42" s="196" t="str">
        <f t="shared" si="11"/>
        <v/>
      </c>
      <c r="AK42" s="196" t="str">
        <f t="shared" si="12"/>
        <v/>
      </c>
      <c r="AM42" s="196" t="str">
        <f t="shared" si="13"/>
        <v/>
      </c>
      <c r="AN42" s="196" t="str">
        <f t="shared" si="14"/>
        <v/>
      </c>
      <c r="AP42" s="196" t="str">
        <f t="shared" si="15"/>
        <v/>
      </c>
      <c r="AQ42" s="196" t="str">
        <f t="shared" si="16"/>
        <v/>
      </c>
      <c r="AS42" s="196" t="str">
        <f t="shared" si="17"/>
        <v/>
      </c>
      <c r="AT42" s="196" t="str">
        <f t="shared" si="18"/>
        <v/>
      </c>
      <c r="AV42" s="196" t="str">
        <f t="shared" si="19"/>
        <v/>
      </c>
      <c r="AW42" s="196" t="str">
        <f t="shared" si="20"/>
        <v/>
      </c>
      <c r="AY42" s="196" t="str">
        <f t="shared" si="21"/>
        <v/>
      </c>
      <c r="AZ42" s="196" t="str">
        <f t="shared" si="22"/>
        <v/>
      </c>
      <c r="BB42" s="196" t="str">
        <f t="shared" si="23"/>
        <v/>
      </c>
      <c r="BC42" s="196" t="str">
        <f t="shared" si="24"/>
        <v/>
      </c>
      <c r="BE42" s="196" t="str">
        <f t="shared" si="25"/>
        <v/>
      </c>
      <c r="BF42" s="196" t="str">
        <f t="shared" si="26"/>
        <v/>
      </c>
      <c r="BH42" s="196" t="str">
        <f t="shared" si="27"/>
        <v/>
      </c>
      <c r="BI42" s="196" t="str">
        <f t="shared" si="28"/>
        <v/>
      </c>
      <c r="BK42" s="196" t="str">
        <f t="shared" si="29"/>
        <v/>
      </c>
      <c r="BL42" s="196" t="str">
        <f t="shared" si="30"/>
        <v/>
      </c>
      <c r="BN42" s="204" t="str">
        <f t="shared" si="40"/>
        <v/>
      </c>
      <c r="BO42" s="204" t="str">
        <f t="shared" si="41"/>
        <v/>
      </c>
      <c r="BP42" s="204" t="str">
        <f t="shared" si="42"/>
        <v/>
      </c>
      <c r="BQ42" s="204" t="str">
        <f t="shared" si="43"/>
        <v/>
      </c>
      <c r="BR42" s="204" t="str">
        <f t="shared" si="44"/>
        <v/>
      </c>
      <c r="BS42" s="204" t="str">
        <f t="shared" si="45"/>
        <v/>
      </c>
      <c r="BU42" s="204" t="str">
        <f t="shared" si="46"/>
        <v/>
      </c>
      <c r="BV42" s="204" t="str">
        <f t="shared" si="47"/>
        <v/>
      </c>
      <c r="BW42" s="204" t="str">
        <f t="shared" si="48"/>
        <v/>
      </c>
      <c r="BX42" s="204" t="str">
        <f t="shared" si="49"/>
        <v/>
      </c>
      <c r="BY42" s="204" t="str">
        <f t="shared" si="50"/>
        <v/>
      </c>
      <c r="BZ42" s="204" t="str">
        <f t="shared" si="51"/>
        <v/>
      </c>
      <c r="CC42" s="118">
        <v>6</v>
      </c>
      <c r="CD42" s="299">
        <f t="shared" si="52"/>
        <v>0</v>
      </c>
      <c r="CE42" s="118">
        <v>0.62</v>
      </c>
      <c r="CF42" s="118">
        <v>16.55</v>
      </c>
      <c r="CG42" s="300" t="str">
        <f t="shared" si="53"/>
        <v>ULL?</v>
      </c>
      <c r="CH42" s="118">
        <v>17.202999999999999</v>
      </c>
      <c r="CI42" s="118">
        <v>16.937999999999999</v>
      </c>
      <c r="CJ42" s="300" t="str">
        <f t="shared" si="54"/>
        <v>ULL?</v>
      </c>
      <c r="CK42" s="118">
        <v>17.597000000000001</v>
      </c>
      <c r="CL42" s="300">
        <f t="shared" si="31"/>
        <v>16.937999999999999</v>
      </c>
      <c r="CM42" s="301" t="str">
        <f t="shared" si="32"/>
        <v>ULL?</v>
      </c>
      <c r="CN42" s="300">
        <f t="shared" si="33"/>
        <v>17.597000000000001</v>
      </c>
      <c r="CP42" s="118">
        <v>6</v>
      </c>
      <c r="CQ42" s="299">
        <f t="shared" si="55"/>
        <v>0</v>
      </c>
      <c r="CR42" s="118">
        <v>0.62</v>
      </c>
      <c r="CS42" s="118">
        <v>16.55</v>
      </c>
      <c r="CT42" s="300" t="str">
        <f t="shared" si="56"/>
        <v>ULL?</v>
      </c>
      <c r="CU42" s="118">
        <v>17.202999999999999</v>
      </c>
      <c r="CV42" s="118">
        <v>16.937999999999999</v>
      </c>
      <c r="CW42" s="300" t="str">
        <f t="shared" si="57"/>
        <v>ULL?</v>
      </c>
      <c r="CX42" s="118">
        <v>17.597000000000001</v>
      </c>
      <c r="CY42" s="300">
        <f t="shared" si="34"/>
        <v>16.71</v>
      </c>
      <c r="CZ42" s="301" t="str">
        <f t="shared" si="35"/>
        <v>ULL?</v>
      </c>
      <c r="DA42" s="300">
        <f t="shared" si="36"/>
        <v>17.364999999999998</v>
      </c>
      <c r="DC42" s="204" t="str">
        <f t="shared" si="58"/>
        <v/>
      </c>
      <c r="DD42" s="297">
        <f t="shared" si="59"/>
        <v>0</v>
      </c>
      <c r="DE42" s="297" t="str">
        <f t="shared" si="60"/>
        <v/>
      </c>
      <c r="DF42" s="1170"/>
      <c r="DG42" s="297">
        <f t="shared" si="61"/>
        <v>0</v>
      </c>
      <c r="DH42" s="297">
        <f t="shared" si="62"/>
        <v>0</v>
      </c>
      <c r="DI42" s="204" t="str">
        <f t="shared" si="39"/>
        <v/>
      </c>
      <c r="DJ42" s="297">
        <f t="shared" si="63"/>
        <v>0</v>
      </c>
      <c r="DL42" s="1141" t="str">
        <f>IF($DE42="","",INDEX('Cover Page'!$AI$106:$AJ$111,MATCH($C42,'Cover Page'!$AC$106:$AC$111,0),D1SEL_2))</f>
        <v/>
      </c>
    </row>
    <row r="43" spans="1:116" ht="15.75">
      <c r="A43" s="1286" t="s">
        <v>284</v>
      </c>
      <c r="B43" s="868"/>
      <c r="C43" s="220"/>
      <c r="D43" s="221"/>
      <c r="E43" s="1000"/>
      <c r="F43" s="1000"/>
      <c r="G43" s="223"/>
      <c r="H43" s="1004"/>
      <c r="I43" s="1004"/>
      <c r="J43" s="1340"/>
      <c r="K43" s="844"/>
      <c r="L43" s="1403"/>
      <c r="M43" s="845"/>
      <c r="N43" s="222"/>
      <c r="O43" s="223"/>
      <c r="P43" s="1004"/>
      <c r="Q43" s="1004"/>
      <c r="R43" s="1340"/>
      <c r="S43" s="844"/>
      <c r="T43" s="1402"/>
      <c r="U43" s="845"/>
      <c r="V43" s="224"/>
      <c r="X43" s="196" t="str">
        <f t="shared" ref="X43" si="64">IF($E43="","",IF($E$25=X$25,$E43,IF(ISTEXT($E43),$E43,$E43/FFEET)))</f>
        <v/>
      </c>
      <c r="Y43" s="196" t="str">
        <f t="shared" ref="Y43" si="65">IF($E43="","",IF($E$25=Y$25,$E43,IF(ISTEXT($E43),$E43,$E43*FFEET)))</f>
        <v/>
      </c>
      <c r="Z43" s="154" t="b">
        <f>IF(OR(SURVEYMODE=3,C43=""),FALSE,IF(AND(SUMPRODUCT((INDEX('Cover Page'!$I$89:$N$89,1,MATCH(C43,'Cover Page'!$I$88:$N$88,0))=$D$18)*(INDEX('Cover Page'!$I$104:$N$104,1,MATCH(C43,'Cover Page'!$I$88:$N$88,0))&gt;0))=0,D43="Y"),TRUE,FALSE))</f>
        <v>0</v>
      </c>
      <c r="AA43" s="196" t="str">
        <f t="shared" ref="AA43" si="66">IF($F43="","",IF($F$25=AA$25,$F43,IF(ISTEXT($F43),$F43,$F43/FFEET)))</f>
        <v/>
      </c>
      <c r="AB43" s="196" t="str">
        <f t="shared" ref="AB43" si="67">IF($F43="","",IF($F$25=AB$25,$F43,IF(ISTEXT($F43),$F43,$F43*FFEET)))</f>
        <v/>
      </c>
      <c r="AD43" s="196" t="str">
        <f t="shared" ref="AD43" si="68">IF($H43="","",IF($H$25=AD$25,$H43,IF(ISTEXT($H43),$H43,$H43/FFEET)))</f>
        <v/>
      </c>
      <c r="AE43" s="196" t="str">
        <f t="shared" ref="AE43" si="69">IF($H43="","",IF($H$25=AE$25,$H43,IF(ISTEXT($H43),$H43,$H43*FFEET)))</f>
        <v/>
      </c>
      <c r="AG43" s="196" t="str">
        <f t="shared" ref="AG43" si="70">IF($I43="","",IF($I$25=AG$25,$I43,IF(ISTEXT($I43),$I43,$I43/FFEET)))</f>
        <v/>
      </c>
      <c r="AH43" s="196" t="str">
        <f t="shared" ref="AH43" si="71">IF($I43="","",IF($I$25=AH$25,$I43,IF(ISTEXT($I43),$I43,$I43*FFEET)))</f>
        <v/>
      </c>
      <c r="AJ43" s="196" t="str">
        <f t="shared" ref="AJ43" si="72">IF($P43="","",IF($P$25=AJ$25,$P43,IF(ISTEXT($P43),$P43,$P43/FFEET)))</f>
        <v/>
      </c>
      <c r="AK43" s="196" t="str">
        <f t="shared" ref="AK43" si="73">IF($P43="","",IF($P$25=AK$25,$P43,IF(ISTEXT($P43),$P43,$P43*FFEET)))</f>
        <v/>
      </c>
      <c r="AM43" s="196" t="str">
        <f t="shared" ref="AM43" si="74">IF($Q43="","",IF($Q$25=AM$25,$Q43,IF(ISTEXT($Q43),$Q43,$Q43/FFEET)))</f>
        <v/>
      </c>
      <c r="AN43" s="196" t="str">
        <f t="shared" ref="AN43" si="75">IF($Q43="","",IF($Q$25=AN$25,$Q43,IF(ISTEXT($Q43),$Q43,$Q43*FFEET)))</f>
        <v/>
      </c>
      <c r="AP43" s="196" t="str">
        <f t="shared" ref="AP43" si="76">IF($J43="","",IF($J$25=AP$25,$J43,IF(ISTEXT($J43),$J43,$J43/FBBLS)))</f>
        <v/>
      </c>
      <c r="AQ43" s="196" t="str">
        <f t="shared" ref="AQ43" si="77">IF($J43="","",IF($J$25=AQ$25,$J43,IF(ISTEXT($J43),$J43,$J43*FBBLS)))</f>
        <v/>
      </c>
      <c r="AS43" s="196" t="str">
        <f t="shared" ref="AS43" si="78">IF($N43="","",IF($N$25=AS$25,$N43,IF(ISTEXT($N43),$N43,$N43/FBBLS)))</f>
        <v/>
      </c>
      <c r="AT43" s="196" t="str">
        <f t="shared" ref="AT43" si="79">IF($N43="","",IF($N$25=AT$25,$N43,IF(ISTEXT($N43),$N43,$N43*FBBLS)))</f>
        <v/>
      </c>
      <c r="AV43" s="196" t="str">
        <f t="shared" ref="AV43" si="80">IF($R43="","",IF($R$25=AV$25,$R43,IF(ISTEXT($R43),$R43,$R43/FBBLS)))</f>
        <v/>
      </c>
      <c r="AW43" s="196" t="str">
        <f t="shared" ref="AW43" si="81">IF($R43="","",IF($R$25=AW$25,$R43,IF(ISTEXT($R43),$R43,$R43*FBBLS)))</f>
        <v/>
      </c>
      <c r="AY43" s="196" t="str">
        <f t="shared" ref="AY43" si="82">IF($V43="","",IF($V$25=AY$25,$V43,IF(ISTEXT($V43),$V43,$V43/FBBLS)))</f>
        <v/>
      </c>
      <c r="AZ43" s="196" t="str">
        <f t="shared" ref="AZ43" si="83">IF($V43="","",IF($V$25=AZ$25,$V43,IF(ISTEXT($V43),$V43,$V43*FBBLS)))</f>
        <v/>
      </c>
      <c r="BB43" s="196" t="str">
        <f>IF($K43="","",IF($K$25=BB$25,$K43,IF(ISTEXT($K43),$K43,($K43-32)*5/9)))</f>
        <v/>
      </c>
      <c r="BC43" s="196" t="str">
        <f>IF($K43="","",IF($K$25=BC$25,$K43,IF(ISTEXT($K43),$K43,($K43*9/5)+32)))</f>
        <v/>
      </c>
      <c r="BE43" s="196" t="str">
        <f>IF($S43="","",IF($S$25=BE$25,$S43,IF(ISTEXT($S43),$S43,($S43-32)*5/9)))</f>
        <v/>
      </c>
      <c r="BF43" s="196" t="str">
        <f>IF($S43="","",IF($S$25=BF$25,$S43,IF(ISTEXT($S43),$S43,($S43*9/5)+32)))</f>
        <v/>
      </c>
      <c r="BH43" s="196" t="str">
        <f t="shared" ref="BH43" si="84">IF($M43="","",IF($M$25=BH$25,$M43,IF(ISTEXT($M43),$M43,$M43/FINCH)))</f>
        <v/>
      </c>
      <c r="BI43" s="196" t="str">
        <f t="shared" ref="BI43" si="85">IF($M43="","",IF($M$25=BI$25,$M43,IF(ISTEXT($M43),$M43,$M43*FINCH)))</f>
        <v/>
      </c>
      <c r="BK43" s="196" t="str">
        <f t="shared" ref="BK43" si="86">IF($U43="","",IF($U$25=BK$25,$U43,IF(ISTEXT($U43),$U43,$U43/FINCH)))</f>
        <v/>
      </c>
      <c r="BL43" s="196" t="str">
        <f t="shared" ref="BL43" si="87">IF($U43="","",IF($U$25=BL$25,$U43,IF(ISTEXT($U43),$U43,$U43*FINCH)))</f>
        <v/>
      </c>
      <c r="BN43" s="204" t="str">
        <f t="shared" si="40"/>
        <v/>
      </c>
      <c r="BO43" s="204" t="str">
        <f t="shared" si="41"/>
        <v/>
      </c>
      <c r="BP43" s="204" t="str">
        <f t="shared" si="42"/>
        <v/>
      </c>
      <c r="BQ43" s="204" t="str">
        <f t="shared" si="43"/>
        <v/>
      </c>
      <c r="BR43" s="204" t="str">
        <f t="shared" si="44"/>
        <v/>
      </c>
      <c r="BS43" s="204" t="str">
        <f t="shared" si="45"/>
        <v/>
      </c>
      <c r="BU43" s="204" t="str">
        <f t="shared" si="46"/>
        <v/>
      </c>
      <c r="BV43" s="204" t="str">
        <f t="shared" si="47"/>
        <v/>
      </c>
      <c r="BW43" s="204" t="str">
        <f t="shared" si="48"/>
        <v/>
      </c>
      <c r="BX43" s="204" t="str">
        <f t="shared" si="49"/>
        <v/>
      </c>
      <c r="BY43" s="204" t="str">
        <f t="shared" si="50"/>
        <v/>
      </c>
      <c r="BZ43" s="204" t="str">
        <f t="shared" si="51"/>
        <v/>
      </c>
      <c r="CC43" s="118">
        <v>6</v>
      </c>
      <c r="CD43" s="299">
        <f t="shared" si="52"/>
        <v>0</v>
      </c>
      <c r="CE43" s="118">
        <v>0.62</v>
      </c>
      <c r="CF43" s="118">
        <v>16.55</v>
      </c>
      <c r="CG43" s="300" t="str">
        <f t="shared" si="53"/>
        <v>ULL?</v>
      </c>
      <c r="CH43" s="118">
        <v>17.202999999999999</v>
      </c>
      <c r="CI43" s="118">
        <v>16.937999999999999</v>
      </c>
      <c r="CJ43" s="300" t="str">
        <f t="shared" si="54"/>
        <v>ULL?</v>
      </c>
      <c r="CK43" s="118">
        <v>17.597000000000001</v>
      </c>
      <c r="CL43" s="300">
        <f t="shared" si="31"/>
        <v>16.937999999999999</v>
      </c>
      <c r="CM43" s="301" t="str">
        <f t="shared" si="32"/>
        <v>ULL?</v>
      </c>
      <c r="CN43" s="300">
        <f t="shared" si="33"/>
        <v>17.597000000000001</v>
      </c>
      <c r="CP43" s="118">
        <v>6</v>
      </c>
      <c r="CQ43" s="299">
        <f t="shared" si="55"/>
        <v>0</v>
      </c>
      <c r="CR43" s="118">
        <v>0.62</v>
      </c>
      <c r="CS43" s="118">
        <v>16.55</v>
      </c>
      <c r="CT43" s="300" t="str">
        <f t="shared" si="56"/>
        <v>ULL?</v>
      </c>
      <c r="CU43" s="118">
        <v>17.202999999999999</v>
      </c>
      <c r="CV43" s="118">
        <v>16.937999999999999</v>
      </c>
      <c r="CW43" s="300" t="str">
        <f t="shared" si="57"/>
        <v>ULL?</v>
      </c>
      <c r="CX43" s="118">
        <v>17.597000000000001</v>
      </c>
      <c r="CY43" s="300">
        <f t="shared" si="34"/>
        <v>16.71</v>
      </c>
      <c r="CZ43" s="301" t="str">
        <f t="shared" si="35"/>
        <v>ULL?</v>
      </c>
      <c r="DA43" s="300">
        <f t="shared" si="36"/>
        <v>17.364999999999998</v>
      </c>
      <c r="DC43" s="204" t="str">
        <f t="shared" si="58"/>
        <v/>
      </c>
      <c r="DD43" s="297">
        <f t="shared" si="59"/>
        <v>0</v>
      </c>
      <c r="DE43" s="297" t="str">
        <f t="shared" si="60"/>
        <v/>
      </c>
      <c r="DF43" s="1170"/>
      <c r="DG43" s="297">
        <f t="shared" si="61"/>
        <v>0</v>
      </c>
      <c r="DH43" s="297">
        <f t="shared" si="62"/>
        <v>0</v>
      </c>
      <c r="DI43" s="204" t="str">
        <f t="shared" si="39"/>
        <v/>
      </c>
      <c r="DJ43" s="297">
        <f t="shared" si="63"/>
        <v>0</v>
      </c>
      <c r="DL43" s="1141" t="str">
        <f>IF($DE43="","",INDEX('Cover Page'!$AI$106:$AJ$111,MATCH($C43,'Cover Page'!$AC$106:$AC$111,0),D1SEL_2))</f>
        <v/>
      </c>
    </row>
    <row r="44" spans="1:116" ht="15.75">
      <c r="A44" s="1286" t="s">
        <v>284</v>
      </c>
      <c r="B44" s="867"/>
      <c r="C44" s="215"/>
      <c r="D44" s="216"/>
      <c r="E44" s="999"/>
      <c r="F44" s="999"/>
      <c r="G44" s="218"/>
      <c r="H44" s="1003"/>
      <c r="I44" s="1003"/>
      <c r="J44" s="1339"/>
      <c r="K44" s="841"/>
      <c r="L44" s="1402"/>
      <c r="M44" s="842"/>
      <c r="N44" s="217"/>
      <c r="O44" s="218"/>
      <c r="P44" s="1003"/>
      <c r="Q44" s="1003"/>
      <c r="R44" s="1339"/>
      <c r="S44" s="841"/>
      <c r="T44" s="1402"/>
      <c r="U44" s="842"/>
      <c r="V44" s="219"/>
      <c r="X44" s="196" t="str">
        <f t="shared" si="3"/>
        <v/>
      </c>
      <c r="Y44" s="196" t="str">
        <f t="shared" si="4"/>
        <v/>
      </c>
      <c r="Z44" s="154" t="b">
        <f>IF(OR(SURVEYMODE=3,C44=""),FALSE,IF(AND(SUMPRODUCT((INDEX('Cover Page'!$I$89:$N$89,1,MATCH(C44,'Cover Page'!$I$88:$N$88,0))=$D$18)*(INDEX('Cover Page'!$I$104:$N$104,1,MATCH(C44,'Cover Page'!$I$88:$N$88,0))&gt;0))=0,D44="Y"),TRUE,FALSE))</f>
        <v>0</v>
      </c>
      <c r="AA44" s="196" t="str">
        <f t="shared" si="5"/>
        <v/>
      </c>
      <c r="AB44" s="196" t="str">
        <f t="shared" si="6"/>
        <v/>
      </c>
      <c r="AD44" s="196" t="str">
        <f t="shared" si="7"/>
        <v/>
      </c>
      <c r="AE44" s="196" t="str">
        <f t="shared" si="8"/>
        <v/>
      </c>
      <c r="AG44" s="196" t="str">
        <f t="shared" si="9"/>
        <v/>
      </c>
      <c r="AH44" s="196" t="str">
        <f t="shared" si="10"/>
        <v/>
      </c>
      <c r="AJ44" s="196" t="str">
        <f t="shared" si="11"/>
        <v/>
      </c>
      <c r="AK44" s="196" t="str">
        <f t="shared" si="12"/>
        <v/>
      </c>
      <c r="AM44" s="196" t="str">
        <f t="shared" si="13"/>
        <v/>
      </c>
      <c r="AN44" s="196" t="str">
        <f t="shared" si="14"/>
        <v/>
      </c>
      <c r="AP44" s="196" t="str">
        <f t="shared" si="15"/>
        <v/>
      </c>
      <c r="AQ44" s="196" t="str">
        <f t="shared" si="16"/>
        <v/>
      </c>
      <c r="AS44" s="196" t="str">
        <f t="shared" si="17"/>
        <v/>
      </c>
      <c r="AT44" s="196" t="str">
        <f t="shared" si="18"/>
        <v/>
      </c>
      <c r="AV44" s="196" t="str">
        <f t="shared" si="19"/>
        <v/>
      </c>
      <c r="AW44" s="196" t="str">
        <f t="shared" si="20"/>
        <v/>
      </c>
      <c r="AY44" s="196" t="str">
        <f t="shared" si="21"/>
        <v/>
      </c>
      <c r="AZ44" s="196" t="str">
        <f t="shared" si="22"/>
        <v/>
      </c>
      <c r="BB44" s="196" t="str">
        <f t="shared" ref="BB44:BB56" si="88">IF($K44="","",IF($K$25=BB$25,$K44,IF(ISTEXT($K44),$K44,($K44-32)*5/9)))</f>
        <v/>
      </c>
      <c r="BC44" s="196" t="str">
        <f t="shared" ref="BC44:BC56" si="89">IF($K44="","",IF($K$25=BC$25,$K44,IF(ISTEXT($K44),$K44,($K44*9/5)+32)))</f>
        <v/>
      </c>
      <c r="BE44" s="196" t="str">
        <f t="shared" ref="BE44:BE56" si="90">IF($S44="","",IF($S$25=BE$25,$S44,IF(ISTEXT($S44),$S44,($S44-32)*5/9)))</f>
        <v/>
      </c>
      <c r="BF44" s="196" t="str">
        <f t="shared" ref="BF44:BF56" si="91">IF($S44="","",IF($S$25=BF$25,$S44,IF(ISTEXT($S44),$S44,($S44*9/5)+32)))</f>
        <v/>
      </c>
      <c r="BH44" s="196" t="str">
        <f t="shared" si="27"/>
        <v/>
      </c>
      <c r="BI44" s="196" t="str">
        <f t="shared" si="28"/>
        <v/>
      </c>
      <c r="BK44" s="196" t="str">
        <f t="shared" si="29"/>
        <v/>
      </c>
      <c r="BL44" s="196" t="str">
        <f t="shared" si="30"/>
        <v/>
      </c>
      <c r="BN44" s="204" t="str">
        <f t="shared" si="40"/>
        <v/>
      </c>
      <c r="BO44" s="204" t="str">
        <f t="shared" si="41"/>
        <v/>
      </c>
      <c r="BP44" s="204" t="str">
        <f t="shared" si="42"/>
        <v/>
      </c>
      <c r="BQ44" s="204" t="str">
        <f t="shared" si="43"/>
        <v/>
      </c>
      <c r="BR44" s="204" t="str">
        <f t="shared" si="44"/>
        <v/>
      </c>
      <c r="BS44" s="204" t="str">
        <f t="shared" si="45"/>
        <v/>
      </c>
      <c r="BU44" s="204" t="str">
        <f t="shared" si="46"/>
        <v/>
      </c>
      <c r="BV44" s="204" t="str">
        <f t="shared" si="47"/>
        <v/>
      </c>
      <c r="BW44" s="204" t="str">
        <f t="shared" si="48"/>
        <v/>
      </c>
      <c r="BX44" s="204" t="str">
        <f t="shared" si="49"/>
        <v/>
      </c>
      <c r="BY44" s="204" t="str">
        <f t="shared" si="50"/>
        <v/>
      </c>
      <c r="BZ44" s="204" t="str">
        <f t="shared" si="51"/>
        <v/>
      </c>
      <c r="CC44" s="118">
        <v>6</v>
      </c>
      <c r="CD44" s="299">
        <f t="shared" si="52"/>
        <v>0</v>
      </c>
      <c r="CE44" s="118">
        <v>0.62</v>
      </c>
      <c r="CF44" s="118">
        <v>16.55</v>
      </c>
      <c r="CG44" s="300" t="str">
        <f t="shared" si="53"/>
        <v>ULL?</v>
      </c>
      <c r="CH44" s="118">
        <v>17.202999999999999</v>
      </c>
      <c r="CI44" s="118">
        <v>16.937999999999999</v>
      </c>
      <c r="CJ44" s="300" t="str">
        <f t="shared" si="54"/>
        <v>ULL?</v>
      </c>
      <c r="CK44" s="118">
        <v>17.597000000000001</v>
      </c>
      <c r="CL44" s="300">
        <f t="shared" si="31"/>
        <v>16.937999999999999</v>
      </c>
      <c r="CM44" s="301" t="str">
        <f t="shared" si="32"/>
        <v>ULL?</v>
      </c>
      <c r="CN44" s="300">
        <f t="shared" si="33"/>
        <v>17.597000000000001</v>
      </c>
      <c r="CP44" s="118">
        <v>6</v>
      </c>
      <c r="CQ44" s="299">
        <f t="shared" si="55"/>
        <v>0</v>
      </c>
      <c r="CR44" s="118">
        <v>0.62</v>
      </c>
      <c r="CS44" s="118">
        <v>16.55</v>
      </c>
      <c r="CT44" s="300" t="str">
        <f t="shared" si="56"/>
        <v>ULL?</v>
      </c>
      <c r="CU44" s="118">
        <v>17.202999999999999</v>
      </c>
      <c r="CV44" s="118">
        <v>16.937999999999999</v>
      </c>
      <c r="CW44" s="300" t="str">
        <f t="shared" si="57"/>
        <v>ULL?</v>
      </c>
      <c r="CX44" s="118">
        <v>17.597000000000001</v>
      </c>
      <c r="CY44" s="300">
        <f t="shared" si="34"/>
        <v>16.71</v>
      </c>
      <c r="CZ44" s="301" t="str">
        <f t="shared" si="35"/>
        <v>ULL?</v>
      </c>
      <c r="DA44" s="300">
        <f t="shared" si="36"/>
        <v>17.364999999999998</v>
      </c>
      <c r="DC44" s="204" t="str">
        <f t="shared" si="58"/>
        <v/>
      </c>
      <c r="DD44" s="297">
        <f t="shared" si="59"/>
        <v>0</v>
      </c>
      <c r="DE44" s="297" t="str">
        <f t="shared" si="60"/>
        <v/>
      </c>
      <c r="DF44" s="1170"/>
      <c r="DG44" s="297">
        <f t="shared" si="61"/>
        <v>0</v>
      </c>
      <c r="DH44" s="297">
        <f t="shared" si="62"/>
        <v>0</v>
      </c>
      <c r="DI44" s="204" t="str">
        <f t="shared" si="39"/>
        <v/>
      </c>
      <c r="DJ44" s="297">
        <f t="shared" si="63"/>
        <v>0</v>
      </c>
      <c r="DL44" s="1141" t="str">
        <f>IF($DE44="","",INDEX('Cover Page'!$AI$106:$AJ$111,MATCH($C44,'Cover Page'!$AC$106:$AC$111,0),D1SEL_2))</f>
        <v/>
      </c>
    </row>
    <row r="45" spans="1:116" ht="15.75">
      <c r="A45" s="1286" t="s">
        <v>284</v>
      </c>
      <c r="B45" s="868"/>
      <c r="C45" s="220"/>
      <c r="D45" s="221"/>
      <c r="E45" s="1000"/>
      <c r="F45" s="1000"/>
      <c r="G45" s="223"/>
      <c r="H45" s="1004"/>
      <c r="I45" s="1004"/>
      <c r="J45" s="1340"/>
      <c r="K45" s="844"/>
      <c r="L45" s="1403"/>
      <c r="M45" s="845"/>
      <c r="N45" s="222"/>
      <c r="O45" s="223"/>
      <c r="P45" s="1004"/>
      <c r="Q45" s="1004"/>
      <c r="R45" s="1340"/>
      <c r="S45" s="844"/>
      <c r="T45" s="1402"/>
      <c r="U45" s="845"/>
      <c r="V45" s="224"/>
      <c r="X45" s="196" t="str">
        <f t="shared" si="3"/>
        <v/>
      </c>
      <c r="Y45" s="196" t="str">
        <f t="shared" si="4"/>
        <v/>
      </c>
      <c r="Z45" s="154" t="b">
        <f>IF(OR(SURVEYMODE=3,C45=""),FALSE,IF(AND(SUMPRODUCT((INDEX('Cover Page'!$I$89:$N$89,1,MATCH(C45,'Cover Page'!$I$88:$N$88,0))=$D$18)*(INDEX('Cover Page'!$I$104:$N$104,1,MATCH(C45,'Cover Page'!$I$88:$N$88,0))&gt;0))=0,D45="Y"),TRUE,FALSE))</f>
        <v>0</v>
      </c>
      <c r="AA45" s="196" t="str">
        <f t="shared" si="5"/>
        <v/>
      </c>
      <c r="AB45" s="196" t="str">
        <f t="shared" si="6"/>
        <v/>
      </c>
      <c r="AD45" s="196" t="str">
        <f t="shared" si="7"/>
        <v/>
      </c>
      <c r="AE45" s="196" t="str">
        <f t="shared" si="8"/>
        <v/>
      </c>
      <c r="AG45" s="196" t="str">
        <f t="shared" si="9"/>
        <v/>
      </c>
      <c r="AH45" s="196" t="str">
        <f t="shared" si="10"/>
        <v/>
      </c>
      <c r="AJ45" s="196" t="str">
        <f t="shared" si="11"/>
        <v/>
      </c>
      <c r="AK45" s="196" t="str">
        <f t="shared" si="12"/>
        <v/>
      </c>
      <c r="AM45" s="196" t="str">
        <f t="shared" si="13"/>
        <v/>
      </c>
      <c r="AN45" s="196" t="str">
        <f t="shared" si="14"/>
        <v/>
      </c>
      <c r="AP45" s="196" t="str">
        <f t="shared" si="15"/>
        <v/>
      </c>
      <c r="AQ45" s="196" t="str">
        <f t="shared" si="16"/>
        <v/>
      </c>
      <c r="AS45" s="196" t="str">
        <f t="shared" si="17"/>
        <v/>
      </c>
      <c r="AT45" s="196" t="str">
        <f t="shared" si="18"/>
        <v/>
      </c>
      <c r="AV45" s="196" t="str">
        <f t="shared" si="19"/>
        <v/>
      </c>
      <c r="AW45" s="196" t="str">
        <f t="shared" si="20"/>
        <v/>
      </c>
      <c r="AY45" s="196" t="str">
        <f t="shared" si="21"/>
        <v/>
      </c>
      <c r="AZ45" s="196" t="str">
        <f t="shared" si="22"/>
        <v/>
      </c>
      <c r="BB45" s="196" t="str">
        <f t="shared" si="88"/>
        <v/>
      </c>
      <c r="BC45" s="196" t="str">
        <f t="shared" si="89"/>
        <v/>
      </c>
      <c r="BE45" s="196" t="str">
        <f t="shared" si="90"/>
        <v/>
      </c>
      <c r="BF45" s="196" t="str">
        <f t="shared" si="91"/>
        <v/>
      </c>
      <c r="BH45" s="196" t="str">
        <f t="shared" si="27"/>
        <v/>
      </c>
      <c r="BI45" s="196" t="str">
        <f t="shared" si="28"/>
        <v/>
      </c>
      <c r="BK45" s="196" t="str">
        <f t="shared" si="29"/>
        <v/>
      </c>
      <c r="BL45" s="196" t="str">
        <f t="shared" si="30"/>
        <v/>
      </c>
      <c r="BN45" s="204" t="str">
        <f t="shared" si="40"/>
        <v/>
      </c>
      <c r="BO45" s="204" t="str">
        <f t="shared" si="41"/>
        <v/>
      </c>
      <c r="BP45" s="204" t="str">
        <f t="shared" si="42"/>
        <v/>
      </c>
      <c r="BQ45" s="204" t="str">
        <f t="shared" si="43"/>
        <v/>
      </c>
      <c r="BR45" s="204" t="str">
        <f t="shared" si="44"/>
        <v/>
      </c>
      <c r="BS45" s="204" t="str">
        <f t="shared" si="45"/>
        <v/>
      </c>
      <c r="BU45" s="204" t="str">
        <f t="shared" si="46"/>
        <v/>
      </c>
      <c r="BV45" s="204" t="str">
        <f t="shared" si="47"/>
        <v/>
      </c>
      <c r="BW45" s="204" t="str">
        <f t="shared" si="48"/>
        <v/>
      </c>
      <c r="BX45" s="204" t="str">
        <f t="shared" si="49"/>
        <v/>
      </c>
      <c r="BY45" s="204" t="str">
        <f t="shared" si="50"/>
        <v/>
      </c>
      <c r="BZ45" s="204" t="str">
        <f t="shared" si="51"/>
        <v/>
      </c>
      <c r="CC45" s="118">
        <v>6</v>
      </c>
      <c r="CD45" s="299">
        <f t="shared" si="52"/>
        <v>0</v>
      </c>
      <c r="CE45" s="118">
        <v>0.62</v>
      </c>
      <c r="CF45" s="118">
        <v>16.55</v>
      </c>
      <c r="CG45" s="300" t="str">
        <f t="shared" si="53"/>
        <v>ULL?</v>
      </c>
      <c r="CH45" s="118">
        <v>17.202999999999999</v>
      </c>
      <c r="CI45" s="118">
        <v>16.937999999999999</v>
      </c>
      <c r="CJ45" s="300" t="str">
        <f t="shared" si="54"/>
        <v>ULL?</v>
      </c>
      <c r="CK45" s="118">
        <v>17.597000000000001</v>
      </c>
      <c r="CL45" s="300">
        <f t="shared" si="31"/>
        <v>16.937999999999999</v>
      </c>
      <c r="CM45" s="301" t="str">
        <f t="shared" si="32"/>
        <v>ULL?</v>
      </c>
      <c r="CN45" s="300">
        <f t="shared" si="33"/>
        <v>17.597000000000001</v>
      </c>
      <c r="CP45" s="118">
        <v>6</v>
      </c>
      <c r="CQ45" s="299">
        <f t="shared" si="55"/>
        <v>0</v>
      </c>
      <c r="CR45" s="118">
        <v>0.62</v>
      </c>
      <c r="CS45" s="118">
        <v>16.55</v>
      </c>
      <c r="CT45" s="300" t="str">
        <f t="shared" si="56"/>
        <v>ULL?</v>
      </c>
      <c r="CU45" s="118">
        <v>17.202999999999999</v>
      </c>
      <c r="CV45" s="118">
        <v>16.937999999999999</v>
      </c>
      <c r="CW45" s="300" t="str">
        <f t="shared" si="57"/>
        <v>ULL?</v>
      </c>
      <c r="CX45" s="118">
        <v>17.597000000000001</v>
      </c>
      <c r="CY45" s="300">
        <f t="shared" si="34"/>
        <v>16.71</v>
      </c>
      <c r="CZ45" s="301" t="str">
        <f t="shared" si="35"/>
        <v>ULL?</v>
      </c>
      <c r="DA45" s="300">
        <f t="shared" si="36"/>
        <v>17.364999999999998</v>
      </c>
      <c r="DC45" s="204" t="str">
        <f t="shared" si="58"/>
        <v/>
      </c>
      <c r="DD45" s="297">
        <f t="shared" si="59"/>
        <v>0</v>
      </c>
      <c r="DE45" s="297" t="str">
        <f t="shared" si="60"/>
        <v/>
      </c>
      <c r="DF45" s="1170"/>
      <c r="DG45" s="297">
        <f t="shared" si="61"/>
        <v>0</v>
      </c>
      <c r="DH45" s="297">
        <f t="shared" si="62"/>
        <v>0</v>
      </c>
      <c r="DI45" s="204" t="str">
        <f t="shared" si="39"/>
        <v/>
      </c>
      <c r="DJ45" s="297">
        <f t="shared" si="63"/>
        <v>0</v>
      </c>
      <c r="DL45" s="1141" t="str">
        <f>IF($DE45="","",INDEX('Cover Page'!$AI$106:$AJ$111,MATCH($C45,'Cover Page'!$AC$106:$AC$111,0),D1SEL_2))</f>
        <v/>
      </c>
    </row>
    <row r="46" spans="1:116" ht="15.75">
      <c r="A46" s="1286" t="s">
        <v>284</v>
      </c>
      <c r="B46" s="867"/>
      <c r="C46" s="215"/>
      <c r="D46" s="216"/>
      <c r="E46" s="999"/>
      <c r="F46" s="999"/>
      <c r="G46" s="218"/>
      <c r="H46" s="1003"/>
      <c r="I46" s="1003"/>
      <c r="J46" s="1339"/>
      <c r="K46" s="841"/>
      <c r="L46" s="1402"/>
      <c r="M46" s="842"/>
      <c r="N46" s="217"/>
      <c r="O46" s="218"/>
      <c r="P46" s="1003"/>
      <c r="Q46" s="1003"/>
      <c r="R46" s="1339"/>
      <c r="S46" s="841"/>
      <c r="T46" s="1402"/>
      <c r="U46" s="842"/>
      <c r="V46" s="219"/>
      <c r="X46" s="196" t="str">
        <f t="shared" si="3"/>
        <v/>
      </c>
      <c r="Y46" s="196" t="str">
        <f t="shared" si="4"/>
        <v/>
      </c>
      <c r="Z46" s="154" t="b">
        <f>IF(OR(SURVEYMODE=3,C46=""),FALSE,IF(AND(SUMPRODUCT((INDEX('Cover Page'!$I$89:$N$89,1,MATCH(C46,'Cover Page'!$I$88:$N$88,0))=$D$18)*(INDEX('Cover Page'!$I$104:$N$104,1,MATCH(C46,'Cover Page'!$I$88:$N$88,0))&gt;0))=0,D46="Y"),TRUE,FALSE))</f>
        <v>0</v>
      </c>
      <c r="AA46" s="196" t="str">
        <f t="shared" si="5"/>
        <v/>
      </c>
      <c r="AB46" s="196" t="str">
        <f t="shared" si="6"/>
        <v/>
      </c>
      <c r="AD46" s="196" t="str">
        <f t="shared" si="7"/>
        <v/>
      </c>
      <c r="AE46" s="196" t="str">
        <f t="shared" si="8"/>
        <v/>
      </c>
      <c r="AG46" s="196" t="str">
        <f t="shared" si="9"/>
        <v/>
      </c>
      <c r="AH46" s="196" t="str">
        <f t="shared" si="10"/>
        <v/>
      </c>
      <c r="AJ46" s="196" t="str">
        <f t="shared" si="11"/>
        <v/>
      </c>
      <c r="AK46" s="196" t="str">
        <f t="shared" si="12"/>
        <v/>
      </c>
      <c r="AM46" s="196" t="str">
        <f t="shared" si="13"/>
        <v/>
      </c>
      <c r="AN46" s="196" t="str">
        <f t="shared" si="14"/>
        <v/>
      </c>
      <c r="AP46" s="196" t="str">
        <f t="shared" si="15"/>
        <v/>
      </c>
      <c r="AQ46" s="196" t="str">
        <f t="shared" si="16"/>
        <v/>
      </c>
      <c r="AS46" s="196" t="str">
        <f t="shared" si="17"/>
        <v/>
      </c>
      <c r="AT46" s="196" t="str">
        <f t="shared" si="18"/>
        <v/>
      </c>
      <c r="AV46" s="196" t="str">
        <f t="shared" si="19"/>
        <v/>
      </c>
      <c r="AW46" s="196" t="str">
        <f t="shared" si="20"/>
        <v/>
      </c>
      <c r="AY46" s="196" t="str">
        <f t="shared" si="21"/>
        <v/>
      </c>
      <c r="AZ46" s="196" t="str">
        <f t="shared" si="22"/>
        <v/>
      </c>
      <c r="BB46" s="196" t="str">
        <f t="shared" si="88"/>
        <v/>
      </c>
      <c r="BC46" s="196" t="str">
        <f t="shared" si="89"/>
        <v/>
      </c>
      <c r="BE46" s="196" t="str">
        <f t="shared" si="90"/>
        <v/>
      </c>
      <c r="BF46" s="196" t="str">
        <f t="shared" si="91"/>
        <v/>
      </c>
      <c r="BH46" s="196" t="str">
        <f t="shared" si="27"/>
        <v/>
      </c>
      <c r="BI46" s="196" t="str">
        <f t="shared" si="28"/>
        <v/>
      </c>
      <c r="BK46" s="196" t="str">
        <f t="shared" si="29"/>
        <v/>
      </c>
      <c r="BL46" s="196" t="str">
        <f t="shared" si="30"/>
        <v/>
      </c>
      <c r="BN46" s="204" t="str">
        <f t="shared" si="40"/>
        <v/>
      </c>
      <c r="BO46" s="204" t="str">
        <f t="shared" si="41"/>
        <v/>
      </c>
      <c r="BP46" s="204" t="str">
        <f t="shared" si="42"/>
        <v/>
      </c>
      <c r="BQ46" s="204" t="str">
        <f t="shared" si="43"/>
        <v/>
      </c>
      <c r="BR46" s="204" t="str">
        <f t="shared" si="44"/>
        <v/>
      </c>
      <c r="BS46" s="204" t="str">
        <f t="shared" si="45"/>
        <v/>
      </c>
      <c r="BU46" s="204" t="str">
        <f t="shared" si="46"/>
        <v/>
      </c>
      <c r="BV46" s="204" t="str">
        <f t="shared" si="47"/>
        <v/>
      </c>
      <c r="BW46" s="204" t="str">
        <f t="shared" si="48"/>
        <v/>
      </c>
      <c r="BX46" s="204" t="str">
        <f t="shared" si="49"/>
        <v/>
      </c>
      <c r="BY46" s="204" t="str">
        <f t="shared" si="50"/>
        <v/>
      </c>
      <c r="BZ46" s="204" t="str">
        <f t="shared" si="51"/>
        <v/>
      </c>
      <c r="CC46" s="118">
        <v>6</v>
      </c>
      <c r="CD46" s="299">
        <f t="shared" si="52"/>
        <v>0</v>
      </c>
      <c r="CE46" s="118">
        <v>0.62</v>
      </c>
      <c r="CF46" s="118">
        <v>16.55</v>
      </c>
      <c r="CG46" s="300" t="str">
        <f t="shared" si="53"/>
        <v>ULL?</v>
      </c>
      <c r="CH46" s="118">
        <v>17.202999999999999</v>
      </c>
      <c r="CI46" s="118">
        <v>16.937999999999999</v>
      </c>
      <c r="CJ46" s="300" t="str">
        <f t="shared" si="54"/>
        <v>ULL?</v>
      </c>
      <c r="CK46" s="118">
        <v>17.597000000000001</v>
      </c>
      <c r="CL46" s="300">
        <f t="shared" si="31"/>
        <v>16.937999999999999</v>
      </c>
      <c r="CM46" s="301" t="str">
        <f t="shared" si="32"/>
        <v>ULL?</v>
      </c>
      <c r="CN46" s="300">
        <f t="shared" si="33"/>
        <v>17.597000000000001</v>
      </c>
      <c r="CP46" s="118">
        <v>6</v>
      </c>
      <c r="CQ46" s="299">
        <f t="shared" si="55"/>
        <v>0</v>
      </c>
      <c r="CR46" s="118">
        <v>0.62</v>
      </c>
      <c r="CS46" s="118">
        <v>16.55</v>
      </c>
      <c r="CT46" s="300" t="str">
        <f t="shared" si="56"/>
        <v>ULL?</v>
      </c>
      <c r="CU46" s="118">
        <v>17.202999999999999</v>
      </c>
      <c r="CV46" s="118">
        <v>16.937999999999999</v>
      </c>
      <c r="CW46" s="300" t="str">
        <f t="shared" si="57"/>
        <v>ULL?</v>
      </c>
      <c r="CX46" s="118">
        <v>17.597000000000001</v>
      </c>
      <c r="CY46" s="300">
        <f t="shared" si="34"/>
        <v>16.71</v>
      </c>
      <c r="CZ46" s="301" t="str">
        <f t="shared" si="35"/>
        <v>ULL?</v>
      </c>
      <c r="DA46" s="300">
        <f t="shared" si="36"/>
        <v>17.364999999999998</v>
      </c>
      <c r="DC46" s="204" t="str">
        <f t="shared" si="58"/>
        <v/>
      </c>
      <c r="DD46" s="297">
        <f t="shared" si="59"/>
        <v>0</v>
      </c>
      <c r="DE46" s="297" t="str">
        <f t="shared" si="60"/>
        <v/>
      </c>
      <c r="DF46" s="1170"/>
      <c r="DG46" s="297">
        <f t="shared" si="61"/>
        <v>0</v>
      </c>
      <c r="DH46" s="297">
        <f t="shared" si="62"/>
        <v>0</v>
      </c>
      <c r="DI46" s="204" t="str">
        <f t="shared" si="39"/>
        <v/>
      </c>
      <c r="DJ46" s="297">
        <f t="shared" si="63"/>
        <v>0</v>
      </c>
      <c r="DL46" s="1141" t="str">
        <f>IF($DE46="","",INDEX('Cover Page'!$AI$106:$AJ$111,MATCH($C46,'Cover Page'!$AC$106:$AC$111,0),D1SEL_2))</f>
        <v/>
      </c>
    </row>
    <row r="47" spans="1:116" ht="15.75">
      <c r="A47" s="1286" t="s">
        <v>284</v>
      </c>
      <c r="B47" s="868"/>
      <c r="C47" s="220"/>
      <c r="D47" s="221"/>
      <c r="E47" s="1000"/>
      <c r="F47" s="1000"/>
      <c r="G47" s="223"/>
      <c r="H47" s="1004"/>
      <c r="I47" s="1004"/>
      <c r="J47" s="1340"/>
      <c r="K47" s="844"/>
      <c r="L47" s="1403"/>
      <c r="M47" s="845"/>
      <c r="N47" s="222"/>
      <c r="O47" s="223"/>
      <c r="P47" s="1004"/>
      <c r="Q47" s="1004"/>
      <c r="R47" s="1340"/>
      <c r="S47" s="844"/>
      <c r="T47" s="1402"/>
      <c r="U47" s="845"/>
      <c r="V47" s="224"/>
      <c r="X47" s="196" t="str">
        <f t="shared" si="3"/>
        <v/>
      </c>
      <c r="Y47" s="196" t="str">
        <f t="shared" si="4"/>
        <v/>
      </c>
      <c r="Z47" s="154" t="b">
        <f>IF(OR(SURVEYMODE=3,C47=""),FALSE,IF(AND(SUMPRODUCT((INDEX('Cover Page'!$I$89:$N$89,1,MATCH(C47,'Cover Page'!$I$88:$N$88,0))=$D$18)*(INDEX('Cover Page'!$I$104:$N$104,1,MATCH(C47,'Cover Page'!$I$88:$N$88,0))&gt;0))=0,D47="Y"),TRUE,FALSE))</f>
        <v>0</v>
      </c>
      <c r="AA47" s="196" t="str">
        <f t="shared" si="5"/>
        <v/>
      </c>
      <c r="AB47" s="196" t="str">
        <f t="shared" si="6"/>
        <v/>
      </c>
      <c r="AD47" s="196" t="str">
        <f t="shared" si="7"/>
        <v/>
      </c>
      <c r="AE47" s="196" t="str">
        <f t="shared" si="8"/>
        <v/>
      </c>
      <c r="AG47" s="196" t="str">
        <f t="shared" si="9"/>
        <v/>
      </c>
      <c r="AH47" s="196" t="str">
        <f t="shared" si="10"/>
        <v/>
      </c>
      <c r="AJ47" s="196" t="str">
        <f t="shared" si="11"/>
        <v/>
      </c>
      <c r="AK47" s="196" t="str">
        <f t="shared" si="12"/>
        <v/>
      </c>
      <c r="AM47" s="196" t="str">
        <f t="shared" si="13"/>
        <v/>
      </c>
      <c r="AN47" s="196" t="str">
        <f t="shared" si="14"/>
        <v/>
      </c>
      <c r="AP47" s="196" t="str">
        <f t="shared" si="15"/>
        <v/>
      </c>
      <c r="AQ47" s="196" t="str">
        <f t="shared" si="16"/>
        <v/>
      </c>
      <c r="AS47" s="196" t="str">
        <f t="shared" si="17"/>
        <v/>
      </c>
      <c r="AT47" s="196" t="str">
        <f t="shared" si="18"/>
        <v/>
      </c>
      <c r="AV47" s="196" t="str">
        <f t="shared" si="19"/>
        <v/>
      </c>
      <c r="AW47" s="196" t="str">
        <f t="shared" si="20"/>
        <v/>
      </c>
      <c r="AY47" s="196" t="str">
        <f t="shared" si="21"/>
        <v/>
      </c>
      <c r="AZ47" s="196" t="str">
        <f t="shared" si="22"/>
        <v/>
      </c>
      <c r="BB47" s="196" t="str">
        <f t="shared" si="88"/>
        <v/>
      </c>
      <c r="BC47" s="196" t="str">
        <f t="shared" si="89"/>
        <v/>
      </c>
      <c r="BE47" s="196" t="str">
        <f t="shared" si="90"/>
        <v/>
      </c>
      <c r="BF47" s="196" t="str">
        <f t="shared" si="91"/>
        <v/>
      </c>
      <c r="BH47" s="196" t="str">
        <f t="shared" si="27"/>
        <v/>
      </c>
      <c r="BI47" s="196" t="str">
        <f t="shared" si="28"/>
        <v/>
      </c>
      <c r="BK47" s="196" t="str">
        <f t="shared" si="29"/>
        <v/>
      </c>
      <c r="BL47" s="196" t="str">
        <f t="shared" si="30"/>
        <v/>
      </c>
      <c r="BN47" s="204" t="str">
        <f t="shared" si="40"/>
        <v/>
      </c>
      <c r="BO47" s="204" t="str">
        <f t="shared" si="41"/>
        <v/>
      </c>
      <c r="BP47" s="204" t="str">
        <f t="shared" si="42"/>
        <v/>
      </c>
      <c r="BQ47" s="204" t="str">
        <f t="shared" si="43"/>
        <v/>
      </c>
      <c r="BR47" s="204" t="str">
        <f t="shared" si="44"/>
        <v/>
      </c>
      <c r="BS47" s="204" t="str">
        <f t="shared" si="45"/>
        <v/>
      </c>
      <c r="BU47" s="204" t="str">
        <f t="shared" si="46"/>
        <v/>
      </c>
      <c r="BV47" s="204" t="str">
        <f t="shared" si="47"/>
        <v/>
      </c>
      <c r="BW47" s="204" t="str">
        <f t="shared" si="48"/>
        <v/>
      </c>
      <c r="BX47" s="204" t="str">
        <f t="shared" si="49"/>
        <v/>
      </c>
      <c r="BY47" s="204" t="str">
        <f t="shared" si="50"/>
        <v/>
      </c>
      <c r="BZ47" s="204" t="str">
        <f t="shared" si="51"/>
        <v/>
      </c>
      <c r="CC47" s="118">
        <v>6</v>
      </c>
      <c r="CD47" s="299">
        <f t="shared" si="52"/>
        <v>0</v>
      </c>
      <c r="CE47" s="118">
        <v>0.62</v>
      </c>
      <c r="CF47" s="118">
        <v>16.55</v>
      </c>
      <c r="CG47" s="300" t="str">
        <f t="shared" si="53"/>
        <v>ULL?</v>
      </c>
      <c r="CH47" s="118">
        <v>17.202999999999999</v>
      </c>
      <c r="CI47" s="118">
        <v>16.937999999999999</v>
      </c>
      <c r="CJ47" s="300" t="str">
        <f t="shared" si="54"/>
        <v>ULL?</v>
      </c>
      <c r="CK47" s="118">
        <v>17.597000000000001</v>
      </c>
      <c r="CL47" s="300">
        <f t="shared" si="31"/>
        <v>16.937999999999999</v>
      </c>
      <c r="CM47" s="301" t="str">
        <f t="shared" si="32"/>
        <v>ULL?</v>
      </c>
      <c r="CN47" s="300">
        <f t="shared" si="33"/>
        <v>17.597000000000001</v>
      </c>
      <c r="CP47" s="118">
        <v>6</v>
      </c>
      <c r="CQ47" s="299">
        <f t="shared" si="55"/>
        <v>0</v>
      </c>
      <c r="CR47" s="118">
        <v>0.62</v>
      </c>
      <c r="CS47" s="118">
        <v>16.55</v>
      </c>
      <c r="CT47" s="300" t="str">
        <f t="shared" si="56"/>
        <v>ULL?</v>
      </c>
      <c r="CU47" s="118">
        <v>17.202999999999999</v>
      </c>
      <c r="CV47" s="118">
        <v>16.937999999999999</v>
      </c>
      <c r="CW47" s="300" t="str">
        <f t="shared" si="57"/>
        <v>ULL?</v>
      </c>
      <c r="CX47" s="118">
        <v>17.597000000000001</v>
      </c>
      <c r="CY47" s="300">
        <f t="shared" si="34"/>
        <v>16.71</v>
      </c>
      <c r="CZ47" s="301" t="str">
        <f t="shared" si="35"/>
        <v>ULL?</v>
      </c>
      <c r="DA47" s="300">
        <f t="shared" si="36"/>
        <v>17.364999999999998</v>
      </c>
      <c r="DC47" s="204" t="str">
        <f t="shared" si="58"/>
        <v/>
      </c>
      <c r="DD47" s="297">
        <f t="shared" si="59"/>
        <v>0</v>
      </c>
      <c r="DE47" s="297" t="str">
        <f t="shared" si="60"/>
        <v/>
      </c>
      <c r="DF47" s="1170"/>
      <c r="DG47" s="297">
        <f t="shared" si="61"/>
        <v>0</v>
      </c>
      <c r="DH47" s="297">
        <f t="shared" si="62"/>
        <v>0</v>
      </c>
      <c r="DI47" s="204" t="str">
        <f t="shared" si="39"/>
        <v/>
      </c>
      <c r="DJ47" s="297">
        <f t="shared" si="63"/>
        <v>0</v>
      </c>
      <c r="DL47" s="1141" t="str">
        <f>IF($DE47="","",INDEX('Cover Page'!$AI$106:$AJ$111,MATCH($C47,'Cover Page'!$AC$106:$AC$111,0),D1SEL_2))</f>
        <v/>
      </c>
    </row>
    <row r="48" spans="1:116" ht="15.75">
      <c r="A48" s="1286" t="s">
        <v>284</v>
      </c>
      <c r="B48" s="867"/>
      <c r="C48" s="215"/>
      <c r="D48" s="216"/>
      <c r="E48" s="999"/>
      <c r="F48" s="999"/>
      <c r="G48" s="218"/>
      <c r="H48" s="1003"/>
      <c r="I48" s="1003"/>
      <c r="J48" s="1339"/>
      <c r="K48" s="841"/>
      <c r="L48" s="1402"/>
      <c r="M48" s="842"/>
      <c r="N48" s="217"/>
      <c r="O48" s="218"/>
      <c r="P48" s="1003"/>
      <c r="Q48" s="1003"/>
      <c r="R48" s="1339"/>
      <c r="S48" s="841"/>
      <c r="T48" s="1402"/>
      <c r="U48" s="842"/>
      <c r="V48" s="219"/>
      <c r="X48" s="196" t="str">
        <f t="shared" si="3"/>
        <v/>
      </c>
      <c r="Y48" s="196" t="str">
        <f t="shared" si="4"/>
        <v/>
      </c>
      <c r="Z48" s="154" t="b">
        <f>IF(OR(SURVEYMODE=3,C48=""),FALSE,IF(AND(SUMPRODUCT((INDEX('Cover Page'!$I$89:$N$89,1,MATCH(C48,'Cover Page'!$I$88:$N$88,0))=$D$18)*(INDEX('Cover Page'!$I$104:$N$104,1,MATCH(C48,'Cover Page'!$I$88:$N$88,0))&gt;0))=0,D48="Y"),TRUE,FALSE))</f>
        <v>0</v>
      </c>
      <c r="AA48" s="196" t="str">
        <f t="shared" si="5"/>
        <v/>
      </c>
      <c r="AB48" s="196" t="str">
        <f t="shared" si="6"/>
        <v/>
      </c>
      <c r="AD48" s="196" t="str">
        <f t="shared" si="7"/>
        <v/>
      </c>
      <c r="AE48" s="196" t="str">
        <f t="shared" si="8"/>
        <v/>
      </c>
      <c r="AG48" s="196" t="str">
        <f t="shared" si="9"/>
        <v/>
      </c>
      <c r="AH48" s="196" t="str">
        <f t="shared" si="10"/>
        <v/>
      </c>
      <c r="AJ48" s="196" t="str">
        <f t="shared" si="11"/>
        <v/>
      </c>
      <c r="AK48" s="196" t="str">
        <f t="shared" si="12"/>
        <v/>
      </c>
      <c r="AM48" s="196" t="str">
        <f t="shared" si="13"/>
        <v/>
      </c>
      <c r="AN48" s="196" t="str">
        <f t="shared" si="14"/>
        <v/>
      </c>
      <c r="AP48" s="196" t="str">
        <f t="shared" si="15"/>
        <v/>
      </c>
      <c r="AQ48" s="196" t="str">
        <f t="shared" si="16"/>
        <v/>
      </c>
      <c r="AS48" s="196" t="str">
        <f t="shared" si="17"/>
        <v/>
      </c>
      <c r="AT48" s="196" t="str">
        <f t="shared" si="18"/>
        <v/>
      </c>
      <c r="AV48" s="196" t="str">
        <f t="shared" si="19"/>
        <v/>
      </c>
      <c r="AW48" s="196" t="str">
        <f t="shared" si="20"/>
        <v/>
      </c>
      <c r="AY48" s="196" t="str">
        <f t="shared" si="21"/>
        <v/>
      </c>
      <c r="AZ48" s="196" t="str">
        <f t="shared" si="22"/>
        <v/>
      </c>
      <c r="BB48" s="196" t="str">
        <f t="shared" si="88"/>
        <v/>
      </c>
      <c r="BC48" s="196" t="str">
        <f t="shared" si="89"/>
        <v/>
      </c>
      <c r="BE48" s="196" t="str">
        <f t="shared" si="90"/>
        <v/>
      </c>
      <c r="BF48" s="196" t="str">
        <f t="shared" si="91"/>
        <v/>
      </c>
      <c r="BH48" s="196" t="str">
        <f t="shared" si="27"/>
        <v/>
      </c>
      <c r="BI48" s="196" t="str">
        <f t="shared" si="28"/>
        <v/>
      </c>
      <c r="BK48" s="196" t="str">
        <f t="shared" si="29"/>
        <v/>
      </c>
      <c r="BL48" s="196" t="str">
        <f t="shared" si="30"/>
        <v/>
      </c>
      <c r="BN48" s="204" t="str">
        <f t="shared" si="40"/>
        <v/>
      </c>
      <c r="BO48" s="204" t="str">
        <f t="shared" si="41"/>
        <v/>
      </c>
      <c r="BP48" s="204" t="str">
        <f t="shared" si="42"/>
        <v/>
      </c>
      <c r="BQ48" s="204" t="str">
        <f t="shared" si="43"/>
        <v/>
      </c>
      <c r="BR48" s="204" t="str">
        <f t="shared" si="44"/>
        <v/>
      </c>
      <c r="BS48" s="204" t="str">
        <f t="shared" si="45"/>
        <v/>
      </c>
      <c r="BU48" s="204" t="str">
        <f t="shared" si="46"/>
        <v/>
      </c>
      <c r="BV48" s="204" t="str">
        <f t="shared" si="47"/>
        <v/>
      </c>
      <c r="BW48" s="204" t="str">
        <f t="shared" si="48"/>
        <v/>
      </c>
      <c r="BX48" s="204" t="str">
        <f t="shared" si="49"/>
        <v/>
      </c>
      <c r="BY48" s="204" t="str">
        <f t="shared" si="50"/>
        <v/>
      </c>
      <c r="BZ48" s="204" t="str">
        <f t="shared" si="51"/>
        <v/>
      </c>
      <c r="CC48" s="118">
        <v>6</v>
      </c>
      <c r="CD48" s="299">
        <f t="shared" si="52"/>
        <v>0</v>
      </c>
      <c r="CE48" s="118">
        <v>0.62</v>
      </c>
      <c r="CF48" s="118">
        <v>16.55</v>
      </c>
      <c r="CG48" s="300" t="str">
        <f t="shared" si="53"/>
        <v>ULL?</v>
      </c>
      <c r="CH48" s="118">
        <v>17.202999999999999</v>
      </c>
      <c r="CI48" s="118">
        <v>16.937999999999999</v>
      </c>
      <c r="CJ48" s="300" t="str">
        <f t="shared" si="54"/>
        <v>ULL?</v>
      </c>
      <c r="CK48" s="118">
        <v>17.597000000000001</v>
      </c>
      <c r="CL48" s="300">
        <f t="shared" si="31"/>
        <v>16.937999999999999</v>
      </c>
      <c r="CM48" s="301" t="str">
        <f t="shared" si="32"/>
        <v>ULL?</v>
      </c>
      <c r="CN48" s="300">
        <f t="shared" si="33"/>
        <v>17.597000000000001</v>
      </c>
      <c r="CP48" s="118">
        <v>6</v>
      </c>
      <c r="CQ48" s="299">
        <f t="shared" si="55"/>
        <v>0</v>
      </c>
      <c r="CR48" s="118">
        <v>0.62</v>
      </c>
      <c r="CS48" s="118">
        <v>16.55</v>
      </c>
      <c r="CT48" s="300" t="str">
        <f t="shared" si="56"/>
        <v>ULL?</v>
      </c>
      <c r="CU48" s="118">
        <v>17.202999999999999</v>
      </c>
      <c r="CV48" s="118">
        <v>16.937999999999999</v>
      </c>
      <c r="CW48" s="300" t="str">
        <f t="shared" si="57"/>
        <v>ULL?</v>
      </c>
      <c r="CX48" s="118">
        <v>17.597000000000001</v>
      </c>
      <c r="CY48" s="300">
        <f t="shared" si="34"/>
        <v>16.71</v>
      </c>
      <c r="CZ48" s="301" t="str">
        <f t="shared" si="35"/>
        <v>ULL?</v>
      </c>
      <c r="DA48" s="300">
        <f t="shared" si="36"/>
        <v>17.364999999999998</v>
      </c>
      <c r="DC48" s="204" t="str">
        <f t="shared" si="58"/>
        <v/>
      </c>
      <c r="DD48" s="297">
        <f t="shared" si="59"/>
        <v>0</v>
      </c>
      <c r="DE48" s="297" t="str">
        <f t="shared" si="60"/>
        <v/>
      </c>
      <c r="DF48" s="1170"/>
      <c r="DG48" s="297">
        <f t="shared" si="61"/>
        <v>0</v>
      </c>
      <c r="DH48" s="297">
        <f t="shared" si="62"/>
        <v>0</v>
      </c>
      <c r="DI48" s="204" t="str">
        <f t="shared" si="39"/>
        <v/>
      </c>
      <c r="DJ48" s="297">
        <f t="shared" si="63"/>
        <v>0</v>
      </c>
      <c r="DL48" s="1141" t="str">
        <f>IF($DE48="","",INDEX('Cover Page'!$AI$106:$AJ$111,MATCH($C48,'Cover Page'!$AC$106:$AC$111,0),D1SEL_2))</f>
        <v/>
      </c>
    </row>
    <row r="49" spans="1:116" ht="15.75">
      <c r="A49" s="1286" t="s">
        <v>284</v>
      </c>
      <c r="B49" s="868"/>
      <c r="C49" s="220"/>
      <c r="D49" s="221"/>
      <c r="E49" s="1000"/>
      <c r="F49" s="1000"/>
      <c r="G49" s="223"/>
      <c r="H49" s="1004"/>
      <c r="I49" s="1004"/>
      <c r="J49" s="1340"/>
      <c r="K49" s="844"/>
      <c r="L49" s="1403"/>
      <c r="M49" s="845"/>
      <c r="N49" s="222"/>
      <c r="O49" s="223"/>
      <c r="P49" s="1004"/>
      <c r="Q49" s="1004"/>
      <c r="R49" s="1340"/>
      <c r="S49" s="844"/>
      <c r="T49" s="1402"/>
      <c r="U49" s="845"/>
      <c r="V49" s="224"/>
      <c r="X49" s="196" t="str">
        <f t="shared" si="3"/>
        <v/>
      </c>
      <c r="Y49" s="196" t="str">
        <f t="shared" si="4"/>
        <v/>
      </c>
      <c r="Z49" s="154" t="b">
        <f>IF(OR(SURVEYMODE=3,C49=""),FALSE,IF(AND(SUMPRODUCT((INDEX('Cover Page'!$I$89:$N$89,1,MATCH(C49,'Cover Page'!$I$88:$N$88,0))=$D$18)*(INDEX('Cover Page'!$I$104:$N$104,1,MATCH(C49,'Cover Page'!$I$88:$N$88,0))&gt;0))=0,D49="Y"),TRUE,FALSE))</f>
        <v>0</v>
      </c>
      <c r="AA49" s="196" t="str">
        <f t="shared" si="5"/>
        <v/>
      </c>
      <c r="AB49" s="196" t="str">
        <f t="shared" si="6"/>
        <v/>
      </c>
      <c r="AD49" s="196" t="str">
        <f t="shared" si="7"/>
        <v/>
      </c>
      <c r="AE49" s="196" t="str">
        <f t="shared" si="8"/>
        <v/>
      </c>
      <c r="AG49" s="196" t="str">
        <f t="shared" si="9"/>
        <v/>
      </c>
      <c r="AH49" s="196" t="str">
        <f t="shared" si="10"/>
        <v/>
      </c>
      <c r="AJ49" s="196" t="str">
        <f t="shared" si="11"/>
        <v/>
      </c>
      <c r="AK49" s="196" t="str">
        <f t="shared" si="12"/>
        <v/>
      </c>
      <c r="AM49" s="196" t="str">
        <f t="shared" si="13"/>
        <v/>
      </c>
      <c r="AN49" s="196" t="str">
        <f t="shared" si="14"/>
        <v/>
      </c>
      <c r="AP49" s="196" t="str">
        <f t="shared" si="15"/>
        <v/>
      </c>
      <c r="AQ49" s="196" t="str">
        <f t="shared" si="16"/>
        <v/>
      </c>
      <c r="AS49" s="196" t="str">
        <f t="shared" si="17"/>
        <v/>
      </c>
      <c r="AT49" s="196" t="str">
        <f t="shared" si="18"/>
        <v/>
      </c>
      <c r="AV49" s="196" t="str">
        <f t="shared" si="19"/>
        <v/>
      </c>
      <c r="AW49" s="196" t="str">
        <f t="shared" si="20"/>
        <v/>
      </c>
      <c r="AY49" s="196" t="str">
        <f t="shared" si="21"/>
        <v/>
      </c>
      <c r="AZ49" s="196" t="str">
        <f t="shared" si="22"/>
        <v/>
      </c>
      <c r="BB49" s="196" t="str">
        <f t="shared" si="88"/>
        <v/>
      </c>
      <c r="BC49" s="196" t="str">
        <f t="shared" si="89"/>
        <v/>
      </c>
      <c r="BE49" s="196" t="str">
        <f t="shared" si="90"/>
        <v/>
      </c>
      <c r="BF49" s="196" t="str">
        <f t="shared" si="91"/>
        <v/>
      </c>
      <c r="BH49" s="196" t="str">
        <f t="shared" si="27"/>
        <v/>
      </c>
      <c r="BI49" s="196" t="str">
        <f t="shared" si="28"/>
        <v/>
      </c>
      <c r="BK49" s="196" t="str">
        <f t="shared" si="29"/>
        <v/>
      </c>
      <c r="BL49" s="196" t="str">
        <f t="shared" si="30"/>
        <v/>
      </c>
      <c r="BN49" s="204" t="str">
        <f t="shared" si="40"/>
        <v/>
      </c>
      <c r="BO49" s="204" t="str">
        <f t="shared" si="41"/>
        <v/>
      </c>
      <c r="BP49" s="204" t="str">
        <f t="shared" si="42"/>
        <v/>
      </c>
      <c r="BQ49" s="204" t="str">
        <f t="shared" si="43"/>
        <v/>
      </c>
      <c r="BR49" s="204" t="str">
        <f t="shared" si="44"/>
        <v/>
      </c>
      <c r="BS49" s="204" t="str">
        <f t="shared" si="45"/>
        <v/>
      </c>
      <c r="BU49" s="204" t="str">
        <f t="shared" si="46"/>
        <v/>
      </c>
      <c r="BV49" s="204" t="str">
        <f t="shared" si="47"/>
        <v/>
      </c>
      <c r="BW49" s="204" t="str">
        <f t="shared" si="48"/>
        <v/>
      </c>
      <c r="BX49" s="204" t="str">
        <f t="shared" si="49"/>
        <v/>
      </c>
      <c r="BY49" s="204" t="str">
        <f t="shared" si="50"/>
        <v/>
      </c>
      <c r="BZ49" s="204" t="str">
        <f t="shared" si="51"/>
        <v/>
      </c>
      <c r="CC49" s="118">
        <v>6</v>
      </c>
      <c r="CD49" s="299">
        <f t="shared" si="52"/>
        <v>0</v>
      </c>
      <c r="CE49" s="118">
        <v>0.62</v>
      </c>
      <c r="CF49" s="118">
        <v>16.55</v>
      </c>
      <c r="CG49" s="300" t="str">
        <f t="shared" si="53"/>
        <v>ULL?</v>
      </c>
      <c r="CH49" s="118">
        <v>17.202999999999999</v>
      </c>
      <c r="CI49" s="118">
        <v>16.937999999999999</v>
      </c>
      <c r="CJ49" s="300" t="str">
        <f t="shared" si="54"/>
        <v>ULL?</v>
      </c>
      <c r="CK49" s="118">
        <v>17.597000000000001</v>
      </c>
      <c r="CL49" s="300">
        <f t="shared" si="31"/>
        <v>16.937999999999999</v>
      </c>
      <c r="CM49" s="301" t="str">
        <f t="shared" si="32"/>
        <v>ULL?</v>
      </c>
      <c r="CN49" s="300">
        <f t="shared" si="33"/>
        <v>17.597000000000001</v>
      </c>
      <c r="CP49" s="118">
        <v>6</v>
      </c>
      <c r="CQ49" s="299">
        <f t="shared" si="55"/>
        <v>0</v>
      </c>
      <c r="CR49" s="118">
        <v>0.62</v>
      </c>
      <c r="CS49" s="118">
        <v>16.55</v>
      </c>
      <c r="CT49" s="300" t="str">
        <f t="shared" si="56"/>
        <v>ULL?</v>
      </c>
      <c r="CU49" s="118">
        <v>17.202999999999999</v>
      </c>
      <c r="CV49" s="118">
        <v>16.937999999999999</v>
      </c>
      <c r="CW49" s="300" t="str">
        <f t="shared" si="57"/>
        <v>ULL?</v>
      </c>
      <c r="CX49" s="118">
        <v>17.597000000000001</v>
      </c>
      <c r="CY49" s="300">
        <f t="shared" si="34"/>
        <v>16.71</v>
      </c>
      <c r="CZ49" s="301" t="str">
        <f t="shared" si="35"/>
        <v>ULL?</v>
      </c>
      <c r="DA49" s="300">
        <f t="shared" si="36"/>
        <v>17.364999999999998</v>
      </c>
      <c r="DC49" s="204" t="str">
        <f t="shared" si="58"/>
        <v/>
      </c>
      <c r="DD49" s="297">
        <f t="shared" si="59"/>
        <v>0</v>
      </c>
      <c r="DE49" s="297" t="str">
        <f t="shared" si="60"/>
        <v/>
      </c>
      <c r="DF49" s="1170"/>
      <c r="DG49" s="297">
        <f t="shared" si="61"/>
        <v>0</v>
      </c>
      <c r="DH49" s="297">
        <f t="shared" si="62"/>
        <v>0</v>
      </c>
      <c r="DI49" s="204" t="str">
        <f t="shared" si="39"/>
        <v/>
      </c>
      <c r="DJ49" s="297">
        <f t="shared" si="63"/>
        <v>0</v>
      </c>
      <c r="DL49" s="1141" t="str">
        <f>IF($DE49="","",INDEX('Cover Page'!$AI$106:$AJ$111,MATCH($C49,'Cover Page'!$AC$106:$AC$111,0),D1SEL_2))</f>
        <v/>
      </c>
    </row>
    <row r="50" spans="1:116" ht="15.75">
      <c r="A50" s="1286" t="s">
        <v>284</v>
      </c>
      <c r="B50" s="867"/>
      <c r="C50" s="215"/>
      <c r="D50" s="216"/>
      <c r="E50" s="999"/>
      <c r="F50" s="999"/>
      <c r="G50" s="218"/>
      <c r="H50" s="1003"/>
      <c r="I50" s="1003"/>
      <c r="J50" s="1339"/>
      <c r="K50" s="841"/>
      <c r="L50" s="1402"/>
      <c r="M50" s="842"/>
      <c r="N50" s="217"/>
      <c r="O50" s="218"/>
      <c r="P50" s="1003"/>
      <c r="Q50" s="1003"/>
      <c r="R50" s="1339"/>
      <c r="S50" s="841"/>
      <c r="T50" s="1402"/>
      <c r="U50" s="842"/>
      <c r="V50" s="219"/>
      <c r="X50" s="196" t="str">
        <f t="shared" si="3"/>
        <v/>
      </c>
      <c r="Y50" s="196" t="str">
        <f t="shared" si="4"/>
        <v/>
      </c>
      <c r="Z50" s="154" t="b">
        <f>IF(OR(SURVEYMODE=3,C50=""),FALSE,IF(AND(SUMPRODUCT((INDEX('Cover Page'!$I$89:$N$89,1,MATCH(C50,'Cover Page'!$I$88:$N$88,0))=$D$18)*(INDEX('Cover Page'!$I$104:$N$104,1,MATCH(C50,'Cover Page'!$I$88:$N$88,0))&gt;0))=0,D50="Y"),TRUE,FALSE))</f>
        <v>0</v>
      </c>
      <c r="AA50" s="196" t="str">
        <f t="shared" si="5"/>
        <v/>
      </c>
      <c r="AB50" s="196" t="str">
        <f t="shared" si="6"/>
        <v/>
      </c>
      <c r="AD50" s="196" t="str">
        <f t="shared" si="7"/>
        <v/>
      </c>
      <c r="AE50" s="196" t="str">
        <f t="shared" si="8"/>
        <v/>
      </c>
      <c r="AG50" s="196" t="str">
        <f t="shared" si="9"/>
        <v/>
      </c>
      <c r="AH50" s="196" t="str">
        <f t="shared" si="10"/>
        <v/>
      </c>
      <c r="AJ50" s="196" t="str">
        <f t="shared" si="11"/>
        <v/>
      </c>
      <c r="AK50" s="196" t="str">
        <f t="shared" si="12"/>
        <v/>
      </c>
      <c r="AM50" s="196" t="str">
        <f t="shared" si="13"/>
        <v/>
      </c>
      <c r="AN50" s="196" t="str">
        <f t="shared" si="14"/>
        <v/>
      </c>
      <c r="AP50" s="196" t="str">
        <f t="shared" si="15"/>
        <v/>
      </c>
      <c r="AQ50" s="196" t="str">
        <f t="shared" si="16"/>
        <v/>
      </c>
      <c r="AS50" s="196" t="str">
        <f t="shared" si="17"/>
        <v/>
      </c>
      <c r="AT50" s="196" t="str">
        <f t="shared" si="18"/>
        <v/>
      </c>
      <c r="AV50" s="196" t="str">
        <f t="shared" si="19"/>
        <v/>
      </c>
      <c r="AW50" s="196" t="str">
        <f t="shared" si="20"/>
        <v/>
      </c>
      <c r="AY50" s="196" t="str">
        <f t="shared" si="21"/>
        <v/>
      </c>
      <c r="AZ50" s="196" t="str">
        <f t="shared" si="22"/>
        <v/>
      </c>
      <c r="BB50" s="196" t="str">
        <f t="shared" si="88"/>
        <v/>
      </c>
      <c r="BC50" s="196" t="str">
        <f t="shared" si="89"/>
        <v/>
      </c>
      <c r="BE50" s="196" t="str">
        <f t="shared" si="90"/>
        <v/>
      </c>
      <c r="BF50" s="196" t="str">
        <f t="shared" si="91"/>
        <v/>
      </c>
      <c r="BH50" s="196" t="str">
        <f t="shared" si="27"/>
        <v/>
      </c>
      <c r="BI50" s="196" t="str">
        <f t="shared" si="28"/>
        <v/>
      </c>
      <c r="BK50" s="196" t="str">
        <f t="shared" si="29"/>
        <v/>
      </c>
      <c r="BL50" s="196" t="str">
        <f t="shared" si="30"/>
        <v/>
      </c>
      <c r="BN50" s="204" t="str">
        <f t="shared" si="40"/>
        <v/>
      </c>
      <c r="BO50" s="204" t="str">
        <f t="shared" si="41"/>
        <v/>
      </c>
      <c r="BP50" s="204" t="str">
        <f t="shared" si="42"/>
        <v/>
      </c>
      <c r="BQ50" s="204" t="str">
        <f t="shared" si="43"/>
        <v/>
      </c>
      <c r="BR50" s="204" t="str">
        <f t="shared" si="44"/>
        <v/>
      </c>
      <c r="BS50" s="204" t="str">
        <f t="shared" si="45"/>
        <v/>
      </c>
      <c r="BU50" s="204" t="str">
        <f t="shared" si="46"/>
        <v/>
      </c>
      <c r="BV50" s="204" t="str">
        <f t="shared" si="47"/>
        <v/>
      </c>
      <c r="BW50" s="204" t="str">
        <f t="shared" si="48"/>
        <v/>
      </c>
      <c r="BX50" s="204" t="str">
        <f t="shared" si="49"/>
        <v/>
      </c>
      <c r="BY50" s="204" t="str">
        <f t="shared" si="50"/>
        <v/>
      </c>
      <c r="BZ50" s="204" t="str">
        <f t="shared" si="51"/>
        <v/>
      </c>
      <c r="CC50" s="118">
        <v>6</v>
      </c>
      <c r="CD50" s="299">
        <f t="shared" si="52"/>
        <v>0</v>
      </c>
      <c r="CE50" s="118">
        <v>0.62</v>
      </c>
      <c r="CF50" s="118">
        <v>16.55</v>
      </c>
      <c r="CG50" s="300" t="str">
        <f t="shared" si="53"/>
        <v>ULL?</v>
      </c>
      <c r="CH50" s="118">
        <v>17.202999999999999</v>
      </c>
      <c r="CI50" s="118">
        <v>16.937999999999999</v>
      </c>
      <c r="CJ50" s="300" t="str">
        <f t="shared" si="54"/>
        <v>ULL?</v>
      </c>
      <c r="CK50" s="118">
        <v>17.597000000000001</v>
      </c>
      <c r="CL50" s="300">
        <f t="shared" si="31"/>
        <v>16.937999999999999</v>
      </c>
      <c r="CM50" s="301" t="str">
        <f t="shared" si="32"/>
        <v>ULL?</v>
      </c>
      <c r="CN50" s="300">
        <f t="shared" si="33"/>
        <v>17.597000000000001</v>
      </c>
      <c r="CP50" s="118">
        <v>6</v>
      </c>
      <c r="CQ50" s="299">
        <f t="shared" si="55"/>
        <v>0</v>
      </c>
      <c r="CR50" s="118">
        <v>0.62</v>
      </c>
      <c r="CS50" s="118">
        <v>16.55</v>
      </c>
      <c r="CT50" s="300" t="str">
        <f t="shared" si="56"/>
        <v>ULL?</v>
      </c>
      <c r="CU50" s="118">
        <v>17.202999999999999</v>
      </c>
      <c r="CV50" s="118">
        <v>16.937999999999999</v>
      </c>
      <c r="CW50" s="300" t="str">
        <f t="shared" si="57"/>
        <v>ULL?</v>
      </c>
      <c r="CX50" s="118">
        <v>17.597000000000001</v>
      </c>
      <c r="CY50" s="300">
        <f t="shared" si="34"/>
        <v>16.71</v>
      </c>
      <c r="CZ50" s="301" t="str">
        <f t="shared" si="35"/>
        <v>ULL?</v>
      </c>
      <c r="DA50" s="300">
        <f t="shared" si="36"/>
        <v>17.364999999999998</v>
      </c>
      <c r="DC50" s="204" t="str">
        <f t="shared" si="58"/>
        <v/>
      </c>
      <c r="DD50" s="297">
        <f t="shared" si="59"/>
        <v>0</v>
      </c>
      <c r="DE50" s="297" t="str">
        <f t="shared" si="60"/>
        <v/>
      </c>
      <c r="DF50" s="1170"/>
      <c r="DG50" s="297">
        <f t="shared" si="61"/>
        <v>0</v>
      </c>
      <c r="DH50" s="297">
        <f t="shared" si="62"/>
        <v>0</v>
      </c>
      <c r="DI50" s="204" t="str">
        <f t="shared" si="39"/>
        <v/>
      </c>
      <c r="DJ50" s="297">
        <f t="shared" si="63"/>
        <v>0</v>
      </c>
      <c r="DL50" s="1141" t="str">
        <f>IF($DE50="","",INDEX('Cover Page'!$AI$106:$AJ$111,MATCH($C50,'Cover Page'!$AC$106:$AC$111,0),D1SEL_2))</f>
        <v/>
      </c>
    </row>
    <row r="51" spans="1:116" ht="15.75">
      <c r="A51" s="1286" t="s">
        <v>284</v>
      </c>
      <c r="B51" s="868"/>
      <c r="C51" s="220"/>
      <c r="D51" s="221"/>
      <c r="E51" s="1000"/>
      <c r="F51" s="1000"/>
      <c r="G51" s="223"/>
      <c r="H51" s="1004"/>
      <c r="I51" s="1004"/>
      <c r="J51" s="1340"/>
      <c r="K51" s="844"/>
      <c r="L51" s="1403"/>
      <c r="M51" s="845"/>
      <c r="N51" s="222"/>
      <c r="O51" s="223"/>
      <c r="P51" s="1004"/>
      <c r="Q51" s="1004"/>
      <c r="R51" s="1340"/>
      <c r="S51" s="844"/>
      <c r="T51" s="1402"/>
      <c r="U51" s="845"/>
      <c r="V51" s="224"/>
      <c r="X51" s="196" t="str">
        <f t="shared" si="3"/>
        <v/>
      </c>
      <c r="Y51" s="196" t="str">
        <f t="shared" si="4"/>
        <v/>
      </c>
      <c r="Z51" s="154" t="b">
        <f>IF(OR(SURVEYMODE=3,C51=""),FALSE,IF(AND(SUMPRODUCT((INDEX('Cover Page'!$I$89:$N$89,1,MATCH(C51,'Cover Page'!$I$88:$N$88,0))=$D$18)*(INDEX('Cover Page'!$I$104:$N$104,1,MATCH(C51,'Cover Page'!$I$88:$N$88,0))&gt;0))=0,D51="Y"),TRUE,FALSE))</f>
        <v>0</v>
      </c>
      <c r="AA51" s="196" t="str">
        <f t="shared" si="5"/>
        <v/>
      </c>
      <c r="AB51" s="196" t="str">
        <f t="shared" si="6"/>
        <v/>
      </c>
      <c r="AD51" s="196" t="str">
        <f t="shared" si="7"/>
        <v/>
      </c>
      <c r="AE51" s="196" t="str">
        <f t="shared" si="8"/>
        <v/>
      </c>
      <c r="AG51" s="196" t="str">
        <f t="shared" si="9"/>
        <v/>
      </c>
      <c r="AH51" s="196" t="str">
        <f t="shared" si="10"/>
        <v/>
      </c>
      <c r="AJ51" s="196" t="str">
        <f t="shared" si="11"/>
        <v/>
      </c>
      <c r="AK51" s="196" t="str">
        <f t="shared" si="12"/>
        <v/>
      </c>
      <c r="AM51" s="196" t="str">
        <f t="shared" si="13"/>
        <v/>
      </c>
      <c r="AN51" s="196" t="str">
        <f t="shared" si="14"/>
        <v/>
      </c>
      <c r="AP51" s="196" t="str">
        <f t="shared" si="15"/>
        <v/>
      </c>
      <c r="AQ51" s="196" t="str">
        <f t="shared" si="16"/>
        <v/>
      </c>
      <c r="AS51" s="196" t="str">
        <f t="shared" si="17"/>
        <v/>
      </c>
      <c r="AT51" s="196" t="str">
        <f t="shared" si="18"/>
        <v/>
      </c>
      <c r="AV51" s="196" t="str">
        <f t="shared" si="19"/>
        <v/>
      </c>
      <c r="AW51" s="196" t="str">
        <f t="shared" si="20"/>
        <v/>
      </c>
      <c r="AY51" s="196" t="str">
        <f t="shared" si="21"/>
        <v/>
      </c>
      <c r="AZ51" s="196" t="str">
        <f t="shared" si="22"/>
        <v/>
      </c>
      <c r="BB51" s="196" t="str">
        <f t="shared" si="88"/>
        <v/>
      </c>
      <c r="BC51" s="196" t="str">
        <f t="shared" si="89"/>
        <v/>
      </c>
      <c r="BE51" s="196" t="str">
        <f t="shared" si="90"/>
        <v/>
      </c>
      <c r="BF51" s="196" t="str">
        <f t="shared" si="91"/>
        <v/>
      </c>
      <c r="BH51" s="196" t="str">
        <f t="shared" si="27"/>
        <v/>
      </c>
      <c r="BI51" s="196" t="str">
        <f t="shared" si="28"/>
        <v/>
      </c>
      <c r="BK51" s="196" t="str">
        <f t="shared" si="29"/>
        <v/>
      </c>
      <c r="BL51" s="196" t="str">
        <f t="shared" si="30"/>
        <v/>
      </c>
      <c r="BN51" s="204" t="str">
        <f t="shared" si="40"/>
        <v/>
      </c>
      <c r="BO51" s="204" t="str">
        <f t="shared" si="41"/>
        <v/>
      </c>
      <c r="BP51" s="204" t="str">
        <f t="shared" si="42"/>
        <v/>
      </c>
      <c r="BQ51" s="204" t="str">
        <f t="shared" si="43"/>
        <v/>
      </c>
      <c r="BR51" s="204" t="str">
        <f t="shared" si="44"/>
        <v/>
      </c>
      <c r="BS51" s="204" t="str">
        <f t="shared" si="45"/>
        <v/>
      </c>
      <c r="BU51" s="204" t="str">
        <f t="shared" si="46"/>
        <v/>
      </c>
      <c r="BV51" s="204" t="str">
        <f t="shared" si="47"/>
        <v/>
      </c>
      <c r="BW51" s="204" t="str">
        <f t="shared" si="48"/>
        <v/>
      </c>
      <c r="BX51" s="204" t="str">
        <f t="shared" si="49"/>
        <v/>
      </c>
      <c r="BY51" s="204" t="str">
        <f t="shared" si="50"/>
        <v/>
      </c>
      <c r="BZ51" s="204" t="str">
        <f t="shared" si="51"/>
        <v/>
      </c>
      <c r="CC51" s="118"/>
      <c r="CD51" s="299">
        <f t="shared" si="52"/>
        <v>0</v>
      </c>
      <c r="CE51" s="118"/>
      <c r="CF51" s="118"/>
      <c r="CG51" s="300">
        <f t="shared" si="53"/>
        <v>0</v>
      </c>
      <c r="CH51" s="118"/>
      <c r="CI51" s="118"/>
      <c r="CJ51" s="300">
        <f t="shared" si="54"/>
        <v>0</v>
      </c>
      <c r="CK51" s="118"/>
      <c r="CL51" s="300">
        <f t="shared" si="31"/>
        <v>0</v>
      </c>
      <c r="CM51" s="301">
        <f t="shared" si="32"/>
        <v>0</v>
      </c>
      <c r="CN51" s="300">
        <f t="shared" si="33"/>
        <v>0</v>
      </c>
      <c r="CP51" s="118">
        <v>6</v>
      </c>
      <c r="CQ51" s="299">
        <f t="shared" si="55"/>
        <v>0</v>
      </c>
      <c r="CR51" s="118">
        <v>0.62</v>
      </c>
      <c r="CS51" s="118">
        <v>16.55</v>
      </c>
      <c r="CT51" s="300" t="str">
        <f t="shared" si="56"/>
        <v>ULL?</v>
      </c>
      <c r="CU51" s="118">
        <v>17.202999999999999</v>
      </c>
      <c r="CV51" s="118">
        <v>16.937999999999999</v>
      </c>
      <c r="CW51" s="300" t="str">
        <f t="shared" si="57"/>
        <v>ULL?</v>
      </c>
      <c r="CX51" s="118">
        <v>17.597000000000001</v>
      </c>
      <c r="CY51" s="300">
        <f t="shared" si="34"/>
        <v>16.71</v>
      </c>
      <c r="CZ51" s="301" t="str">
        <f t="shared" si="35"/>
        <v>ULL?</v>
      </c>
      <c r="DA51" s="300">
        <f t="shared" si="36"/>
        <v>17.364999999999998</v>
      </c>
      <c r="DC51" s="204" t="str">
        <f t="shared" si="58"/>
        <v/>
      </c>
      <c r="DD51" s="297">
        <f t="shared" si="59"/>
        <v>0</v>
      </c>
      <c r="DE51" s="297" t="str">
        <f t="shared" si="60"/>
        <v/>
      </c>
      <c r="DF51" s="1170"/>
      <c r="DG51" s="297">
        <f t="shared" si="61"/>
        <v>0</v>
      </c>
      <c r="DH51" s="297">
        <f t="shared" si="62"/>
        <v>0</v>
      </c>
      <c r="DI51" s="204" t="str">
        <f t="shared" si="39"/>
        <v/>
      </c>
      <c r="DJ51" s="297">
        <f t="shared" si="63"/>
        <v>0</v>
      </c>
      <c r="DL51" s="1141" t="str">
        <f>IF($DE51="","",INDEX('Cover Page'!$AI$106:$AJ$111,MATCH($C51,'Cover Page'!$AC$106:$AC$111,0),D1SEL_2))</f>
        <v/>
      </c>
    </row>
    <row r="52" spans="1:116" ht="15.75">
      <c r="A52" s="1286" t="s">
        <v>284</v>
      </c>
      <c r="B52" s="867"/>
      <c r="C52" s="215"/>
      <c r="D52" s="216"/>
      <c r="E52" s="999"/>
      <c r="F52" s="999"/>
      <c r="G52" s="218"/>
      <c r="H52" s="1003"/>
      <c r="I52" s="1003"/>
      <c r="J52" s="1339"/>
      <c r="K52" s="841"/>
      <c r="L52" s="1402"/>
      <c r="M52" s="842"/>
      <c r="N52" s="217"/>
      <c r="O52" s="218"/>
      <c r="P52" s="1003"/>
      <c r="Q52" s="1003"/>
      <c r="R52" s="1339"/>
      <c r="S52" s="841"/>
      <c r="T52" s="1402"/>
      <c r="U52" s="842"/>
      <c r="V52" s="219"/>
      <c r="X52" s="196" t="str">
        <f t="shared" si="3"/>
        <v/>
      </c>
      <c r="Y52" s="196" t="str">
        <f t="shared" si="4"/>
        <v/>
      </c>
      <c r="Z52" s="154" t="b">
        <f>IF(OR(SURVEYMODE=3,C52=""),FALSE,IF(AND(SUMPRODUCT((INDEX('Cover Page'!$I$89:$N$89,1,MATCH(C52,'Cover Page'!$I$88:$N$88,0))=$D$18)*(INDEX('Cover Page'!$I$104:$N$104,1,MATCH(C52,'Cover Page'!$I$88:$N$88,0))&gt;0))=0,D52="Y"),TRUE,FALSE))</f>
        <v>0</v>
      </c>
      <c r="AA52" s="196" t="str">
        <f t="shared" si="5"/>
        <v/>
      </c>
      <c r="AB52" s="196" t="str">
        <f t="shared" si="6"/>
        <v/>
      </c>
      <c r="AD52" s="196" t="str">
        <f t="shared" si="7"/>
        <v/>
      </c>
      <c r="AE52" s="196" t="str">
        <f t="shared" si="8"/>
        <v/>
      </c>
      <c r="AG52" s="196" t="str">
        <f t="shared" si="9"/>
        <v/>
      </c>
      <c r="AH52" s="196" t="str">
        <f t="shared" si="10"/>
        <v/>
      </c>
      <c r="AJ52" s="196" t="str">
        <f t="shared" si="11"/>
        <v/>
      </c>
      <c r="AK52" s="196" t="str">
        <f t="shared" si="12"/>
        <v/>
      </c>
      <c r="AM52" s="196" t="str">
        <f t="shared" si="13"/>
        <v/>
      </c>
      <c r="AN52" s="196" t="str">
        <f t="shared" si="14"/>
        <v/>
      </c>
      <c r="AP52" s="196" t="str">
        <f t="shared" si="15"/>
        <v/>
      </c>
      <c r="AQ52" s="196" t="str">
        <f t="shared" si="16"/>
        <v/>
      </c>
      <c r="AS52" s="196" t="str">
        <f t="shared" si="17"/>
        <v/>
      </c>
      <c r="AT52" s="196" t="str">
        <f t="shared" si="18"/>
        <v/>
      </c>
      <c r="AV52" s="196" t="str">
        <f t="shared" si="19"/>
        <v/>
      </c>
      <c r="AW52" s="196" t="str">
        <f t="shared" si="20"/>
        <v/>
      </c>
      <c r="AY52" s="196" t="str">
        <f t="shared" si="21"/>
        <v/>
      </c>
      <c r="AZ52" s="196" t="str">
        <f t="shared" si="22"/>
        <v/>
      </c>
      <c r="BB52" s="196" t="str">
        <f t="shared" si="88"/>
        <v/>
      </c>
      <c r="BC52" s="196" t="str">
        <f t="shared" si="89"/>
        <v/>
      </c>
      <c r="BE52" s="196" t="str">
        <f t="shared" si="90"/>
        <v/>
      </c>
      <c r="BF52" s="196" t="str">
        <f t="shared" si="91"/>
        <v/>
      </c>
      <c r="BH52" s="196" t="str">
        <f t="shared" si="27"/>
        <v/>
      </c>
      <c r="BI52" s="196" t="str">
        <f t="shared" si="28"/>
        <v/>
      </c>
      <c r="BK52" s="196" t="str">
        <f t="shared" si="29"/>
        <v/>
      </c>
      <c r="BL52" s="196" t="str">
        <f t="shared" si="30"/>
        <v/>
      </c>
      <c r="BN52" s="204" t="str">
        <f t="shared" si="40"/>
        <v/>
      </c>
      <c r="BO52" s="204" t="str">
        <f t="shared" si="41"/>
        <v/>
      </c>
      <c r="BP52" s="204" t="str">
        <f t="shared" si="42"/>
        <v/>
      </c>
      <c r="BQ52" s="204" t="str">
        <f t="shared" si="43"/>
        <v/>
      </c>
      <c r="BR52" s="204" t="str">
        <f t="shared" si="44"/>
        <v/>
      </c>
      <c r="BS52" s="204" t="str">
        <f t="shared" si="45"/>
        <v/>
      </c>
      <c r="BU52" s="204" t="str">
        <f t="shared" si="46"/>
        <v/>
      </c>
      <c r="BV52" s="204" t="str">
        <f t="shared" si="47"/>
        <v/>
      </c>
      <c r="BW52" s="204" t="str">
        <f t="shared" si="48"/>
        <v/>
      </c>
      <c r="BX52" s="204" t="str">
        <f t="shared" si="49"/>
        <v/>
      </c>
      <c r="BY52" s="204" t="str">
        <f t="shared" si="50"/>
        <v/>
      </c>
      <c r="BZ52" s="204" t="str">
        <f t="shared" si="51"/>
        <v/>
      </c>
      <c r="CC52" s="118"/>
      <c r="CD52" s="299">
        <f t="shared" si="52"/>
        <v>0</v>
      </c>
      <c r="CE52" s="118"/>
      <c r="CF52" s="118"/>
      <c r="CG52" s="300">
        <f t="shared" si="53"/>
        <v>0</v>
      </c>
      <c r="CH52" s="118"/>
      <c r="CI52" s="118"/>
      <c r="CJ52" s="300">
        <f t="shared" si="54"/>
        <v>0</v>
      </c>
      <c r="CK52" s="118"/>
      <c r="CL52" s="300">
        <f t="shared" si="31"/>
        <v>0</v>
      </c>
      <c r="CM52" s="301">
        <f t="shared" si="32"/>
        <v>0</v>
      </c>
      <c r="CN52" s="300">
        <f t="shared" si="33"/>
        <v>0</v>
      </c>
      <c r="CP52" s="118">
        <v>6</v>
      </c>
      <c r="CQ52" s="299">
        <f t="shared" si="55"/>
        <v>0</v>
      </c>
      <c r="CR52" s="118">
        <v>0.62</v>
      </c>
      <c r="CS52" s="118">
        <v>16.55</v>
      </c>
      <c r="CT52" s="300" t="str">
        <f t="shared" si="56"/>
        <v>ULL?</v>
      </c>
      <c r="CU52" s="118">
        <v>17.202999999999999</v>
      </c>
      <c r="CV52" s="118">
        <v>16.937999999999999</v>
      </c>
      <c r="CW52" s="300" t="str">
        <f t="shared" si="57"/>
        <v>ULL?</v>
      </c>
      <c r="CX52" s="118">
        <v>17.597000000000001</v>
      </c>
      <c r="CY52" s="300">
        <f t="shared" si="34"/>
        <v>16.71</v>
      </c>
      <c r="CZ52" s="301" t="str">
        <f t="shared" si="35"/>
        <v>ULL?</v>
      </c>
      <c r="DA52" s="300">
        <f t="shared" si="36"/>
        <v>17.364999999999998</v>
      </c>
      <c r="DC52" s="204" t="str">
        <f t="shared" si="58"/>
        <v/>
      </c>
      <c r="DD52" s="297">
        <f t="shared" si="59"/>
        <v>0</v>
      </c>
      <c r="DE52" s="297" t="str">
        <f t="shared" si="60"/>
        <v/>
      </c>
      <c r="DF52" s="1170"/>
      <c r="DG52" s="297">
        <f t="shared" si="61"/>
        <v>0</v>
      </c>
      <c r="DH52" s="297">
        <f t="shared" si="62"/>
        <v>0</v>
      </c>
      <c r="DI52" s="204" t="str">
        <f t="shared" si="39"/>
        <v/>
      </c>
      <c r="DJ52" s="297">
        <f t="shared" si="63"/>
        <v>0</v>
      </c>
      <c r="DL52" s="1141" t="str">
        <f>IF($DE52="","",INDEX('Cover Page'!$AI$106:$AJ$111,MATCH($C52,'Cover Page'!$AC$106:$AC$111,0),D1SEL_2))</f>
        <v/>
      </c>
    </row>
    <row r="53" spans="1:116" ht="15.75">
      <c r="A53" s="1286" t="s">
        <v>284</v>
      </c>
      <c r="B53" s="868"/>
      <c r="C53" s="220"/>
      <c r="D53" s="221"/>
      <c r="E53" s="1000"/>
      <c r="F53" s="1000"/>
      <c r="G53" s="223"/>
      <c r="H53" s="1004"/>
      <c r="I53" s="1004"/>
      <c r="J53" s="1340"/>
      <c r="K53" s="844"/>
      <c r="L53" s="1403"/>
      <c r="M53" s="845"/>
      <c r="N53" s="222"/>
      <c r="O53" s="223"/>
      <c r="P53" s="1004"/>
      <c r="Q53" s="1004"/>
      <c r="R53" s="1340"/>
      <c r="S53" s="844"/>
      <c r="T53" s="1402"/>
      <c r="U53" s="845"/>
      <c r="V53" s="224"/>
      <c r="X53" s="196" t="str">
        <f t="shared" si="3"/>
        <v/>
      </c>
      <c r="Y53" s="196" t="str">
        <f t="shared" si="4"/>
        <v/>
      </c>
      <c r="Z53" s="154" t="b">
        <f>IF(OR(SURVEYMODE=3,C53=""),FALSE,IF(AND(SUMPRODUCT((INDEX('Cover Page'!$I$89:$N$89,1,MATCH(C53,'Cover Page'!$I$88:$N$88,0))=$D$18)*(INDEX('Cover Page'!$I$104:$N$104,1,MATCH(C53,'Cover Page'!$I$88:$N$88,0))&gt;0))=0,D53="Y"),TRUE,FALSE))</f>
        <v>0</v>
      </c>
      <c r="AA53" s="196" t="str">
        <f t="shared" si="5"/>
        <v/>
      </c>
      <c r="AB53" s="196" t="str">
        <f t="shared" si="6"/>
        <v/>
      </c>
      <c r="AD53" s="196" t="str">
        <f t="shared" si="7"/>
        <v/>
      </c>
      <c r="AE53" s="196" t="str">
        <f t="shared" si="8"/>
        <v/>
      </c>
      <c r="AG53" s="196" t="str">
        <f t="shared" si="9"/>
        <v/>
      </c>
      <c r="AH53" s="196" t="str">
        <f t="shared" si="10"/>
        <v/>
      </c>
      <c r="AJ53" s="196" t="str">
        <f t="shared" si="11"/>
        <v/>
      </c>
      <c r="AK53" s="196" t="str">
        <f t="shared" si="12"/>
        <v/>
      </c>
      <c r="AM53" s="196" t="str">
        <f t="shared" si="13"/>
        <v/>
      </c>
      <c r="AN53" s="196" t="str">
        <f t="shared" si="14"/>
        <v/>
      </c>
      <c r="AP53" s="196" t="str">
        <f t="shared" si="15"/>
        <v/>
      </c>
      <c r="AQ53" s="196" t="str">
        <f t="shared" si="16"/>
        <v/>
      </c>
      <c r="AS53" s="196" t="str">
        <f t="shared" si="17"/>
        <v/>
      </c>
      <c r="AT53" s="196" t="str">
        <f t="shared" si="18"/>
        <v/>
      </c>
      <c r="AV53" s="196" t="str">
        <f t="shared" si="19"/>
        <v/>
      </c>
      <c r="AW53" s="196" t="str">
        <f t="shared" si="20"/>
        <v/>
      </c>
      <c r="AY53" s="196" t="str">
        <f t="shared" si="21"/>
        <v/>
      </c>
      <c r="AZ53" s="196" t="str">
        <f t="shared" si="22"/>
        <v/>
      </c>
      <c r="BB53" s="196" t="str">
        <f t="shared" si="88"/>
        <v/>
      </c>
      <c r="BC53" s="196" t="str">
        <f t="shared" si="89"/>
        <v/>
      </c>
      <c r="BE53" s="196" t="str">
        <f t="shared" si="90"/>
        <v/>
      </c>
      <c r="BF53" s="196" t="str">
        <f t="shared" si="91"/>
        <v/>
      </c>
      <c r="BH53" s="196" t="str">
        <f t="shared" si="27"/>
        <v/>
      </c>
      <c r="BI53" s="196" t="str">
        <f t="shared" si="28"/>
        <v/>
      </c>
      <c r="BK53" s="196" t="str">
        <f t="shared" si="29"/>
        <v/>
      </c>
      <c r="BL53" s="196" t="str">
        <f t="shared" si="30"/>
        <v/>
      </c>
      <c r="BN53" s="204" t="str">
        <f t="shared" si="40"/>
        <v/>
      </c>
      <c r="BO53" s="204" t="str">
        <f t="shared" si="41"/>
        <v/>
      </c>
      <c r="BP53" s="204" t="str">
        <f t="shared" si="42"/>
        <v/>
      </c>
      <c r="BQ53" s="204" t="str">
        <f t="shared" si="43"/>
        <v/>
      </c>
      <c r="BR53" s="204" t="str">
        <f t="shared" si="44"/>
        <v/>
      </c>
      <c r="BS53" s="204" t="str">
        <f t="shared" si="45"/>
        <v/>
      </c>
      <c r="BU53" s="204" t="str">
        <f t="shared" si="46"/>
        <v/>
      </c>
      <c r="BV53" s="204" t="str">
        <f t="shared" si="47"/>
        <v/>
      </c>
      <c r="BW53" s="204" t="str">
        <f t="shared" si="48"/>
        <v/>
      </c>
      <c r="BX53" s="204" t="str">
        <f t="shared" si="49"/>
        <v/>
      </c>
      <c r="BY53" s="204" t="str">
        <f t="shared" si="50"/>
        <v/>
      </c>
      <c r="BZ53" s="204" t="str">
        <f t="shared" si="51"/>
        <v/>
      </c>
      <c r="CC53" s="118"/>
      <c r="CD53" s="299">
        <f t="shared" si="52"/>
        <v>0</v>
      </c>
      <c r="CE53" s="118"/>
      <c r="CF53" s="118"/>
      <c r="CG53" s="300">
        <f t="shared" si="53"/>
        <v>0</v>
      </c>
      <c r="CH53" s="118"/>
      <c r="CI53" s="118"/>
      <c r="CJ53" s="300">
        <f t="shared" si="54"/>
        <v>0</v>
      </c>
      <c r="CK53" s="118"/>
      <c r="CL53" s="300">
        <f t="shared" si="31"/>
        <v>0</v>
      </c>
      <c r="CM53" s="301">
        <f t="shared" si="32"/>
        <v>0</v>
      </c>
      <c r="CN53" s="300">
        <f t="shared" si="33"/>
        <v>0</v>
      </c>
      <c r="CP53" s="118">
        <v>6</v>
      </c>
      <c r="CQ53" s="299">
        <f t="shared" si="55"/>
        <v>0</v>
      </c>
      <c r="CR53" s="118">
        <v>0.62</v>
      </c>
      <c r="CS53" s="118">
        <v>16.55</v>
      </c>
      <c r="CT53" s="300" t="str">
        <f t="shared" si="56"/>
        <v>ULL?</v>
      </c>
      <c r="CU53" s="118">
        <v>17.202999999999999</v>
      </c>
      <c r="CV53" s="118">
        <v>16.937999999999999</v>
      </c>
      <c r="CW53" s="300" t="str">
        <f t="shared" si="57"/>
        <v>ULL?</v>
      </c>
      <c r="CX53" s="118">
        <v>17.597000000000001</v>
      </c>
      <c r="CY53" s="300">
        <f t="shared" si="34"/>
        <v>16.71</v>
      </c>
      <c r="CZ53" s="301" t="str">
        <f t="shared" si="35"/>
        <v>ULL?</v>
      </c>
      <c r="DA53" s="300">
        <f t="shared" si="36"/>
        <v>17.364999999999998</v>
      </c>
      <c r="DC53" s="204" t="str">
        <f t="shared" si="58"/>
        <v/>
      </c>
      <c r="DD53" s="297">
        <f t="shared" si="59"/>
        <v>0</v>
      </c>
      <c r="DE53" s="297" t="str">
        <f t="shared" si="60"/>
        <v/>
      </c>
      <c r="DF53" s="1170"/>
      <c r="DG53" s="297">
        <f t="shared" si="61"/>
        <v>0</v>
      </c>
      <c r="DH53" s="297">
        <f t="shared" si="62"/>
        <v>0</v>
      </c>
      <c r="DI53" s="204" t="str">
        <f t="shared" si="39"/>
        <v/>
      </c>
      <c r="DJ53" s="297">
        <f t="shared" si="63"/>
        <v>0</v>
      </c>
      <c r="DL53" s="1141" t="str">
        <f>IF($DE53="","",INDEX('Cover Page'!$AI$106:$AJ$111,MATCH($C53,'Cover Page'!$AC$106:$AC$111,0),D1SEL_2))</f>
        <v/>
      </c>
    </row>
    <row r="54" spans="1:116" ht="15.75">
      <c r="A54" s="1286" t="s">
        <v>284</v>
      </c>
      <c r="B54" s="867"/>
      <c r="C54" s="215"/>
      <c r="D54" s="216"/>
      <c r="E54" s="999"/>
      <c r="F54" s="999"/>
      <c r="G54" s="218"/>
      <c r="H54" s="1003"/>
      <c r="I54" s="1003"/>
      <c r="J54" s="1339"/>
      <c r="K54" s="841"/>
      <c r="L54" s="1402"/>
      <c r="M54" s="842"/>
      <c r="N54" s="217"/>
      <c r="O54" s="218"/>
      <c r="P54" s="1003"/>
      <c r="Q54" s="1003"/>
      <c r="R54" s="1339"/>
      <c r="S54" s="841"/>
      <c r="T54" s="1402"/>
      <c r="U54" s="842"/>
      <c r="V54" s="219"/>
      <c r="X54" s="196" t="str">
        <f t="shared" si="3"/>
        <v/>
      </c>
      <c r="Y54" s="196" t="str">
        <f t="shared" si="4"/>
        <v/>
      </c>
      <c r="Z54" s="154" t="b">
        <f>IF(OR(SURVEYMODE=3,C54=""),FALSE,IF(AND(SUMPRODUCT((INDEX('Cover Page'!$I$89:$N$89,1,MATCH(C54,'Cover Page'!$I$88:$N$88,0))=$D$18)*(INDEX('Cover Page'!$I$104:$N$104,1,MATCH(C54,'Cover Page'!$I$88:$N$88,0))&gt;0))=0,D54="Y"),TRUE,FALSE))</f>
        <v>0</v>
      </c>
      <c r="AA54" s="196" t="str">
        <f t="shared" si="5"/>
        <v/>
      </c>
      <c r="AB54" s="196" t="str">
        <f t="shared" si="6"/>
        <v/>
      </c>
      <c r="AD54" s="196" t="str">
        <f t="shared" si="7"/>
        <v/>
      </c>
      <c r="AE54" s="196" t="str">
        <f t="shared" si="8"/>
        <v/>
      </c>
      <c r="AG54" s="196" t="str">
        <f t="shared" si="9"/>
        <v/>
      </c>
      <c r="AH54" s="196" t="str">
        <f t="shared" si="10"/>
        <v/>
      </c>
      <c r="AJ54" s="196" t="str">
        <f t="shared" si="11"/>
        <v/>
      </c>
      <c r="AK54" s="196" t="str">
        <f t="shared" si="12"/>
        <v/>
      </c>
      <c r="AM54" s="196" t="str">
        <f t="shared" si="13"/>
        <v/>
      </c>
      <c r="AN54" s="196" t="str">
        <f t="shared" si="14"/>
        <v/>
      </c>
      <c r="AP54" s="196" t="str">
        <f t="shared" si="15"/>
        <v/>
      </c>
      <c r="AQ54" s="196" t="str">
        <f t="shared" si="16"/>
        <v/>
      </c>
      <c r="AS54" s="196" t="str">
        <f t="shared" si="17"/>
        <v/>
      </c>
      <c r="AT54" s="196" t="str">
        <f t="shared" si="18"/>
        <v/>
      </c>
      <c r="AV54" s="196" t="str">
        <f t="shared" si="19"/>
        <v/>
      </c>
      <c r="AW54" s="196" t="str">
        <f t="shared" si="20"/>
        <v/>
      </c>
      <c r="AY54" s="196" t="str">
        <f t="shared" si="21"/>
        <v/>
      </c>
      <c r="AZ54" s="196" t="str">
        <f t="shared" si="22"/>
        <v/>
      </c>
      <c r="BB54" s="196" t="str">
        <f t="shared" si="88"/>
        <v/>
      </c>
      <c r="BC54" s="196" t="str">
        <f t="shared" si="89"/>
        <v/>
      </c>
      <c r="BE54" s="196" t="str">
        <f t="shared" si="90"/>
        <v/>
      </c>
      <c r="BF54" s="196" t="str">
        <f t="shared" si="91"/>
        <v/>
      </c>
      <c r="BH54" s="196" t="str">
        <f t="shared" si="27"/>
        <v/>
      </c>
      <c r="BI54" s="196" t="str">
        <f t="shared" si="28"/>
        <v/>
      </c>
      <c r="BK54" s="196" t="str">
        <f t="shared" si="29"/>
        <v/>
      </c>
      <c r="BL54" s="196" t="str">
        <f t="shared" si="30"/>
        <v/>
      </c>
      <c r="BN54" s="204" t="str">
        <f t="shared" si="40"/>
        <v/>
      </c>
      <c r="BO54" s="204" t="str">
        <f t="shared" si="41"/>
        <v/>
      </c>
      <c r="BP54" s="204" t="str">
        <f t="shared" si="42"/>
        <v/>
      </c>
      <c r="BQ54" s="204" t="str">
        <f t="shared" si="43"/>
        <v/>
      </c>
      <c r="BR54" s="204" t="str">
        <f t="shared" si="44"/>
        <v/>
      </c>
      <c r="BS54" s="204" t="str">
        <f t="shared" si="45"/>
        <v/>
      </c>
      <c r="BU54" s="204" t="str">
        <f t="shared" si="46"/>
        <v/>
      </c>
      <c r="BV54" s="204" t="str">
        <f t="shared" si="47"/>
        <v/>
      </c>
      <c r="BW54" s="204" t="str">
        <f t="shared" si="48"/>
        <v/>
      </c>
      <c r="BX54" s="204" t="str">
        <f t="shared" si="49"/>
        <v/>
      </c>
      <c r="BY54" s="204" t="str">
        <f t="shared" si="50"/>
        <v/>
      </c>
      <c r="BZ54" s="204" t="str">
        <f t="shared" si="51"/>
        <v/>
      </c>
      <c r="CC54" s="118"/>
      <c r="CD54" s="299">
        <f t="shared" si="52"/>
        <v>0</v>
      </c>
      <c r="CE54" s="118"/>
      <c r="CF54" s="118"/>
      <c r="CG54" s="300">
        <f t="shared" si="53"/>
        <v>0</v>
      </c>
      <c r="CH54" s="118"/>
      <c r="CI54" s="118"/>
      <c r="CJ54" s="300">
        <f t="shared" si="54"/>
        <v>0</v>
      </c>
      <c r="CK54" s="118"/>
      <c r="CL54" s="300">
        <f t="shared" si="31"/>
        <v>0</v>
      </c>
      <c r="CM54" s="301">
        <f t="shared" si="32"/>
        <v>0</v>
      </c>
      <c r="CN54" s="300">
        <f t="shared" si="33"/>
        <v>0</v>
      </c>
      <c r="CP54" s="118">
        <v>6</v>
      </c>
      <c r="CQ54" s="299">
        <f t="shared" si="55"/>
        <v>0</v>
      </c>
      <c r="CR54" s="118">
        <v>0.62</v>
      </c>
      <c r="CS54" s="118">
        <v>16.55</v>
      </c>
      <c r="CT54" s="300" t="str">
        <f t="shared" si="56"/>
        <v>ULL?</v>
      </c>
      <c r="CU54" s="118">
        <v>17.202999999999999</v>
      </c>
      <c r="CV54" s="118">
        <v>16.937999999999999</v>
      </c>
      <c r="CW54" s="300" t="str">
        <f t="shared" si="57"/>
        <v>ULL?</v>
      </c>
      <c r="CX54" s="118">
        <v>17.597000000000001</v>
      </c>
      <c r="CY54" s="300">
        <f t="shared" si="34"/>
        <v>16.71</v>
      </c>
      <c r="CZ54" s="301" t="str">
        <f t="shared" si="35"/>
        <v>ULL?</v>
      </c>
      <c r="DA54" s="300">
        <f t="shared" si="36"/>
        <v>17.364999999999998</v>
      </c>
      <c r="DC54" s="204" t="str">
        <f t="shared" si="58"/>
        <v/>
      </c>
      <c r="DD54" s="297">
        <f t="shared" si="59"/>
        <v>0</v>
      </c>
      <c r="DE54" s="297" t="str">
        <f t="shared" si="60"/>
        <v/>
      </c>
      <c r="DF54" s="1170"/>
      <c r="DG54" s="297">
        <f t="shared" si="61"/>
        <v>0</v>
      </c>
      <c r="DH54" s="297">
        <f t="shared" si="62"/>
        <v>0</v>
      </c>
      <c r="DI54" s="204" t="str">
        <f t="shared" si="39"/>
        <v/>
      </c>
      <c r="DJ54" s="297">
        <f t="shared" si="63"/>
        <v>0</v>
      </c>
      <c r="DL54" s="1141" t="str">
        <f>IF($DE54="","",INDEX('Cover Page'!$AI$106:$AJ$111,MATCH($C54,'Cover Page'!$AC$106:$AC$111,0),D1SEL_2))</f>
        <v/>
      </c>
    </row>
    <row r="55" spans="1:116" ht="15.75">
      <c r="A55" s="1286" t="s">
        <v>284</v>
      </c>
      <c r="B55" s="868"/>
      <c r="C55" s="220"/>
      <c r="D55" s="221"/>
      <c r="E55" s="1000"/>
      <c r="F55" s="1000"/>
      <c r="G55" s="223"/>
      <c r="H55" s="1004"/>
      <c r="I55" s="1004"/>
      <c r="J55" s="1340"/>
      <c r="K55" s="844"/>
      <c r="L55" s="1403"/>
      <c r="M55" s="845"/>
      <c r="N55" s="222"/>
      <c r="O55" s="218"/>
      <c r="P55" s="1004"/>
      <c r="Q55" s="1004"/>
      <c r="R55" s="1340"/>
      <c r="S55" s="844"/>
      <c r="T55" s="1402"/>
      <c r="U55" s="845"/>
      <c r="V55" s="224"/>
      <c r="X55" s="196" t="str">
        <f t="shared" si="3"/>
        <v/>
      </c>
      <c r="Y55" s="196" t="str">
        <f t="shared" si="4"/>
        <v/>
      </c>
      <c r="Z55" s="154" t="b">
        <f>IF(OR(SURVEYMODE=3,C55=""),FALSE,IF(AND(SUMPRODUCT((INDEX('Cover Page'!$I$89:$N$89,1,MATCH(C55,'Cover Page'!$I$88:$N$88,0))=$D$18)*(INDEX('Cover Page'!$I$104:$N$104,1,MATCH(C55,'Cover Page'!$I$88:$N$88,0))&gt;0))=0,D55="Y"),TRUE,FALSE))</f>
        <v>0</v>
      </c>
      <c r="AA55" s="196" t="str">
        <f t="shared" si="5"/>
        <v/>
      </c>
      <c r="AB55" s="196" t="str">
        <f t="shared" si="6"/>
        <v/>
      </c>
      <c r="AD55" s="196" t="str">
        <f t="shared" si="7"/>
        <v/>
      </c>
      <c r="AE55" s="196" t="str">
        <f t="shared" si="8"/>
        <v/>
      </c>
      <c r="AG55" s="196" t="str">
        <f t="shared" si="9"/>
        <v/>
      </c>
      <c r="AH55" s="196" t="str">
        <f t="shared" si="10"/>
        <v/>
      </c>
      <c r="AJ55" s="196" t="str">
        <f t="shared" si="11"/>
        <v/>
      </c>
      <c r="AK55" s="196" t="str">
        <f t="shared" si="12"/>
        <v/>
      </c>
      <c r="AM55" s="196" t="str">
        <f t="shared" si="13"/>
        <v/>
      </c>
      <c r="AN55" s="196" t="str">
        <f t="shared" si="14"/>
        <v/>
      </c>
      <c r="AP55" s="196" t="str">
        <f t="shared" si="15"/>
        <v/>
      </c>
      <c r="AQ55" s="196" t="str">
        <f t="shared" si="16"/>
        <v/>
      </c>
      <c r="AS55" s="196" t="str">
        <f t="shared" si="17"/>
        <v/>
      </c>
      <c r="AT55" s="196" t="str">
        <f t="shared" si="18"/>
        <v/>
      </c>
      <c r="AV55" s="196" t="str">
        <f t="shared" si="19"/>
        <v/>
      </c>
      <c r="AW55" s="196" t="str">
        <f t="shared" si="20"/>
        <v/>
      </c>
      <c r="AY55" s="196" t="str">
        <f t="shared" si="21"/>
        <v/>
      </c>
      <c r="AZ55" s="196" t="str">
        <f t="shared" si="22"/>
        <v/>
      </c>
      <c r="BB55" s="196" t="str">
        <f t="shared" si="88"/>
        <v/>
      </c>
      <c r="BC55" s="196" t="str">
        <f t="shared" si="89"/>
        <v/>
      </c>
      <c r="BE55" s="196" t="str">
        <f t="shared" si="90"/>
        <v/>
      </c>
      <c r="BF55" s="196" t="str">
        <f t="shared" si="91"/>
        <v/>
      </c>
      <c r="BH55" s="196" t="str">
        <f t="shared" si="27"/>
        <v/>
      </c>
      <c r="BI55" s="196" t="str">
        <f t="shared" si="28"/>
        <v/>
      </c>
      <c r="BK55" s="196" t="str">
        <f t="shared" si="29"/>
        <v/>
      </c>
      <c r="BL55" s="196" t="str">
        <f t="shared" si="30"/>
        <v/>
      </c>
      <c r="BN55" s="204" t="str">
        <f t="shared" si="40"/>
        <v/>
      </c>
      <c r="BO55" s="204" t="str">
        <f t="shared" si="41"/>
        <v/>
      </c>
      <c r="BP55" s="204" t="str">
        <f t="shared" si="42"/>
        <v/>
      </c>
      <c r="BQ55" s="204" t="str">
        <f t="shared" si="43"/>
        <v/>
      </c>
      <c r="BR55" s="204" t="str">
        <f t="shared" si="44"/>
        <v/>
      </c>
      <c r="BS55" s="204" t="str">
        <f t="shared" si="45"/>
        <v/>
      </c>
      <c r="BU55" s="204" t="str">
        <f t="shared" si="46"/>
        <v/>
      </c>
      <c r="BV55" s="204" t="str">
        <f t="shared" si="47"/>
        <v/>
      </c>
      <c r="BW55" s="204" t="str">
        <f t="shared" si="48"/>
        <v/>
      </c>
      <c r="BX55" s="204" t="str">
        <f t="shared" si="49"/>
        <v/>
      </c>
      <c r="BY55" s="204" t="str">
        <f t="shared" si="50"/>
        <v/>
      </c>
      <c r="BZ55" s="204" t="str">
        <f t="shared" si="51"/>
        <v/>
      </c>
      <c r="CC55" s="118"/>
      <c r="CD55" s="299">
        <f t="shared" si="52"/>
        <v>0</v>
      </c>
      <c r="CE55" s="118"/>
      <c r="CF55" s="118"/>
      <c r="CG55" s="300">
        <f t="shared" si="53"/>
        <v>0</v>
      </c>
      <c r="CH55" s="118"/>
      <c r="CI55" s="118"/>
      <c r="CJ55" s="300">
        <f t="shared" si="54"/>
        <v>0</v>
      </c>
      <c r="CK55" s="118"/>
      <c r="CL55" s="300">
        <f t="shared" si="31"/>
        <v>0</v>
      </c>
      <c r="CM55" s="301">
        <f t="shared" si="32"/>
        <v>0</v>
      </c>
      <c r="CN55" s="300">
        <f t="shared" si="33"/>
        <v>0</v>
      </c>
      <c r="CP55" s="118">
        <v>6</v>
      </c>
      <c r="CQ55" s="299">
        <f t="shared" si="55"/>
        <v>0</v>
      </c>
      <c r="CR55" s="118">
        <v>0.62</v>
      </c>
      <c r="CS55" s="118">
        <v>16.55</v>
      </c>
      <c r="CT55" s="300" t="str">
        <f t="shared" si="56"/>
        <v>ULL?</v>
      </c>
      <c r="CU55" s="118">
        <v>17.202999999999999</v>
      </c>
      <c r="CV55" s="118">
        <v>16.937999999999999</v>
      </c>
      <c r="CW55" s="300" t="str">
        <f t="shared" si="57"/>
        <v>ULL?</v>
      </c>
      <c r="CX55" s="118">
        <v>17.597000000000001</v>
      </c>
      <c r="CY55" s="300">
        <f t="shared" si="34"/>
        <v>16.71</v>
      </c>
      <c r="CZ55" s="301" t="str">
        <f t="shared" si="35"/>
        <v>ULL?</v>
      </c>
      <c r="DA55" s="300">
        <f t="shared" si="36"/>
        <v>17.364999999999998</v>
      </c>
      <c r="DC55" s="204" t="str">
        <f t="shared" si="58"/>
        <v/>
      </c>
      <c r="DD55" s="297">
        <f t="shared" si="59"/>
        <v>0</v>
      </c>
      <c r="DE55" s="297" t="str">
        <f t="shared" si="60"/>
        <v/>
      </c>
      <c r="DF55" s="1170"/>
      <c r="DG55" s="297">
        <f t="shared" si="61"/>
        <v>0</v>
      </c>
      <c r="DH55" s="297">
        <f t="shared" si="62"/>
        <v>0</v>
      </c>
      <c r="DI55" s="204" t="str">
        <f t="shared" si="39"/>
        <v/>
      </c>
      <c r="DJ55" s="297">
        <f t="shared" si="63"/>
        <v>0</v>
      </c>
      <c r="DL55" s="1141" t="str">
        <f>IF($DE55="","",INDEX('Cover Page'!$AI$106:$AJ$111,MATCH($C55,'Cover Page'!$AC$106:$AC$111,0),D1SEL_2))</f>
        <v/>
      </c>
    </row>
    <row r="56" spans="1:116" ht="16.5" thickBot="1">
      <c r="A56" s="1286" t="s">
        <v>284</v>
      </c>
      <c r="B56" s="869"/>
      <c r="C56" s="870"/>
      <c r="D56" s="871"/>
      <c r="E56" s="1007"/>
      <c r="F56" s="1007"/>
      <c r="G56" s="873"/>
      <c r="H56" s="1009"/>
      <c r="I56" s="1009"/>
      <c r="J56" s="1341"/>
      <c r="K56" s="874"/>
      <c r="L56" s="1409"/>
      <c r="M56" s="875"/>
      <c r="N56" s="872"/>
      <c r="O56" s="873"/>
      <c r="P56" s="1009"/>
      <c r="Q56" s="1009"/>
      <c r="R56" s="1341"/>
      <c r="S56" s="874"/>
      <c r="T56" s="1409"/>
      <c r="U56" s="875"/>
      <c r="V56" s="2229"/>
      <c r="X56" s="196" t="str">
        <f t="shared" si="3"/>
        <v/>
      </c>
      <c r="Y56" s="196" t="str">
        <f t="shared" si="4"/>
        <v/>
      </c>
      <c r="Z56" s="154" t="b">
        <f>IF(OR(SURVEYMODE=3,C56=""),FALSE,IF(AND(SUMPRODUCT((INDEX('Cover Page'!$I$89:$N$89,1,MATCH(C56,'Cover Page'!$I$88:$N$88,0))=$D$18)*(INDEX('Cover Page'!$I$104:$N$104,1,MATCH(C56,'Cover Page'!$I$88:$N$88,0))&gt;0))=0,D56="Y"),TRUE,FALSE))</f>
        <v>0</v>
      </c>
      <c r="AA56" s="196" t="str">
        <f t="shared" si="5"/>
        <v/>
      </c>
      <c r="AB56" s="196" t="str">
        <f t="shared" si="6"/>
        <v/>
      </c>
      <c r="AD56" s="196" t="str">
        <f t="shared" si="7"/>
        <v/>
      </c>
      <c r="AE56" s="196" t="str">
        <f t="shared" si="8"/>
        <v/>
      </c>
      <c r="AG56" s="196" t="str">
        <f t="shared" si="9"/>
        <v/>
      </c>
      <c r="AH56" s="196" t="str">
        <f t="shared" si="10"/>
        <v/>
      </c>
      <c r="AJ56" s="196" t="str">
        <f t="shared" si="11"/>
        <v/>
      </c>
      <c r="AK56" s="196" t="str">
        <f t="shared" si="12"/>
        <v/>
      </c>
      <c r="AM56" s="196" t="str">
        <f t="shared" si="13"/>
        <v/>
      </c>
      <c r="AN56" s="196" t="str">
        <f t="shared" si="14"/>
        <v/>
      </c>
      <c r="AP56" s="196" t="str">
        <f t="shared" si="15"/>
        <v/>
      </c>
      <c r="AQ56" s="196" t="str">
        <f t="shared" si="16"/>
        <v/>
      </c>
      <c r="AS56" s="196" t="str">
        <f t="shared" si="17"/>
        <v/>
      </c>
      <c r="AT56" s="196" t="str">
        <f t="shared" si="18"/>
        <v/>
      </c>
      <c r="AV56" s="196" t="str">
        <f t="shared" si="19"/>
        <v/>
      </c>
      <c r="AW56" s="196" t="str">
        <f t="shared" si="20"/>
        <v/>
      </c>
      <c r="AY56" s="196" t="str">
        <f t="shared" si="21"/>
        <v/>
      </c>
      <c r="AZ56" s="196" t="str">
        <f t="shared" si="22"/>
        <v/>
      </c>
      <c r="BB56" s="196" t="str">
        <f t="shared" si="88"/>
        <v/>
      </c>
      <c r="BC56" s="196" t="str">
        <f t="shared" si="89"/>
        <v/>
      </c>
      <c r="BE56" s="196" t="str">
        <f t="shared" si="90"/>
        <v/>
      </c>
      <c r="BF56" s="196" t="str">
        <f t="shared" si="91"/>
        <v/>
      </c>
      <c r="BH56" s="196" t="str">
        <f t="shared" si="27"/>
        <v/>
      </c>
      <c r="BI56" s="196" t="str">
        <f t="shared" si="28"/>
        <v/>
      </c>
      <c r="BK56" s="196" t="str">
        <f t="shared" si="29"/>
        <v/>
      </c>
      <c r="BL56" s="196" t="str">
        <f t="shared" si="30"/>
        <v/>
      </c>
      <c r="BN56" s="204" t="str">
        <f t="shared" si="40"/>
        <v/>
      </c>
      <c r="BO56" s="204" t="str">
        <f t="shared" si="41"/>
        <v/>
      </c>
      <c r="BP56" s="204" t="str">
        <f t="shared" si="42"/>
        <v/>
      </c>
      <c r="BQ56" s="204" t="str">
        <f t="shared" si="43"/>
        <v/>
      </c>
      <c r="BR56" s="204" t="str">
        <f t="shared" si="44"/>
        <v/>
      </c>
      <c r="BS56" s="204" t="str">
        <f t="shared" si="45"/>
        <v/>
      </c>
      <c r="BU56" s="204" t="str">
        <f t="shared" si="46"/>
        <v/>
      </c>
      <c r="BV56" s="204" t="str">
        <f t="shared" si="47"/>
        <v/>
      </c>
      <c r="BW56" s="204" t="str">
        <f t="shared" si="48"/>
        <v/>
      </c>
      <c r="BX56" s="204" t="str">
        <f t="shared" si="49"/>
        <v/>
      </c>
      <c r="BY56" s="204" t="str">
        <f t="shared" si="50"/>
        <v/>
      </c>
      <c r="BZ56" s="204" t="str">
        <f t="shared" si="51"/>
        <v/>
      </c>
      <c r="CC56" s="118"/>
      <c r="CD56" s="299">
        <f t="shared" si="52"/>
        <v>0</v>
      </c>
      <c r="CE56" s="118"/>
      <c r="CF56" s="118"/>
      <c r="CG56" s="300">
        <f t="shared" si="53"/>
        <v>0</v>
      </c>
      <c r="CH56" s="118"/>
      <c r="CI56" s="118"/>
      <c r="CJ56" s="300">
        <f t="shared" si="54"/>
        <v>0</v>
      </c>
      <c r="CK56" s="118"/>
      <c r="CL56" s="300">
        <f t="shared" si="31"/>
        <v>0</v>
      </c>
      <c r="CM56" s="301">
        <f t="shared" si="32"/>
        <v>0</v>
      </c>
      <c r="CN56" s="300">
        <f t="shared" si="33"/>
        <v>0</v>
      </c>
      <c r="CP56" s="118">
        <v>6</v>
      </c>
      <c r="CQ56" s="299">
        <f t="shared" si="55"/>
        <v>0</v>
      </c>
      <c r="CR56" s="118">
        <v>0.62</v>
      </c>
      <c r="CS56" s="118">
        <v>16.55</v>
      </c>
      <c r="CT56" s="300" t="str">
        <f t="shared" si="56"/>
        <v>ULL?</v>
      </c>
      <c r="CU56" s="118">
        <v>17.202999999999999</v>
      </c>
      <c r="CV56" s="118">
        <v>16.937999999999999</v>
      </c>
      <c r="CW56" s="300" t="str">
        <f t="shared" si="57"/>
        <v>ULL?</v>
      </c>
      <c r="CX56" s="118">
        <v>17.597000000000001</v>
      </c>
      <c r="CY56" s="300">
        <f t="shared" si="34"/>
        <v>16.71</v>
      </c>
      <c r="CZ56" s="301" t="str">
        <f t="shared" si="35"/>
        <v>ULL?</v>
      </c>
      <c r="DA56" s="300">
        <f t="shared" si="36"/>
        <v>17.364999999999998</v>
      </c>
      <c r="DC56" s="204" t="str">
        <f t="shared" si="58"/>
        <v/>
      </c>
      <c r="DD56" s="297">
        <f t="shared" si="59"/>
        <v>0</v>
      </c>
      <c r="DE56" s="297" t="str">
        <f t="shared" si="60"/>
        <v/>
      </c>
      <c r="DF56" s="1170"/>
      <c r="DG56" s="297">
        <f t="shared" si="61"/>
        <v>0</v>
      </c>
      <c r="DH56" s="297">
        <f t="shared" si="62"/>
        <v>0</v>
      </c>
      <c r="DI56" s="204" t="str">
        <f t="shared" si="39"/>
        <v/>
      </c>
      <c r="DJ56" s="297">
        <f t="shared" si="63"/>
        <v>0</v>
      </c>
      <c r="DL56" s="1141" t="str">
        <f>IF($DE56="","",INDEX('Cover Page'!$AI$106:$AJ$111,MATCH($C56,'Cover Page'!$AC$106:$AC$111,0),D1SEL_2))</f>
        <v/>
      </c>
    </row>
    <row r="57" spans="1:116" ht="15.75" thickTop="1">
      <c r="A57" s="1296" t="str">
        <f>A58</f>
        <v>Y</v>
      </c>
    </row>
    <row r="58" spans="1:116">
      <c r="A58" s="1296" t="str">
        <f>IF(COUNTIF(A60:A65,"Y")&gt;0,"Y","N")</f>
        <v>Y</v>
      </c>
      <c r="B58" s="752" t="s">
        <v>1175</v>
      </c>
      <c r="G58" s="1293" t="str">
        <f>"Drafts "&amp;PROPER(G23)</f>
        <v>Drafts Before Bunkering (Opening Gauging)</v>
      </c>
      <c r="O58" s="1293" t="str">
        <f>"Drafts "&amp;PROPER(O23)</f>
        <v>Drafts After Bunkering (Closing Gauging)</v>
      </c>
      <c r="P58" s="1287"/>
    </row>
    <row r="59" spans="1:116">
      <c r="A59" s="1296" t="str">
        <f>A58</f>
        <v>Y</v>
      </c>
      <c r="G59" s="1290" t="s">
        <v>764</v>
      </c>
      <c r="H59" s="1290" t="s">
        <v>1176</v>
      </c>
      <c r="I59" s="1290" t="s">
        <v>1177</v>
      </c>
      <c r="J59" s="1290" t="s">
        <v>793</v>
      </c>
      <c r="K59" s="1290" t="s">
        <v>798</v>
      </c>
      <c r="O59" s="1290" t="s">
        <v>764</v>
      </c>
      <c r="P59" s="1290" t="s">
        <v>1176</v>
      </c>
      <c r="Q59" s="1290" t="s">
        <v>1177</v>
      </c>
      <c r="R59" s="1290" t="s">
        <v>793</v>
      </c>
      <c r="S59" s="1290" t="s">
        <v>798</v>
      </c>
    </row>
    <row r="60" spans="1:116" hidden="1">
      <c r="A60" s="1296" t="str">
        <f t="shared" ref="A60:A65" si="92">IF(OR(G60="",SURVEYMODE=3,GRADESQTY&lt;2),"N","Y")</f>
        <v>N</v>
      </c>
      <c r="G60" s="1291" t="str">
        <f>IF(OR(Drafts!W10="",Drafts!I$1&lt;&gt;MYBARGENAME),"",Drafts!W10&amp;": ")</f>
        <v/>
      </c>
      <c r="H60" s="1288">
        <f>Drafts!I27</f>
        <v>3.5</v>
      </c>
      <c r="I60" s="1288">
        <f>Drafts!I28</f>
        <v>4.5</v>
      </c>
      <c r="J60" s="1288">
        <f>Drafts!I29</f>
        <v>1</v>
      </c>
      <c r="K60" s="1294">
        <f>Drafts!I30</f>
        <v>0</v>
      </c>
      <c r="O60" s="1291" t="str">
        <f>G60</f>
        <v/>
      </c>
      <c r="P60" s="1288">
        <f>Drafts!J27</f>
        <v>2</v>
      </c>
      <c r="Q60" s="1288">
        <f>Drafts!J28</f>
        <v>3</v>
      </c>
      <c r="R60" s="1288">
        <f>Drafts!J29</f>
        <v>1</v>
      </c>
      <c r="S60" s="1294">
        <f>Drafts!J30</f>
        <v>0</v>
      </c>
    </row>
    <row r="61" spans="1:116">
      <c r="A61" s="1296" t="str">
        <f t="shared" si="92"/>
        <v>Y</v>
      </c>
      <c r="G61" s="1292" t="str">
        <f>IF(OR(Drafts!W11="",Drafts!K$1&lt;&gt;MYBARGENAME),"",Drafts!W11&amp;": ")</f>
        <v xml:space="preserve">LSFO: </v>
      </c>
      <c r="H61" s="1289">
        <f>Drafts!K27</f>
        <v>0</v>
      </c>
      <c r="I61" s="1289">
        <f>Drafts!K28</f>
        <v>0</v>
      </c>
      <c r="J61" s="1289" t="str">
        <f>Drafts!K29</f>
        <v/>
      </c>
      <c r="K61" s="1295">
        <f>Drafts!K30</f>
        <v>0</v>
      </c>
      <c r="O61" s="1292" t="str">
        <f t="shared" ref="O61:O65" si="93">G61</f>
        <v xml:space="preserve">LSFO: </v>
      </c>
      <c r="P61" s="1289">
        <f>Drafts!L27</f>
        <v>0</v>
      </c>
      <c r="Q61" s="1289">
        <f>Drafts!L28</f>
        <v>0</v>
      </c>
      <c r="R61" s="1289" t="str">
        <f>Drafts!L29</f>
        <v/>
      </c>
      <c r="S61" s="1295">
        <f>Drafts!L30</f>
        <v>0</v>
      </c>
    </row>
    <row r="62" spans="1:116" hidden="1">
      <c r="A62" s="1296" t="str">
        <f t="shared" si="92"/>
        <v>N</v>
      </c>
      <c r="G62" s="1292" t="str">
        <f>IF(OR(Drafts!W12="",Drafts!M$1&lt;&gt;MYBARGENAME),"",Drafts!W12&amp;": ")</f>
        <v/>
      </c>
      <c r="H62" s="1289">
        <f>Drafts!M27</f>
        <v>0</v>
      </c>
      <c r="I62" s="1289">
        <f>Drafts!M28</f>
        <v>0</v>
      </c>
      <c r="J62" s="1289" t="str">
        <f>Drafts!M29</f>
        <v/>
      </c>
      <c r="K62" s="1295">
        <f>Drafts!M30</f>
        <v>0</v>
      </c>
      <c r="O62" s="1292" t="str">
        <f t="shared" si="93"/>
        <v/>
      </c>
      <c r="P62" s="1289">
        <f>Drafts!N27</f>
        <v>0</v>
      </c>
      <c r="Q62" s="1289">
        <f>Drafts!N28</f>
        <v>0</v>
      </c>
      <c r="R62" s="1289" t="str">
        <f>Drafts!N29</f>
        <v/>
      </c>
      <c r="S62" s="1295">
        <f>Drafts!N30</f>
        <v>0</v>
      </c>
    </row>
    <row r="63" spans="1:116" hidden="1">
      <c r="A63" s="1296" t="str">
        <f t="shared" si="92"/>
        <v>N</v>
      </c>
      <c r="G63" s="1292" t="str">
        <f>IF(OR(Drafts!W13="",Drafts!O$1&lt;&gt;MYBARGENAME),"",Drafts!W13&amp;": ")</f>
        <v/>
      </c>
      <c r="H63" s="1289">
        <f>Drafts!O27</f>
        <v>0</v>
      </c>
      <c r="I63" s="1289">
        <f>Drafts!O28</f>
        <v>0</v>
      </c>
      <c r="J63" s="1289" t="str">
        <f>Drafts!O29</f>
        <v/>
      </c>
      <c r="K63" s="1295">
        <f>Drafts!O30</f>
        <v>0</v>
      </c>
      <c r="O63" s="1292" t="str">
        <f t="shared" si="93"/>
        <v/>
      </c>
      <c r="P63" s="1289">
        <f>Drafts!P27</f>
        <v>0</v>
      </c>
      <c r="Q63" s="1289">
        <f>Drafts!P28</f>
        <v>0</v>
      </c>
      <c r="R63" s="1289" t="str">
        <f>Drafts!P29</f>
        <v/>
      </c>
      <c r="S63" s="1295">
        <f>Drafts!P30</f>
        <v>0</v>
      </c>
    </row>
    <row r="64" spans="1:116" hidden="1">
      <c r="A64" s="1296" t="str">
        <f t="shared" si="92"/>
        <v>N</v>
      </c>
      <c r="G64" s="1292" t="str">
        <f>IF(OR(Drafts!W14="",Drafts!Q$1&lt;&gt;MYBARGENAME),"",Drafts!W14&amp;": ")</f>
        <v/>
      </c>
      <c r="H64" s="1289">
        <f>Drafts!Q27</f>
        <v>0</v>
      </c>
      <c r="I64" s="1289">
        <f>Drafts!Q28</f>
        <v>0</v>
      </c>
      <c r="J64" s="1289" t="str">
        <f>Drafts!Q29</f>
        <v/>
      </c>
      <c r="K64" s="1295">
        <f>Drafts!Q30</f>
        <v>0</v>
      </c>
      <c r="O64" s="1292" t="str">
        <f t="shared" si="93"/>
        <v/>
      </c>
      <c r="P64" s="1289">
        <f>Drafts!R27</f>
        <v>0</v>
      </c>
      <c r="Q64" s="1289">
        <f>Drafts!R28</f>
        <v>0</v>
      </c>
      <c r="R64" s="1289" t="str">
        <f>Drafts!R29</f>
        <v/>
      </c>
      <c r="S64" s="1295">
        <f>Drafts!R30</f>
        <v>0</v>
      </c>
    </row>
    <row r="65" spans="1:23">
      <c r="A65" s="1296" t="str">
        <f t="shared" si="92"/>
        <v>Y</v>
      </c>
      <c r="G65" s="1292" t="str">
        <f>IF(OR(Drafts!W15="",Drafts!S$1&lt;&gt;MYBARGENAME),"",Drafts!W15&amp;": ")</f>
        <v xml:space="preserve">LSMGO: </v>
      </c>
      <c r="H65" s="1289">
        <f>Drafts!S27</f>
        <v>3.5</v>
      </c>
      <c r="I65" s="1289">
        <f>Drafts!S28</f>
        <v>4.5</v>
      </c>
      <c r="J65" s="1289">
        <f>Drafts!S29</f>
        <v>1</v>
      </c>
      <c r="K65" s="1295">
        <f>Drafts!S30</f>
        <v>0</v>
      </c>
      <c r="O65" s="1292" t="str">
        <f t="shared" si="93"/>
        <v xml:space="preserve">LSMGO: </v>
      </c>
      <c r="P65" s="1289">
        <f>Drafts!T27</f>
        <v>2</v>
      </c>
      <c r="Q65" s="1289">
        <f>Drafts!T28</f>
        <v>3</v>
      </c>
      <c r="R65" s="1289">
        <f>Drafts!T29</f>
        <v>1</v>
      </c>
      <c r="S65" s="1295">
        <f>Drafts!T30</f>
        <v>0</v>
      </c>
    </row>
    <row r="66" spans="1:23">
      <c r="A66" s="1286" t="s">
        <v>284</v>
      </c>
    </row>
    <row r="67" spans="1:23" s="1286" customFormat="1">
      <c r="A67" s="1286" t="s">
        <v>284</v>
      </c>
      <c r="B67" s="752" t="s">
        <v>179</v>
      </c>
      <c r="C67" s="2231"/>
      <c r="D67" s="2231"/>
      <c r="E67" s="2231"/>
      <c r="F67" s="2231"/>
      <c r="G67" s="2231"/>
      <c r="H67" s="2231"/>
      <c r="I67" s="2231"/>
      <c r="J67" s="2231"/>
      <c r="K67" s="2231"/>
      <c r="L67" s="2231"/>
      <c r="M67" s="2231"/>
      <c r="N67" s="2231"/>
      <c r="O67" s="2231"/>
      <c r="P67" s="2231"/>
      <c r="Q67" s="2231"/>
      <c r="R67" s="2231"/>
      <c r="S67" s="2231"/>
      <c r="T67" s="2231"/>
      <c r="U67" s="2231"/>
      <c r="V67" s="1297"/>
      <c r="W67" s="1297"/>
    </row>
    <row r="68" spans="1:23" s="1286" customFormat="1">
      <c r="A68" s="1286" t="s">
        <v>284</v>
      </c>
      <c r="C68" s="2231"/>
      <c r="D68" s="2231"/>
      <c r="E68" s="2231"/>
      <c r="F68" s="2231"/>
      <c r="G68" s="2231"/>
      <c r="H68" s="2231"/>
      <c r="I68" s="2231"/>
      <c r="J68" s="2231"/>
      <c r="K68" s="2231"/>
      <c r="L68" s="2231"/>
      <c r="M68" s="2231"/>
      <c r="N68" s="2231"/>
      <c r="O68" s="2231"/>
      <c r="P68" s="2231"/>
      <c r="Q68" s="2231"/>
      <c r="R68" s="2231"/>
      <c r="S68" s="2231"/>
      <c r="T68" s="2231"/>
      <c r="U68" s="2231"/>
      <c r="V68" s="1297"/>
      <c r="W68" s="1297"/>
    </row>
    <row r="69" spans="1:23" s="1286" customFormat="1">
      <c r="A69" s="1286" t="s">
        <v>284</v>
      </c>
      <c r="C69" s="2370"/>
      <c r="D69" s="2371"/>
      <c r="E69" s="2371"/>
      <c r="F69" s="2371"/>
      <c r="G69" s="2371"/>
      <c r="H69" s="2371"/>
      <c r="I69" s="2371"/>
      <c r="J69" s="2371"/>
      <c r="K69" s="2371"/>
      <c r="L69" s="2371"/>
      <c r="M69" s="2371"/>
      <c r="N69" s="2371"/>
      <c r="O69" s="2371"/>
      <c r="P69" s="2371"/>
      <c r="Q69" s="2371"/>
      <c r="R69" s="2371"/>
      <c r="S69" s="2371"/>
      <c r="T69" s="2371"/>
      <c r="U69" s="2372"/>
      <c r="V69" s="1297"/>
      <c r="W69" s="1297"/>
    </row>
    <row r="70" spans="1:23" s="1286" customFormat="1">
      <c r="A70" s="1286" t="s">
        <v>284</v>
      </c>
      <c r="C70" s="2370"/>
      <c r="D70" s="2371"/>
      <c r="E70" s="2371"/>
      <c r="F70" s="2371"/>
      <c r="G70" s="2371"/>
      <c r="H70" s="2371"/>
      <c r="I70" s="2371"/>
      <c r="J70" s="2371"/>
      <c r="K70" s="2371"/>
      <c r="L70" s="2371"/>
      <c r="M70" s="2371"/>
      <c r="N70" s="2371"/>
      <c r="O70" s="2371"/>
      <c r="P70" s="2371"/>
      <c r="Q70" s="2371"/>
      <c r="R70" s="2371"/>
      <c r="S70" s="2371"/>
      <c r="T70" s="2371"/>
      <c r="U70" s="2372"/>
      <c r="V70" s="1297"/>
      <c r="W70" s="1297"/>
    </row>
    <row r="71" spans="1:23">
      <c r="A71" s="1286" t="s">
        <v>284</v>
      </c>
    </row>
    <row r="72" spans="1:23">
      <c r="A72" s="1286" t="s">
        <v>284</v>
      </c>
    </row>
    <row r="73" spans="1:23">
      <c r="A73" s="1286" t="s">
        <v>284</v>
      </c>
    </row>
    <row r="74" spans="1:23">
      <c r="A74" s="1286" t="s">
        <v>284</v>
      </c>
      <c r="B74" s="2378" t="str">
        <f>CHENG</f>
        <v>CANO ARTHUR D. CADAVOS</v>
      </c>
      <c r="C74" s="2378"/>
      <c r="D74" s="2378"/>
      <c r="K74" s="2378" t="str">
        <f>IF(BARGESEL=1,BARGEREP,MYBARGECHIEF)</f>
        <v>TEMEL KALYONCU</v>
      </c>
      <c r="L74" s="2378"/>
      <c r="M74" s="2378"/>
      <c r="N74" s="2378"/>
      <c r="S74" s="2373" t="str">
        <f>SURVEYOR</f>
        <v>MEHMET EROĞLU</v>
      </c>
      <c r="T74" s="2373"/>
      <c r="U74" s="2373"/>
      <c r="V74" s="2373"/>
    </row>
    <row r="75" spans="1:23">
      <c r="A75" s="1286" t="s">
        <v>284</v>
      </c>
      <c r="B75" s="2387" t="s">
        <v>15</v>
      </c>
      <c r="C75" s="2387"/>
      <c r="D75" s="2387"/>
      <c r="K75" s="2386" t="s">
        <v>324</v>
      </c>
      <c r="L75" s="2386"/>
      <c r="M75" s="2386"/>
      <c r="N75" s="2386"/>
      <c r="S75" s="2386" t="str">
        <f>"Bunker Surveyor"&amp;IF(SPORE=TRUE,", License No. "&amp;SURVLIC,"")</f>
        <v>Bunker Surveyor</v>
      </c>
      <c r="T75" s="2386"/>
      <c r="U75" s="2386"/>
      <c r="V75" s="2386"/>
    </row>
    <row r="76" spans="1:23" ht="3" customHeight="1">
      <c r="A76" s="1286" t="s">
        <v>284</v>
      </c>
    </row>
  </sheetData>
  <sheetProtection algorithmName="SHA-512" hashValue="4jKRLWeI5bF6IFO8XoRCmyAk+w9D0CcvwefZe2XoH8FrV+S/ZEKtBTzPDcCFOaOSlGPKyQgmAUhbuGm+XuRFfA==" saltValue="GbbPcE3G7C7x13dGMv2hQg==" spinCount="100000" sheet="1" objects="1" scenarios="1" autoFilter="0"/>
  <autoFilter ref="A25:A76" xr:uid="{00000000-0009-0000-0000-000009000000}">
    <filterColumn colId="0">
      <filters>
        <filter val="Y"/>
      </filters>
    </filterColumn>
  </autoFilter>
  <mergeCells count="21">
    <mergeCell ref="K74:N74"/>
    <mergeCell ref="K75:N75"/>
    <mergeCell ref="S74:V74"/>
    <mergeCell ref="S75:V75"/>
    <mergeCell ref="C69:U69"/>
    <mergeCell ref="C70:U70"/>
    <mergeCell ref="B74:D74"/>
    <mergeCell ref="B75:D75"/>
    <mergeCell ref="B17:C17"/>
    <mergeCell ref="D17:F17"/>
    <mergeCell ref="G23:N23"/>
    <mergeCell ref="B23:F23"/>
    <mergeCell ref="O23:V23"/>
    <mergeCell ref="B21:C21"/>
    <mergeCell ref="D21:F21"/>
    <mergeCell ref="B18:C18"/>
    <mergeCell ref="D18:F18"/>
    <mergeCell ref="B19:C19"/>
    <mergeCell ref="D19:F19"/>
    <mergeCell ref="B20:C20"/>
    <mergeCell ref="D20:F20"/>
  </mergeCells>
  <conditionalFormatting sqref="B27:B56">
    <cfRule type="expression" dxfId="114" priority="21">
      <formula>AND($B27=0,$C27&lt;&gt;"",$D27&lt;&gt;"")</formula>
    </cfRule>
    <cfRule type="expression" dxfId="113" priority="29">
      <formula>COUNTIF($B$27:$B$56,$B27)&gt;1</formula>
    </cfRule>
    <cfRule type="expression" dxfId="112" priority="30">
      <formula>AND($B27&lt;&gt;0,ISERROR(MATCH($B27,TANKSLIST_BRG,0)),$D27=NOMY)</formula>
    </cfRule>
    <cfRule type="expression" dxfId="111" priority="33">
      <formula>AND($B27&lt;&gt;0,ISERROR(MATCH($B27,TANKSLIST_BRG,0)),$D27=NOMN)</formula>
    </cfRule>
  </conditionalFormatting>
  <conditionalFormatting sqref="C27:C56">
    <cfRule type="expression" dxfId="110" priority="32">
      <formula>AND($C27&lt;&gt;0,ISERROR(MATCH($C27,GRADESLIST,0)))</formula>
    </cfRule>
  </conditionalFormatting>
  <conditionalFormatting sqref="D27:D56">
    <cfRule type="expression" dxfId="109" priority="31" stopIfTrue="1">
      <formula>OR(AND($D27&lt;&gt;0,ISERROR(MATCH($D27,NOMLIST,0))),$Z27=TRUE)</formula>
    </cfRule>
  </conditionalFormatting>
  <conditionalFormatting sqref="F27:F56">
    <cfRule type="expression" dxfId="108" priority="101">
      <formula>AND(1=2,$F27&lt;&gt;"",$G27=UMETHOD,$O27=UMETHOD)</formula>
    </cfRule>
  </conditionalFormatting>
  <conditionalFormatting sqref="T27:T56">
    <cfRule type="expression" dxfId="107" priority="22">
      <formula>AND($C27&gt;0,$T27&lt;&gt;"",ISERROR(MATCH($C27,DISTILLATES,0))=FALSE,$BY27&gt;HIDIS_DEN)</formula>
    </cfRule>
    <cfRule type="expression" dxfId="106" priority="23">
      <formula>AND($C27&gt;0,$T27&lt;&gt;"",ISERROR(MATCH($C27,RESIDUALS,0))=FALSE,$BY27&gt;HIRES_DEN)</formula>
    </cfRule>
  </conditionalFormatting>
  <conditionalFormatting sqref="L27:L56">
    <cfRule type="expression" dxfId="105" priority="37">
      <formula>AND($C27&gt;0,$L27&lt;&gt;"",ISERROR(MATCH($C27,DISTILLATES,0))=FALSE,$BR27&gt;HIDIS_DEN)</formula>
    </cfRule>
    <cfRule type="expression" dxfId="104" priority="38">
      <formula>AND($C27&gt;0,$L27&lt;&gt;"",ISERROR(MATCH($C27,RESIDUALS,0))=FALSE,$BR27&gt;HIRES_DEN)</formula>
    </cfRule>
  </conditionalFormatting>
  <conditionalFormatting sqref="B27:V56">
    <cfRule type="expression" dxfId="103" priority="120">
      <formula>$D27=NOMY</formula>
    </cfRule>
    <cfRule type="expression" dxfId="102" priority="121">
      <formula>$D27=NOMN</formula>
    </cfRule>
  </conditionalFormatting>
  <conditionalFormatting sqref="T27:T38">
    <cfRule type="expression" dxfId="101" priority="19">
      <formula>AND($C27&gt;0,$L27&lt;&gt;"",ISERROR(MATCH($C27,DISTILLATES,0))=FALSE,$BR27&gt;HIDIS_DEN)</formula>
    </cfRule>
    <cfRule type="expression" dxfId="100" priority="20">
      <formula>AND($C27&gt;0,$L27&lt;&gt;"",ISERROR(MATCH($C27,RESIDUALS,0))=FALSE,$BR27&gt;HIRES_DEN)</formula>
    </cfRule>
  </conditionalFormatting>
  <conditionalFormatting sqref="T27:T35">
    <cfRule type="expression" dxfId="99" priority="17">
      <formula>AND($C27&gt;0,$L27&lt;&gt;"",ISERROR(MATCH($C27,DISTILLATES,0))=FALSE,$BR27&gt;HIDIS_DEN)</formula>
    </cfRule>
    <cfRule type="expression" dxfId="98" priority="18">
      <formula>AND($C27&gt;0,$L27&lt;&gt;"",ISERROR(MATCH($C27,RESIDUALS,0))=FALSE,$BR27&gt;HIRES_DEN)</formula>
    </cfRule>
  </conditionalFormatting>
  <conditionalFormatting sqref="T27:T35">
    <cfRule type="expression" dxfId="97" priority="15">
      <formula>AND($C27&gt;0,$L27&lt;&gt;"",ISERROR(MATCH($C27,DISTILLATES,0))=FALSE,$BR27&gt;HIDIS_DEN)</formula>
    </cfRule>
    <cfRule type="expression" dxfId="96" priority="16">
      <formula>AND($C27&gt;0,$L27&lt;&gt;"",ISERROR(MATCH($C27,RESIDUALS,0))=FALSE,$BR27&gt;HIRES_DEN)</formula>
    </cfRule>
  </conditionalFormatting>
  <conditionalFormatting sqref="T29:T31">
    <cfRule type="expression" dxfId="95" priority="13">
      <formula>AND($C29&gt;0,$L29&lt;&gt;"",ISERROR(MATCH($C29,DISTILLATES,0))=FALSE,$BR29&gt;HIDIS_DEN)</formula>
    </cfRule>
    <cfRule type="expression" dxfId="94" priority="14">
      <formula>AND($C29&gt;0,$L29&lt;&gt;"",ISERROR(MATCH($C29,RESIDUALS,0))=FALSE,$BR29&gt;HIRES_DEN)</formula>
    </cfRule>
  </conditionalFormatting>
  <conditionalFormatting sqref="T27:T31">
    <cfRule type="expression" dxfId="93" priority="11">
      <formula>AND($C27&gt;0,$L27&lt;&gt;"",ISERROR(MATCH($C27,DISTILLATES,0))=FALSE,$BR27&gt;HIDIS_DEN)</formula>
    </cfRule>
    <cfRule type="expression" dxfId="92" priority="12">
      <formula>AND($C27&gt;0,$L27&lt;&gt;"",ISERROR(MATCH($C27,RESIDUALS,0))=FALSE,$BR27&gt;HIRES_DEN)</formula>
    </cfRule>
  </conditionalFormatting>
  <conditionalFormatting sqref="T27:T33">
    <cfRule type="expression" dxfId="91" priority="9">
      <formula>AND($C27&gt;0,$L27&lt;&gt;"",ISERROR(MATCH($C27,DISTILLATES,0))=FALSE,$BR27&gt;HIDIS_DEN)</formula>
    </cfRule>
    <cfRule type="expression" dxfId="90" priority="10">
      <formula>AND($C27&gt;0,$L27&lt;&gt;"",ISERROR(MATCH($C27,RESIDUALS,0))=FALSE,$BR27&gt;HIRES_DEN)</formula>
    </cfRule>
  </conditionalFormatting>
  <conditionalFormatting sqref="T27:T31">
    <cfRule type="expression" dxfId="89" priority="7">
      <formula>AND($C27&gt;0,$L27&lt;&gt;"",ISERROR(MATCH($C27,DISTILLATES,0))=FALSE,$BR27&gt;HIDIS_DEN)</formula>
    </cfRule>
    <cfRule type="expression" dxfId="88" priority="8">
      <formula>AND($C27&gt;0,$L27&lt;&gt;"",ISERROR(MATCH($C27,RESIDUALS,0))=FALSE,$BR27&gt;HIRES_DEN)</formula>
    </cfRule>
  </conditionalFormatting>
  <conditionalFormatting sqref="T27:T33">
    <cfRule type="expression" dxfId="87" priority="5">
      <formula>AND($C27&gt;0,$L27&lt;&gt;"",ISERROR(MATCH($C27,DISTILLATES,0))=FALSE,$BR27&gt;HIDIS_DEN)</formula>
    </cfRule>
    <cfRule type="expression" dxfId="86" priority="6">
      <formula>AND($C27&gt;0,$L27&lt;&gt;"",ISERROR(MATCH($C27,RESIDUALS,0))=FALSE,$BR27&gt;HIRES_DEN)</formula>
    </cfRule>
  </conditionalFormatting>
  <conditionalFormatting sqref="T27:T33">
    <cfRule type="expression" dxfId="85" priority="3">
      <formula>AND($C27&gt;0,$L27&lt;&gt;"",ISERROR(MATCH($C27,DISTILLATES,0))=FALSE,$BR27&gt;HIDIS_DEN)</formula>
    </cfRule>
    <cfRule type="expression" dxfId="84" priority="4">
      <formula>AND($C27&gt;0,$L27&lt;&gt;"",ISERROR(MATCH($C27,RESIDUALS,0))=FALSE,$BR27&gt;HIRES_DEN)</formula>
    </cfRule>
  </conditionalFormatting>
  <conditionalFormatting sqref="T27:T33">
    <cfRule type="expression" dxfId="83" priority="1">
      <formula>AND($C27&gt;0,$L27&lt;&gt;"",ISERROR(MATCH($C27,DISTILLATES,0))=FALSE,$BR27&gt;HIDIS_DEN)</formula>
    </cfRule>
    <cfRule type="expression" dxfId="82" priority="2">
      <formula>AND($C27&gt;0,$L27&lt;&gt;"",ISERROR(MATCH($C27,RESIDUALS,0))=FALSE,$BR27&gt;HIRES_DEN)</formula>
    </cfRule>
  </conditionalFormatting>
  <dataValidations xWindow="1191" yWindow="247" count="5">
    <dataValidation allowBlank="1" showInputMessage="1" showErrorMessage="1" prompt="Double click to interpolate." sqref="H27:J56 P27:R56" xr:uid="{00000000-0002-0000-0900-000000000000}"/>
    <dataValidation allowBlank="1" showInputMessage="1" showErrorMessage="1" prompt="When taking tank ullage leave 'Actual Height as Measured' blank." sqref="F26:F56" xr:uid="{00000000-0002-0000-0900-000001000000}"/>
    <dataValidation allowBlank="1" showInputMessage="1" showErrorMessage="1" prompt="Red cells indicate possible offspec fuel." sqref="L26 T26" xr:uid="{00000000-0002-0000-0900-000002000000}"/>
    <dataValidation type="list" errorStyle="information" allowBlank="1" showInputMessage="1" showErrorMessage="1" prompt="Choose Remarks from list or edit yours." sqref="C67:U70" xr:uid="{00000000-0002-0000-0900-000003000000}">
      <formula1>REMCOL</formula1>
    </dataValidation>
    <dataValidation type="decimal" allowBlank="1" showInputMessage="1" showErrorMessage="1" errorTitle="API/Density" error="This API/Density is not valid." prompt="Red cells indicate possible offspec fuel." sqref="L27:L56 T27:T56" xr:uid="{00000000-0002-0000-0900-000004000000}">
      <formula1>-5</formula1>
      <formula2>50</formula2>
    </dataValidation>
  </dataValidations>
  <hyperlinks>
    <hyperlink ref="B67" location="REMCODE" display="Remarks:" xr:uid="{00000000-0004-0000-0900-000000000000}"/>
    <hyperlink ref="B58" location="BRGDRAFT" display="Drafts:" xr:uid="{00000000-0004-0000-0900-000001000000}"/>
  </hyperlinks>
  <printOptions horizontalCentered="1"/>
  <pageMargins left="0.3" right="0.3" top="0.2" bottom="0.3" header="0.3" footer="0.1"/>
  <pageSetup paperSize="9" scale="59" orientation="portrait" r:id="rId1"/>
  <headerFooter scaleWithDoc="0">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0345" r:id="rId4" name="Drop Down 9">
              <controlPr defaultSize="0" print="0" autoLine="0" autoPict="0" macro="[0]!MYBBLS2">
                <anchor moveWithCells="1" sizeWithCells="1">
                  <from>
                    <xdr:col>6</xdr:col>
                    <xdr:colOff>123825</xdr:colOff>
                    <xdr:row>11</xdr:row>
                    <xdr:rowOff>123825</xdr:rowOff>
                  </from>
                  <to>
                    <xdr:col>6</xdr:col>
                    <xdr:colOff>333375</xdr:colOff>
                    <xdr:row>12</xdr:row>
                    <xdr:rowOff>9525</xdr:rowOff>
                  </to>
                </anchor>
              </controlPr>
            </control>
          </mc:Choice>
        </mc:AlternateContent>
        <mc:AlternateContent xmlns:mc="http://schemas.openxmlformats.org/markup-compatibility/2006">
          <mc:Choice Requires="x14">
            <control shapeId="270348" r:id="rId5" name="Drop Down 12">
              <controlPr defaultSize="0" print="0" autoLine="0" autoPict="0" macro="[0]!MYTEMP2">
                <anchor moveWithCells="1" sizeWithCells="1">
                  <from>
                    <xdr:col>6</xdr:col>
                    <xdr:colOff>342900</xdr:colOff>
                    <xdr:row>11</xdr:row>
                    <xdr:rowOff>123825</xdr:rowOff>
                  </from>
                  <to>
                    <xdr:col>7</xdr:col>
                    <xdr:colOff>0</xdr:colOff>
                    <xdr:row>12</xdr:row>
                    <xdr:rowOff>9525</xdr:rowOff>
                  </to>
                </anchor>
              </controlPr>
            </control>
          </mc:Choice>
        </mc:AlternateContent>
        <mc:AlternateContent xmlns:mc="http://schemas.openxmlformats.org/markup-compatibility/2006">
          <mc:Choice Requires="x14">
            <control shapeId="270357" r:id="rId6" name="List Box 21">
              <controlPr defaultSize="0" print="0" autoLine="0" autoPict="0" macro="[0]!CLICK_SIZEPREVSLBRG_B">
                <anchor moveWithCells="1" sizeWithCells="1">
                  <from>
                    <xdr:col>18</xdr:col>
                    <xdr:colOff>238125</xdr:colOff>
                    <xdr:row>15</xdr:row>
                    <xdr:rowOff>0</xdr:rowOff>
                  </from>
                  <to>
                    <xdr:col>19</xdr:col>
                    <xdr:colOff>390525</xdr:colOff>
                    <xdr:row>21</xdr:row>
                    <xdr:rowOff>19050</xdr:rowOff>
                  </to>
                </anchor>
              </controlPr>
            </control>
          </mc:Choice>
        </mc:AlternateContent>
        <mc:AlternateContent xmlns:mc="http://schemas.openxmlformats.org/markup-compatibility/2006">
          <mc:Choice Requires="x14">
            <control shapeId="270358" r:id="rId7" name="List Box 22">
              <controlPr defaultSize="0" print="0" autoLine="0" autoPict="0" macro="[0]!CLICK_SIZEPREVSLBRG_B">
                <anchor moveWithCells="1" sizeWithCells="1">
                  <from>
                    <xdr:col>19</xdr:col>
                    <xdr:colOff>247650</xdr:colOff>
                    <xdr:row>15</xdr:row>
                    <xdr:rowOff>0</xdr:rowOff>
                  </from>
                  <to>
                    <xdr:col>20</xdr:col>
                    <xdr:colOff>371475</xdr:colOff>
                    <xdr:row>21</xdr:row>
                    <xdr:rowOff>19050</xdr:rowOff>
                  </to>
                </anchor>
              </controlPr>
            </control>
          </mc:Choice>
        </mc:AlternateContent>
        <mc:AlternateContent xmlns:mc="http://schemas.openxmlformats.org/markup-compatibility/2006">
          <mc:Choice Requires="x14">
            <control shapeId="270359" r:id="rId8" name="List Box 23">
              <controlPr defaultSize="0" print="0" autoLine="0" autoPict="0" macro="[0]!CLICK_SIZEPREVSLBRG_B">
                <anchor moveWithCells="1" sizeWithCells="1">
                  <from>
                    <xdr:col>20</xdr:col>
                    <xdr:colOff>228600</xdr:colOff>
                    <xdr:row>15</xdr:row>
                    <xdr:rowOff>0</xdr:rowOff>
                  </from>
                  <to>
                    <xdr:col>21</xdr:col>
                    <xdr:colOff>447675</xdr:colOff>
                    <xdr:row>21</xdr:row>
                    <xdr:rowOff>19050</xdr:rowOff>
                  </to>
                </anchor>
              </controlPr>
            </control>
          </mc:Choice>
        </mc:AlternateContent>
        <mc:AlternateContent xmlns:mc="http://schemas.openxmlformats.org/markup-compatibility/2006">
          <mc:Choice Requires="x14">
            <control shapeId="270367" r:id="rId9" name="List Box 31">
              <controlPr defaultSize="0" print="0" autoLine="0" autoPict="0" macro="[0]!CLICK_SIZEDENSBRG">
                <anchor moveWithCells="1" sizeWithCells="1">
                  <from>
                    <xdr:col>5</xdr:col>
                    <xdr:colOff>561975</xdr:colOff>
                    <xdr:row>14</xdr:row>
                    <xdr:rowOff>228600</xdr:rowOff>
                  </from>
                  <to>
                    <xdr:col>7</xdr:col>
                    <xdr:colOff>123825</xdr:colOff>
                    <xdr:row>21</xdr:row>
                    <xdr:rowOff>9525</xdr:rowOff>
                  </to>
                </anchor>
              </controlPr>
            </control>
          </mc:Choice>
        </mc:AlternateContent>
        <mc:AlternateContent xmlns:mc="http://schemas.openxmlformats.org/markup-compatibility/2006">
          <mc:Choice Requires="x14">
            <control shapeId="270368" r:id="rId10" name="List Box 32">
              <controlPr defaultSize="0" print="0" autoLine="0" autoPict="0" macro="[0]!CLICK_SIZEDENSBRG">
                <anchor moveWithCells="1" sizeWithCells="1">
                  <from>
                    <xdr:col>6</xdr:col>
                    <xdr:colOff>485775</xdr:colOff>
                    <xdr:row>14</xdr:row>
                    <xdr:rowOff>228600</xdr:rowOff>
                  </from>
                  <to>
                    <xdr:col>8</xdr:col>
                    <xdr:colOff>161925</xdr:colOff>
                    <xdr:row>21</xdr:row>
                    <xdr:rowOff>9525</xdr:rowOff>
                  </to>
                </anchor>
              </controlPr>
            </control>
          </mc:Choice>
        </mc:AlternateContent>
        <mc:AlternateContent xmlns:mc="http://schemas.openxmlformats.org/markup-compatibility/2006">
          <mc:Choice Requires="x14">
            <control shapeId="270386" r:id="rId11" name="Drop Down 50">
              <controlPr defaultSize="0" print="0" autoLine="0" autoPict="0" macro="[0]!MYFEET2">
                <anchor moveWithCells="1">
                  <from>
                    <xdr:col>4</xdr:col>
                    <xdr:colOff>19050</xdr:colOff>
                    <xdr:row>24</xdr:row>
                    <xdr:rowOff>19050</xdr:rowOff>
                  </from>
                  <to>
                    <xdr:col>4</xdr:col>
                    <xdr:colOff>657225</xdr:colOff>
                    <xdr:row>24</xdr:row>
                    <xdr:rowOff>219075</xdr:rowOff>
                  </to>
                </anchor>
              </controlPr>
            </control>
          </mc:Choice>
        </mc:AlternateContent>
        <mc:AlternateContent xmlns:mc="http://schemas.openxmlformats.org/markup-compatibility/2006">
          <mc:Choice Requires="x14">
            <control shapeId="270387" r:id="rId12" name="Drop Down 51">
              <controlPr defaultSize="0" print="0" autoLine="0" autoPict="0" macro="[0]!MYFEET2">
                <anchor moveWithCells="1">
                  <from>
                    <xdr:col>5</xdr:col>
                    <xdr:colOff>9525</xdr:colOff>
                    <xdr:row>24</xdr:row>
                    <xdr:rowOff>19050</xdr:rowOff>
                  </from>
                  <to>
                    <xdr:col>5</xdr:col>
                    <xdr:colOff>533400</xdr:colOff>
                    <xdr:row>24</xdr:row>
                    <xdr:rowOff>219075</xdr:rowOff>
                  </to>
                </anchor>
              </controlPr>
            </control>
          </mc:Choice>
        </mc:AlternateContent>
        <mc:AlternateContent xmlns:mc="http://schemas.openxmlformats.org/markup-compatibility/2006">
          <mc:Choice Requires="x14">
            <control shapeId="270388" r:id="rId13" name="Drop Down 52">
              <controlPr defaultSize="0" print="0" autoLine="0" autoPict="0" macro="[0]!MYFEET2">
                <anchor moveWithCells="1">
                  <from>
                    <xdr:col>7</xdr:col>
                    <xdr:colOff>9525</xdr:colOff>
                    <xdr:row>24</xdr:row>
                    <xdr:rowOff>19050</xdr:rowOff>
                  </from>
                  <to>
                    <xdr:col>7</xdr:col>
                    <xdr:colOff>523875</xdr:colOff>
                    <xdr:row>24</xdr:row>
                    <xdr:rowOff>219075</xdr:rowOff>
                  </to>
                </anchor>
              </controlPr>
            </control>
          </mc:Choice>
        </mc:AlternateContent>
        <mc:AlternateContent xmlns:mc="http://schemas.openxmlformats.org/markup-compatibility/2006">
          <mc:Choice Requires="x14">
            <control shapeId="270389" r:id="rId14" name="Drop Down 53">
              <controlPr defaultSize="0" print="0" autoLine="0" autoPict="0" macro="[0]!MYFEET2">
                <anchor moveWithCells="1" sizeWithCells="1">
                  <from>
                    <xdr:col>15</xdr:col>
                    <xdr:colOff>9525</xdr:colOff>
                    <xdr:row>24</xdr:row>
                    <xdr:rowOff>19050</xdr:rowOff>
                  </from>
                  <to>
                    <xdr:col>15</xdr:col>
                    <xdr:colOff>523875</xdr:colOff>
                    <xdr:row>24</xdr:row>
                    <xdr:rowOff>219075</xdr:rowOff>
                  </to>
                </anchor>
              </controlPr>
            </control>
          </mc:Choice>
        </mc:AlternateContent>
        <mc:AlternateContent xmlns:mc="http://schemas.openxmlformats.org/markup-compatibility/2006">
          <mc:Choice Requires="x14">
            <control shapeId="270390" r:id="rId15" name="Drop Down 54">
              <controlPr defaultSize="0" print="0" autoLine="0" autoPict="0" macro="[0]!MYBBLS2">
                <anchor moveWithCells="1">
                  <from>
                    <xdr:col>9</xdr:col>
                    <xdr:colOff>19050</xdr:colOff>
                    <xdr:row>24</xdr:row>
                    <xdr:rowOff>19050</xdr:rowOff>
                  </from>
                  <to>
                    <xdr:col>9</xdr:col>
                    <xdr:colOff>600075</xdr:colOff>
                    <xdr:row>24</xdr:row>
                    <xdr:rowOff>219075</xdr:rowOff>
                  </to>
                </anchor>
              </controlPr>
            </control>
          </mc:Choice>
        </mc:AlternateContent>
        <mc:AlternateContent xmlns:mc="http://schemas.openxmlformats.org/markup-compatibility/2006">
          <mc:Choice Requires="x14">
            <control shapeId="270391" r:id="rId16" name="Drop Down 55">
              <controlPr defaultSize="0" print="0" autoLine="0" autoPict="0" macro="[0]!MYBBLS2">
                <anchor moveWithCells="1">
                  <from>
                    <xdr:col>13</xdr:col>
                    <xdr:colOff>9525</xdr:colOff>
                    <xdr:row>24</xdr:row>
                    <xdr:rowOff>19050</xdr:rowOff>
                  </from>
                  <to>
                    <xdr:col>13</xdr:col>
                    <xdr:colOff>514350</xdr:colOff>
                    <xdr:row>24</xdr:row>
                    <xdr:rowOff>219075</xdr:rowOff>
                  </to>
                </anchor>
              </controlPr>
            </control>
          </mc:Choice>
        </mc:AlternateContent>
        <mc:AlternateContent xmlns:mc="http://schemas.openxmlformats.org/markup-compatibility/2006">
          <mc:Choice Requires="x14">
            <control shapeId="270392" r:id="rId17" name="Drop Down 56">
              <controlPr defaultSize="0" print="0" autoLine="0" autoPict="0" macro="[0]!MYBBLS2">
                <anchor moveWithCells="1" sizeWithCells="1">
                  <from>
                    <xdr:col>17</xdr:col>
                    <xdr:colOff>19050</xdr:colOff>
                    <xdr:row>24</xdr:row>
                    <xdr:rowOff>19050</xdr:rowOff>
                  </from>
                  <to>
                    <xdr:col>17</xdr:col>
                    <xdr:colOff>600075</xdr:colOff>
                    <xdr:row>24</xdr:row>
                    <xdr:rowOff>219075</xdr:rowOff>
                  </to>
                </anchor>
              </controlPr>
            </control>
          </mc:Choice>
        </mc:AlternateContent>
        <mc:AlternateContent xmlns:mc="http://schemas.openxmlformats.org/markup-compatibility/2006">
          <mc:Choice Requires="x14">
            <control shapeId="270393" r:id="rId18" name="Drop Down 57">
              <controlPr defaultSize="0" print="0" autoLine="0" autoPict="0" macro="[0]!MYBBLS2">
                <anchor moveWithCells="1" sizeWithCells="1">
                  <from>
                    <xdr:col>21</xdr:col>
                    <xdr:colOff>9525</xdr:colOff>
                    <xdr:row>24</xdr:row>
                    <xdr:rowOff>19050</xdr:rowOff>
                  </from>
                  <to>
                    <xdr:col>21</xdr:col>
                    <xdr:colOff>514350</xdr:colOff>
                    <xdr:row>24</xdr:row>
                    <xdr:rowOff>219075</xdr:rowOff>
                  </to>
                </anchor>
              </controlPr>
            </control>
          </mc:Choice>
        </mc:AlternateContent>
        <mc:AlternateContent xmlns:mc="http://schemas.openxmlformats.org/markup-compatibility/2006">
          <mc:Choice Requires="x14">
            <control shapeId="270394" r:id="rId19" name="Drop Down 58">
              <controlPr defaultSize="0" print="0" autoLine="0" autoPict="0" macro="[0]!MYTEMP2">
                <anchor moveWithCells="1">
                  <from>
                    <xdr:col>10</xdr:col>
                    <xdr:colOff>19050</xdr:colOff>
                    <xdr:row>24</xdr:row>
                    <xdr:rowOff>19050</xdr:rowOff>
                  </from>
                  <to>
                    <xdr:col>10</xdr:col>
                    <xdr:colOff>466725</xdr:colOff>
                    <xdr:row>24</xdr:row>
                    <xdr:rowOff>219075</xdr:rowOff>
                  </to>
                </anchor>
              </controlPr>
            </control>
          </mc:Choice>
        </mc:AlternateContent>
        <mc:AlternateContent xmlns:mc="http://schemas.openxmlformats.org/markup-compatibility/2006">
          <mc:Choice Requires="x14">
            <control shapeId="270395" r:id="rId20" name="Drop Down 59">
              <controlPr defaultSize="0" print="0" autoLine="0" autoPict="0" macro="[0]!MYTEMP2">
                <anchor moveWithCells="1" sizeWithCells="1">
                  <from>
                    <xdr:col>18</xdr:col>
                    <xdr:colOff>19050</xdr:colOff>
                    <xdr:row>24</xdr:row>
                    <xdr:rowOff>19050</xdr:rowOff>
                  </from>
                  <to>
                    <xdr:col>18</xdr:col>
                    <xdr:colOff>466725</xdr:colOff>
                    <xdr:row>24</xdr:row>
                    <xdr:rowOff>219075</xdr:rowOff>
                  </to>
                </anchor>
              </controlPr>
            </control>
          </mc:Choice>
        </mc:AlternateContent>
        <mc:AlternateContent xmlns:mc="http://schemas.openxmlformats.org/markup-compatibility/2006">
          <mc:Choice Requires="x14">
            <control shapeId="270396" r:id="rId21" name="Drop Down 60">
              <controlPr defaultSize="0" print="0" autoLine="0" autoPict="0" macro="[0]!MYWATER2">
                <anchor moveWithCells="1">
                  <from>
                    <xdr:col>12</xdr:col>
                    <xdr:colOff>19050</xdr:colOff>
                    <xdr:row>24</xdr:row>
                    <xdr:rowOff>19050</xdr:rowOff>
                  </from>
                  <to>
                    <xdr:col>12</xdr:col>
                    <xdr:colOff>495300</xdr:colOff>
                    <xdr:row>24</xdr:row>
                    <xdr:rowOff>219075</xdr:rowOff>
                  </to>
                </anchor>
              </controlPr>
            </control>
          </mc:Choice>
        </mc:AlternateContent>
        <mc:AlternateContent xmlns:mc="http://schemas.openxmlformats.org/markup-compatibility/2006">
          <mc:Choice Requires="x14">
            <control shapeId="270397" r:id="rId22" name="Drop Down 61">
              <controlPr defaultSize="0" print="0" autoLine="0" autoPict="0" macro="[0]!MYWATER2">
                <anchor moveWithCells="1" sizeWithCells="1">
                  <from>
                    <xdr:col>20</xdr:col>
                    <xdr:colOff>19050</xdr:colOff>
                    <xdr:row>24</xdr:row>
                    <xdr:rowOff>19050</xdr:rowOff>
                  </from>
                  <to>
                    <xdr:col>20</xdr:col>
                    <xdr:colOff>495300</xdr:colOff>
                    <xdr:row>24</xdr:row>
                    <xdr:rowOff>219075</xdr:rowOff>
                  </to>
                </anchor>
              </controlPr>
            </control>
          </mc:Choice>
        </mc:AlternateContent>
        <mc:AlternateContent xmlns:mc="http://schemas.openxmlformats.org/markup-compatibility/2006">
          <mc:Choice Requires="x14">
            <control shapeId="270398" r:id="rId23" name="Drop Down 62">
              <controlPr defaultSize="0" print="0" autoLine="0" autoPict="0" macro="[0]!MYAPI2">
                <anchor moveWithCells="1">
                  <from>
                    <xdr:col>11</xdr:col>
                    <xdr:colOff>19050</xdr:colOff>
                    <xdr:row>24</xdr:row>
                    <xdr:rowOff>19050</xdr:rowOff>
                  </from>
                  <to>
                    <xdr:col>11</xdr:col>
                    <xdr:colOff>581025</xdr:colOff>
                    <xdr:row>24</xdr:row>
                    <xdr:rowOff>219075</xdr:rowOff>
                  </to>
                </anchor>
              </controlPr>
            </control>
          </mc:Choice>
        </mc:AlternateContent>
        <mc:AlternateContent xmlns:mc="http://schemas.openxmlformats.org/markup-compatibility/2006">
          <mc:Choice Requires="x14">
            <control shapeId="270399" r:id="rId24" name="Drop Down 63">
              <controlPr defaultSize="0" print="0" autoLine="0" autoPict="0" macro="[0]!MYAPI2">
                <anchor moveWithCells="1">
                  <from>
                    <xdr:col>19</xdr:col>
                    <xdr:colOff>19050</xdr:colOff>
                    <xdr:row>24</xdr:row>
                    <xdr:rowOff>19050</xdr:rowOff>
                  </from>
                  <to>
                    <xdr:col>19</xdr:col>
                    <xdr:colOff>581025</xdr:colOff>
                    <xdr:row>24</xdr:row>
                    <xdr:rowOff>219075</xdr:rowOff>
                  </to>
                </anchor>
              </controlPr>
            </control>
          </mc:Choice>
        </mc:AlternateContent>
        <mc:AlternateContent xmlns:mc="http://schemas.openxmlformats.org/markup-compatibility/2006">
          <mc:Choice Requires="x14">
            <control shapeId="270400" r:id="rId25" name="Drop Down 64">
              <controlPr defaultSize="0" print="0" autoLine="0" autoPict="0" macro="[0]!MYFEET2">
                <anchor moveWithCells="1" sizeWithCells="1">
                  <from>
                    <xdr:col>8</xdr:col>
                    <xdr:colOff>9525</xdr:colOff>
                    <xdr:row>24</xdr:row>
                    <xdr:rowOff>19050</xdr:rowOff>
                  </from>
                  <to>
                    <xdr:col>8</xdr:col>
                    <xdr:colOff>523875</xdr:colOff>
                    <xdr:row>24</xdr:row>
                    <xdr:rowOff>219075</xdr:rowOff>
                  </to>
                </anchor>
              </controlPr>
            </control>
          </mc:Choice>
        </mc:AlternateContent>
        <mc:AlternateContent xmlns:mc="http://schemas.openxmlformats.org/markup-compatibility/2006">
          <mc:Choice Requires="x14">
            <control shapeId="270401" r:id="rId26" name="Drop Down 65">
              <controlPr defaultSize="0" print="0" autoLine="0" autoPict="0" macro="[0]!MYFEET2">
                <anchor moveWithCells="1" sizeWithCells="1">
                  <from>
                    <xdr:col>16</xdr:col>
                    <xdr:colOff>9525</xdr:colOff>
                    <xdr:row>24</xdr:row>
                    <xdr:rowOff>19050</xdr:rowOff>
                  </from>
                  <to>
                    <xdr:col>16</xdr:col>
                    <xdr:colOff>523875</xdr:colOff>
                    <xdr:row>24</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191" yWindow="247" count="4">
        <x14:dataValidation type="list" errorStyle="information" allowBlank="1" showInputMessage="1" showErrorMessage="1" errorTitle="Tank ID" error="Tank Name is not included into the proposed list (optional)._x000a_Proceed?" xr:uid="{00000000-0002-0000-0900-000005000000}">
          <x14:formula1>
            <xm:f>'STANDARD SETT'!$C$6:$C$65</xm:f>
          </x14:formula1>
          <xm:sqref>B27:B56</xm:sqref>
        </x14:dataValidation>
        <x14:dataValidation type="list" allowBlank="1" showInputMessage="1" showErrorMessage="1" errorTitle="Fuel Grade" error="Choose Fuel Grade from list." xr:uid="{00000000-0002-0000-0900-000006000000}">
          <x14:formula1>
            <xm:f>'STANDARD SETT'!$O$16:$O$21</xm:f>
          </x14:formula1>
          <xm:sqref>C27:C56</xm:sqref>
        </x14:dataValidation>
        <x14:dataValidation type="list" allowBlank="1" showInputMessage="1" showErrorMessage="1" errorTitle="Nomination" error="Choose Y/N from list." xr:uid="{00000000-0002-0000-0900-000007000000}">
          <x14:formula1>
            <xm:f>'POWER SETT'!$E$21:$E$23</xm:f>
          </x14:formula1>
          <xm:sqref>D27:D56</xm:sqref>
        </x14:dataValidation>
        <x14:dataValidation type="list" allowBlank="1" showInputMessage="1" showErrorMessage="1" errorTitle="U-S-G-E" error="Choose Method of Gauging from list." prompt="U: Ullage_x000a_S: Sounding_x000a_G: Gauge_x000a_E: Electronic" xr:uid="{00000000-0002-0000-0900-000008000000}">
          <x14:formula1>
            <xm:f>'POWER SETT'!$F$21:$F$25</xm:f>
          </x14:formula1>
          <xm:sqref>O27:O56 G27:G56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3" filterMode="1">
    <tabColor rgb="FFFF0000"/>
    <pageSetUpPr fitToPage="1"/>
  </sheetPr>
  <dimension ref="A1:X76"/>
  <sheetViews>
    <sheetView showGridLines="0" showRowColHeaders="0" topLeftCell="A13" zoomScaleNormal="100" zoomScaleSheetLayoutView="100" workbookViewId="0">
      <pane xSplit="1" ySplit="15" topLeftCell="B28" activePane="bottomRight" state="frozen"/>
      <selection activeCell="A13" sqref="A13"/>
      <selection pane="topRight" activeCell="B13" sqref="B13"/>
      <selection pane="bottomLeft" activeCell="A28" sqref="A28"/>
      <selection pane="bottomRight" activeCell="G18" sqref="G18"/>
    </sheetView>
  </sheetViews>
  <sheetFormatPr defaultColWidth="0" defaultRowHeight="15" zeroHeight="1"/>
  <cols>
    <col min="1" max="1" width="5.375" style="154" hidden="1" customWidth="1"/>
    <col min="2" max="2" width="9.5" style="154" customWidth="1"/>
    <col min="3" max="3" width="7.875" style="154" customWidth="1"/>
    <col min="4" max="4" width="7.5" style="154" customWidth="1"/>
    <col min="5" max="5" width="8.875" style="154" customWidth="1"/>
    <col min="6" max="6" width="7.375" style="154" bestFit="1" customWidth="1"/>
    <col min="7" max="7" width="7.875" style="154" customWidth="1"/>
    <col min="8" max="8" width="9.25" style="154" customWidth="1"/>
    <col min="9" max="9" width="11" style="154" customWidth="1"/>
    <col min="10" max="10" width="9.125" style="154" customWidth="1"/>
    <col min="11" max="11" width="11" style="154" customWidth="1"/>
    <col min="12" max="12" width="0.25" style="154" customWidth="1"/>
    <col min="13" max="13" width="9" style="154" hidden="1" customWidth="1"/>
    <col min="14" max="14" width="22" style="154" hidden="1" customWidth="1"/>
    <col min="15" max="15" width="8.25" style="154" hidden="1" customWidth="1"/>
    <col min="16" max="23" width="9" style="154" hidden="1" customWidth="1"/>
    <col min="24" max="24" width="12.5" style="154" hidden="1" customWidth="1"/>
    <col min="25" max="16384" width="9" style="154" hidden="1"/>
  </cols>
  <sheetData>
    <row r="1" spans="2:14" hidden="1">
      <c r="N1" s="153">
        <v>3</v>
      </c>
    </row>
    <row r="2" spans="2:14" hidden="1">
      <c r="N2" s="192">
        <f>IF(SURVEYMODE=3,1,N1)</f>
        <v>3</v>
      </c>
    </row>
    <row r="3" spans="2:14" hidden="1">
      <c r="N3" s="192" t="str">
        <f>YEAR(D22)&amp;"-"&amp;RIGHT(0&amp;MONTH(D22),2)&amp;"-"&amp;RIGHT(0&amp;DAY(D22),2)&amp;IF(TICKETNO&lt;3," VSL "," BRG ")&amp;IF(ISODD(TICKETNO),"Opening Ticket ","Closing Ticket ")&amp;PORT</f>
        <v>2015-08-22 BRG Opening Ticket ISTANBUL / TURKEY</v>
      </c>
    </row>
    <row r="5" spans="2:14" hidden="1">
      <c r="N5" s="602" t="s">
        <v>556</v>
      </c>
    </row>
    <row r="6" spans="2:14">
      <c r="C6" s="225"/>
      <c r="D6" s="226"/>
      <c r="N6" s="602" t="s">
        <v>557</v>
      </c>
    </row>
    <row r="7" spans="2:14">
      <c r="C7" s="225"/>
      <c r="D7" s="226"/>
      <c r="N7" s="602" t="s">
        <v>558</v>
      </c>
    </row>
    <row r="8" spans="2:14">
      <c r="C8" s="225"/>
      <c r="D8" s="226"/>
      <c r="N8" s="602" t="s">
        <v>559</v>
      </c>
    </row>
    <row r="9" spans="2:14" ht="18">
      <c r="D9" s="226"/>
      <c r="K9" s="5" t="str">
        <f>COMPANY1</f>
        <v>Petro Inspect International</v>
      </c>
    </row>
    <row r="10" spans="2:14">
      <c r="K10" s="3" t="str">
        <f>COMPANY2</f>
        <v>ops@petro-inspect.com</v>
      </c>
    </row>
    <row r="11" spans="2:14">
      <c r="K11" s="3" t="str">
        <f>COMPANY3</f>
        <v/>
      </c>
    </row>
    <row r="12" spans="2:14">
      <c r="K12" s="3" t="str">
        <f>COMPANY4</f>
        <v/>
      </c>
    </row>
    <row r="13" spans="2:14" ht="3.75" customHeight="1" thickBot="1">
      <c r="B13" s="302"/>
      <c r="C13" s="302"/>
      <c r="D13" s="302"/>
      <c r="E13" s="302"/>
      <c r="F13" s="302"/>
      <c r="G13" s="302"/>
      <c r="H13" s="302"/>
      <c r="I13" s="302"/>
      <c r="J13" s="302"/>
      <c r="K13" s="302"/>
    </row>
    <row r="14" spans="2:14" ht="3" customHeight="1"/>
    <row r="15" spans="2:14" ht="18.75">
      <c r="B15" s="202"/>
      <c r="C15" s="202"/>
      <c r="D15" s="202"/>
      <c r="E15" s="202"/>
      <c r="F15" s="203"/>
      <c r="G15" s="203" t="str">
        <f>IF(TICKETNO&lt;3,"VESSEL GAUGING TICKET","BARGE GAUGING TICKET")</f>
        <v>BARGE GAUGING TICKET</v>
      </c>
      <c r="H15" s="203"/>
      <c r="I15" s="203"/>
      <c r="J15" s="202"/>
      <c r="K15" s="202"/>
    </row>
    <row r="16" spans="2:14" ht="15.75">
      <c r="B16" s="603"/>
      <c r="C16" s="603"/>
      <c r="D16" s="603"/>
      <c r="E16" s="603"/>
      <c r="F16" s="604"/>
      <c r="G16" s="604" t="str">
        <f>H24</f>
        <v>BEFORE BUNKERING (OPENING GAUGING)</v>
      </c>
      <c r="H16" s="604"/>
      <c r="I16" s="604"/>
      <c r="J16" s="603"/>
      <c r="K16" s="603"/>
    </row>
    <row r="17" spans="1:24" ht="5.25" customHeight="1"/>
    <row r="18" spans="1:24" ht="15" customHeight="1">
      <c r="J18" s="2388" t="str">
        <f>IF(SURVEYMODE=3,"",IF(ISODD(TICKETCH),"INITIAL ","FINAL "))&amp;"DRAFTS"</f>
        <v>INITIAL DRAFTS</v>
      </c>
      <c r="K18" s="2389"/>
    </row>
    <row r="19" spans="1:24">
      <c r="B19" s="2381" t="str">
        <f>IF(TICKETNO&lt;3,"Name of Vessel","Name of Barge")</f>
        <v>Name of Barge</v>
      </c>
      <c r="C19" s="2381"/>
      <c r="D19" s="2383" t="str">
        <f>IF(TICKETNO&lt;3,VESSEL,'Barge Gauging Data'!D18)</f>
        <v>M/T YALÇIN 2</v>
      </c>
      <c r="E19" s="2383"/>
      <c r="F19" s="2383"/>
      <c r="G19" s="2383"/>
      <c r="J19" s="506" t="s">
        <v>47</v>
      </c>
      <c r="K19" s="599">
        <f>IF(TICKETNO=1,'Vessel Gauging Data'!N18,IF(TICKETNO=2,'Vessel Gauging Data'!O18,IF(TICKETNO=3,'Barge Gauging Data'!N18,'Barge Gauging Data'!O18)))</f>
        <v>2</v>
      </c>
    </row>
    <row r="20" spans="1:24">
      <c r="B20" s="2382" t="s">
        <v>11</v>
      </c>
      <c r="C20" s="2382"/>
      <c r="D20" s="2384" t="str">
        <f>PORT</f>
        <v>ISTANBUL / TURKEY</v>
      </c>
      <c r="E20" s="2384"/>
      <c r="F20" s="2384"/>
      <c r="G20" s="2384"/>
      <c r="J20" s="507" t="s">
        <v>45</v>
      </c>
      <c r="K20" s="600">
        <f>IF(TICKETNO=1,'Vessel Gauging Data'!N19,IF(TICKETNO=2,'Vessel Gauging Data'!O19,IF(TICKETNO=3,'Barge Gauging Data'!N19,'Barge Gauging Data'!O19)))</f>
        <v>3</v>
      </c>
    </row>
    <row r="21" spans="1:24">
      <c r="A21" s="154">
        <f>IF(TICKETNO=1,'Cover Page'!I27+'Cover Page'!L27,IF(TICKETNO=2,'Cover Page'!I30+'Cover Page'!L30,IF(TICKETNO=3,'Cover Page'!I33+'Cover Page'!L33,'Cover Page'!I36+'Cover Page'!L36)))</f>
        <v>42109.291666666664</v>
      </c>
      <c r="B21" s="2382" t="s">
        <v>561</v>
      </c>
      <c r="C21" s="2382"/>
      <c r="D21" s="2391">
        <v>42238.5</v>
      </c>
      <c r="E21" s="2391"/>
      <c r="F21" s="2391"/>
      <c r="G21" s="2391"/>
      <c r="J21" s="508" t="s">
        <v>43</v>
      </c>
      <c r="K21" s="509">
        <f>ROUND(K20-K19,2)</f>
        <v>1</v>
      </c>
    </row>
    <row r="22" spans="1:24">
      <c r="A22" s="154">
        <f>IF(TICKETNO=1,'Cover Page'!I28+'Cover Page'!L28,IF(TICKETNO=2,'Cover Page'!I31+'Cover Page'!L31,IF(TICKETNO=3,'Cover Page'!I34+'Cover Page'!L34,'Cover Page'!I37+'Cover Page'!L37)))</f>
        <v>42109.3125</v>
      </c>
      <c r="B22" s="2382" t="s">
        <v>562</v>
      </c>
      <c r="C22" s="2382"/>
      <c r="D22" s="2392">
        <v>42238.625</v>
      </c>
      <c r="E22" s="2391"/>
      <c r="F22" s="2391"/>
      <c r="G22" s="2391"/>
      <c r="J22" s="508" t="s">
        <v>41</v>
      </c>
      <c r="K22" s="601">
        <f>IF(TICKETNO=1,'Vessel Gauging Data'!N21,IF(TICKETNO=2,'Vessel Gauging Data'!O21,IF(TICKETNO=3,'Barge Gauging Data'!N21,'Barge Gauging Data'!O21)))</f>
        <v>0</v>
      </c>
    </row>
    <row r="23" spans="1:24" ht="4.5" customHeight="1" thickBot="1"/>
    <row r="24" spans="1:24" ht="16.5" thickTop="1">
      <c r="A24" s="1308"/>
      <c r="B24" s="2393" t="str">
        <f>IF(TICKETNO&lt;3,'Vessel Gauging Data'!B23,'Barge Gauging Data'!B23)</f>
        <v>BARGE  TANKS  INFORMATION</v>
      </c>
      <c r="C24" s="2394"/>
      <c r="D24" s="2394"/>
      <c r="E24" s="2394"/>
      <c r="F24" s="2394"/>
      <c r="G24" s="2395"/>
      <c r="H24" s="2393" t="str">
        <f>IF(TICKETNO=1,'Vessel Gauging Data'!G23,IF(TICKETNO=2,'Vessel Gauging Data'!O23,IF(TICKETNO=3,'Barge Gauging Data'!G23,'Barge Gauging Data'!O23)))</f>
        <v>BEFORE BUNKERING (OPENING GAUGING)</v>
      </c>
      <c r="I24" s="2394"/>
      <c r="J24" s="2394"/>
      <c r="K24" s="2395"/>
    </row>
    <row r="25" spans="1:24" ht="38.25" customHeight="1">
      <c r="A25" s="1308"/>
      <c r="B25" s="198" t="s">
        <v>173</v>
      </c>
      <c r="C25" s="193" t="s">
        <v>172</v>
      </c>
      <c r="D25" s="1326" t="s">
        <v>1195</v>
      </c>
      <c r="E25" s="194" t="s">
        <v>171</v>
      </c>
      <c r="F25" s="193" t="s">
        <v>39</v>
      </c>
      <c r="G25" s="201" t="str">
        <f>IF(TICKETNO&lt;3,'Vessel Gauging Data'!L24,'Barge Gauging Data'!L24)</f>
        <v>Density
 @ 15°C</v>
      </c>
      <c r="H25" s="198" t="s">
        <v>37</v>
      </c>
      <c r="I25" s="193" t="s">
        <v>745</v>
      </c>
      <c r="J25" s="200" t="s">
        <v>36</v>
      </c>
      <c r="K25" s="605" t="s">
        <v>398</v>
      </c>
      <c r="O25" s="192" t="str">
        <f t="shared" ref="O25:V25" si="0">B25</f>
        <v>Tank
ID</v>
      </c>
      <c r="P25" s="192" t="str">
        <f t="shared" si="0"/>
        <v>Fuel
Grade</v>
      </c>
      <c r="Q25" s="192" t="str">
        <f t="shared" si="0"/>
        <v>Nominated Tank</v>
      </c>
      <c r="R25" s="192" t="str">
        <f t="shared" si="0"/>
        <v>Reference Height from Table</v>
      </c>
      <c r="S25" s="192" t="str">
        <f t="shared" si="0"/>
        <v>Actual Height as Measured</v>
      </c>
      <c r="T25" s="192" t="str">
        <f t="shared" si="0"/>
        <v>Density
 @ 15°C</v>
      </c>
      <c r="U25" s="192" t="str">
        <f t="shared" si="0"/>
        <v>U-S-G-E</v>
      </c>
      <c r="V25" s="192" t="str">
        <f t="shared" si="0"/>
        <v>Ullage 
Sounding 
Gauge</v>
      </c>
      <c r="W25" s="192" t="str">
        <f t="shared" ref="W25:W27" si="1">J25</f>
        <v>Temp</v>
      </c>
      <c r="X25" s="192" t="str">
        <f t="shared" ref="X25:X27" si="2">K25</f>
        <v>Free Water Dip</v>
      </c>
    </row>
    <row r="26" spans="1:24" s="157" customFormat="1" ht="19.5" thickBot="1">
      <c r="A26" s="157" t="s">
        <v>284</v>
      </c>
      <c r="B26" s="318"/>
      <c r="C26" s="319"/>
      <c r="D26" s="320"/>
      <c r="E26" s="320" t="str">
        <f>IF(TICKETNO&lt;3,'Vessel Gauging Data'!E25,'Barge Gauging Data'!E25)</f>
        <v>m</v>
      </c>
      <c r="F26" s="320" t="str">
        <f>IF(TICKETNO&lt;3,'Vessel Gauging Data'!F25,'Barge Gauging Data'!F25)</f>
        <v>m</v>
      </c>
      <c r="G26" s="321" t="str">
        <f>IF(TICKETNO&lt;3,'Vessel Gauging Data'!L25,'Barge Gauging Data'!L25)</f>
        <v>Density</v>
      </c>
      <c r="H26" s="322"/>
      <c r="I26" s="320" t="str">
        <f>IF(TICKETNO=1,'Vessel Gauging Data'!H25,IF(TICKETNO=2,'Vessel Gauging Data'!P25,IF(TICKETNO=3,'Barge Gauging Data'!H25,'Barge Gauging Data'!P25)))</f>
        <v>m</v>
      </c>
      <c r="J26" s="323" t="str">
        <f>IF(TICKETNO=1,'Vessel Gauging Data'!K25,IF(TICKETNO=2,'Vessel Gauging Data'!S25,IF(TICKETNO=3,'Barge Gauging Data'!K25,'Barge Gauging Data'!S25)))</f>
        <v>° C</v>
      </c>
      <c r="K26" s="321" t="str">
        <f>IF(TICKETNO=1,'Vessel Gauging Data'!M25,IF(TICKETNO=2,'Vessel Gauging Data'!U25,IF(TICKETNO=3,'Barge Gauging Data'!M25,'Barge Gauging Data'!U25)))</f>
        <v>cm</v>
      </c>
      <c r="O26" s="192">
        <f t="shared" ref="O26:O27" si="3">B26</f>
        <v>0</v>
      </c>
      <c r="P26" s="192">
        <f t="shared" ref="P26:V27" si="4">C26</f>
        <v>0</v>
      </c>
      <c r="Q26" s="192">
        <f t="shared" si="4"/>
        <v>0</v>
      </c>
      <c r="R26" s="192" t="str">
        <f t="shared" si="4"/>
        <v>m</v>
      </c>
      <c r="S26" s="192" t="str">
        <f t="shared" si="4"/>
        <v>m</v>
      </c>
      <c r="T26" s="192" t="str">
        <f t="shared" si="4"/>
        <v>Density</v>
      </c>
      <c r="U26" s="192">
        <f t="shared" si="4"/>
        <v>0</v>
      </c>
      <c r="V26" s="192" t="str">
        <f t="shared" si="4"/>
        <v>m</v>
      </c>
      <c r="W26" s="192" t="str">
        <f t="shared" si="1"/>
        <v>° C</v>
      </c>
      <c r="X26" s="192" t="str">
        <f t="shared" si="2"/>
        <v>cm</v>
      </c>
    </row>
    <row r="27" spans="1:24" hidden="1">
      <c r="A27" s="154" t="s">
        <v>270</v>
      </c>
      <c r="B27" s="575" t="s">
        <v>367</v>
      </c>
      <c r="C27" s="576" t="s">
        <v>368</v>
      </c>
      <c r="D27" s="576" t="s">
        <v>369</v>
      </c>
      <c r="E27" s="576" t="s">
        <v>370</v>
      </c>
      <c r="F27" s="576" t="s">
        <v>371</v>
      </c>
      <c r="G27" s="576" t="s">
        <v>372</v>
      </c>
      <c r="H27" s="577" t="s">
        <v>373</v>
      </c>
      <c r="I27" s="578" t="s">
        <v>374</v>
      </c>
      <c r="J27" s="579" t="s">
        <v>376</v>
      </c>
      <c r="K27" s="580" t="s">
        <v>377</v>
      </c>
      <c r="O27" s="192" t="str">
        <f t="shared" si="3"/>
        <v>1</v>
      </c>
      <c r="P27" s="192" t="str">
        <f t="shared" si="4"/>
        <v>2</v>
      </c>
      <c r="Q27" s="192" t="str">
        <f t="shared" si="4"/>
        <v>3</v>
      </c>
      <c r="R27" s="192" t="str">
        <f t="shared" si="4"/>
        <v>4</v>
      </c>
      <c r="S27" s="192" t="str">
        <f t="shared" si="4"/>
        <v>5</v>
      </c>
      <c r="T27" s="192" t="str">
        <f t="shared" si="4"/>
        <v>6</v>
      </c>
      <c r="U27" s="192" t="str">
        <f t="shared" si="4"/>
        <v>7</v>
      </c>
      <c r="V27" s="192" t="str">
        <f t="shared" si="4"/>
        <v>8</v>
      </c>
      <c r="W27" s="192" t="str">
        <f t="shared" si="1"/>
        <v>10</v>
      </c>
      <c r="X27" s="192" t="str">
        <f t="shared" si="2"/>
        <v>11</v>
      </c>
    </row>
    <row r="28" spans="1:24">
      <c r="A28" s="1308" t="s">
        <v>284</v>
      </c>
      <c r="B28" s="581" t="str">
        <f>IF(O28&gt;0,O28,"")</f>
        <v>2P</v>
      </c>
      <c r="C28" s="582" t="str">
        <f t="shared" ref="C28:C57" si="5">IF(P28&gt;0,P28,"")</f>
        <v>LSFO</v>
      </c>
      <c r="D28" s="583" t="str">
        <f t="shared" ref="D28:D57" si="6">IF(Q28&gt;0,Q28,"")</f>
        <v>Y</v>
      </c>
      <c r="E28" s="1010">
        <f t="shared" ref="E28:E57" si="7">IF(R28&gt;0,R28,"")</f>
        <v>4.8150000000000004</v>
      </c>
      <c r="F28" s="1010">
        <f>IF(B28="","",S28)</f>
        <v>4.8150000000000004</v>
      </c>
      <c r="G28" s="1410">
        <f t="shared" ref="G28:G57" si="8">IF(T28&gt;0,T28,"")</f>
        <v>0.92059999999999997</v>
      </c>
      <c r="H28" s="584" t="str">
        <f t="shared" ref="H28:H57" si="9">IF(U28&gt;0,U28,"")</f>
        <v>U</v>
      </c>
      <c r="I28" s="1013">
        <f>IF(B28="","",V28)</f>
        <v>0.83</v>
      </c>
      <c r="J28" s="585">
        <f>IF(B28="","",W28)</f>
        <v>36</v>
      </c>
      <c r="K28" s="586">
        <f>IF(B28="","",X28)</f>
        <v>0</v>
      </c>
      <c r="O28" s="192" t="str">
        <f>IF(TICKETNO&lt;3,'Vessel Gauging Data'!B27,'Barge Gauging Data'!B27)</f>
        <v>2P</v>
      </c>
      <c r="P28" s="192" t="str">
        <f>IF(TICKETNO&lt;3,'Vessel Gauging Data'!C27,'Barge Gauging Data'!C27)</f>
        <v>LSFO</v>
      </c>
      <c r="Q28" s="192" t="str">
        <f>IF(TICKETNO&lt;3,'Vessel Gauging Data'!D27,'Barge Gauging Data'!D27)</f>
        <v>Y</v>
      </c>
      <c r="R28" s="192">
        <f>IF(TICKETNO&lt;3,'Vessel Gauging Data'!E27,'Barge Gauging Data'!E27)</f>
        <v>4.8150000000000004</v>
      </c>
      <c r="S28" s="192">
        <f>IF(TICKETNO&lt;3,IF(ISBLANK('Vessel Gauging Data'!F27),"",'Vessel Gauging Data'!F27),IF(ISBLANK('Barge Gauging Data'!F27),"",'Barge Gauging Data'!F27))</f>
        <v>4.8150000000000004</v>
      </c>
      <c r="T28" s="192">
        <f>IF(TICKETNO&lt;3,'Vessel Gauging Data'!L27,'Barge Gauging Data'!L27)</f>
        <v>0.92059999999999997</v>
      </c>
      <c r="U28" s="192" t="str">
        <f>IF(TICKETNO=1,'Vessel Gauging Data'!G27,IF(TICKETNO=2,'Vessel Gauging Data'!O27,IF(TICKETNO=3,'Barge Gauging Data'!G27,'Barge Gauging Data'!O27)))</f>
        <v>U</v>
      </c>
      <c r="V28" s="192">
        <f>IF(TICKETNO=1,IF(ISBLANK('Vessel Gauging Data'!H27),"",'Vessel Gauging Data'!H27),IF(TICKETNO=2,IF(ISBLANK('Vessel Gauging Data'!P27),"",'Vessel Gauging Data'!P27),IF(TICKETNO=3,IF(ISBLANK('Barge Gauging Data'!H27),"",'Barge Gauging Data'!H27),IF(ISBLANK('Barge Gauging Data'!P27),"",'Barge Gauging Data'!P27))))</f>
        <v>0.83</v>
      </c>
      <c r="W28" s="192">
        <f>IF(TICKETNO=1,IF(ISBLANK('Vessel Gauging Data'!K27),"",'Vessel Gauging Data'!K27),IF(TICKETNO=2,IF(ISBLANK('Vessel Gauging Data'!S27),"",'Vessel Gauging Data'!S27),IF(TICKETNO=3,IF(ISBLANK('Barge Gauging Data'!K27),"",'Barge Gauging Data'!K27),IF(ISBLANK('Barge Gauging Data'!S27),"",'Barge Gauging Data'!S27))))</f>
        <v>36</v>
      </c>
      <c r="X28" s="192">
        <f>IF(TICKETNO=1,IF(ISBLANK('Vessel Gauging Data'!M27),"",'Vessel Gauging Data'!M27),IF(TICKETNO=2,IF(ISBLANK('Vessel Gauging Data'!U27),"",'Vessel Gauging Data'!U27),IF(TICKETNO=3,IF(ISBLANK('Barge Gauging Data'!M27),"",'Barge Gauging Data'!M27),IF(ISBLANK('Barge Gauging Data'!U27),"",'Barge Gauging Data'!U27))))</f>
        <v>0</v>
      </c>
    </row>
    <row r="29" spans="1:24">
      <c r="A29" s="1308" t="s">
        <v>284</v>
      </c>
      <c r="B29" s="587" t="str">
        <f t="shared" ref="B29:B57" si="10">IF(O29&gt;0,O29,"")</f>
        <v>5P</v>
      </c>
      <c r="C29" s="588" t="str">
        <f t="shared" si="5"/>
        <v>LSFO</v>
      </c>
      <c r="D29" s="589" t="str">
        <f t="shared" si="6"/>
        <v>Y</v>
      </c>
      <c r="E29" s="1011">
        <f t="shared" si="7"/>
        <v>4.8150000000000004</v>
      </c>
      <c r="F29" s="1011">
        <f t="shared" ref="F29:F57" si="11">IF(B29="","",S29)</f>
        <v>4.8150000000000004</v>
      </c>
      <c r="G29" s="1411">
        <f t="shared" si="8"/>
        <v>0.92059999999999997</v>
      </c>
      <c r="H29" s="590" t="str">
        <f t="shared" si="9"/>
        <v>U</v>
      </c>
      <c r="I29" s="1014">
        <f t="shared" ref="I29:I57" si="12">IF(B29="","",V29)</f>
        <v>0.83</v>
      </c>
      <c r="J29" s="591">
        <f t="shared" ref="J29:J57" si="13">IF(B29="","",W29)</f>
        <v>36</v>
      </c>
      <c r="K29" s="592">
        <f t="shared" ref="K29:K57" si="14">IF(B29="","",X29)</f>
        <v>0</v>
      </c>
      <c r="O29" s="192" t="str">
        <f>IF(TICKETNO&lt;3,'Vessel Gauging Data'!B28,'Barge Gauging Data'!B28)</f>
        <v>5P</v>
      </c>
      <c r="P29" s="192" t="str">
        <f>IF(TICKETNO&lt;3,'Vessel Gauging Data'!C28,'Barge Gauging Data'!C28)</f>
        <v>LSFO</v>
      </c>
      <c r="Q29" s="192" t="str">
        <f>IF(TICKETNO&lt;3,'Vessel Gauging Data'!D28,'Barge Gauging Data'!D28)</f>
        <v>Y</v>
      </c>
      <c r="R29" s="192">
        <f>IF(TICKETNO&lt;3,'Vessel Gauging Data'!E28,'Barge Gauging Data'!E28)</f>
        <v>4.8150000000000004</v>
      </c>
      <c r="S29" s="192">
        <f>IF(TICKETNO&lt;3,IF(ISBLANK('Vessel Gauging Data'!F28),"",'Vessel Gauging Data'!F28),IF(ISBLANK('Barge Gauging Data'!F28),"",'Barge Gauging Data'!F28))</f>
        <v>4.8150000000000004</v>
      </c>
      <c r="T29" s="192">
        <f>IF(TICKETNO&lt;3,'Vessel Gauging Data'!L28,'Barge Gauging Data'!L28)</f>
        <v>0.92059999999999997</v>
      </c>
      <c r="U29" s="192" t="str">
        <f>IF(TICKETNO=1,'Vessel Gauging Data'!G28,IF(TICKETNO=2,'Vessel Gauging Data'!O28,IF(TICKETNO=3,'Barge Gauging Data'!G28,'Barge Gauging Data'!O28)))</f>
        <v>U</v>
      </c>
      <c r="V29" s="192">
        <f>IF(TICKETNO=1,IF(ISBLANK('Vessel Gauging Data'!H28),"",'Vessel Gauging Data'!H28),IF(TICKETNO=2,IF(ISBLANK('Vessel Gauging Data'!P28),"",'Vessel Gauging Data'!P28),IF(TICKETNO=3,IF(ISBLANK('Barge Gauging Data'!H28),"",'Barge Gauging Data'!H28),IF(ISBLANK('Barge Gauging Data'!P28),"",'Barge Gauging Data'!P28))))</f>
        <v>0.83</v>
      </c>
      <c r="W29" s="192">
        <f>IF(TICKETNO=1,IF(ISBLANK('Vessel Gauging Data'!K28),"",'Vessel Gauging Data'!K28),IF(TICKETNO=2,IF(ISBLANK('Vessel Gauging Data'!S28),"",'Vessel Gauging Data'!S28),IF(TICKETNO=3,IF(ISBLANK('Barge Gauging Data'!K28),"",'Barge Gauging Data'!K28),IF(ISBLANK('Barge Gauging Data'!S28),"",'Barge Gauging Data'!S28))))</f>
        <v>36</v>
      </c>
      <c r="X29" s="192">
        <f>IF(TICKETNO=1,IF(ISBLANK('Vessel Gauging Data'!M28),"",'Vessel Gauging Data'!M28),IF(TICKETNO=2,IF(ISBLANK('Vessel Gauging Data'!U28),"",'Vessel Gauging Data'!U28),IF(TICKETNO=3,IF(ISBLANK('Barge Gauging Data'!M28),"",'Barge Gauging Data'!M28),IF(ISBLANK('Barge Gauging Data'!U28),"",'Barge Gauging Data'!U28))))</f>
        <v>0</v>
      </c>
    </row>
    <row r="30" spans="1:24">
      <c r="A30" s="1308" t="s">
        <v>284</v>
      </c>
      <c r="B30" s="587" t="str">
        <f t="shared" si="10"/>
        <v>5S</v>
      </c>
      <c r="C30" s="588" t="str">
        <f t="shared" si="5"/>
        <v>LSFO</v>
      </c>
      <c r="D30" s="589" t="str">
        <f t="shared" si="6"/>
        <v>Y</v>
      </c>
      <c r="E30" s="1011">
        <f t="shared" si="7"/>
        <v>4.84</v>
      </c>
      <c r="F30" s="1011">
        <f t="shared" si="11"/>
        <v>4.84</v>
      </c>
      <c r="G30" s="1411">
        <f t="shared" si="8"/>
        <v>0.92059999999999997</v>
      </c>
      <c r="H30" s="590" t="str">
        <f t="shared" si="9"/>
        <v>U</v>
      </c>
      <c r="I30" s="1014">
        <f t="shared" si="12"/>
        <v>0.83</v>
      </c>
      <c r="J30" s="591">
        <f t="shared" si="13"/>
        <v>36</v>
      </c>
      <c r="K30" s="592">
        <f t="shared" si="14"/>
        <v>0</v>
      </c>
      <c r="O30" s="192" t="str">
        <f>IF(TICKETNO&lt;3,'Vessel Gauging Data'!B29,'Barge Gauging Data'!B29)</f>
        <v>5S</v>
      </c>
      <c r="P30" s="192" t="str">
        <f>IF(TICKETNO&lt;3,'Vessel Gauging Data'!C29,'Barge Gauging Data'!C29)</f>
        <v>LSFO</v>
      </c>
      <c r="Q30" s="192" t="str">
        <f>IF(TICKETNO&lt;3,'Vessel Gauging Data'!D29,'Barge Gauging Data'!D29)</f>
        <v>Y</v>
      </c>
      <c r="R30" s="192">
        <f>IF(TICKETNO&lt;3,'Vessel Gauging Data'!E29,'Barge Gauging Data'!E29)</f>
        <v>4.84</v>
      </c>
      <c r="S30" s="192">
        <f>IF(TICKETNO&lt;3,IF(ISBLANK('Vessel Gauging Data'!F29),"",'Vessel Gauging Data'!F29),IF(ISBLANK('Barge Gauging Data'!F29),"",'Barge Gauging Data'!F29))</f>
        <v>4.84</v>
      </c>
      <c r="T30" s="192">
        <f>IF(TICKETNO&lt;3,'Vessel Gauging Data'!L29,'Barge Gauging Data'!L29)</f>
        <v>0.92059999999999997</v>
      </c>
      <c r="U30" s="192" t="str">
        <f>IF(TICKETNO=1,'Vessel Gauging Data'!G29,IF(TICKETNO=2,'Vessel Gauging Data'!O29,IF(TICKETNO=3,'Barge Gauging Data'!G29,'Barge Gauging Data'!O29)))</f>
        <v>U</v>
      </c>
      <c r="V30" s="192">
        <f>IF(TICKETNO=1,IF(ISBLANK('Vessel Gauging Data'!H29),"",'Vessel Gauging Data'!H29),IF(TICKETNO=2,IF(ISBLANK('Vessel Gauging Data'!P29),"",'Vessel Gauging Data'!P29),IF(TICKETNO=3,IF(ISBLANK('Barge Gauging Data'!H29),"",'Barge Gauging Data'!H29),IF(ISBLANK('Barge Gauging Data'!P29),"",'Barge Gauging Data'!P29))))</f>
        <v>0.83</v>
      </c>
      <c r="W30" s="192">
        <f>IF(TICKETNO=1,IF(ISBLANK('Vessel Gauging Data'!K29),"",'Vessel Gauging Data'!K29),IF(TICKETNO=2,IF(ISBLANK('Vessel Gauging Data'!S29),"",'Vessel Gauging Data'!S29),IF(TICKETNO=3,IF(ISBLANK('Barge Gauging Data'!K29),"",'Barge Gauging Data'!K29),IF(ISBLANK('Barge Gauging Data'!S29),"",'Barge Gauging Data'!S29))))</f>
        <v>36</v>
      </c>
      <c r="X30" s="192">
        <f>IF(TICKETNO=1,IF(ISBLANK('Vessel Gauging Data'!M29),"",'Vessel Gauging Data'!M29),IF(TICKETNO=2,IF(ISBLANK('Vessel Gauging Data'!U29),"",'Vessel Gauging Data'!U29),IF(TICKETNO=3,IF(ISBLANK('Barge Gauging Data'!M29),"",'Barge Gauging Data'!M29),IF(ISBLANK('Barge Gauging Data'!U29),"",'Barge Gauging Data'!U29))))</f>
        <v>0</v>
      </c>
    </row>
    <row r="31" spans="1:24">
      <c r="A31" s="1308" t="s">
        <v>284</v>
      </c>
      <c r="B31" s="587" t="str">
        <f t="shared" si="10"/>
        <v>6S</v>
      </c>
      <c r="C31" s="588" t="str">
        <f t="shared" si="5"/>
        <v>LSFO</v>
      </c>
      <c r="D31" s="589" t="str">
        <f t="shared" si="6"/>
        <v>Y</v>
      </c>
      <c r="E31" s="1011">
        <f t="shared" si="7"/>
        <v>4.05</v>
      </c>
      <c r="F31" s="1011">
        <f t="shared" si="11"/>
        <v>4.05</v>
      </c>
      <c r="G31" s="1411">
        <f t="shared" si="8"/>
        <v>0.92059999999999997</v>
      </c>
      <c r="H31" s="590" t="str">
        <f t="shared" si="9"/>
        <v>U</v>
      </c>
      <c r="I31" s="1014">
        <f t="shared" si="12"/>
        <v>0.84</v>
      </c>
      <c r="J31" s="591">
        <f t="shared" si="13"/>
        <v>36</v>
      </c>
      <c r="K31" s="592">
        <f t="shared" si="14"/>
        <v>0</v>
      </c>
      <c r="O31" s="192" t="str">
        <f>IF(TICKETNO&lt;3,'Vessel Gauging Data'!B30,'Barge Gauging Data'!B30)</f>
        <v>6S</v>
      </c>
      <c r="P31" s="192" t="str">
        <f>IF(TICKETNO&lt;3,'Vessel Gauging Data'!C30,'Barge Gauging Data'!C30)</f>
        <v>LSFO</v>
      </c>
      <c r="Q31" s="192" t="str">
        <f>IF(TICKETNO&lt;3,'Vessel Gauging Data'!D30,'Barge Gauging Data'!D30)</f>
        <v>Y</v>
      </c>
      <c r="R31" s="192">
        <f>IF(TICKETNO&lt;3,'Vessel Gauging Data'!E30,'Barge Gauging Data'!E30)</f>
        <v>4.05</v>
      </c>
      <c r="S31" s="192">
        <f>IF(TICKETNO&lt;3,IF(ISBLANK('Vessel Gauging Data'!F30),"",'Vessel Gauging Data'!F30),IF(ISBLANK('Barge Gauging Data'!F30),"",'Barge Gauging Data'!F30))</f>
        <v>4.05</v>
      </c>
      <c r="T31" s="192">
        <f>IF(TICKETNO&lt;3,'Vessel Gauging Data'!L30,'Barge Gauging Data'!L30)</f>
        <v>0.92059999999999997</v>
      </c>
      <c r="U31" s="192" t="str">
        <f>IF(TICKETNO=1,'Vessel Gauging Data'!G30,IF(TICKETNO=2,'Vessel Gauging Data'!O30,IF(TICKETNO=3,'Barge Gauging Data'!G30,'Barge Gauging Data'!O30)))</f>
        <v>U</v>
      </c>
      <c r="V31" s="192">
        <f>IF(TICKETNO=1,IF(ISBLANK('Vessel Gauging Data'!H30),"",'Vessel Gauging Data'!H30),IF(TICKETNO=2,IF(ISBLANK('Vessel Gauging Data'!P30),"",'Vessel Gauging Data'!P30),IF(TICKETNO=3,IF(ISBLANK('Barge Gauging Data'!H30),"",'Barge Gauging Data'!H30),IF(ISBLANK('Barge Gauging Data'!P30),"",'Barge Gauging Data'!P30))))</f>
        <v>0.84</v>
      </c>
      <c r="W31" s="192">
        <f>IF(TICKETNO=1,IF(ISBLANK('Vessel Gauging Data'!K30),"",'Vessel Gauging Data'!K30),IF(TICKETNO=2,IF(ISBLANK('Vessel Gauging Data'!S30),"",'Vessel Gauging Data'!S30),IF(TICKETNO=3,IF(ISBLANK('Barge Gauging Data'!K30),"",'Barge Gauging Data'!K30),IF(ISBLANK('Barge Gauging Data'!S30),"",'Barge Gauging Data'!S30))))</f>
        <v>36</v>
      </c>
      <c r="X31" s="192">
        <f>IF(TICKETNO=1,IF(ISBLANK('Vessel Gauging Data'!M30),"",'Vessel Gauging Data'!M30),IF(TICKETNO=2,IF(ISBLANK('Vessel Gauging Data'!U30),"",'Vessel Gauging Data'!U30),IF(TICKETNO=3,IF(ISBLANK('Barge Gauging Data'!M30),"",'Barge Gauging Data'!M30),IF(ISBLANK('Barge Gauging Data'!U30),"",'Barge Gauging Data'!U30))))</f>
        <v>0</v>
      </c>
    </row>
    <row r="32" spans="1:24">
      <c r="A32" s="1308" t="s">
        <v>284</v>
      </c>
      <c r="B32" s="587" t="str">
        <f t="shared" si="10"/>
        <v/>
      </c>
      <c r="C32" s="588" t="str">
        <f t="shared" si="5"/>
        <v/>
      </c>
      <c r="D32" s="589" t="str">
        <f t="shared" si="6"/>
        <v/>
      </c>
      <c r="E32" s="1011" t="str">
        <f t="shared" si="7"/>
        <v/>
      </c>
      <c r="F32" s="1011" t="str">
        <f t="shared" si="11"/>
        <v/>
      </c>
      <c r="G32" s="1411" t="str">
        <f t="shared" si="8"/>
        <v/>
      </c>
      <c r="H32" s="590" t="str">
        <f t="shared" si="9"/>
        <v/>
      </c>
      <c r="I32" s="1014" t="str">
        <f t="shared" si="12"/>
        <v/>
      </c>
      <c r="J32" s="591" t="str">
        <f t="shared" si="13"/>
        <v/>
      </c>
      <c r="K32" s="592" t="str">
        <f t="shared" si="14"/>
        <v/>
      </c>
      <c r="O32" s="192">
        <f>IF(TICKETNO&lt;3,'Vessel Gauging Data'!B31,'Barge Gauging Data'!B31)</f>
        <v>0</v>
      </c>
      <c r="P32" s="192">
        <f>IF(TICKETNO&lt;3,'Vessel Gauging Data'!C31,'Barge Gauging Data'!C31)</f>
        <v>0</v>
      </c>
      <c r="Q32" s="192">
        <f>IF(TICKETNO&lt;3,'Vessel Gauging Data'!D31,'Barge Gauging Data'!D31)</f>
        <v>0</v>
      </c>
      <c r="R32" s="192">
        <f>IF(TICKETNO&lt;3,'Vessel Gauging Data'!E31,'Barge Gauging Data'!E31)</f>
        <v>0</v>
      </c>
      <c r="S32" s="192" t="str">
        <f>IF(TICKETNO&lt;3,IF(ISBLANK('Vessel Gauging Data'!F31),"",'Vessel Gauging Data'!F31),IF(ISBLANK('Barge Gauging Data'!F31),"",'Barge Gauging Data'!F31))</f>
        <v/>
      </c>
      <c r="T32" s="192">
        <f>IF(TICKETNO&lt;3,'Vessel Gauging Data'!L31,'Barge Gauging Data'!L31)</f>
        <v>0</v>
      </c>
      <c r="U32" s="192">
        <f>IF(TICKETNO=1,'Vessel Gauging Data'!G31,IF(TICKETNO=2,'Vessel Gauging Data'!O31,IF(TICKETNO=3,'Barge Gauging Data'!G31,'Barge Gauging Data'!O31)))</f>
        <v>0</v>
      </c>
      <c r="V32" s="192" t="str">
        <f>IF(TICKETNO=1,IF(ISBLANK('Vessel Gauging Data'!H31),"",'Vessel Gauging Data'!H31),IF(TICKETNO=2,IF(ISBLANK('Vessel Gauging Data'!P31),"",'Vessel Gauging Data'!P31),IF(TICKETNO=3,IF(ISBLANK('Barge Gauging Data'!H31),"",'Barge Gauging Data'!H31),IF(ISBLANK('Barge Gauging Data'!P31),"",'Barge Gauging Data'!P31))))</f>
        <v/>
      </c>
      <c r="W32" s="192" t="str">
        <f>IF(TICKETNO=1,IF(ISBLANK('Vessel Gauging Data'!K31),"",'Vessel Gauging Data'!K31),IF(TICKETNO=2,IF(ISBLANK('Vessel Gauging Data'!S31),"",'Vessel Gauging Data'!S31),IF(TICKETNO=3,IF(ISBLANK('Barge Gauging Data'!K31),"",'Barge Gauging Data'!K31),IF(ISBLANK('Barge Gauging Data'!S31),"",'Barge Gauging Data'!S31))))</f>
        <v/>
      </c>
      <c r="X32" s="192" t="str">
        <f>IF(TICKETNO=1,IF(ISBLANK('Vessel Gauging Data'!M31),"",'Vessel Gauging Data'!M31),IF(TICKETNO=2,IF(ISBLANK('Vessel Gauging Data'!U31),"",'Vessel Gauging Data'!U31),IF(TICKETNO=3,IF(ISBLANK('Barge Gauging Data'!M31),"",'Barge Gauging Data'!M31),IF(ISBLANK('Barge Gauging Data'!U31),"",'Barge Gauging Data'!U31))))</f>
        <v/>
      </c>
    </row>
    <row r="33" spans="1:24">
      <c r="A33" s="1308" t="s">
        <v>284</v>
      </c>
      <c r="B33" s="587" t="str">
        <f t="shared" si="10"/>
        <v>3P</v>
      </c>
      <c r="C33" s="588" t="str">
        <f t="shared" si="5"/>
        <v>LSMGO</v>
      </c>
      <c r="D33" s="589" t="str">
        <f t="shared" si="6"/>
        <v>Y</v>
      </c>
      <c r="E33" s="1011">
        <f t="shared" si="7"/>
        <v>4.05</v>
      </c>
      <c r="F33" s="1011">
        <f t="shared" si="11"/>
        <v>4.05</v>
      </c>
      <c r="G33" s="1411">
        <f t="shared" si="8"/>
        <v>0.83520000000000005</v>
      </c>
      <c r="H33" s="590" t="str">
        <f t="shared" si="9"/>
        <v>U</v>
      </c>
      <c r="I33" s="1014">
        <f t="shared" si="12"/>
        <v>2.62</v>
      </c>
      <c r="J33" s="591">
        <f t="shared" si="13"/>
        <v>24</v>
      </c>
      <c r="K33" s="592">
        <f t="shared" si="14"/>
        <v>0</v>
      </c>
      <c r="O33" s="192" t="str">
        <f>IF(TICKETNO&lt;3,'Vessel Gauging Data'!B32,'Barge Gauging Data'!B32)</f>
        <v>3P</v>
      </c>
      <c r="P33" s="192" t="str">
        <f>IF(TICKETNO&lt;3,'Vessel Gauging Data'!C32,'Barge Gauging Data'!C32)</f>
        <v>LSMGO</v>
      </c>
      <c r="Q33" s="192" t="str">
        <f>IF(TICKETNO&lt;3,'Vessel Gauging Data'!D32,'Barge Gauging Data'!D32)</f>
        <v>Y</v>
      </c>
      <c r="R33" s="192">
        <f>IF(TICKETNO&lt;3,'Vessel Gauging Data'!E32,'Barge Gauging Data'!E32)</f>
        <v>4.05</v>
      </c>
      <c r="S33" s="192">
        <f>IF(TICKETNO&lt;3,IF(ISBLANK('Vessel Gauging Data'!F32),"",'Vessel Gauging Data'!F32),IF(ISBLANK('Barge Gauging Data'!F32),"",'Barge Gauging Data'!F32))</f>
        <v>4.05</v>
      </c>
      <c r="T33" s="192">
        <f>IF(TICKETNO&lt;3,'Vessel Gauging Data'!L32,'Barge Gauging Data'!L32)</f>
        <v>0.83520000000000005</v>
      </c>
      <c r="U33" s="192" t="str">
        <f>IF(TICKETNO=1,'Vessel Gauging Data'!G32,IF(TICKETNO=2,'Vessel Gauging Data'!O32,IF(TICKETNO=3,'Barge Gauging Data'!G32,'Barge Gauging Data'!O32)))</f>
        <v>U</v>
      </c>
      <c r="V33" s="192">
        <f>IF(TICKETNO=1,IF(ISBLANK('Vessel Gauging Data'!H32),"",'Vessel Gauging Data'!H32),IF(TICKETNO=2,IF(ISBLANK('Vessel Gauging Data'!P32),"",'Vessel Gauging Data'!P32),IF(TICKETNO=3,IF(ISBLANK('Barge Gauging Data'!H32),"",'Barge Gauging Data'!H32),IF(ISBLANK('Barge Gauging Data'!P32),"",'Barge Gauging Data'!P32))))</f>
        <v>2.62</v>
      </c>
      <c r="W33" s="192">
        <f>IF(TICKETNO=1,IF(ISBLANK('Vessel Gauging Data'!K32),"",'Vessel Gauging Data'!K32),IF(TICKETNO=2,IF(ISBLANK('Vessel Gauging Data'!S32),"",'Vessel Gauging Data'!S32),IF(TICKETNO=3,IF(ISBLANK('Barge Gauging Data'!K32),"",'Barge Gauging Data'!K32),IF(ISBLANK('Barge Gauging Data'!S32),"",'Barge Gauging Data'!S32))))</f>
        <v>24</v>
      </c>
      <c r="X33" s="192">
        <f>IF(TICKETNO=1,IF(ISBLANK('Vessel Gauging Data'!M32),"",'Vessel Gauging Data'!M32),IF(TICKETNO=2,IF(ISBLANK('Vessel Gauging Data'!U32),"",'Vessel Gauging Data'!U32),IF(TICKETNO=3,IF(ISBLANK('Barge Gauging Data'!M32),"",'Barge Gauging Data'!M32),IF(ISBLANK('Barge Gauging Data'!U32),"",'Barge Gauging Data'!U32))))</f>
        <v>0</v>
      </c>
    </row>
    <row r="34" spans="1:24">
      <c r="A34" s="1308" t="s">
        <v>284</v>
      </c>
      <c r="B34" s="587" t="str">
        <f t="shared" si="10"/>
        <v>3S</v>
      </c>
      <c r="C34" s="588" t="str">
        <f t="shared" si="5"/>
        <v>LSMGO</v>
      </c>
      <c r="D34" s="589" t="str">
        <f t="shared" si="6"/>
        <v>Y</v>
      </c>
      <c r="E34" s="1011">
        <f t="shared" si="7"/>
        <v>4.05</v>
      </c>
      <c r="F34" s="1011">
        <f t="shared" si="11"/>
        <v>4.05</v>
      </c>
      <c r="G34" s="1411">
        <f t="shared" si="8"/>
        <v>0.83520000000000005</v>
      </c>
      <c r="H34" s="590" t="str">
        <f t="shared" si="9"/>
        <v>U</v>
      </c>
      <c r="I34" s="1014">
        <f t="shared" si="12"/>
        <v>2.68</v>
      </c>
      <c r="J34" s="591">
        <f t="shared" si="13"/>
        <v>24</v>
      </c>
      <c r="K34" s="592">
        <f t="shared" si="14"/>
        <v>0</v>
      </c>
      <c r="O34" s="192" t="str">
        <f>IF(TICKETNO&lt;3,'Vessel Gauging Data'!B33,'Barge Gauging Data'!B33)</f>
        <v>3S</v>
      </c>
      <c r="P34" s="192" t="str">
        <f>IF(TICKETNO&lt;3,'Vessel Gauging Data'!C33,'Barge Gauging Data'!C33)</f>
        <v>LSMGO</v>
      </c>
      <c r="Q34" s="192" t="str">
        <f>IF(TICKETNO&lt;3,'Vessel Gauging Data'!D33,'Barge Gauging Data'!D33)</f>
        <v>Y</v>
      </c>
      <c r="R34" s="192">
        <f>IF(TICKETNO&lt;3,'Vessel Gauging Data'!E33,'Barge Gauging Data'!E33)</f>
        <v>4.05</v>
      </c>
      <c r="S34" s="192">
        <f>IF(TICKETNO&lt;3,IF(ISBLANK('Vessel Gauging Data'!F33),"",'Vessel Gauging Data'!F33),IF(ISBLANK('Barge Gauging Data'!F33),"",'Barge Gauging Data'!F33))</f>
        <v>4.05</v>
      </c>
      <c r="T34" s="192">
        <f>IF(TICKETNO&lt;3,'Vessel Gauging Data'!L33,'Barge Gauging Data'!L33)</f>
        <v>0.83520000000000005</v>
      </c>
      <c r="U34" s="192" t="str">
        <f>IF(TICKETNO=1,'Vessel Gauging Data'!G33,IF(TICKETNO=2,'Vessel Gauging Data'!O33,IF(TICKETNO=3,'Barge Gauging Data'!G33,'Barge Gauging Data'!O33)))</f>
        <v>U</v>
      </c>
      <c r="V34" s="192">
        <f>IF(TICKETNO=1,IF(ISBLANK('Vessel Gauging Data'!H33),"",'Vessel Gauging Data'!H33),IF(TICKETNO=2,IF(ISBLANK('Vessel Gauging Data'!P33),"",'Vessel Gauging Data'!P33),IF(TICKETNO=3,IF(ISBLANK('Barge Gauging Data'!H33),"",'Barge Gauging Data'!H33),IF(ISBLANK('Barge Gauging Data'!P33),"",'Barge Gauging Data'!P33))))</f>
        <v>2.68</v>
      </c>
      <c r="W34" s="192">
        <f>IF(TICKETNO=1,IF(ISBLANK('Vessel Gauging Data'!K33),"",'Vessel Gauging Data'!K33),IF(TICKETNO=2,IF(ISBLANK('Vessel Gauging Data'!S33),"",'Vessel Gauging Data'!S33),IF(TICKETNO=3,IF(ISBLANK('Barge Gauging Data'!K33),"",'Barge Gauging Data'!K33),IF(ISBLANK('Barge Gauging Data'!S33),"",'Barge Gauging Data'!S33))))</f>
        <v>24</v>
      </c>
      <c r="X34" s="192">
        <f>IF(TICKETNO=1,IF(ISBLANK('Vessel Gauging Data'!M33),"",'Vessel Gauging Data'!M33),IF(TICKETNO=2,IF(ISBLANK('Vessel Gauging Data'!U33),"",'Vessel Gauging Data'!U33),IF(TICKETNO=3,IF(ISBLANK('Barge Gauging Data'!M33),"",'Barge Gauging Data'!M33),IF(ISBLANK('Barge Gauging Data'!U33),"",'Barge Gauging Data'!U33))))</f>
        <v>0</v>
      </c>
    </row>
    <row r="35" spans="1:24">
      <c r="A35" s="1308" t="s">
        <v>284</v>
      </c>
      <c r="B35" s="587" t="str">
        <f t="shared" si="10"/>
        <v/>
      </c>
      <c r="C35" s="588" t="str">
        <f t="shared" si="5"/>
        <v/>
      </c>
      <c r="D35" s="589" t="str">
        <f t="shared" si="6"/>
        <v/>
      </c>
      <c r="E35" s="1011" t="str">
        <f t="shared" si="7"/>
        <v/>
      </c>
      <c r="F35" s="1011" t="str">
        <f t="shared" si="11"/>
        <v/>
      </c>
      <c r="G35" s="1411" t="str">
        <f t="shared" si="8"/>
        <v/>
      </c>
      <c r="H35" s="590" t="str">
        <f t="shared" si="9"/>
        <v/>
      </c>
      <c r="I35" s="1014" t="str">
        <f t="shared" si="12"/>
        <v/>
      </c>
      <c r="J35" s="591" t="str">
        <f t="shared" si="13"/>
        <v/>
      </c>
      <c r="K35" s="592" t="str">
        <f t="shared" si="14"/>
        <v/>
      </c>
      <c r="O35" s="192">
        <f>IF(TICKETNO&lt;3,'Vessel Gauging Data'!B34,'Barge Gauging Data'!B34)</f>
        <v>0</v>
      </c>
      <c r="P35" s="192">
        <f>IF(TICKETNO&lt;3,'Vessel Gauging Data'!C34,'Barge Gauging Data'!C34)</f>
        <v>0</v>
      </c>
      <c r="Q35" s="192">
        <f>IF(TICKETNO&lt;3,'Vessel Gauging Data'!D34,'Barge Gauging Data'!D34)</f>
        <v>0</v>
      </c>
      <c r="R35" s="192">
        <f>IF(TICKETNO&lt;3,'Vessel Gauging Data'!E34,'Barge Gauging Data'!E34)</f>
        <v>0</v>
      </c>
      <c r="S35" s="192" t="str">
        <f>IF(TICKETNO&lt;3,IF(ISBLANK('Vessel Gauging Data'!F34),"",'Vessel Gauging Data'!F34),IF(ISBLANK('Barge Gauging Data'!F34),"",'Barge Gauging Data'!F34))</f>
        <v/>
      </c>
      <c r="T35" s="192">
        <f>IF(TICKETNO&lt;3,'Vessel Gauging Data'!L34,'Barge Gauging Data'!L34)</f>
        <v>0</v>
      </c>
      <c r="U35" s="192">
        <f>IF(TICKETNO=1,'Vessel Gauging Data'!G34,IF(TICKETNO=2,'Vessel Gauging Data'!O34,IF(TICKETNO=3,'Barge Gauging Data'!G34,'Barge Gauging Data'!O34)))</f>
        <v>0</v>
      </c>
      <c r="V35" s="192" t="str">
        <f>IF(TICKETNO=1,IF(ISBLANK('Vessel Gauging Data'!H34),"",'Vessel Gauging Data'!H34),IF(TICKETNO=2,IF(ISBLANK('Vessel Gauging Data'!P34),"",'Vessel Gauging Data'!P34),IF(TICKETNO=3,IF(ISBLANK('Barge Gauging Data'!H34),"",'Barge Gauging Data'!H34),IF(ISBLANK('Barge Gauging Data'!P34),"",'Barge Gauging Data'!P34))))</f>
        <v/>
      </c>
      <c r="W35" s="192" t="str">
        <f>IF(TICKETNO=1,IF(ISBLANK('Vessel Gauging Data'!K34),"",'Vessel Gauging Data'!K34),IF(TICKETNO=2,IF(ISBLANK('Vessel Gauging Data'!S34),"",'Vessel Gauging Data'!S34),IF(TICKETNO=3,IF(ISBLANK('Barge Gauging Data'!K34),"",'Barge Gauging Data'!K34),IF(ISBLANK('Barge Gauging Data'!S34),"",'Barge Gauging Data'!S34))))</f>
        <v/>
      </c>
      <c r="X35" s="192" t="str">
        <f>IF(TICKETNO=1,IF(ISBLANK('Vessel Gauging Data'!M34),"",'Vessel Gauging Data'!M34),IF(TICKETNO=2,IF(ISBLANK('Vessel Gauging Data'!U34),"",'Vessel Gauging Data'!U34),IF(TICKETNO=3,IF(ISBLANK('Barge Gauging Data'!M34),"",'Barge Gauging Data'!M34),IF(ISBLANK('Barge Gauging Data'!U34),"",'Barge Gauging Data'!U34))))</f>
        <v/>
      </c>
    </row>
    <row r="36" spans="1:24">
      <c r="A36" s="1308" t="s">
        <v>284</v>
      </c>
      <c r="B36" s="587" t="str">
        <f t="shared" si="10"/>
        <v/>
      </c>
      <c r="C36" s="588" t="str">
        <f t="shared" si="5"/>
        <v/>
      </c>
      <c r="D36" s="589" t="str">
        <f t="shared" si="6"/>
        <v/>
      </c>
      <c r="E36" s="1011" t="str">
        <f t="shared" si="7"/>
        <v/>
      </c>
      <c r="F36" s="1011" t="str">
        <f t="shared" si="11"/>
        <v/>
      </c>
      <c r="G36" s="1411" t="str">
        <f t="shared" si="8"/>
        <v/>
      </c>
      <c r="H36" s="590" t="str">
        <f t="shared" si="9"/>
        <v/>
      </c>
      <c r="I36" s="1014" t="str">
        <f t="shared" si="12"/>
        <v/>
      </c>
      <c r="J36" s="591" t="str">
        <f t="shared" si="13"/>
        <v/>
      </c>
      <c r="K36" s="592" t="str">
        <f t="shared" si="14"/>
        <v/>
      </c>
      <c r="O36" s="192">
        <f>IF(TICKETNO&lt;3,'Vessel Gauging Data'!B35,'Barge Gauging Data'!B35)</f>
        <v>0</v>
      </c>
      <c r="P36" s="192">
        <f>IF(TICKETNO&lt;3,'Vessel Gauging Data'!C35,'Barge Gauging Data'!C35)</f>
        <v>0</v>
      </c>
      <c r="Q36" s="192">
        <f>IF(TICKETNO&lt;3,'Vessel Gauging Data'!D35,'Barge Gauging Data'!D35)</f>
        <v>0</v>
      </c>
      <c r="R36" s="192">
        <f>IF(TICKETNO&lt;3,'Vessel Gauging Data'!E35,'Barge Gauging Data'!E35)</f>
        <v>0</v>
      </c>
      <c r="S36" s="192" t="str">
        <f>IF(TICKETNO&lt;3,IF(ISBLANK('Vessel Gauging Data'!F35),"",'Vessel Gauging Data'!F35),IF(ISBLANK('Barge Gauging Data'!F35),"",'Barge Gauging Data'!F35))</f>
        <v/>
      </c>
      <c r="T36" s="192">
        <f>IF(TICKETNO&lt;3,'Vessel Gauging Data'!L35,'Barge Gauging Data'!L35)</f>
        <v>0</v>
      </c>
      <c r="U36" s="192">
        <f>IF(TICKETNO=1,'Vessel Gauging Data'!G35,IF(TICKETNO=2,'Vessel Gauging Data'!O35,IF(TICKETNO=3,'Barge Gauging Data'!G35,'Barge Gauging Data'!O35)))</f>
        <v>0</v>
      </c>
      <c r="V36" s="192" t="str">
        <f>IF(TICKETNO=1,IF(ISBLANK('Vessel Gauging Data'!H35),"",'Vessel Gauging Data'!H35),IF(TICKETNO=2,IF(ISBLANK('Vessel Gauging Data'!P35),"",'Vessel Gauging Data'!P35),IF(TICKETNO=3,IF(ISBLANK('Barge Gauging Data'!H35),"",'Barge Gauging Data'!H35),IF(ISBLANK('Barge Gauging Data'!P35),"",'Barge Gauging Data'!P35))))</f>
        <v/>
      </c>
      <c r="W36" s="192" t="str">
        <f>IF(TICKETNO=1,IF(ISBLANK('Vessel Gauging Data'!K35),"",'Vessel Gauging Data'!K35),IF(TICKETNO=2,IF(ISBLANK('Vessel Gauging Data'!S35),"",'Vessel Gauging Data'!S35),IF(TICKETNO=3,IF(ISBLANK('Barge Gauging Data'!K35),"",'Barge Gauging Data'!K35),IF(ISBLANK('Barge Gauging Data'!S35),"",'Barge Gauging Data'!S35))))</f>
        <v/>
      </c>
      <c r="X36" s="192" t="str">
        <f>IF(TICKETNO=1,IF(ISBLANK('Vessel Gauging Data'!M35),"",'Vessel Gauging Data'!M35),IF(TICKETNO=2,IF(ISBLANK('Vessel Gauging Data'!U35),"",'Vessel Gauging Data'!U35),IF(TICKETNO=3,IF(ISBLANK('Barge Gauging Data'!M35),"",'Barge Gauging Data'!M35),IF(ISBLANK('Barge Gauging Data'!U35),"",'Barge Gauging Data'!U35))))</f>
        <v/>
      </c>
    </row>
    <row r="37" spans="1:24">
      <c r="A37" s="1308" t="s">
        <v>284</v>
      </c>
      <c r="B37" s="587" t="str">
        <f t="shared" si="10"/>
        <v/>
      </c>
      <c r="C37" s="588" t="str">
        <f t="shared" si="5"/>
        <v/>
      </c>
      <c r="D37" s="589" t="str">
        <f t="shared" si="6"/>
        <v/>
      </c>
      <c r="E37" s="1011" t="str">
        <f t="shared" si="7"/>
        <v/>
      </c>
      <c r="F37" s="1011" t="str">
        <f t="shared" si="11"/>
        <v/>
      </c>
      <c r="G37" s="1411" t="str">
        <f t="shared" si="8"/>
        <v/>
      </c>
      <c r="H37" s="590" t="str">
        <f t="shared" si="9"/>
        <v/>
      </c>
      <c r="I37" s="1014" t="str">
        <f t="shared" si="12"/>
        <v/>
      </c>
      <c r="J37" s="591" t="str">
        <f t="shared" si="13"/>
        <v/>
      </c>
      <c r="K37" s="592" t="str">
        <f t="shared" si="14"/>
        <v/>
      </c>
      <c r="O37" s="192">
        <f>IF(TICKETNO&lt;3,'Vessel Gauging Data'!B36,'Barge Gauging Data'!B36)</f>
        <v>0</v>
      </c>
      <c r="P37" s="192">
        <f>IF(TICKETNO&lt;3,'Vessel Gauging Data'!C36,'Barge Gauging Data'!C36)</f>
        <v>0</v>
      </c>
      <c r="Q37" s="192">
        <f>IF(TICKETNO&lt;3,'Vessel Gauging Data'!D36,'Barge Gauging Data'!D36)</f>
        <v>0</v>
      </c>
      <c r="R37" s="192">
        <f>IF(TICKETNO&lt;3,'Vessel Gauging Data'!E36,'Barge Gauging Data'!E36)</f>
        <v>0</v>
      </c>
      <c r="S37" s="192" t="str">
        <f>IF(TICKETNO&lt;3,IF(ISBLANK('Vessel Gauging Data'!F36),"",'Vessel Gauging Data'!F36),IF(ISBLANK('Barge Gauging Data'!F36),"",'Barge Gauging Data'!F36))</f>
        <v/>
      </c>
      <c r="T37" s="192">
        <f>IF(TICKETNO&lt;3,'Vessel Gauging Data'!L36,'Barge Gauging Data'!L36)</f>
        <v>0</v>
      </c>
      <c r="U37" s="192">
        <f>IF(TICKETNO=1,'Vessel Gauging Data'!G36,IF(TICKETNO=2,'Vessel Gauging Data'!O36,IF(TICKETNO=3,'Barge Gauging Data'!G36,'Barge Gauging Data'!O36)))</f>
        <v>0</v>
      </c>
      <c r="V37" s="192" t="str">
        <f>IF(TICKETNO=1,IF(ISBLANK('Vessel Gauging Data'!H36),"",'Vessel Gauging Data'!H36),IF(TICKETNO=2,IF(ISBLANK('Vessel Gauging Data'!P36),"",'Vessel Gauging Data'!P36),IF(TICKETNO=3,IF(ISBLANK('Barge Gauging Data'!H36),"",'Barge Gauging Data'!H36),IF(ISBLANK('Barge Gauging Data'!P36),"",'Barge Gauging Data'!P36))))</f>
        <v/>
      </c>
      <c r="W37" s="192" t="str">
        <f>IF(TICKETNO=1,IF(ISBLANK('Vessel Gauging Data'!K36),"",'Vessel Gauging Data'!K36),IF(TICKETNO=2,IF(ISBLANK('Vessel Gauging Data'!S36),"",'Vessel Gauging Data'!S36),IF(TICKETNO=3,IF(ISBLANK('Barge Gauging Data'!K36),"",'Barge Gauging Data'!K36),IF(ISBLANK('Barge Gauging Data'!S36),"",'Barge Gauging Data'!S36))))</f>
        <v/>
      </c>
      <c r="X37" s="192" t="str">
        <f>IF(TICKETNO=1,IF(ISBLANK('Vessel Gauging Data'!M36),"",'Vessel Gauging Data'!M36),IF(TICKETNO=2,IF(ISBLANK('Vessel Gauging Data'!U36),"",'Vessel Gauging Data'!U36),IF(TICKETNO=3,IF(ISBLANK('Barge Gauging Data'!M36),"",'Barge Gauging Data'!M36),IF(ISBLANK('Barge Gauging Data'!U36),"",'Barge Gauging Data'!U36))))</f>
        <v/>
      </c>
    </row>
    <row r="38" spans="1:24">
      <c r="A38" s="1308" t="s">
        <v>284</v>
      </c>
      <c r="B38" s="587" t="str">
        <f t="shared" si="10"/>
        <v/>
      </c>
      <c r="C38" s="588" t="str">
        <f t="shared" si="5"/>
        <v/>
      </c>
      <c r="D38" s="589" t="str">
        <f t="shared" si="6"/>
        <v/>
      </c>
      <c r="E38" s="1011" t="str">
        <f t="shared" si="7"/>
        <v/>
      </c>
      <c r="F38" s="1011" t="str">
        <f t="shared" si="11"/>
        <v/>
      </c>
      <c r="G38" s="1411" t="str">
        <f t="shared" si="8"/>
        <v/>
      </c>
      <c r="H38" s="590" t="str">
        <f t="shared" si="9"/>
        <v/>
      </c>
      <c r="I38" s="1014" t="str">
        <f t="shared" si="12"/>
        <v/>
      </c>
      <c r="J38" s="591" t="str">
        <f t="shared" si="13"/>
        <v/>
      </c>
      <c r="K38" s="592" t="str">
        <f t="shared" si="14"/>
        <v/>
      </c>
      <c r="O38" s="192">
        <f>IF(TICKETNO&lt;3,'Vessel Gauging Data'!B37,'Barge Gauging Data'!B37)</f>
        <v>0</v>
      </c>
      <c r="P38" s="192">
        <f>IF(TICKETNO&lt;3,'Vessel Gauging Data'!C37,'Barge Gauging Data'!C37)</f>
        <v>0</v>
      </c>
      <c r="Q38" s="192">
        <f>IF(TICKETNO&lt;3,'Vessel Gauging Data'!D37,'Barge Gauging Data'!D37)</f>
        <v>0</v>
      </c>
      <c r="R38" s="192">
        <f>IF(TICKETNO&lt;3,'Vessel Gauging Data'!E37,'Barge Gauging Data'!E37)</f>
        <v>0</v>
      </c>
      <c r="S38" s="192" t="str">
        <f>IF(TICKETNO&lt;3,IF(ISBLANK('Vessel Gauging Data'!F37),"",'Vessel Gauging Data'!F37),IF(ISBLANK('Barge Gauging Data'!F37),"",'Barge Gauging Data'!F37))</f>
        <v/>
      </c>
      <c r="T38" s="192">
        <f>IF(TICKETNO&lt;3,'Vessel Gauging Data'!L37,'Barge Gauging Data'!L37)</f>
        <v>0</v>
      </c>
      <c r="U38" s="192">
        <f>IF(TICKETNO=1,'Vessel Gauging Data'!G37,IF(TICKETNO=2,'Vessel Gauging Data'!O37,IF(TICKETNO=3,'Barge Gauging Data'!G37,'Barge Gauging Data'!O37)))</f>
        <v>0</v>
      </c>
      <c r="V38" s="192" t="str">
        <f>IF(TICKETNO=1,IF(ISBLANK('Vessel Gauging Data'!H37),"",'Vessel Gauging Data'!H37),IF(TICKETNO=2,IF(ISBLANK('Vessel Gauging Data'!P37),"",'Vessel Gauging Data'!P37),IF(TICKETNO=3,IF(ISBLANK('Barge Gauging Data'!H37),"",'Barge Gauging Data'!H37),IF(ISBLANK('Barge Gauging Data'!P37),"",'Barge Gauging Data'!P37))))</f>
        <v/>
      </c>
      <c r="W38" s="192" t="str">
        <f>IF(TICKETNO=1,IF(ISBLANK('Vessel Gauging Data'!K37),"",'Vessel Gauging Data'!K37),IF(TICKETNO=2,IF(ISBLANK('Vessel Gauging Data'!S37),"",'Vessel Gauging Data'!S37),IF(TICKETNO=3,IF(ISBLANK('Barge Gauging Data'!K37),"",'Barge Gauging Data'!K37),IF(ISBLANK('Barge Gauging Data'!S37),"",'Barge Gauging Data'!S37))))</f>
        <v/>
      </c>
      <c r="X38" s="192" t="str">
        <f>IF(TICKETNO=1,IF(ISBLANK('Vessel Gauging Data'!M37),"",'Vessel Gauging Data'!M37),IF(TICKETNO=2,IF(ISBLANK('Vessel Gauging Data'!U37),"",'Vessel Gauging Data'!U37),IF(TICKETNO=3,IF(ISBLANK('Barge Gauging Data'!M37),"",'Barge Gauging Data'!M37),IF(ISBLANK('Barge Gauging Data'!U37),"",'Barge Gauging Data'!U37))))</f>
        <v/>
      </c>
    </row>
    <row r="39" spans="1:24">
      <c r="A39" s="1308" t="s">
        <v>284</v>
      </c>
      <c r="B39" s="587" t="str">
        <f t="shared" si="10"/>
        <v/>
      </c>
      <c r="C39" s="588" t="str">
        <f t="shared" si="5"/>
        <v/>
      </c>
      <c r="D39" s="589" t="str">
        <f t="shared" si="6"/>
        <v/>
      </c>
      <c r="E39" s="1011" t="str">
        <f t="shared" si="7"/>
        <v/>
      </c>
      <c r="F39" s="1011" t="str">
        <f t="shared" si="11"/>
        <v/>
      </c>
      <c r="G39" s="1411" t="str">
        <f t="shared" si="8"/>
        <v/>
      </c>
      <c r="H39" s="590" t="str">
        <f t="shared" si="9"/>
        <v/>
      </c>
      <c r="I39" s="1014" t="str">
        <f t="shared" si="12"/>
        <v/>
      </c>
      <c r="J39" s="591" t="str">
        <f t="shared" si="13"/>
        <v/>
      </c>
      <c r="K39" s="592" t="str">
        <f t="shared" si="14"/>
        <v/>
      </c>
      <c r="O39" s="192">
        <f>IF(TICKETNO&lt;3,'Vessel Gauging Data'!B38,'Barge Gauging Data'!B38)</f>
        <v>0</v>
      </c>
      <c r="P39" s="192">
        <f>IF(TICKETNO&lt;3,'Vessel Gauging Data'!C38,'Barge Gauging Data'!C38)</f>
        <v>0</v>
      </c>
      <c r="Q39" s="192">
        <f>IF(TICKETNO&lt;3,'Vessel Gauging Data'!D38,'Barge Gauging Data'!D38)</f>
        <v>0</v>
      </c>
      <c r="R39" s="192">
        <f>IF(TICKETNO&lt;3,'Vessel Gauging Data'!E38,'Barge Gauging Data'!E38)</f>
        <v>0</v>
      </c>
      <c r="S39" s="192" t="str">
        <f>IF(TICKETNO&lt;3,IF(ISBLANK('Vessel Gauging Data'!F38),"",'Vessel Gauging Data'!F38),IF(ISBLANK('Barge Gauging Data'!F38),"",'Barge Gauging Data'!F38))</f>
        <v/>
      </c>
      <c r="T39" s="192">
        <f>IF(TICKETNO&lt;3,'Vessel Gauging Data'!L38,'Barge Gauging Data'!L38)</f>
        <v>0</v>
      </c>
      <c r="U39" s="192">
        <f>IF(TICKETNO=1,'Vessel Gauging Data'!G38,IF(TICKETNO=2,'Vessel Gauging Data'!O38,IF(TICKETNO=3,'Barge Gauging Data'!G38,'Barge Gauging Data'!O38)))</f>
        <v>0</v>
      </c>
      <c r="V39" s="192" t="str">
        <f>IF(TICKETNO=1,IF(ISBLANK('Vessel Gauging Data'!H38),"",'Vessel Gauging Data'!H38),IF(TICKETNO=2,IF(ISBLANK('Vessel Gauging Data'!P38),"",'Vessel Gauging Data'!P38),IF(TICKETNO=3,IF(ISBLANK('Barge Gauging Data'!H38),"",'Barge Gauging Data'!H38),IF(ISBLANK('Barge Gauging Data'!P38),"",'Barge Gauging Data'!P38))))</f>
        <v/>
      </c>
      <c r="W39" s="192" t="str">
        <f>IF(TICKETNO=1,IF(ISBLANK('Vessel Gauging Data'!K38),"",'Vessel Gauging Data'!K38),IF(TICKETNO=2,IF(ISBLANK('Vessel Gauging Data'!S38),"",'Vessel Gauging Data'!S38),IF(TICKETNO=3,IF(ISBLANK('Barge Gauging Data'!K38),"",'Barge Gauging Data'!K38),IF(ISBLANK('Barge Gauging Data'!S38),"",'Barge Gauging Data'!S38))))</f>
        <v/>
      </c>
      <c r="X39" s="192" t="str">
        <f>IF(TICKETNO=1,IF(ISBLANK('Vessel Gauging Data'!M38),"",'Vessel Gauging Data'!M38),IF(TICKETNO=2,IF(ISBLANK('Vessel Gauging Data'!U38),"",'Vessel Gauging Data'!U38),IF(TICKETNO=3,IF(ISBLANK('Barge Gauging Data'!M38),"",'Barge Gauging Data'!M38),IF(ISBLANK('Barge Gauging Data'!U38),"",'Barge Gauging Data'!U38))))</f>
        <v/>
      </c>
    </row>
    <row r="40" spans="1:24">
      <c r="A40" s="1308" t="s">
        <v>284</v>
      </c>
      <c r="B40" s="587" t="str">
        <f t="shared" si="10"/>
        <v/>
      </c>
      <c r="C40" s="588" t="str">
        <f t="shared" si="5"/>
        <v/>
      </c>
      <c r="D40" s="589" t="str">
        <f t="shared" si="6"/>
        <v/>
      </c>
      <c r="E40" s="1011" t="str">
        <f t="shared" si="7"/>
        <v/>
      </c>
      <c r="F40" s="1011" t="str">
        <f t="shared" si="11"/>
        <v/>
      </c>
      <c r="G40" s="1411" t="str">
        <f t="shared" si="8"/>
        <v/>
      </c>
      <c r="H40" s="590" t="str">
        <f t="shared" si="9"/>
        <v/>
      </c>
      <c r="I40" s="1014" t="str">
        <f t="shared" si="12"/>
        <v/>
      </c>
      <c r="J40" s="591" t="str">
        <f t="shared" si="13"/>
        <v/>
      </c>
      <c r="K40" s="592" t="str">
        <f t="shared" si="14"/>
        <v/>
      </c>
      <c r="O40" s="192">
        <f>IF(TICKETNO&lt;3,'Vessel Gauging Data'!B39,'Barge Gauging Data'!B39)</f>
        <v>0</v>
      </c>
      <c r="P40" s="192">
        <f>IF(TICKETNO&lt;3,'Vessel Gauging Data'!C39,'Barge Gauging Data'!C39)</f>
        <v>0</v>
      </c>
      <c r="Q40" s="192">
        <f>IF(TICKETNO&lt;3,'Vessel Gauging Data'!D39,'Barge Gauging Data'!D39)</f>
        <v>0</v>
      </c>
      <c r="R40" s="192">
        <f>IF(TICKETNO&lt;3,'Vessel Gauging Data'!E39,'Barge Gauging Data'!E39)</f>
        <v>0</v>
      </c>
      <c r="S40" s="192" t="str">
        <f>IF(TICKETNO&lt;3,IF(ISBLANK('Vessel Gauging Data'!F39),"",'Vessel Gauging Data'!F39),IF(ISBLANK('Barge Gauging Data'!F39),"",'Barge Gauging Data'!F39))</f>
        <v/>
      </c>
      <c r="T40" s="192">
        <f>IF(TICKETNO&lt;3,'Vessel Gauging Data'!L39,'Barge Gauging Data'!L39)</f>
        <v>0</v>
      </c>
      <c r="U40" s="192">
        <f>IF(TICKETNO=1,'Vessel Gauging Data'!G39,IF(TICKETNO=2,'Vessel Gauging Data'!O39,IF(TICKETNO=3,'Barge Gauging Data'!G39,'Barge Gauging Data'!O39)))</f>
        <v>0</v>
      </c>
      <c r="V40" s="192" t="str">
        <f>IF(TICKETNO=1,IF(ISBLANK('Vessel Gauging Data'!H39),"",'Vessel Gauging Data'!H39),IF(TICKETNO=2,IF(ISBLANK('Vessel Gauging Data'!P39),"",'Vessel Gauging Data'!P39),IF(TICKETNO=3,IF(ISBLANK('Barge Gauging Data'!H39),"",'Barge Gauging Data'!H39),IF(ISBLANK('Barge Gauging Data'!P39),"",'Barge Gauging Data'!P39))))</f>
        <v/>
      </c>
      <c r="W40" s="192" t="str">
        <f>IF(TICKETNO=1,IF(ISBLANK('Vessel Gauging Data'!K39),"",'Vessel Gauging Data'!K39),IF(TICKETNO=2,IF(ISBLANK('Vessel Gauging Data'!S39),"",'Vessel Gauging Data'!S39),IF(TICKETNO=3,IF(ISBLANK('Barge Gauging Data'!K39),"",'Barge Gauging Data'!K39),IF(ISBLANK('Barge Gauging Data'!S39),"",'Barge Gauging Data'!S39))))</f>
        <v/>
      </c>
      <c r="X40" s="192" t="str">
        <f>IF(TICKETNO=1,IF(ISBLANK('Vessel Gauging Data'!M39),"",'Vessel Gauging Data'!M39),IF(TICKETNO=2,IF(ISBLANK('Vessel Gauging Data'!U39),"",'Vessel Gauging Data'!U39),IF(TICKETNO=3,IF(ISBLANK('Barge Gauging Data'!M39),"",'Barge Gauging Data'!M39),IF(ISBLANK('Barge Gauging Data'!U39),"",'Barge Gauging Data'!U39))))</f>
        <v/>
      </c>
    </row>
    <row r="41" spans="1:24">
      <c r="A41" s="1308" t="s">
        <v>284</v>
      </c>
      <c r="B41" s="587" t="str">
        <f t="shared" si="10"/>
        <v/>
      </c>
      <c r="C41" s="588" t="str">
        <f t="shared" si="5"/>
        <v/>
      </c>
      <c r="D41" s="589" t="str">
        <f t="shared" si="6"/>
        <v/>
      </c>
      <c r="E41" s="1011" t="str">
        <f t="shared" si="7"/>
        <v/>
      </c>
      <c r="F41" s="1011" t="str">
        <f t="shared" si="11"/>
        <v/>
      </c>
      <c r="G41" s="1411" t="str">
        <f t="shared" si="8"/>
        <v/>
      </c>
      <c r="H41" s="590" t="str">
        <f t="shared" si="9"/>
        <v/>
      </c>
      <c r="I41" s="1014" t="str">
        <f t="shared" si="12"/>
        <v/>
      </c>
      <c r="J41" s="591" t="str">
        <f t="shared" si="13"/>
        <v/>
      </c>
      <c r="K41" s="592" t="str">
        <f t="shared" si="14"/>
        <v/>
      </c>
      <c r="O41" s="192">
        <f>IF(TICKETNO&lt;3,'Vessel Gauging Data'!B40,'Barge Gauging Data'!B40)</f>
        <v>0</v>
      </c>
      <c r="P41" s="192">
        <f>IF(TICKETNO&lt;3,'Vessel Gauging Data'!C40,'Barge Gauging Data'!C40)</f>
        <v>0</v>
      </c>
      <c r="Q41" s="192">
        <f>IF(TICKETNO&lt;3,'Vessel Gauging Data'!D40,'Barge Gauging Data'!D40)</f>
        <v>0</v>
      </c>
      <c r="R41" s="192">
        <f>IF(TICKETNO&lt;3,'Vessel Gauging Data'!E40,'Barge Gauging Data'!E40)</f>
        <v>0</v>
      </c>
      <c r="S41" s="192" t="str">
        <f>IF(TICKETNO&lt;3,IF(ISBLANK('Vessel Gauging Data'!F40),"",'Vessel Gauging Data'!F40),IF(ISBLANK('Barge Gauging Data'!F40),"",'Barge Gauging Data'!F40))</f>
        <v/>
      </c>
      <c r="T41" s="192">
        <f>IF(TICKETNO&lt;3,'Vessel Gauging Data'!L40,'Barge Gauging Data'!L40)</f>
        <v>0</v>
      </c>
      <c r="U41" s="192">
        <f>IF(TICKETNO=1,'Vessel Gauging Data'!G40,IF(TICKETNO=2,'Vessel Gauging Data'!O40,IF(TICKETNO=3,'Barge Gauging Data'!G40,'Barge Gauging Data'!O40)))</f>
        <v>0</v>
      </c>
      <c r="V41" s="192" t="str">
        <f>IF(TICKETNO=1,IF(ISBLANK('Vessel Gauging Data'!H40),"",'Vessel Gauging Data'!H40),IF(TICKETNO=2,IF(ISBLANK('Vessel Gauging Data'!P40),"",'Vessel Gauging Data'!P40),IF(TICKETNO=3,IF(ISBLANK('Barge Gauging Data'!H40),"",'Barge Gauging Data'!H40),IF(ISBLANK('Barge Gauging Data'!P40),"",'Barge Gauging Data'!P40))))</f>
        <v/>
      </c>
      <c r="W41" s="192" t="str">
        <f>IF(TICKETNO=1,IF(ISBLANK('Vessel Gauging Data'!K40),"",'Vessel Gauging Data'!K40),IF(TICKETNO=2,IF(ISBLANK('Vessel Gauging Data'!S40),"",'Vessel Gauging Data'!S40),IF(TICKETNO=3,IF(ISBLANK('Barge Gauging Data'!K40),"",'Barge Gauging Data'!K40),IF(ISBLANK('Barge Gauging Data'!S40),"",'Barge Gauging Data'!S40))))</f>
        <v/>
      </c>
      <c r="X41" s="192" t="str">
        <f>IF(TICKETNO=1,IF(ISBLANK('Vessel Gauging Data'!M40),"",'Vessel Gauging Data'!M40),IF(TICKETNO=2,IF(ISBLANK('Vessel Gauging Data'!U40),"",'Vessel Gauging Data'!U40),IF(TICKETNO=3,IF(ISBLANK('Barge Gauging Data'!M40),"",'Barge Gauging Data'!M40),IF(ISBLANK('Barge Gauging Data'!U40),"",'Barge Gauging Data'!U40))))</f>
        <v/>
      </c>
    </row>
    <row r="42" spans="1:24">
      <c r="A42" s="1308" t="s">
        <v>284</v>
      </c>
      <c r="B42" s="587" t="str">
        <f t="shared" si="10"/>
        <v/>
      </c>
      <c r="C42" s="588" t="str">
        <f t="shared" si="5"/>
        <v/>
      </c>
      <c r="D42" s="589" t="str">
        <f t="shared" si="6"/>
        <v/>
      </c>
      <c r="E42" s="1011" t="str">
        <f t="shared" si="7"/>
        <v/>
      </c>
      <c r="F42" s="1011" t="str">
        <f t="shared" si="11"/>
        <v/>
      </c>
      <c r="G42" s="1411" t="str">
        <f t="shared" si="8"/>
        <v/>
      </c>
      <c r="H42" s="590" t="str">
        <f t="shared" si="9"/>
        <v/>
      </c>
      <c r="I42" s="1014" t="str">
        <f t="shared" si="12"/>
        <v/>
      </c>
      <c r="J42" s="591" t="str">
        <f t="shared" si="13"/>
        <v/>
      </c>
      <c r="K42" s="592" t="str">
        <f t="shared" si="14"/>
        <v/>
      </c>
      <c r="O42" s="192">
        <f>IF(TICKETNO&lt;3,'Vessel Gauging Data'!B41,'Barge Gauging Data'!B41)</f>
        <v>0</v>
      </c>
      <c r="P42" s="192">
        <f>IF(TICKETNO&lt;3,'Vessel Gauging Data'!C41,'Barge Gauging Data'!C41)</f>
        <v>0</v>
      </c>
      <c r="Q42" s="192">
        <f>IF(TICKETNO&lt;3,'Vessel Gauging Data'!D41,'Barge Gauging Data'!D41)</f>
        <v>0</v>
      </c>
      <c r="R42" s="192">
        <f>IF(TICKETNO&lt;3,'Vessel Gauging Data'!E41,'Barge Gauging Data'!E41)</f>
        <v>0</v>
      </c>
      <c r="S42" s="192" t="str">
        <f>IF(TICKETNO&lt;3,IF(ISBLANK('Vessel Gauging Data'!F41),"",'Vessel Gauging Data'!F41),IF(ISBLANK('Barge Gauging Data'!F41),"",'Barge Gauging Data'!F41))</f>
        <v/>
      </c>
      <c r="T42" s="192">
        <f>IF(TICKETNO&lt;3,'Vessel Gauging Data'!L41,'Barge Gauging Data'!L41)</f>
        <v>0</v>
      </c>
      <c r="U42" s="192">
        <f>IF(TICKETNO=1,'Vessel Gauging Data'!G41,IF(TICKETNO=2,'Vessel Gauging Data'!O41,IF(TICKETNO=3,'Barge Gauging Data'!G41,'Barge Gauging Data'!O41)))</f>
        <v>0</v>
      </c>
      <c r="V42" s="192" t="str">
        <f>IF(TICKETNO=1,IF(ISBLANK('Vessel Gauging Data'!H41),"",'Vessel Gauging Data'!H41),IF(TICKETNO=2,IF(ISBLANK('Vessel Gauging Data'!P41),"",'Vessel Gauging Data'!P41),IF(TICKETNO=3,IF(ISBLANK('Barge Gauging Data'!H41),"",'Barge Gauging Data'!H41),IF(ISBLANK('Barge Gauging Data'!P41),"",'Barge Gauging Data'!P41))))</f>
        <v/>
      </c>
      <c r="W42" s="192" t="str">
        <f>IF(TICKETNO=1,IF(ISBLANK('Vessel Gauging Data'!K41),"",'Vessel Gauging Data'!K41),IF(TICKETNO=2,IF(ISBLANK('Vessel Gauging Data'!S41),"",'Vessel Gauging Data'!S41),IF(TICKETNO=3,IF(ISBLANK('Barge Gauging Data'!K41),"",'Barge Gauging Data'!K41),IF(ISBLANK('Barge Gauging Data'!S41),"",'Barge Gauging Data'!S41))))</f>
        <v/>
      </c>
      <c r="X42" s="192" t="str">
        <f>IF(TICKETNO=1,IF(ISBLANK('Vessel Gauging Data'!M41),"",'Vessel Gauging Data'!M41),IF(TICKETNO=2,IF(ISBLANK('Vessel Gauging Data'!U41),"",'Vessel Gauging Data'!U41),IF(TICKETNO=3,IF(ISBLANK('Barge Gauging Data'!M41),"",'Barge Gauging Data'!M41),IF(ISBLANK('Barge Gauging Data'!U41),"",'Barge Gauging Data'!U41))))</f>
        <v/>
      </c>
    </row>
    <row r="43" spans="1:24">
      <c r="A43" s="1308" t="s">
        <v>284</v>
      </c>
      <c r="B43" s="587" t="str">
        <f t="shared" si="10"/>
        <v/>
      </c>
      <c r="C43" s="588" t="str">
        <f t="shared" si="5"/>
        <v/>
      </c>
      <c r="D43" s="589" t="str">
        <f t="shared" si="6"/>
        <v/>
      </c>
      <c r="E43" s="1011" t="str">
        <f t="shared" si="7"/>
        <v/>
      </c>
      <c r="F43" s="1011" t="str">
        <f t="shared" si="11"/>
        <v/>
      </c>
      <c r="G43" s="1411" t="str">
        <f t="shared" si="8"/>
        <v/>
      </c>
      <c r="H43" s="590" t="str">
        <f t="shared" si="9"/>
        <v/>
      </c>
      <c r="I43" s="1014" t="str">
        <f t="shared" si="12"/>
        <v/>
      </c>
      <c r="J43" s="591" t="str">
        <f t="shared" si="13"/>
        <v/>
      </c>
      <c r="K43" s="592" t="str">
        <f t="shared" si="14"/>
        <v/>
      </c>
      <c r="O43" s="192">
        <f>IF(TICKETNO&lt;3,'Vessel Gauging Data'!B42,'Barge Gauging Data'!B42)</f>
        <v>0</v>
      </c>
      <c r="P43" s="192">
        <f>IF(TICKETNO&lt;3,'Vessel Gauging Data'!C42,'Barge Gauging Data'!C42)</f>
        <v>0</v>
      </c>
      <c r="Q43" s="192">
        <f>IF(TICKETNO&lt;3,'Vessel Gauging Data'!D42,'Barge Gauging Data'!D42)</f>
        <v>0</v>
      </c>
      <c r="R43" s="192">
        <f>IF(TICKETNO&lt;3,'Vessel Gauging Data'!E42,'Barge Gauging Data'!E42)</f>
        <v>0</v>
      </c>
      <c r="S43" s="192" t="str">
        <f>IF(TICKETNO&lt;3,IF(ISBLANK('Vessel Gauging Data'!F42),"",'Vessel Gauging Data'!F42),IF(ISBLANK('Barge Gauging Data'!F42),"",'Barge Gauging Data'!F42))</f>
        <v/>
      </c>
      <c r="T43" s="192">
        <f>IF(TICKETNO&lt;3,'Vessel Gauging Data'!L42,'Barge Gauging Data'!L42)</f>
        <v>0</v>
      </c>
      <c r="U43" s="192">
        <f>IF(TICKETNO=1,'Vessel Gauging Data'!G42,IF(TICKETNO=2,'Vessel Gauging Data'!O42,IF(TICKETNO=3,'Barge Gauging Data'!G42,'Barge Gauging Data'!O42)))</f>
        <v>0</v>
      </c>
      <c r="V43" s="192" t="str">
        <f>IF(TICKETNO=1,IF(ISBLANK('Vessel Gauging Data'!H42),"",'Vessel Gauging Data'!H42),IF(TICKETNO=2,IF(ISBLANK('Vessel Gauging Data'!P42),"",'Vessel Gauging Data'!P42),IF(TICKETNO=3,IF(ISBLANK('Barge Gauging Data'!H42),"",'Barge Gauging Data'!H42),IF(ISBLANK('Barge Gauging Data'!P42),"",'Barge Gauging Data'!P42))))</f>
        <v/>
      </c>
      <c r="W43" s="192" t="str">
        <f>IF(TICKETNO=1,IF(ISBLANK('Vessel Gauging Data'!K42),"",'Vessel Gauging Data'!K42),IF(TICKETNO=2,IF(ISBLANK('Vessel Gauging Data'!S42),"",'Vessel Gauging Data'!S42),IF(TICKETNO=3,IF(ISBLANK('Barge Gauging Data'!K42),"",'Barge Gauging Data'!K42),IF(ISBLANK('Barge Gauging Data'!S42),"",'Barge Gauging Data'!S42))))</f>
        <v/>
      </c>
      <c r="X43" s="192" t="str">
        <f>IF(TICKETNO=1,IF(ISBLANK('Vessel Gauging Data'!M42),"",'Vessel Gauging Data'!M42),IF(TICKETNO=2,IF(ISBLANK('Vessel Gauging Data'!U42),"",'Vessel Gauging Data'!U42),IF(TICKETNO=3,IF(ISBLANK('Barge Gauging Data'!M42),"",'Barge Gauging Data'!M42),IF(ISBLANK('Barge Gauging Data'!U42),"",'Barge Gauging Data'!U42))))</f>
        <v/>
      </c>
    </row>
    <row r="44" spans="1:24">
      <c r="A44" s="1308" t="s">
        <v>284</v>
      </c>
      <c r="B44" s="587" t="str">
        <f t="shared" si="10"/>
        <v/>
      </c>
      <c r="C44" s="588" t="str">
        <f t="shared" si="5"/>
        <v/>
      </c>
      <c r="D44" s="589" t="str">
        <f t="shared" si="6"/>
        <v/>
      </c>
      <c r="E44" s="1011" t="str">
        <f t="shared" si="7"/>
        <v/>
      </c>
      <c r="F44" s="1011" t="str">
        <f t="shared" si="11"/>
        <v/>
      </c>
      <c r="G44" s="1411" t="str">
        <f t="shared" si="8"/>
        <v/>
      </c>
      <c r="H44" s="590" t="str">
        <f t="shared" si="9"/>
        <v/>
      </c>
      <c r="I44" s="1014" t="str">
        <f t="shared" si="12"/>
        <v/>
      </c>
      <c r="J44" s="591" t="str">
        <f t="shared" si="13"/>
        <v/>
      </c>
      <c r="K44" s="592" t="str">
        <f t="shared" si="14"/>
        <v/>
      </c>
      <c r="O44" s="192">
        <f>IF(TICKETNO&lt;3,'Vessel Gauging Data'!B43,'Barge Gauging Data'!B43)</f>
        <v>0</v>
      </c>
      <c r="P44" s="192">
        <f>IF(TICKETNO&lt;3,'Vessel Gauging Data'!C43,'Barge Gauging Data'!C43)</f>
        <v>0</v>
      </c>
      <c r="Q44" s="192">
        <f>IF(TICKETNO&lt;3,'Vessel Gauging Data'!D43,'Barge Gauging Data'!D43)</f>
        <v>0</v>
      </c>
      <c r="R44" s="192">
        <f>IF(TICKETNO&lt;3,'Vessel Gauging Data'!E43,'Barge Gauging Data'!E43)</f>
        <v>0</v>
      </c>
      <c r="S44" s="192" t="str">
        <f>IF(TICKETNO&lt;3,IF(ISBLANK('Vessel Gauging Data'!F43),"",'Vessel Gauging Data'!F43),IF(ISBLANK('Barge Gauging Data'!F43),"",'Barge Gauging Data'!F43))</f>
        <v/>
      </c>
      <c r="T44" s="192">
        <f>IF(TICKETNO&lt;3,'Vessel Gauging Data'!L43,'Barge Gauging Data'!L43)</f>
        <v>0</v>
      </c>
      <c r="U44" s="192">
        <f>IF(TICKETNO=1,'Vessel Gauging Data'!G43,IF(TICKETNO=2,'Vessel Gauging Data'!O43,IF(TICKETNO=3,'Barge Gauging Data'!G43,'Barge Gauging Data'!O43)))</f>
        <v>0</v>
      </c>
      <c r="V44" s="192" t="str">
        <f>IF(TICKETNO=1,IF(ISBLANK('Vessel Gauging Data'!H43),"",'Vessel Gauging Data'!H43),IF(TICKETNO=2,IF(ISBLANK('Vessel Gauging Data'!P43),"",'Vessel Gauging Data'!P43),IF(TICKETNO=3,IF(ISBLANK('Barge Gauging Data'!H43),"",'Barge Gauging Data'!H43),IF(ISBLANK('Barge Gauging Data'!P43),"",'Barge Gauging Data'!P43))))</f>
        <v/>
      </c>
      <c r="W44" s="192" t="str">
        <f>IF(TICKETNO=1,IF(ISBLANK('Vessel Gauging Data'!K43),"",'Vessel Gauging Data'!K43),IF(TICKETNO=2,IF(ISBLANK('Vessel Gauging Data'!S43),"",'Vessel Gauging Data'!S43),IF(TICKETNO=3,IF(ISBLANK('Barge Gauging Data'!K43),"",'Barge Gauging Data'!K43),IF(ISBLANK('Barge Gauging Data'!S43),"",'Barge Gauging Data'!S43))))</f>
        <v/>
      </c>
      <c r="X44" s="192" t="str">
        <f>IF(TICKETNO=1,IF(ISBLANK('Vessel Gauging Data'!M43),"",'Vessel Gauging Data'!M43),IF(TICKETNO=2,IF(ISBLANK('Vessel Gauging Data'!U43),"",'Vessel Gauging Data'!U43),IF(TICKETNO=3,IF(ISBLANK('Barge Gauging Data'!M43),"",'Barge Gauging Data'!M43),IF(ISBLANK('Barge Gauging Data'!U43),"",'Barge Gauging Data'!U43))))</f>
        <v/>
      </c>
    </row>
    <row r="45" spans="1:24">
      <c r="A45" s="1308" t="s">
        <v>284</v>
      </c>
      <c r="B45" s="587" t="str">
        <f t="shared" si="10"/>
        <v/>
      </c>
      <c r="C45" s="588" t="str">
        <f t="shared" si="5"/>
        <v/>
      </c>
      <c r="D45" s="589" t="str">
        <f t="shared" si="6"/>
        <v/>
      </c>
      <c r="E45" s="1011" t="str">
        <f t="shared" si="7"/>
        <v/>
      </c>
      <c r="F45" s="1011" t="str">
        <f t="shared" si="11"/>
        <v/>
      </c>
      <c r="G45" s="1411" t="str">
        <f t="shared" si="8"/>
        <v/>
      </c>
      <c r="H45" s="590" t="str">
        <f t="shared" si="9"/>
        <v/>
      </c>
      <c r="I45" s="1014" t="str">
        <f t="shared" si="12"/>
        <v/>
      </c>
      <c r="J45" s="591" t="str">
        <f t="shared" si="13"/>
        <v/>
      </c>
      <c r="K45" s="592" t="str">
        <f t="shared" si="14"/>
        <v/>
      </c>
      <c r="O45" s="192">
        <f>IF(TICKETNO&lt;3,'Vessel Gauging Data'!B44,'Barge Gauging Data'!B44)</f>
        <v>0</v>
      </c>
      <c r="P45" s="192">
        <f>IF(TICKETNO&lt;3,'Vessel Gauging Data'!C44,'Barge Gauging Data'!C44)</f>
        <v>0</v>
      </c>
      <c r="Q45" s="192">
        <f>IF(TICKETNO&lt;3,'Vessel Gauging Data'!D44,'Barge Gauging Data'!D44)</f>
        <v>0</v>
      </c>
      <c r="R45" s="192">
        <f>IF(TICKETNO&lt;3,'Vessel Gauging Data'!E44,'Barge Gauging Data'!E44)</f>
        <v>0</v>
      </c>
      <c r="S45" s="192" t="str">
        <f>IF(TICKETNO&lt;3,IF(ISBLANK('Vessel Gauging Data'!F44),"",'Vessel Gauging Data'!F44),IF(ISBLANK('Barge Gauging Data'!F44),"",'Barge Gauging Data'!F44))</f>
        <v/>
      </c>
      <c r="T45" s="192">
        <f>IF(TICKETNO&lt;3,'Vessel Gauging Data'!L44,'Barge Gauging Data'!L44)</f>
        <v>0</v>
      </c>
      <c r="U45" s="192">
        <f>IF(TICKETNO=1,'Vessel Gauging Data'!G44,IF(TICKETNO=2,'Vessel Gauging Data'!O44,IF(TICKETNO=3,'Barge Gauging Data'!G44,'Barge Gauging Data'!O44)))</f>
        <v>0</v>
      </c>
      <c r="V45" s="192" t="str">
        <f>IF(TICKETNO=1,IF(ISBLANK('Vessel Gauging Data'!H44),"",'Vessel Gauging Data'!H44),IF(TICKETNO=2,IF(ISBLANK('Vessel Gauging Data'!P44),"",'Vessel Gauging Data'!P44),IF(TICKETNO=3,IF(ISBLANK('Barge Gauging Data'!H44),"",'Barge Gauging Data'!H44),IF(ISBLANK('Barge Gauging Data'!P44),"",'Barge Gauging Data'!P44))))</f>
        <v/>
      </c>
      <c r="W45" s="192" t="str">
        <f>IF(TICKETNO=1,IF(ISBLANK('Vessel Gauging Data'!K44),"",'Vessel Gauging Data'!K44),IF(TICKETNO=2,IF(ISBLANK('Vessel Gauging Data'!S44),"",'Vessel Gauging Data'!S44),IF(TICKETNO=3,IF(ISBLANK('Barge Gauging Data'!K44),"",'Barge Gauging Data'!K44),IF(ISBLANK('Barge Gauging Data'!S44),"",'Barge Gauging Data'!S44))))</f>
        <v/>
      </c>
      <c r="X45" s="192" t="str">
        <f>IF(TICKETNO=1,IF(ISBLANK('Vessel Gauging Data'!M44),"",'Vessel Gauging Data'!M44),IF(TICKETNO=2,IF(ISBLANK('Vessel Gauging Data'!U44),"",'Vessel Gauging Data'!U44),IF(TICKETNO=3,IF(ISBLANK('Barge Gauging Data'!M44),"",'Barge Gauging Data'!M44),IF(ISBLANK('Barge Gauging Data'!U44),"",'Barge Gauging Data'!U44))))</f>
        <v/>
      </c>
    </row>
    <row r="46" spans="1:24">
      <c r="A46" s="1308" t="s">
        <v>284</v>
      </c>
      <c r="B46" s="587" t="str">
        <f t="shared" si="10"/>
        <v/>
      </c>
      <c r="C46" s="588" t="str">
        <f t="shared" si="5"/>
        <v/>
      </c>
      <c r="D46" s="589" t="str">
        <f t="shared" si="6"/>
        <v/>
      </c>
      <c r="E46" s="1011" t="str">
        <f t="shared" si="7"/>
        <v/>
      </c>
      <c r="F46" s="1011" t="str">
        <f t="shared" si="11"/>
        <v/>
      </c>
      <c r="G46" s="1411" t="str">
        <f t="shared" si="8"/>
        <v/>
      </c>
      <c r="H46" s="590" t="str">
        <f t="shared" si="9"/>
        <v/>
      </c>
      <c r="I46" s="1014" t="str">
        <f t="shared" si="12"/>
        <v/>
      </c>
      <c r="J46" s="591" t="str">
        <f t="shared" si="13"/>
        <v/>
      </c>
      <c r="K46" s="592" t="str">
        <f t="shared" si="14"/>
        <v/>
      </c>
      <c r="O46" s="192">
        <f>IF(TICKETNO&lt;3,'Vessel Gauging Data'!B45,'Barge Gauging Data'!B45)</f>
        <v>0</v>
      </c>
      <c r="P46" s="192">
        <f>IF(TICKETNO&lt;3,'Vessel Gauging Data'!C45,'Barge Gauging Data'!C45)</f>
        <v>0</v>
      </c>
      <c r="Q46" s="192">
        <f>IF(TICKETNO&lt;3,'Vessel Gauging Data'!D45,'Barge Gauging Data'!D45)</f>
        <v>0</v>
      </c>
      <c r="R46" s="192">
        <f>IF(TICKETNO&lt;3,'Vessel Gauging Data'!E45,'Barge Gauging Data'!E45)</f>
        <v>0</v>
      </c>
      <c r="S46" s="192" t="str">
        <f>IF(TICKETNO&lt;3,IF(ISBLANK('Vessel Gauging Data'!F45),"",'Vessel Gauging Data'!F45),IF(ISBLANK('Barge Gauging Data'!F45),"",'Barge Gauging Data'!F45))</f>
        <v/>
      </c>
      <c r="T46" s="192">
        <f>IF(TICKETNO&lt;3,'Vessel Gauging Data'!L45,'Barge Gauging Data'!L45)</f>
        <v>0</v>
      </c>
      <c r="U46" s="192">
        <f>IF(TICKETNO=1,'Vessel Gauging Data'!G45,IF(TICKETNO=2,'Vessel Gauging Data'!O45,IF(TICKETNO=3,'Barge Gauging Data'!G45,'Barge Gauging Data'!O45)))</f>
        <v>0</v>
      </c>
      <c r="V46" s="192" t="str">
        <f>IF(TICKETNO=1,IF(ISBLANK('Vessel Gauging Data'!H45),"",'Vessel Gauging Data'!H45),IF(TICKETNO=2,IF(ISBLANK('Vessel Gauging Data'!P45),"",'Vessel Gauging Data'!P45),IF(TICKETNO=3,IF(ISBLANK('Barge Gauging Data'!H45),"",'Barge Gauging Data'!H45),IF(ISBLANK('Barge Gauging Data'!P45),"",'Barge Gauging Data'!P45))))</f>
        <v/>
      </c>
      <c r="W46" s="192" t="str">
        <f>IF(TICKETNO=1,IF(ISBLANK('Vessel Gauging Data'!K45),"",'Vessel Gauging Data'!K45),IF(TICKETNO=2,IF(ISBLANK('Vessel Gauging Data'!S45),"",'Vessel Gauging Data'!S45),IF(TICKETNO=3,IF(ISBLANK('Barge Gauging Data'!K45),"",'Barge Gauging Data'!K45),IF(ISBLANK('Barge Gauging Data'!S45),"",'Barge Gauging Data'!S45))))</f>
        <v/>
      </c>
      <c r="X46" s="192" t="str">
        <f>IF(TICKETNO=1,IF(ISBLANK('Vessel Gauging Data'!M45),"",'Vessel Gauging Data'!M45),IF(TICKETNO=2,IF(ISBLANK('Vessel Gauging Data'!U45),"",'Vessel Gauging Data'!U45),IF(TICKETNO=3,IF(ISBLANK('Barge Gauging Data'!M45),"",'Barge Gauging Data'!M45),IF(ISBLANK('Barge Gauging Data'!U45),"",'Barge Gauging Data'!U45))))</f>
        <v/>
      </c>
    </row>
    <row r="47" spans="1:24">
      <c r="A47" s="1308" t="s">
        <v>284</v>
      </c>
      <c r="B47" s="587" t="str">
        <f t="shared" si="10"/>
        <v/>
      </c>
      <c r="C47" s="588" t="str">
        <f t="shared" si="5"/>
        <v/>
      </c>
      <c r="D47" s="589" t="str">
        <f t="shared" si="6"/>
        <v/>
      </c>
      <c r="E47" s="1011" t="str">
        <f t="shared" si="7"/>
        <v/>
      </c>
      <c r="F47" s="1011" t="str">
        <f t="shared" si="11"/>
        <v/>
      </c>
      <c r="G47" s="1411" t="str">
        <f t="shared" si="8"/>
        <v/>
      </c>
      <c r="H47" s="590" t="str">
        <f t="shared" si="9"/>
        <v/>
      </c>
      <c r="I47" s="1014" t="str">
        <f t="shared" si="12"/>
        <v/>
      </c>
      <c r="J47" s="591" t="str">
        <f t="shared" si="13"/>
        <v/>
      </c>
      <c r="K47" s="592" t="str">
        <f t="shared" si="14"/>
        <v/>
      </c>
      <c r="O47" s="192">
        <f>IF(TICKETNO&lt;3,'Vessel Gauging Data'!B46,'Barge Gauging Data'!B46)</f>
        <v>0</v>
      </c>
      <c r="P47" s="192">
        <f>IF(TICKETNO&lt;3,'Vessel Gauging Data'!C46,'Barge Gauging Data'!C46)</f>
        <v>0</v>
      </c>
      <c r="Q47" s="192">
        <f>IF(TICKETNO&lt;3,'Vessel Gauging Data'!D46,'Barge Gauging Data'!D46)</f>
        <v>0</v>
      </c>
      <c r="R47" s="192">
        <f>IF(TICKETNO&lt;3,'Vessel Gauging Data'!E46,'Barge Gauging Data'!E46)</f>
        <v>0</v>
      </c>
      <c r="S47" s="192" t="str">
        <f>IF(TICKETNO&lt;3,IF(ISBLANK('Vessel Gauging Data'!F46),"",'Vessel Gauging Data'!F46),IF(ISBLANK('Barge Gauging Data'!F46),"",'Barge Gauging Data'!F46))</f>
        <v/>
      </c>
      <c r="T47" s="192">
        <f>IF(TICKETNO&lt;3,'Vessel Gauging Data'!L46,'Barge Gauging Data'!L46)</f>
        <v>0</v>
      </c>
      <c r="U47" s="192">
        <f>IF(TICKETNO=1,'Vessel Gauging Data'!G46,IF(TICKETNO=2,'Vessel Gauging Data'!O46,IF(TICKETNO=3,'Barge Gauging Data'!G46,'Barge Gauging Data'!O46)))</f>
        <v>0</v>
      </c>
      <c r="V47" s="192" t="str">
        <f>IF(TICKETNO=1,IF(ISBLANK('Vessel Gauging Data'!H46),"",'Vessel Gauging Data'!H46),IF(TICKETNO=2,IF(ISBLANK('Vessel Gauging Data'!P46),"",'Vessel Gauging Data'!P46),IF(TICKETNO=3,IF(ISBLANK('Barge Gauging Data'!H46),"",'Barge Gauging Data'!H46),IF(ISBLANK('Barge Gauging Data'!P46),"",'Barge Gauging Data'!P46))))</f>
        <v/>
      </c>
      <c r="W47" s="192" t="str">
        <f>IF(TICKETNO=1,IF(ISBLANK('Vessel Gauging Data'!K46),"",'Vessel Gauging Data'!K46),IF(TICKETNO=2,IF(ISBLANK('Vessel Gauging Data'!S46),"",'Vessel Gauging Data'!S46),IF(TICKETNO=3,IF(ISBLANK('Barge Gauging Data'!K46),"",'Barge Gauging Data'!K46),IF(ISBLANK('Barge Gauging Data'!S46),"",'Barge Gauging Data'!S46))))</f>
        <v/>
      </c>
      <c r="X47" s="192" t="str">
        <f>IF(TICKETNO=1,IF(ISBLANK('Vessel Gauging Data'!M46),"",'Vessel Gauging Data'!M46),IF(TICKETNO=2,IF(ISBLANK('Vessel Gauging Data'!U46),"",'Vessel Gauging Data'!U46),IF(TICKETNO=3,IF(ISBLANK('Barge Gauging Data'!M46),"",'Barge Gauging Data'!M46),IF(ISBLANK('Barge Gauging Data'!U46),"",'Barge Gauging Data'!U46))))</f>
        <v/>
      </c>
    </row>
    <row r="48" spans="1:24">
      <c r="A48" s="1308" t="s">
        <v>284</v>
      </c>
      <c r="B48" s="587" t="str">
        <f t="shared" si="10"/>
        <v/>
      </c>
      <c r="C48" s="588" t="str">
        <f t="shared" si="5"/>
        <v/>
      </c>
      <c r="D48" s="589" t="str">
        <f t="shared" si="6"/>
        <v/>
      </c>
      <c r="E48" s="1011" t="str">
        <f t="shared" si="7"/>
        <v/>
      </c>
      <c r="F48" s="1011" t="str">
        <f t="shared" si="11"/>
        <v/>
      </c>
      <c r="G48" s="1411" t="str">
        <f t="shared" si="8"/>
        <v/>
      </c>
      <c r="H48" s="590" t="str">
        <f t="shared" si="9"/>
        <v/>
      </c>
      <c r="I48" s="1014" t="str">
        <f t="shared" si="12"/>
        <v/>
      </c>
      <c r="J48" s="591" t="str">
        <f t="shared" si="13"/>
        <v/>
      </c>
      <c r="K48" s="592" t="str">
        <f t="shared" si="14"/>
        <v/>
      </c>
      <c r="O48" s="192">
        <f>IF(TICKETNO&lt;3,'Vessel Gauging Data'!B47,'Barge Gauging Data'!B47)</f>
        <v>0</v>
      </c>
      <c r="P48" s="192">
        <f>IF(TICKETNO&lt;3,'Vessel Gauging Data'!C47,'Barge Gauging Data'!C47)</f>
        <v>0</v>
      </c>
      <c r="Q48" s="192">
        <f>IF(TICKETNO&lt;3,'Vessel Gauging Data'!D47,'Barge Gauging Data'!D47)</f>
        <v>0</v>
      </c>
      <c r="R48" s="192">
        <f>IF(TICKETNO&lt;3,'Vessel Gauging Data'!E47,'Barge Gauging Data'!E47)</f>
        <v>0</v>
      </c>
      <c r="S48" s="192" t="str">
        <f>IF(TICKETNO&lt;3,IF(ISBLANK('Vessel Gauging Data'!F47),"",'Vessel Gauging Data'!F47),IF(ISBLANK('Barge Gauging Data'!F47),"",'Barge Gauging Data'!F47))</f>
        <v/>
      </c>
      <c r="T48" s="192">
        <f>IF(TICKETNO&lt;3,'Vessel Gauging Data'!L47,'Barge Gauging Data'!L47)</f>
        <v>0</v>
      </c>
      <c r="U48" s="192">
        <f>IF(TICKETNO=1,'Vessel Gauging Data'!G47,IF(TICKETNO=2,'Vessel Gauging Data'!O47,IF(TICKETNO=3,'Barge Gauging Data'!G47,'Barge Gauging Data'!O47)))</f>
        <v>0</v>
      </c>
      <c r="V48" s="192" t="str">
        <f>IF(TICKETNO=1,IF(ISBLANK('Vessel Gauging Data'!H47),"",'Vessel Gauging Data'!H47),IF(TICKETNO=2,IF(ISBLANK('Vessel Gauging Data'!P47),"",'Vessel Gauging Data'!P47),IF(TICKETNO=3,IF(ISBLANK('Barge Gauging Data'!H47),"",'Barge Gauging Data'!H47),IF(ISBLANK('Barge Gauging Data'!P47),"",'Barge Gauging Data'!P47))))</f>
        <v/>
      </c>
      <c r="W48" s="192" t="str">
        <f>IF(TICKETNO=1,IF(ISBLANK('Vessel Gauging Data'!K47),"",'Vessel Gauging Data'!K47),IF(TICKETNO=2,IF(ISBLANK('Vessel Gauging Data'!S47),"",'Vessel Gauging Data'!S47),IF(TICKETNO=3,IF(ISBLANK('Barge Gauging Data'!K47),"",'Barge Gauging Data'!K47),IF(ISBLANK('Barge Gauging Data'!S47),"",'Barge Gauging Data'!S47))))</f>
        <v/>
      </c>
      <c r="X48" s="192" t="str">
        <f>IF(TICKETNO=1,IF(ISBLANK('Vessel Gauging Data'!M47),"",'Vessel Gauging Data'!M47),IF(TICKETNO=2,IF(ISBLANK('Vessel Gauging Data'!U47),"",'Vessel Gauging Data'!U47),IF(TICKETNO=3,IF(ISBLANK('Barge Gauging Data'!M47),"",'Barge Gauging Data'!M47),IF(ISBLANK('Barge Gauging Data'!U47),"",'Barge Gauging Data'!U47))))</f>
        <v/>
      </c>
    </row>
    <row r="49" spans="1:24">
      <c r="A49" s="1308" t="s">
        <v>284</v>
      </c>
      <c r="B49" s="587" t="str">
        <f t="shared" si="10"/>
        <v/>
      </c>
      <c r="C49" s="588" t="str">
        <f t="shared" si="5"/>
        <v/>
      </c>
      <c r="D49" s="589" t="str">
        <f t="shared" si="6"/>
        <v/>
      </c>
      <c r="E49" s="1011" t="str">
        <f t="shared" si="7"/>
        <v/>
      </c>
      <c r="F49" s="1011" t="str">
        <f t="shared" si="11"/>
        <v/>
      </c>
      <c r="G49" s="1411" t="str">
        <f t="shared" si="8"/>
        <v/>
      </c>
      <c r="H49" s="590" t="str">
        <f t="shared" si="9"/>
        <v/>
      </c>
      <c r="I49" s="1014" t="str">
        <f t="shared" si="12"/>
        <v/>
      </c>
      <c r="J49" s="591" t="str">
        <f t="shared" si="13"/>
        <v/>
      </c>
      <c r="K49" s="592" t="str">
        <f t="shared" si="14"/>
        <v/>
      </c>
      <c r="O49" s="192">
        <f>IF(TICKETNO&lt;3,'Vessel Gauging Data'!B48,'Barge Gauging Data'!B48)</f>
        <v>0</v>
      </c>
      <c r="P49" s="192">
        <f>IF(TICKETNO&lt;3,'Vessel Gauging Data'!C48,'Barge Gauging Data'!C48)</f>
        <v>0</v>
      </c>
      <c r="Q49" s="192">
        <f>IF(TICKETNO&lt;3,'Vessel Gauging Data'!D48,'Barge Gauging Data'!D48)</f>
        <v>0</v>
      </c>
      <c r="R49" s="192">
        <f>IF(TICKETNO&lt;3,'Vessel Gauging Data'!E48,'Barge Gauging Data'!E48)</f>
        <v>0</v>
      </c>
      <c r="S49" s="192" t="str">
        <f>IF(TICKETNO&lt;3,IF(ISBLANK('Vessel Gauging Data'!F48),"",'Vessel Gauging Data'!F48),IF(ISBLANK('Barge Gauging Data'!F48),"",'Barge Gauging Data'!F48))</f>
        <v/>
      </c>
      <c r="T49" s="192">
        <f>IF(TICKETNO&lt;3,'Vessel Gauging Data'!L48,'Barge Gauging Data'!L48)</f>
        <v>0</v>
      </c>
      <c r="U49" s="192">
        <f>IF(TICKETNO=1,'Vessel Gauging Data'!G48,IF(TICKETNO=2,'Vessel Gauging Data'!O48,IF(TICKETNO=3,'Barge Gauging Data'!G48,'Barge Gauging Data'!O48)))</f>
        <v>0</v>
      </c>
      <c r="V49" s="192" t="str">
        <f>IF(TICKETNO=1,IF(ISBLANK('Vessel Gauging Data'!H48),"",'Vessel Gauging Data'!H48),IF(TICKETNO=2,IF(ISBLANK('Vessel Gauging Data'!P48),"",'Vessel Gauging Data'!P48),IF(TICKETNO=3,IF(ISBLANK('Barge Gauging Data'!H48),"",'Barge Gauging Data'!H48),IF(ISBLANK('Barge Gauging Data'!P48),"",'Barge Gauging Data'!P48))))</f>
        <v/>
      </c>
      <c r="W49" s="192" t="str">
        <f>IF(TICKETNO=1,IF(ISBLANK('Vessel Gauging Data'!K48),"",'Vessel Gauging Data'!K48),IF(TICKETNO=2,IF(ISBLANK('Vessel Gauging Data'!S48),"",'Vessel Gauging Data'!S48),IF(TICKETNO=3,IF(ISBLANK('Barge Gauging Data'!K48),"",'Barge Gauging Data'!K48),IF(ISBLANK('Barge Gauging Data'!S48),"",'Barge Gauging Data'!S48))))</f>
        <v/>
      </c>
      <c r="X49" s="192" t="str">
        <f>IF(TICKETNO=1,IF(ISBLANK('Vessel Gauging Data'!M48),"",'Vessel Gauging Data'!M48),IF(TICKETNO=2,IF(ISBLANK('Vessel Gauging Data'!U48),"",'Vessel Gauging Data'!U48),IF(TICKETNO=3,IF(ISBLANK('Barge Gauging Data'!M48),"",'Barge Gauging Data'!M48),IF(ISBLANK('Barge Gauging Data'!U48),"",'Barge Gauging Data'!U48))))</f>
        <v/>
      </c>
    </row>
    <row r="50" spans="1:24">
      <c r="A50" s="1308" t="s">
        <v>284</v>
      </c>
      <c r="B50" s="587" t="str">
        <f t="shared" si="10"/>
        <v/>
      </c>
      <c r="C50" s="588" t="str">
        <f t="shared" si="5"/>
        <v/>
      </c>
      <c r="D50" s="589" t="str">
        <f t="shared" si="6"/>
        <v/>
      </c>
      <c r="E50" s="1011" t="str">
        <f t="shared" si="7"/>
        <v/>
      </c>
      <c r="F50" s="1011" t="str">
        <f t="shared" si="11"/>
        <v/>
      </c>
      <c r="G50" s="1411" t="str">
        <f t="shared" si="8"/>
        <v/>
      </c>
      <c r="H50" s="590" t="str">
        <f t="shared" si="9"/>
        <v/>
      </c>
      <c r="I50" s="1014" t="str">
        <f t="shared" si="12"/>
        <v/>
      </c>
      <c r="J50" s="591" t="str">
        <f t="shared" si="13"/>
        <v/>
      </c>
      <c r="K50" s="592" t="str">
        <f t="shared" si="14"/>
        <v/>
      </c>
      <c r="O50" s="192">
        <f>IF(TICKETNO&lt;3,'Vessel Gauging Data'!B49,'Barge Gauging Data'!B49)</f>
        <v>0</v>
      </c>
      <c r="P50" s="192">
        <f>IF(TICKETNO&lt;3,'Vessel Gauging Data'!C49,'Barge Gauging Data'!C49)</f>
        <v>0</v>
      </c>
      <c r="Q50" s="192">
        <f>IF(TICKETNO&lt;3,'Vessel Gauging Data'!D49,'Barge Gauging Data'!D49)</f>
        <v>0</v>
      </c>
      <c r="R50" s="192">
        <f>IF(TICKETNO&lt;3,'Vessel Gauging Data'!E49,'Barge Gauging Data'!E49)</f>
        <v>0</v>
      </c>
      <c r="S50" s="192" t="str">
        <f>IF(TICKETNO&lt;3,IF(ISBLANK('Vessel Gauging Data'!F49),"",'Vessel Gauging Data'!F49),IF(ISBLANK('Barge Gauging Data'!F49),"",'Barge Gauging Data'!F49))</f>
        <v/>
      </c>
      <c r="T50" s="192">
        <f>IF(TICKETNO&lt;3,'Vessel Gauging Data'!L49,'Barge Gauging Data'!L49)</f>
        <v>0</v>
      </c>
      <c r="U50" s="192">
        <f>IF(TICKETNO=1,'Vessel Gauging Data'!G49,IF(TICKETNO=2,'Vessel Gauging Data'!O49,IF(TICKETNO=3,'Barge Gauging Data'!G49,'Barge Gauging Data'!O49)))</f>
        <v>0</v>
      </c>
      <c r="V50" s="192" t="str">
        <f>IF(TICKETNO=1,IF(ISBLANK('Vessel Gauging Data'!H49),"",'Vessel Gauging Data'!H49),IF(TICKETNO=2,IF(ISBLANK('Vessel Gauging Data'!P49),"",'Vessel Gauging Data'!P49),IF(TICKETNO=3,IF(ISBLANK('Barge Gauging Data'!H49),"",'Barge Gauging Data'!H49),IF(ISBLANK('Barge Gauging Data'!P49),"",'Barge Gauging Data'!P49))))</f>
        <v/>
      </c>
      <c r="W50" s="192" t="str">
        <f>IF(TICKETNO=1,IF(ISBLANK('Vessel Gauging Data'!K49),"",'Vessel Gauging Data'!K49),IF(TICKETNO=2,IF(ISBLANK('Vessel Gauging Data'!S49),"",'Vessel Gauging Data'!S49),IF(TICKETNO=3,IF(ISBLANK('Barge Gauging Data'!K49),"",'Barge Gauging Data'!K49),IF(ISBLANK('Barge Gauging Data'!S49),"",'Barge Gauging Data'!S49))))</f>
        <v/>
      </c>
      <c r="X50" s="192" t="str">
        <f>IF(TICKETNO=1,IF(ISBLANK('Vessel Gauging Data'!M49),"",'Vessel Gauging Data'!M49),IF(TICKETNO=2,IF(ISBLANK('Vessel Gauging Data'!U49),"",'Vessel Gauging Data'!U49),IF(TICKETNO=3,IF(ISBLANK('Barge Gauging Data'!M49),"",'Barge Gauging Data'!M49),IF(ISBLANK('Barge Gauging Data'!U49),"",'Barge Gauging Data'!U49))))</f>
        <v/>
      </c>
    </row>
    <row r="51" spans="1:24">
      <c r="A51" s="1308" t="s">
        <v>284</v>
      </c>
      <c r="B51" s="587" t="str">
        <f t="shared" si="10"/>
        <v/>
      </c>
      <c r="C51" s="588" t="str">
        <f t="shared" si="5"/>
        <v/>
      </c>
      <c r="D51" s="589" t="str">
        <f t="shared" si="6"/>
        <v/>
      </c>
      <c r="E51" s="1011" t="str">
        <f t="shared" si="7"/>
        <v/>
      </c>
      <c r="F51" s="1011" t="str">
        <f t="shared" si="11"/>
        <v/>
      </c>
      <c r="G51" s="1411" t="str">
        <f t="shared" si="8"/>
        <v/>
      </c>
      <c r="H51" s="590" t="str">
        <f t="shared" si="9"/>
        <v/>
      </c>
      <c r="I51" s="1014" t="str">
        <f t="shared" si="12"/>
        <v/>
      </c>
      <c r="J51" s="591" t="str">
        <f t="shared" si="13"/>
        <v/>
      </c>
      <c r="K51" s="592" t="str">
        <f t="shared" si="14"/>
        <v/>
      </c>
      <c r="O51" s="192">
        <f>IF(TICKETNO&lt;3,'Vessel Gauging Data'!B50,'Barge Gauging Data'!B50)</f>
        <v>0</v>
      </c>
      <c r="P51" s="192">
        <f>IF(TICKETNO&lt;3,'Vessel Gauging Data'!C50,'Barge Gauging Data'!C50)</f>
        <v>0</v>
      </c>
      <c r="Q51" s="192">
        <f>IF(TICKETNO&lt;3,'Vessel Gauging Data'!D50,'Barge Gauging Data'!D50)</f>
        <v>0</v>
      </c>
      <c r="R51" s="192">
        <f>IF(TICKETNO&lt;3,'Vessel Gauging Data'!E50,'Barge Gauging Data'!E50)</f>
        <v>0</v>
      </c>
      <c r="S51" s="192" t="str">
        <f>IF(TICKETNO&lt;3,IF(ISBLANK('Vessel Gauging Data'!F50),"",'Vessel Gauging Data'!F50),IF(ISBLANK('Barge Gauging Data'!F50),"",'Barge Gauging Data'!F50))</f>
        <v/>
      </c>
      <c r="T51" s="192">
        <f>IF(TICKETNO&lt;3,'Vessel Gauging Data'!L50,'Barge Gauging Data'!L50)</f>
        <v>0</v>
      </c>
      <c r="U51" s="192">
        <f>IF(TICKETNO=1,'Vessel Gauging Data'!G50,IF(TICKETNO=2,'Vessel Gauging Data'!O50,IF(TICKETNO=3,'Barge Gauging Data'!G50,'Barge Gauging Data'!O50)))</f>
        <v>0</v>
      </c>
      <c r="V51" s="192" t="str">
        <f>IF(TICKETNO=1,IF(ISBLANK('Vessel Gauging Data'!H50),"",'Vessel Gauging Data'!H50),IF(TICKETNO=2,IF(ISBLANK('Vessel Gauging Data'!P50),"",'Vessel Gauging Data'!P50),IF(TICKETNO=3,IF(ISBLANK('Barge Gauging Data'!H50),"",'Barge Gauging Data'!H50),IF(ISBLANK('Barge Gauging Data'!P50),"",'Barge Gauging Data'!P50))))</f>
        <v/>
      </c>
      <c r="W51" s="192" t="str">
        <f>IF(TICKETNO=1,IF(ISBLANK('Vessel Gauging Data'!K50),"",'Vessel Gauging Data'!K50),IF(TICKETNO=2,IF(ISBLANK('Vessel Gauging Data'!S50),"",'Vessel Gauging Data'!S50),IF(TICKETNO=3,IF(ISBLANK('Barge Gauging Data'!K50),"",'Barge Gauging Data'!K50),IF(ISBLANK('Barge Gauging Data'!S50),"",'Barge Gauging Data'!S50))))</f>
        <v/>
      </c>
      <c r="X51" s="192" t="str">
        <f>IF(TICKETNO=1,IF(ISBLANK('Vessel Gauging Data'!M50),"",'Vessel Gauging Data'!M50),IF(TICKETNO=2,IF(ISBLANK('Vessel Gauging Data'!U50),"",'Vessel Gauging Data'!U50),IF(TICKETNO=3,IF(ISBLANK('Barge Gauging Data'!M50),"",'Barge Gauging Data'!M50),IF(ISBLANK('Barge Gauging Data'!U50),"",'Barge Gauging Data'!U50))))</f>
        <v/>
      </c>
    </row>
    <row r="52" spans="1:24">
      <c r="A52" s="1308" t="s">
        <v>284</v>
      </c>
      <c r="B52" s="587" t="str">
        <f t="shared" si="10"/>
        <v/>
      </c>
      <c r="C52" s="588" t="str">
        <f t="shared" si="5"/>
        <v/>
      </c>
      <c r="D52" s="589" t="str">
        <f t="shared" si="6"/>
        <v/>
      </c>
      <c r="E52" s="1011" t="str">
        <f t="shared" si="7"/>
        <v/>
      </c>
      <c r="F52" s="1011" t="str">
        <f t="shared" si="11"/>
        <v/>
      </c>
      <c r="G52" s="1411" t="str">
        <f t="shared" si="8"/>
        <v/>
      </c>
      <c r="H52" s="590" t="str">
        <f t="shared" si="9"/>
        <v/>
      </c>
      <c r="I52" s="1014" t="str">
        <f t="shared" si="12"/>
        <v/>
      </c>
      <c r="J52" s="591" t="str">
        <f t="shared" si="13"/>
        <v/>
      </c>
      <c r="K52" s="592" t="str">
        <f t="shared" si="14"/>
        <v/>
      </c>
      <c r="O52" s="192">
        <f>IF(TICKETNO&lt;3,'Vessel Gauging Data'!B51,'Barge Gauging Data'!B51)</f>
        <v>0</v>
      </c>
      <c r="P52" s="192">
        <f>IF(TICKETNO&lt;3,'Vessel Gauging Data'!C51,'Barge Gauging Data'!C51)</f>
        <v>0</v>
      </c>
      <c r="Q52" s="192">
        <f>IF(TICKETNO&lt;3,'Vessel Gauging Data'!D51,'Barge Gauging Data'!D51)</f>
        <v>0</v>
      </c>
      <c r="R52" s="192">
        <f>IF(TICKETNO&lt;3,'Vessel Gauging Data'!E51,'Barge Gauging Data'!E51)</f>
        <v>0</v>
      </c>
      <c r="S52" s="192" t="str">
        <f>IF(TICKETNO&lt;3,IF(ISBLANK('Vessel Gauging Data'!F51),"",'Vessel Gauging Data'!F51),IF(ISBLANK('Barge Gauging Data'!F51),"",'Barge Gauging Data'!F51))</f>
        <v/>
      </c>
      <c r="T52" s="192">
        <f>IF(TICKETNO&lt;3,'Vessel Gauging Data'!L51,'Barge Gauging Data'!L51)</f>
        <v>0</v>
      </c>
      <c r="U52" s="192">
        <f>IF(TICKETNO=1,'Vessel Gauging Data'!G51,IF(TICKETNO=2,'Vessel Gauging Data'!O51,IF(TICKETNO=3,'Barge Gauging Data'!G51,'Barge Gauging Data'!O51)))</f>
        <v>0</v>
      </c>
      <c r="V52" s="192" t="str">
        <f>IF(TICKETNO=1,IF(ISBLANK('Vessel Gauging Data'!H51),"",'Vessel Gauging Data'!H51),IF(TICKETNO=2,IF(ISBLANK('Vessel Gauging Data'!P51),"",'Vessel Gauging Data'!P51),IF(TICKETNO=3,IF(ISBLANK('Barge Gauging Data'!H51),"",'Barge Gauging Data'!H51),IF(ISBLANK('Barge Gauging Data'!P51),"",'Barge Gauging Data'!P51))))</f>
        <v/>
      </c>
      <c r="W52" s="192" t="str">
        <f>IF(TICKETNO=1,IF(ISBLANK('Vessel Gauging Data'!K51),"",'Vessel Gauging Data'!K51),IF(TICKETNO=2,IF(ISBLANK('Vessel Gauging Data'!S51),"",'Vessel Gauging Data'!S51),IF(TICKETNO=3,IF(ISBLANK('Barge Gauging Data'!K51),"",'Barge Gauging Data'!K51),IF(ISBLANK('Barge Gauging Data'!S51),"",'Barge Gauging Data'!S51))))</f>
        <v/>
      </c>
      <c r="X52" s="192" t="str">
        <f>IF(TICKETNO=1,IF(ISBLANK('Vessel Gauging Data'!M51),"",'Vessel Gauging Data'!M51),IF(TICKETNO=2,IF(ISBLANK('Vessel Gauging Data'!U51),"",'Vessel Gauging Data'!U51),IF(TICKETNO=3,IF(ISBLANK('Barge Gauging Data'!M51),"",'Barge Gauging Data'!M51),IF(ISBLANK('Barge Gauging Data'!U51),"",'Barge Gauging Data'!U51))))</f>
        <v/>
      </c>
    </row>
    <row r="53" spans="1:24">
      <c r="A53" s="1308" t="s">
        <v>284</v>
      </c>
      <c r="B53" s="587" t="str">
        <f t="shared" si="10"/>
        <v/>
      </c>
      <c r="C53" s="588" t="str">
        <f t="shared" si="5"/>
        <v/>
      </c>
      <c r="D53" s="589" t="str">
        <f t="shared" si="6"/>
        <v/>
      </c>
      <c r="E53" s="1011" t="str">
        <f t="shared" si="7"/>
        <v/>
      </c>
      <c r="F53" s="1011" t="str">
        <f t="shared" si="11"/>
        <v/>
      </c>
      <c r="G53" s="1411" t="str">
        <f t="shared" si="8"/>
        <v/>
      </c>
      <c r="H53" s="590" t="str">
        <f t="shared" si="9"/>
        <v/>
      </c>
      <c r="I53" s="1014" t="str">
        <f t="shared" si="12"/>
        <v/>
      </c>
      <c r="J53" s="591" t="str">
        <f t="shared" si="13"/>
        <v/>
      </c>
      <c r="K53" s="592" t="str">
        <f t="shared" si="14"/>
        <v/>
      </c>
      <c r="O53" s="192">
        <f>IF(TICKETNO&lt;3,'Vessel Gauging Data'!B52,'Barge Gauging Data'!B52)</f>
        <v>0</v>
      </c>
      <c r="P53" s="192">
        <f>IF(TICKETNO&lt;3,'Vessel Gauging Data'!C52,'Barge Gauging Data'!C52)</f>
        <v>0</v>
      </c>
      <c r="Q53" s="192">
        <f>IF(TICKETNO&lt;3,'Vessel Gauging Data'!D52,'Barge Gauging Data'!D52)</f>
        <v>0</v>
      </c>
      <c r="R53" s="192">
        <f>IF(TICKETNO&lt;3,'Vessel Gauging Data'!E52,'Barge Gauging Data'!E52)</f>
        <v>0</v>
      </c>
      <c r="S53" s="192" t="str">
        <f>IF(TICKETNO&lt;3,IF(ISBLANK('Vessel Gauging Data'!F52),"",'Vessel Gauging Data'!F52),IF(ISBLANK('Barge Gauging Data'!F52),"",'Barge Gauging Data'!F52))</f>
        <v/>
      </c>
      <c r="T53" s="192">
        <f>IF(TICKETNO&lt;3,'Vessel Gauging Data'!L52,'Barge Gauging Data'!L52)</f>
        <v>0</v>
      </c>
      <c r="U53" s="192">
        <f>IF(TICKETNO=1,'Vessel Gauging Data'!G52,IF(TICKETNO=2,'Vessel Gauging Data'!O52,IF(TICKETNO=3,'Barge Gauging Data'!G52,'Barge Gauging Data'!O52)))</f>
        <v>0</v>
      </c>
      <c r="V53" s="192" t="str">
        <f>IF(TICKETNO=1,IF(ISBLANK('Vessel Gauging Data'!H52),"",'Vessel Gauging Data'!H52),IF(TICKETNO=2,IF(ISBLANK('Vessel Gauging Data'!P52),"",'Vessel Gauging Data'!P52),IF(TICKETNO=3,IF(ISBLANK('Barge Gauging Data'!H52),"",'Barge Gauging Data'!H52),IF(ISBLANK('Barge Gauging Data'!P52),"",'Barge Gauging Data'!P52))))</f>
        <v/>
      </c>
      <c r="W53" s="192" t="str">
        <f>IF(TICKETNO=1,IF(ISBLANK('Vessel Gauging Data'!K52),"",'Vessel Gauging Data'!K52),IF(TICKETNO=2,IF(ISBLANK('Vessel Gauging Data'!S52),"",'Vessel Gauging Data'!S52),IF(TICKETNO=3,IF(ISBLANK('Barge Gauging Data'!K52),"",'Barge Gauging Data'!K52),IF(ISBLANK('Barge Gauging Data'!S52),"",'Barge Gauging Data'!S52))))</f>
        <v/>
      </c>
      <c r="X53" s="192" t="str">
        <f>IF(TICKETNO=1,IF(ISBLANK('Vessel Gauging Data'!M52),"",'Vessel Gauging Data'!M52),IF(TICKETNO=2,IF(ISBLANK('Vessel Gauging Data'!U52),"",'Vessel Gauging Data'!U52),IF(TICKETNO=3,IF(ISBLANK('Barge Gauging Data'!M52),"",'Barge Gauging Data'!M52),IF(ISBLANK('Barge Gauging Data'!U52),"",'Barge Gauging Data'!U52))))</f>
        <v/>
      </c>
    </row>
    <row r="54" spans="1:24">
      <c r="A54" s="1308" t="s">
        <v>284</v>
      </c>
      <c r="B54" s="587" t="str">
        <f t="shared" si="10"/>
        <v/>
      </c>
      <c r="C54" s="588" t="str">
        <f t="shared" si="5"/>
        <v/>
      </c>
      <c r="D54" s="589" t="str">
        <f t="shared" si="6"/>
        <v/>
      </c>
      <c r="E54" s="1011" t="str">
        <f t="shared" si="7"/>
        <v/>
      </c>
      <c r="F54" s="1011" t="str">
        <f t="shared" si="11"/>
        <v/>
      </c>
      <c r="G54" s="1411" t="str">
        <f t="shared" si="8"/>
        <v/>
      </c>
      <c r="H54" s="590" t="str">
        <f t="shared" si="9"/>
        <v/>
      </c>
      <c r="I54" s="1014" t="str">
        <f t="shared" si="12"/>
        <v/>
      </c>
      <c r="J54" s="591" t="str">
        <f t="shared" si="13"/>
        <v/>
      </c>
      <c r="K54" s="592" t="str">
        <f t="shared" si="14"/>
        <v/>
      </c>
      <c r="O54" s="192">
        <f>IF(TICKETNO&lt;3,'Vessel Gauging Data'!B53,'Barge Gauging Data'!B53)</f>
        <v>0</v>
      </c>
      <c r="P54" s="192">
        <f>IF(TICKETNO&lt;3,'Vessel Gauging Data'!C53,'Barge Gauging Data'!C53)</f>
        <v>0</v>
      </c>
      <c r="Q54" s="192">
        <f>IF(TICKETNO&lt;3,'Vessel Gauging Data'!D53,'Barge Gauging Data'!D53)</f>
        <v>0</v>
      </c>
      <c r="R54" s="192">
        <f>IF(TICKETNO&lt;3,'Vessel Gauging Data'!E53,'Barge Gauging Data'!E53)</f>
        <v>0</v>
      </c>
      <c r="S54" s="192" t="str">
        <f>IF(TICKETNO&lt;3,IF(ISBLANK('Vessel Gauging Data'!F53),"",'Vessel Gauging Data'!F53),IF(ISBLANK('Barge Gauging Data'!F53),"",'Barge Gauging Data'!F53))</f>
        <v/>
      </c>
      <c r="T54" s="192">
        <f>IF(TICKETNO&lt;3,'Vessel Gauging Data'!L53,'Barge Gauging Data'!L53)</f>
        <v>0</v>
      </c>
      <c r="U54" s="192">
        <f>IF(TICKETNO=1,'Vessel Gauging Data'!G53,IF(TICKETNO=2,'Vessel Gauging Data'!O53,IF(TICKETNO=3,'Barge Gauging Data'!G53,'Barge Gauging Data'!O53)))</f>
        <v>0</v>
      </c>
      <c r="V54" s="192" t="str">
        <f>IF(TICKETNO=1,IF(ISBLANK('Vessel Gauging Data'!H53),"",'Vessel Gauging Data'!H53),IF(TICKETNO=2,IF(ISBLANK('Vessel Gauging Data'!P53),"",'Vessel Gauging Data'!P53),IF(TICKETNO=3,IF(ISBLANK('Barge Gauging Data'!H53),"",'Barge Gauging Data'!H53),IF(ISBLANK('Barge Gauging Data'!P53),"",'Barge Gauging Data'!P53))))</f>
        <v/>
      </c>
      <c r="W54" s="192" t="str">
        <f>IF(TICKETNO=1,IF(ISBLANK('Vessel Gauging Data'!K53),"",'Vessel Gauging Data'!K53),IF(TICKETNO=2,IF(ISBLANK('Vessel Gauging Data'!S53),"",'Vessel Gauging Data'!S53),IF(TICKETNO=3,IF(ISBLANK('Barge Gauging Data'!K53),"",'Barge Gauging Data'!K53),IF(ISBLANK('Barge Gauging Data'!S53),"",'Barge Gauging Data'!S53))))</f>
        <v/>
      </c>
      <c r="X54" s="192" t="str">
        <f>IF(TICKETNO=1,IF(ISBLANK('Vessel Gauging Data'!M53),"",'Vessel Gauging Data'!M53),IF(TICKETNO=2,IF(ISBLANK('Vessel Gauging Data'!U53),"",'Vessel Gauging Data'!U53),IF(TICKETNO=3,IF(ISBLANK('Barge Gauging Data'!M53),"",'Barge Gauging Data'!M53),IF(ISBLANK('Barge Gauging Data'!U53),"",'Barge Gauging Data'!U53))))</f>
        <v/>
      </c>
    </row>
    <row r="55" spans="1:24">
      <c r="A55" s="1308" t="s">
        <v>284</v>
      </c>
      <c r="B55" s="587" t="str">
        <f t="shared" si="10"/>
        <v/>
      </c>
      <c r="C55" s="588" t="str">
        <f t="shared" si="5"/>
        <v/>
      </c>
      <c r="D55" s="589" t="str">
        <f t="shared" si="6"/>
        <v/>
      </c>
      <c r="E55" s="1011" t="str">
        <f t="shared" si="7"/>
        <v/>
      </c>
      <c r="F55" s="1011" t="str">
        <f t="shared" si="11"/>
        <v/>
      </c>
      <c r="G55" s="1411" t="str">
        <f t="shared" si="8"/>
        <v/>
      </c>
      <c r="H55" s="590" t="str">
        <f t="shared" si="9"/>
        <v/>
      </c>
      <c r="I55" s="1014" t="str">
        <f t="shared" si="12"/>
        <v/>
      </c>
      <c r="J55" s="591" t="str">
        <f t="shared" si="13"/>
        <v/>
      </c>
      <c r="K55" s="592" t="str">
        <f t="shared" si="14"/>
        <v/>
      </c>
      <c r="O55" s="192">
        <f>IF(TICKETNO&lt;3,'Vessel Gauging Data'!B54,'Barge Gauging Data'!B54)</f>
        <v>0</v>
      </c>
      <c r="P55" s="192">
        <f>IF(TICKETNO&lt;3,'Vessel Gauging Data'!C54,'Barge Gauging Data'!C54)</f>
        <v>0</v>
      </c>
      <c r="Q55" s="192">
        <f>IF(TICKETNO&lt;3,'Vessel Gauging Data'!D54,'Barge Gauging Data'!D54)</f>
        <v>0</v>
      </c>
      <c r="R55" s="192">
        <f>IF(TICKETNO&lt;3,'Vessel Gauging Data'!E54,'Barge Gauging Data'!E54)</f>
        <v>0</v>
      </c>
      <c r="S55" s="192" t="str">
        <f>IF(TICKETNO&lt;3,IF(ISBLANK('Vessel Gauging Data'!F54),"",'Vessel Gauging Data'!F54),IF(ISBLANK('Barge Gauging Data'!F54),"",'Barge Gauging Data'!F54))</f>
        <v/>
      </c>
      <c r="T55" s="192">
        <f>IF(TICKETNO&lt;3,'Vessel Gauging Data'!L54,'Barge Gauging Data'!L54)</f>
        <v>0</v>
      </c>
      <c r="U55" s="192">
        <f>IF(TICKETNO=1,'Vessel Gauging Data'!G54,IF(TICKETNO=2,'Vessel Gauging Data'!O54,IF(TICKETNO=3,'Barge Gauging Data'!G54,'Barge Gauging Data'!O54)))</f>
        <v>0</v>
      </c>
      <c r="V55" s="192" t="str">
        <f>IF(TICKETNO=1,IF(ISBLANK('Vessel Gauging Data'!H54),"",'Vessel Gauging Data'!H54),IF(TICKETNO=2,IF(ISBLANK('Vessel Gauging Data'!P54),"",'Vessel Gauging Data'!P54),IF(TICKETNO=3,IF(ISBLANK('Barge Gauging Data'!H54),"",'Barge Gauging Data'!H54),IF(ISBLANK('Barge Gauging Data'!P54),"",'Barge Gauging Data'!P54))))</f>
        <v/>
      </c>
      <c r="W55" s="192" t="str">
        <f>IF(TICKETNO=1,IF(ISBLANK('Vessel Gauging Data'!K54),"",'Vessel Gauging Data'!K54),IF(TICKETNO=2,IF(ISBLANK('Vessel Gauging Data'!S54),"",'Vessel Gauging Data'!S54),IF(TICKETNO=3,IF(ISBLANK('Barge Gauging Data'!K54),"",'Barge Gauging Data'!K54),IF(ISBLANK('Barge Gauging Data'!S54),"",'Barge Gauging Data'!S54))))</f>
        <v/>
      </c>
      <c r="X55" s="192" t="str">
        <f>IF(TICKETNO=1,IF(ISBLANK('Vessel Gauging Data'!M54),"",'Vessel Gauging Data'!M54),IF(TICKETNO=2,IF(ISBLANK('Vessel Gauging Data'!U54),"",'Vessel Gauging Data'!U54),IF(TICKETNO=3,IF(ISBLANK('Barge Gauging Data'!M54),"",'Barge Gauging Data'!M54),IF(ISBLANK('Barge Gauging Data'!U54),"",'Barge Gauging Data'!U54))))</f>
        <v/>
      </c>
    </row>
    <row r="56" spans="1:24">
      <c r="A56" s="1308" t="s">
        <v>284</v>
      </c>
      <c r="B56" s="587" t="str">
        <f t="shared" si="10"/>
        <v/>
      </c>
      <c r="C56" s="588" t="str">
        <f t="shared" si="5"/>
        <v/>
      </c>
      <c r="D56" s="589" t="str">
        <f t="shared" si="6"/>
        <v/>
      </c>
      <c r="E56" s="1011" t="str">
        <f t="shared" si="7"/>
        <v/>
      </c>
      <c r="F56" s="1011" t="str">
        <f t="shared" si="11"/>
        <v/>
      </c>
      <c r="G56" s="1411" t="str">
        <f t="shared" si="8"/>
        <v/>
      </c>
      <c r="H56" s="590" t="str">
        <f t="shared" si="9"/>
        <v/>
      </c>
      <c r="I56" s="1014" t="str">
        <f t="shared" si="12"/>
        <v/>
      </c>
      <c r="J56" s="591" t="str">
        <f t="shared" si="13"/>
        <v/>
      </c>
      <c r="K56" s="592" t="str">
        <f t="shared" si="14"/>
        <v/>
      </c>
      <c r="O56" s="192">
        <f>IF(TICKETNO&lt;3,'Vessel Gauging Data'!B55,'Barge Gauging Data'!B55)</f>
        <v>0</v>
      </c>
      <c r="P56" s="192">
        <f>IF(TICKETNO&lt;3,'Vessel Gauging Data'!C55,'Barge Gauging Data'!C55)</f>
        <v>0</v>
      </c>
      <c r="Q56" s="192">
        <f>IF(TICKETNO&lt;3,'Vessel Gauging Data'!D55,'Barge Gauging Data'!D55)</f>
        <v>0</v>
      </c>
      <c r="R56" s="192">
        <f>IF(TICKETNO&lt;3,'Vessel Gauging Data'!E55,'Barge Gauging Data'!E55)</f>
        <v>0</v>
      </c>
      <c r="S56" s="192" t="str">
        <f>IF(TICKETNO&lt;3,IF(ISBLANK('Vessel Gauging Data'!F55),"",'Vessel Gauging Data'!F55),IF(ISBLANK('Barge Gauging Data'!F55),"",'Barge Gauging Data'!F55))</f>
        <v/>
      </c>
      <c r="T56" s="192">
        <f>IF(TICKETNO&lt;3,'Vessel Gauging Data'!L55,'Barge Gauging Data'!L55)</f>
        <v>0</v>
      </c>
      <c r="U56" s="192">
        <f>IF(TICKETNO=1,'Vessel Gauging Data'!G55,IF(TICKETNO=2,'Vessel Gauging Data'!O55,IF(TICKETNO=3,'Barge Gauging Data'!G55,'Barge Gauging Data'!O55)))</f>
        <v>0</v>
      </c>
      <c r="V56" s="192" t="str">
        <f>IF(TICKETNO=1,IF(ISBLANK('Vessel Gauging Data'!H55),"",'Vessel Gauging Data'!H55),IF(TICKETNO=2,IF(ISBLANK('Vessel Gauging Data'!P55),"",'Vessel Gauging Data'!P55),IF(TICKETNO=3,IF(ISBLANK('Barge Gauging Data'!H55),"",'Barge Gauging Data'!H55),IF(ISBLANK('Barge Gauging Data'!P55),"",'Barge Gauging Data'!P55))))</f>
        <v/>
      </c>
      <c r="W56" s="192" t="str">
        <f>IF(TICKETNO=1,IF(ISBLANK('Vessel Gauging Data'!K55),"",'Vessel Gauging Data'!K55),IF(TICKETNO=2,IF(ISBLANK('Vessel Gauging Data'!S55),"",'Vessel Gauging Data'!S55),IF(TICKETNO=3,IF(ISBLANK('Barge Gauging Data'!K55),"",'Barge Gauging Data'!K55),IF(ISBLANK('Barge Gauging Data'!S55),"",'Barge Gauging Data'!S55))))</f>
        <v/>
      </c>
      <c r="X56" s="192" t="str">
        <f>IF(TICKETNO=1,IF(ISBLANK('Vessel Gauging Data'!M55),"",'Vessel Gauging Data'!M55),IF(TICKETNO=2,IF(ISBLANK('Vessel Gauging Data'!U55),"",'Vessel Gauging Data'!U55),IF(TICKETNO=3,IF(ISBLANK('Barge Gauging Data'!M55),"",'Barge Gauging Data'!M55),IF(ISBLANK('Barge Gauging Data'!U55),"",'Barge Gauging Data'!U55))))</f>
        <v/>
      </c>
    </row>
    <row r="57" spans="1:24" ht="15.75" thickBot="1">
      <c r="A57" s="1308" t="s">
        <v>284</v>
      </c>
      <c r="B57" s="593" t="str">
        <f t="shared" si="10"/>
        <v/>
      </c>
      <c r="C57" s="594" t="str">
        <f t="shared" si="5"/>
        <v/>
      </c>
      <c r="D57" s="595" t="str">
        <f t="shared" si="6"/>
        <v/>
      </c>
      <c r="E57" s="1012" t="str">
        <f t="shared" si="7"/>
        <v/>
      </c>
      <c r="F57" s="1012" t="str">
        <f t="shared" si="11"/>
        <v/>
      </c>
      <c r="G57" s="1412" t="str">
        <f t="shared" si="8"/>
        <v/>
      </c>
      <c r="H57" s="596" t="str">
        <f t="shared" si="9"/>
        <v/>
      </c>
      <c r="I57" s="1015" t="str">
        <f t="shared" si="12"/>
        <v/>
      </c>
      <c r="J57" s="597" t="str">
        <f t="shared" si="13"/>
        <v/>
      </c>
      <c r="K57" s="598" t="str">
        <f t="shared" si="14"/>
        <v/>
      </c>
      <c r="O57" s="192">
        <f>IF(TICKETNO&lt;3,'Vessel Gauging Data'!B56,'Barge Gauging Data'!B56)</f>
        <v>0</v>
      </c>
      <c r="P57" s="192">
        <f>IF(TICKETNO&lt;3,'Vessel Gauging Data'!C56,'Barge Gauging Data'!C56)</f>
        <v>0</v>
      </c>
      <c r="Q57" s="192">
        <f>IF(TICKETNO&lt;3,'Vessel Gauging Data'!D56,'Barge Gauging Data'!D56)</f>
        <v>0</v>
      </c>
      <c r="R57" s="192">
        <f>IF(TICKETNO&lt;3,'Vessel Gauging Data'!E56,'Barge Gauging Data'!E56)</f>
        <v>0</v>
      </c>
      <c r="S57" s="192" t="str">
        <f>IF(TICKETNO&lt;3,IF(ISBLANK('Vessel Gauging Data'!F56),"",'Vessel Gauging Data'!F56),IF(ISBLANK('Barge Gauging Data'!F56),"",'Barge Gauging Data'!F56))</f>
        <v/>
      </c>
      <c r="T57" s="192">
        <f>IF(TICKETNO&lt;3,'Vessel Gauging Data'!L56,'Barge Gauging Data'!L56)</f>
        <v>0</v>
      </c>
      <c r="U57" s="192">
        <f>IF(TICKETNO=1,'Vessel Gauging Data'!G56,IF(TICKETNO=2,'Vessel Gauging Data'!O56,IF(TICKETNO=3,'Barge Gauging Data'!G56,'Barge Gauging Data'!O56)))</f>
        <v>0</v>
      </c>
      <c r="V57" s="192" t="str">
        <f>IF(TICKETNO=1,IF(ISBLANK('Vessel Gauging Data'!H56),"",'Vessel Gauging Data'!H56),IF(TICKETNO=2,IF(ISBLANK('Vessel Gauging Data'!P56),"",'Vessel Gauging Data'!P56),IF(TICKETNO=3,IF(ISBLANK('Barge Gauging Data'!H56),"",'Barge Gauging Data'!H56),IF(ISBLANK('Barge Gauging Data'!P56),"",'Barge Gauging Data'!P56))))</f>
        <v/>
      </c>
      <c r="W57" s="192" t="str">
        <f>IF(TICKETNO=1,IF(ISBLANK('Vessel Gauging Data'!K56),"",'Vessel Gauging Data'!K56),IF(TICKETNO=2,IF(ISBLANK('Vessel Gauging Data'!S56),"",'Vessel Gauging Data'!S56),IF(TICKETNO=3,IF(ISBLANK('Barge Gauging Data'!K56),"",'Barge Gauging Data'!K56),IF(ISBLANK('Barge Gauging Data'!S56),"",'Barge Gauging Data'!S56))))</f>
        <v/>
      </c>
      <c r="X57" s="192" t="str">
        <f>IF(TICKETNO=1,IF(ISBLANK('Vessel Gauging Data'!M56),"",'Vessel Gauging Data'!M56),IF(TICKETNO=2,IF(ISBLANK('Vessel Gauging Data'!U56),"",'Vessel Gauging Data'!U56),IF(TICKETNO=3,IF(ISBLANK('Barge Gauging Data'!M56),"",'Barge Gauging Data'!M56),IF(ISBLANK('Barge Gauging Data'!U56),"",'Barge Gauging Data'!U56))))</f>
        <v/>
      </c>
    </row>
    <row r="58" spans="1:24" ht="15.75" hidden="1" thickTop="1">
      <c r="A58" s="1308" t="str">
        <f>A59</f>
        <v>Y</v>
      </c>
    </row>
    <row r="59" spans="1:24" ht="15.75" hidden="1" thickTop="1">
      <c r="A59" s="1296" t="str">
        <f>IF(COUNTIF(A60:A65,"Y")&gt;0,"Y","N")</f>
        <v>Y</v>
      </c>
      <c r="B59" s="640" t="s">
        <v>1175</v>
      </c>
      <c r="C59" s="1290" t="s">
        <v>764</v>
      </c>
      <c r="D59" s="1290" t="s">
        <v>1176</v>
      </c>
      <c r="E59" s="1290" t="s">
        <v>1177</v>
      </c>
      <c r="F59" s="1290" t="s">
        <v>793</v>
      </c>
      <c r="G59" s="1290" t="s">
        <v>798</v>
      </c>
    </row>
    <row r="60" spans="1:24" ht="15.75" hidden="1" thickTop="1">
      <c r="A60" s="1296" t="str">
        <f t="shared" ref="A60:A65" si="15">IF(OR(C60="",SURVEYMODE=3,GRADESQTY&lt;2),"N","Y")</f>
        <v>N</v>
      </c>
      <c r="C60" s="1292" t="str">
        <f>IF(TICKETCH&lt;3,'Vessel Gauging Data'!G60,'Barge Gauging Data'!G60)</f>
        <v/>
      </c>
      <c r="D60" s="1289">
        <f>IF(TICKETCH=1,'Vessel Gauging Data'!H60,IF(TICKETCH=2,'Vessel Gauging Data'!P60,IF(TICKETCH=3,'Barge Gauging Data'!H60,'Barge Gauging Data'!P60)))</f>
        <v>3.5</v>
      </c>
      <c r="E60" s="1289">
        <f>IF(TICKETCH=1,'Vessel Gauging Data'!I60,IF(TICKETCH=2,'Vessel Gauging Data'!Q60,IF(TICKETCH=3,'Barge Gauging Data'!I60,'Barge Gauging Data'!Q60)))</f>
        <v>4.5</v>
      </c>
      <c r="F60" s="1289">
        <f>IF(TICKETCH=1,'Vessel Gauging Data'!J60,IF(TICKETCH=2,'Vessel Gauging Data'!R60,IF(TICKETCH=3,'Barge Gauging Data'!J60,'Barge Gauging Data'!R60)))</f>
        <v>1</v>
      </c>
      <c r="G60" s="1295">
        <f>IF(TICKETCH=1,'Vessel Gauging Data'!K60,IF(TICKETCH=2,'Vessel Gauging Data'!S60,IF(TICKETCH=3,'Barge Gauging Data'!K60,'Barge Gauging Data'!S60)))</f>
        <v>0</v>
      </c>
    </row>
    <row r="61" spans="1:24" ht="15.75" hidden="1" thickTop="1">
      <c r="A61" s="1296" t="str">
        <f t="shared" si="15"/>
        <v>Y</v>
      </c>
      <c r="C61" s="1292" t="str">
        <f>IF(TICKETCH&lt;3,'Vessel Gauging Data'!G61,'Barge Gauging Data'!G61)</f>
        <v xml:space="preserve">LSFO: </v>
      </c>
      <c r="D61" s="1289">
        <f>IF(TICKETCH=1,'Vessel Gauging Data'!H61,IF(TICKETCH=2,'Vessel Gauging Data'!P61,IF(TICKETCH=3,'Barge Gauging Data'!H61,'Barge Gauging Data'!P61)))</f>
        <v>0</v>
      </c>
      <c r="E61" s="1289">
        <f>IF(TICKETCH=1,'Vessel Gauging Data'!I61,IF(TICKETCH=2,'Vessel Gauging Data'!Q61,IF(TICKETCH=3,'Barge Gauging Data'!I61,'Barge Gauging Data'!Q61)))</f>
        <v>0</v>
      </c>
      <c r="F61" s="1289" t="str">
        <f>IF(TICKETCH=1,'Vessel Gauging Data'!J61,IF(TICKETCH=2,'Vessel Gauging Data'!R61,IF(TICKETCH=3,'Barge Gauging Data'!J61,'Barge Gauging Data'!R61)))</f>
        <v/>
      </c>
      <c r="G61" s="1295">
        <f>IF(TICKETCH=1,'Vessel Gauging Data'!K61,IF(TICKETCH=2,'Vessel Gauging Data'!S61,IF(TICKETCH=3,'Barge Gauging Data'!K61,'Barge Gauging Data'!S61)))</f>
        <v>0</v>
      </c>
    </row>
    <row r="62" spans="1:24" ht="15.75" hidden="1" thickTop="1">
      <c r="A62" s="1296" t="str">
        <f t="shared" si="15"/>
        <v>N</v>
      </c>
      <c r="C62" s="1292" t="str">
        <f>IF(TICKETCH&lt;3,'Vessel Gauging Data'!G62,'Barge Gauging Data'!G62)</f>
        <v/>
      </c>
      <c r="D62" s="1289">
        <f>IF(TICKETCH=1,'Vessel Gauging Data'!H62,IF(TICKETCH=2,'Vessel Gauging Data'!P62,IF(TICKETCH=3,'Barge Gauging Data'!H62,'Barge Gauging Data'!P62)))</f>
        <v>0</v>
      </c>
      <c r="E62" s="1289">
        <f>IF(TICKETCH=1,'Vessel Gauging Data'!I62,IF(TICKETCH=2,'Vessel Gauging Data'!Q62,IF(TICKETCH=3,'Barge Gauging Data'!I62,'Barge Gauging Data'!Q62)))</f>
        <v>0</v>
      </c>
      <c r="F62" s="1289" t="str">
        <f>IF(TICKETCH=1,'Vessel Gauging Data'!J62,IF(TICKETCH=2,'Vessel Gauging Data'!R62,IF(TICKETCH=3,'Barge Gauging Data'!J62,'Barge Gauging Data'!R62)))</f>
        <v/>
      </c>
      <c r="G62" s="1295">
        <f>IF(TICKETCH=1,'Vessel Gauging Data'!K62,IF(TICKETCH=2,'Vessel Gauging Data'!S62,IF(TICKETCH=3,'Barge Gauging Data'!K62,'Barge Gauging Data'!S62)))</f>
        <v>0</v>
      </c>
    </row>
    <row r="63" spans="1:24" ht="15.75" hidden="1" thickTop="1">
      <c r="A63" s="1296" t="str">
        <f t="shared" si="15"/>
        <v>N</v>
      </c>
      <c r="C63" s="1292" t="str">
        <f>IF(TICKETCH&lt;3,'Vessel Gauging Data'!G63,'Barge Gauging Data'!G63)</f>
        <v/>
      </c>
      <c r="D63" s="1289">
        <f>IF(TICKETCH=1,'Vessel Gauging Data'!H63,IF(TICKETCH=2,'Vessel Gauging Data'!P63,IF(TICKETCH=3,'Barge Gauging Data'!H63,'Barge Gauging Data'!P63)))</f>
        <v>0</v>
      </c>
      <c r="E63" s="1289">
        <f>IF(TICKETCH=1,'Vessel Gauging Data'!I63,IF(TICKETCH=2,'Vessel Gauging Data'!Q63,IF(TICKETCH=3,'Barge Gauging Data'!I63,'Barge Gauging Data'!Q63)))</f>
        <v>0</v>
      </c>
      <c r="F63" s="1289" t="str">
        <f>IF(TICKETCH=1,'Vessel Gauging Data'!J63,IF(TICKETCH=2,'Vessel Gauging Data'!R63,IF(TICKETCH=3,'Barge Gauging Data'!J63,'Barge Gauging Data'!R63)))</f>
        <v/>
      </c>
      <c r="G63" s="1295">
        <f>IF(TICKETCH=1,'Vessel Gauging Data'!K63,IF(TICKETCH=2,'Vessel Gauging Data'!S63,IF(TICKETCH=3,'Barge Gauging Data'!K63,'Barge Gauging Data'!S63)))</f>
        <v>0</v>
      </c>
    </row>
    <row r="64" spans="1:24" ht="15.75" hidden="1" thickTop="1">
      <c r="A64" s="1296" t="str">
        <f t="shared" si="15"/>
        <v>N</v>
      </c>
      <c r="C64" s="1292" t="str">
        <f>IF(TICKETCH&lt;3,'Vessel Gauging Data'!G64,'Barge Gauging Data'!G64)</f>
        <v/>
      </c>
      <c r="D64" s="1289">
        <f>IF(TICKETCH=1,'Vessel Gauging Data'!H64,IF(TICKETCH=2,'Vessel Gauging Data'!P64,IF(TICKETCH=3,'Barge Gauging Data'!H64,'Barge Gauging Data'!P64)))</f>
        <v>0</v>
      </c>
      <c r="E64" s="1289">
        <f>IF(TICKETCH=1,'Vessel Gauging Data'!I64,IF(TICKETCH=2,'Vessel Gauging Data'!Q64,IF(TICKETCH=3,'Barge Gauging Data'!I64,'Barge Gauging Data'!Q64)))</f>
        <v>0</v>
      </c>
      <c r="F64" s="1289" t="str">
        <f>IF(TICKETCH=1,'Vessel Gauging Data'!J64,IF(TICKETCH=2,'Vessel Gauging Data'!R64,IF(TICKETCH=3,'Barge Gauging Data'!J64,'Barge Gauging Data'!R64)))</f>
        <v/>
      </c>
      <c r="G64" s="1295">
        <f>IF(TICKETCH=1,'Vessel Gauging Data'!K64,IF(TICKETCH=2,'Vessel Gauging Data'!S64,IF(TICKETCH=3,'Barge Gauging Data'!K64,'Barge Gauging Data'!S64)))</f>
        <v>0</v>
      </c>
    </row>
    <row r="65" spans="1:12" ht="15.75" hidden="1" thickTop="1">
      <c r="A65" s="1296" t="str">
        <f t="shared" si="15"/>
        <v>Y</v>
      </c>
      <c r="C65" s="1292" t="str">
        <f>IF(TICKETCH&lt;3,'Vessel Gauging Data'!G65,'Barge Gauging Data'!G65)</f>
        <v xml:space="preserve">LSMGO: </v>
      </c>
      <c r="D65" s="1289">
        <f>IF(TICKETCH=1,'Vessel Gauging Data'!H65,IF(TICKETCH=2,'Vessel Gauging Data'!P65,IF(TICKETCH=3,'Barge Gauging Data'!H65,'Barge Gauging Data'!P65)))</f>
        <v>3.5</v>
      </c>
      <c r="E65" s="1289">
        <f>IF(TICKETCH=1,'Vessel Gauging Data'!I65,IF(TICKETCH=2,'Vessel Gauging Data'!Q65,IF(TICKETCH=3,'Barge Gauging Data'!I65,'Barge Gauging Data'!Q65)))</f>
        <v>4.5</v>
      </c>
      <c r="F65" s="1289">
        <f>IF(TICKETCH=1,'Vessel Gauging Data'!J65,IF(TICKETCH=2,'Vessel Gauging Data'!R65,IF(TICKETCH=3,'Barge Gauging Data'!J65,'Barge Gauging Data'!R65)))</f>
        <v>1</v>
      </c>
      <c r="G65" s="1295">
        <f>IF(TICKETCH=1,'Vessel Gauging Data'!K65,IF(TICKETCH=2,'Vessel Gauging Data'!S65,IF(TICKETCH=3,'Barge Gauging Data'!K65,'Barge Gauging Data'!S65)))</f>
        <v>0</v>
      </c>
    </row>
    <row r="66" spans="1:12" ht="15.75" thickTop="1">
      <c r="A66" s="1308" t="s">
        <v>284</v>
      </c>
    </row>
    <row r="67" spans="1:12" s="157" customFormat="1" ht="18.75">
      <c r="A67" s="157" t="s">
        <v>284</v>
      </c>
      <c r="B67" s="640" t="s">
        <v>179</v>
      </c>
      <c r="L67" s="317"/>
    </row>
    <row r="68" spans="1:12">
      <c r="A68" s="1308" t="s">
        <v>284</v>
      </c>
      <c r="B68" s="2370" t="s">
        <v>974</v>
      </c>
      <c r="C68" s="2371"/>
      <c r="D68" s="2371"/>
      <c r="E68" s="2371"/>
      <c r="F68" s="2371"/>
      <c r="G68" s="2371"/>
      <c r="H68" s="2371"/>
      <c r="I68" s="2371"/>
      <c r="J68" s="2371"/>
      <c r="K68" s="2372"/>
      <c r="L68" s="226"/>
    </row>
    <row r="69" spans="1:12">
      <c r="A69" s="1308" t="s">
        <v>284</v>
      </c>
      <c r="B69" s="2370" t="s">
        <v>976</v>
      </c>
      <c r="C69" s="2371"/>
      <c r="D69" s="2371"/>
      <c r="E69" s="2371"/>
      <c r="F69" s="2371"/>
      <c r="G69" s="2371"/>
      <c r="H69" s="2371"/>
      <c r="I69" s="2371"/>
      <c r="J69" s="2371"/>
      <c r="K69" s="2372"/>
      <c r="L69" s="226"/>
    </row>
    <row r="70" spans="1:12">
      <c r="A70" s="1308" t="s">
        <v>284</v>
      </c>
      <c r="B70" s="2370" t="s">
        <v>1179</v>
      </c>
      <c r="C70" s="2371"/>
      <c r="D70" s="2371"/>
      <c r="E70" s="2371"/>
      <c r="F70" s="2371"/>
      <c r="G70" s="2371"/>
      <c r="H70" s="2371"/>
      <c r="I70" s="2371"/>
      <c r="J70" s="2371"/>
      <c r="K70" s="2372"/>
      <c r="L70" s="226"/>
    </row>
    <row r="71" spans="1:12">
      <c r="A71" s="1308" t="s">
        <v>284</v>
      </c>
      <c r="B71" s="2370"/>
      <c r="C71" s="2371"/>
      <c r="D71" s="2371"/>
      <c r="E71" s="2371"/>
      <c r="F71" s="2371"/>
      <c r="G71" s="2371"/>
      <c r="H71" s="2371"/>
      <c r="I71" s="2371"/>
      <c r="J71" s="2371"/>
      <c r="K71" s="2372"/>
    </row>
    <row r="72" spans="1:12">
      <c r="A72" s="1308" t="s">
        <v>284</v>
      </c>
    </row>
    <row r="73" spans="1:12">
      <c r="A73" s="1308" t="s">
        <v>284</v>
      </c>
    </row>
    <row r="74" spans="1:12">
      <c r="A74" s="1308" t="s">
        <v>284</v>
      </c>
      <c r="B74" s="2378" t="str">
        <f>CHENG</f>
        <v>CANO ARTHUR D. CADAVOS</v>
      </c>
      <c r="C74" s="2378"/>
      <c r="D74" s="2378"/>
      <c r="F74" s="2397" t="str">
        <f>IF(TICKETNO&lt;3,"",IF(BARGESEL=1,BARGEREP,MYBARGECHIEF))</f>
        <v>TEMEL KALYONCU</v>
      </c>
      <c r="G74" s="2397"/>
      <c r="H74" s="2397"/>
      <c r="I74" s="2390" t="str">
        <f>SURVEYOR</f>
        <v>MEHMET EROĞLU</v>
      </c>
      <c r="J74" s="2390"/>
      <c r="K74" s="2390"/>
    </row>
    <row r="75" spans="1:12">
      <c r="A75" s="1308" t="s">
        <v>284</v>
      </c>
      <c r="B75" s="2396" t="s">
        <v>15</v>
      </c>
      <c r="C75" s="2396"/>
      <c r="D75" s="2396"/>
      <c r="F75" s="2396" t="str">
        <f>IF(TICKETNO&lt;3,"","Barge Representative")</f>
        <v>Barge Representative</v>
      </c>
      <c r="G75" s="2396"/>
      <c r="H75" s="2396"/>
      <c r="I75" s="2374" t="str">
        <f>"Bunker Surveyor"&amp;IF(SPORE=TRUE,", License No. "&amp;SURVLIC,"")</f>
        <v>Bunker Surveyor</v>
      </c>
      <c r="J75" s="2374"/>
      <c r="K75" s="2374"/>
    </row>
    <row r="76" spans="1:12" ht="3" customHeight="1">
      <c r="A76" s="1308" t="s">
        <v>284</v>
      </c>
    </row>
  </sheetData>
  <sheetProtection algorithmName="SHA-512" hashValue="syPBJ9320Hmad6SH8Y5tUjs4mZx13h8MKhQvtFdLb6DLaRpAZhZmPrcLtOESPN9UY+Xtr7vcS9TYmbGclmmL1A==" saltValue="BmmjgzUmBG/ZmspxkQHcMw==" spinCount="100000" sheet="1" objects="1" scenarios="1" autoFilter="0"/>
  <autoFilter ref="A26:A76" xr:uid="{00000000-0009-0000-0000-00000D000000}">
    <filterColumn colId="0">
      <filters>
        <filter val="Y"/>
      </filters>
    </filterColumn>
  </autoFilter>
  <mergeCells count="21">
    <mergeCell ref="I74:K74"/>
    <mergeCell ref="I75:K75"/>
    <mergeCell ref="B21:C21"/>
    <mergeCell ref="D21:G21"/>
    <mergeCell ref="B22:C22"/>
    <mergeCell ref="D22:G22"/>
    <mergeCell ref="B24:G24"/>
    <mergeCell ref="H24:K24"/>
    <mergeCell ref="B68:K68"/>
    <mergeCell ref="B69:K69"/>
    <mergeCell ref="B70:K70"/>
    <mergeCell ref="B71:K71"/>
    <mergeCell ref="B74:D74"/>
    <mergeCell ref="B75:D75"/>
    <mergeCell ref="F75:H75"/>
    <mergeCell ref="F74:H74"/>
    <mergeCell ref="J18:K18"/>
    <mergeCell ref="B19:C19"/>
    <mergeCell ref="D19:G19"/>
    <mergeCell ref="B20:C20"/>
    <mergeCell ref="D20:G20"/>
  </mergeCells>
  <conditionalFormatting sqref="L68:L71">
    <cfRule type="expression" dxfId="81" priority="2">
      <formula>SURVEYMODE=3</formula>
    </cfRule>
  </conditionalFormatting>
  <conditionalFormatting sqref="F75:H75">
    <cfRule type="expression" dxfId="80" priority="1">
      <formula>$F$75=""</formula>
    </cfRule>
  </conditionalFormatting>
  <dataValidations count="3">
    <dataValidation allowBlank="1" showInputMessage="1" showErrorMessage="1" prompt="When taking tank ullage leave 'Actual Height as Measured' blank." sqref="F27" xr:uid="{00000000-0002-0000-0D00-000000000000}"/>
    <dataValidation allowBlank="1" showInputMessage="1" showErrorMessage="1" prompt="Red cells indicate possible offspec fuel." sqref="G27" xr:uid="{00000000-0002-0000-0D00-000001000000}"/>
    <dataValidation type="list" errorStyle="information" allowBlank="1" showInputMessage="1" showErrorMessage="1" prompt="Choose Remarks from list or edit yours." sqref="B68:K71" xr:uid="{00000000-0002-0000-0D00-000002000000}">
      <formula1>REMCOL</formula1>
    </dataValidation>
  </dataValidations>
  <hyperlinks>
    <hyperlink ref="B67" location="REMCODE" display="Remarks:" xr:uid="{00000000-0004-0000-0D00-000000000000}"/>
    <hyperlink ref="B59" location="VSLDRAFT" display="Drafts" xr:uid="{00000000-0004-0000-0D00-000001000000}"/>
  </hyperlinks>
  <printOptions horizontalCentered="1"/>
  <pageMargins left="0.3" right="0.3" top="0.2" bottom="0.3" header="0.1" footer="0"/>
  <pageSetup scale="83" orientation="portrait" blackAndWhite="1" r:id="rId1"/>
  <headerFooter>
    <oddFooter>&amp;L&amp;8BunkerManager, v1.00&amp;C&amp;8AMS-Marine Software_x000D_www.ams-marine.com&amp;R&amp;8SN: 20151122-125859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0453" r:id="rId4" name="List Box 5">
              <controlPr defaultSize="0" print="0" autoLine="0" autoPict="0" macro="[0]!TICKETLIST">
                <anchor moveWithCells="1">
                  <from>
                    <xdr:col>7</xdr:col>
                    <xdr:colOff>19050</xdr:colOff>
                    <xdr:row>19</xdr:row>
                    <xdr:rowOff>28575</xdr:rowOff>
                  </from>
                  <to>
                    <xdr:col>8</xdr:col>
                    <xdr:colOff>819150</xdr:colOff>
                    <xdr:row>22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13" filterMode="1">
    <tabColor rgb="FF002060"/>
    <pageSetUpPr fitToPage="1"/>
  </sheetPr>
  <dimension ref="A1:T70"/>
  <sheetViews>
    <sheetView showGridLines="0" showRowColHeaders="0" topLeftCell="A10" zoomScaleNormal="100" zoomScaleSheetLayoutView="100" workbookViewId="0">
      <pane ySplit="3" topLeftCell="A13" activePane="bottomLeft" state="frozen"/>
      <selection pane="bottomLeft"/>
    </sheetView>
  </sheetViews>
  <sheetFormatPr defaultColWidth="0" defaultRowHeight="12.75" zeroHeight="1"/>
  <cols>
    <col min="1" max="1" width="7.375" style="160" hidden="1" customWidth="1"/>
    <col min="2" max="2" width="6.125" style="160" customWidth="1"/>
    <col min="3" max="3" width="9" style="160" customWidth="1"/>
    <col min="4" max="4" width="6.5" style="160" customWidth="1"/>
    <col min="5" max="6" width="11.25" style="160" customWidth="1"/>
    <col min="7" max="7" width="13.5" style="160" customWidth="1"/>
    <col min="8" max="8" width="16.25" style="160" customWidth="1"/>
    <col min="9" max="10" width="11.25" style="160" customWidth="1"/>
    <col min="11" max="11" width="0.375" style="160" customWidth="1"/>
    <col min="12" max="17" width="9" style="160" hidden="1" customWidth="1"/>
    <col min="18" max="20" width="11.25" style="160" hidden="1" customWidth="1"/>
    <col min="21" max="16384" width="9" style="160" hidden="1"/>
  </cols>
  <sheetData>
    <row r="1" spans="1:20" ht="11.1" hidden="1" customHeight="1">
      <c r="E1" s="168" t="str">
        <f>IF(INDEX(GRADESLIST,1,1)=0,"",INDEX(GRADESLIST,1,1))</f>
        <v>HSFO</v>
      </c>
      <c r="F1" s="169" t="str">
        <f>IF(INDEX(GRADESLIST,2,1)=0,"",INDEX(GRADESLIST,2,1))</f>
        <v>LSFO</v>
      </c>
      <c r="G1" s="169" t="str">
        <f>IF(INDEX(GRADESLIST,3,1)=0,"",INDEX(GRADESLIST,3,1))</f>
        <v>MDO</v>
      </c>
      <c r="H1" s="169" t="str">
        <f>IF(INDEX(GRADESLIST,4,1)=0,"",INDEX(GRADESLIST,4,1))</f>
        <v>LSMDO</v>
      </c>
      <c r="I1" s="169" t="str">
        <f>IF(INDEX(GRADESLIST,5,1)=0,"",INDEX(GRADESLIST,5,1))</f>
        <v>MGO</v>
      </c>
      <c r="J1" s="170" t="str">
        <f>IF(INDEX(GRADESLIST,6,1)=0,"",INDEX(GRADESLIST,6,1))</f>
        <v>LSMGO</v>
      </c>
    </row>
    <row r="2" spans="1:20"/>
    <row r="3" spans="1:20"/>
    <row r="4" spans="1:20"/>
    <row r="5" spans="1:20" ht="19.5" customHeight="1">
      <c r="J5" s="161" t="str">
        <f>COMPANY1</f>
        <v>Petro Inspect International</v>
      </c>
    </row>
    <row r="6" spans="1:20" ht="12.95" customHeight="1">
      <c r="J6" s="162" t="str">
        <f>COMPANY2</f>
        <v>ops@petro-inspect.com</v>
      </c>
    </row>
    <row r="7" spans="1:20" ht="12.95" customHeight="1">
      <c r="J7" s="162" t="str">
        <f>COMPANY3</f>
        <v/>
      </c>
    </row>
    <row r="8" spans="1:20" ht="12.95" customHeight="1">
      <c r="J8" s="162" t="str">
        <f>COMPANY4</f>
        <v/>
      </c>
    </row>
    <row r="9" spans="1:20" ht="3.75" customHeight="1" thickBot="1">
      <c r="B9" s="163"/>
      <c r="C9" s="163"/>
      <c r="D9" s="163"/>
      <c r="E9" s="164"/>
      <c r="F9" s="165"/>
      <c r="G9" s="165"/>
      <c r="H9" s="165"/>
      <c r="I9" s="165"/>
      <c r="J9" s="165"/>
    </row>
    <row r="10" spans="1:20" ht="3.75" customHeight="1">
      <c r="B10" s="166"/>
      <c r="C10" s="166"/>
      <c r="D10" s="166"/>
      <c r="E10" s="162"/>
      <c r="F10" s="167"/>
      <c r="G10" s="167"/>
      <c r="H10" s="167"/>
      <c r="I10" s="167"/>
      <c r="J10" s="167"/>
    </row>
    <row r="11" spans="1:20" ht="26.25" customHeight="1">
      <c r="A11" s="160" t="s">
        <v>284</v>
      </c>
      <c r="B11" s="541"/>
      <c r="C11" s="542"/>
      <c r="D11" s="542"/>
      <c r="E11" s="542"/>
      <c r="F11" s="542" t="s">
        <v>161</v>
      </c>
      <c r="G11" s="543"/>
      <c r="H11" s="542"/>
      <c r="I11" s="542"/>
      <c r="J11" s="544"/>
      <c r="L11" s="1028">
        <v>0</v>
      </c>
      <c r="M11" s="1025" t="s">
        <v>876</v>
      </c>
      <c r="N11" s="1025" t="s">
        <v>817</v>
      </c>
      <c r="O11" s="1025" t="s">
        <v>817</v>
      </c>
      <c r="P11" s="1025" t="s">
        <v>875</v>
      </c>
      <c r="R11" s="1218" t="s">
        <v>1088</v>
      </c>
      <c r="S11" s="1218" t="s">
        <v>1089</v>
      </c>
      <c r="T11" s="1218" t="s">
        <v>1090</v>
      </c>
    </row>
    <row r="12" spans="1:20" ht="6.75" customHeight="1">
      <c r="A12" s="933" t="s">
        <v>284</v>
      </c>
      <c r="B12" s="933"/>
      <c r="C12" s="933"/>
      <c r="D12" s="933"/>
      <c r="E12" s="933"/>
      <c r="F12" s="933"/>
      <c r="G12" s="933"/>
      <c r="H12" s="933"/>
      <c r="I12" s="933"/>
      <c r="J12" s="933"/>
      <c r="K12" s="933"/>
      <c r="M12" s="1026" t="s">
        <v>931</v>
      </c>
      <c r="N12" s="1025" t="s">
        <v>358</v>
      </c>
      <c r="O12" s="1025" t="s">
        <v>877</v>
      </c>
      <c r="P12" s="1025" t="s">
        <v>878</v>
      </c>
      <c r="R12" s="1218"/>
      <c r="S12" s="1218"/>
      <c r="T12" s="1218"/>
    </row>
    <row r="13" spans="1:20" ht="18">
      <c r="A13" s="1144" t="s">
        <v>284</v>
      </c>
      <c r="B13" s="2424" t="s">
        <v>9</v>
      </c>
      <c r="C13" s="2425"/>
      <c r="D13" s="2426"/>
      <c r="E13" s="2427" t="str">
        <f>VESSEL</f>
        <v>MV PESSADA</v>
      </c>
      <c r="F13" s="2427"/>
      <c r="G13" s="2427"/>
      <c r="H13" s="2427"/>
      <c r="I13" s="2427"/>
      <c r="J13" s="2428"/>
      <c r="M13" s="1218" t="str">
        <f>IF(E$21="","-",E$21)</f>
        <v>HSFO</v>
      </c>
      <c r="N13" s="1399">
        <f>IF(E$21="","-",E$22)</f>
        <v>0</v>
      </c>
      <c r="O13" s="1027">
        <f>IF($E29=MYBARGENAME,H32,"-")</f>
        <v>0</v>
      </c>
      <c r="P13" s="1027">
        <f>IF($E29=MYBARGENAME,G32,"-")</f>
        <v>0</v>
      </c>
      <c r="R13" s="1218">
        <f>'Cover Page'!I104</f>
        <v>0</v>
      </c>
      <c r="S13" s="1218" t="str">
        <f>IF(AND(O13=0,$R13&gt;0),", "&amp;$M13,"")</f>
        <v/>
      </c>
      <c r="T13" s="1218" t="str">
        <f>IF(AND(P13=0,$R13&gt;0),", "&amp;$M13,"")</f>
        <v/>
      </c>
    </row>
    <row r="14" spans="1:20" ht="18">
      <c r="A14" s="1144" t="s">
        <v>284</v>
      </c>
      <c r="B14" s="2431" t="s">
        <v>1296</v>
      </c>
      <c r="C14" s="2432"/>
      <c r="D14" s="2433"/>
      <c r="E14" s="2429" t="str">
        <f>CLIENT &amp;" / " &amp;REFNOCLIENT</f>
        <v xml:space="preserve"> / </v>
      </c>
      <c r="F14" s="2429"/>
      <c r="G14" s="2429"/>
      <c r="H14" s="2429"/>
      <c r="I14" s="2429"/>
      <c r="J14" s="2430"/>
      <c r="M14" s="1218" t="str">
        <f>IF(F$21="","-",F$21)</f>
        <v>LSFO</v>
      </c>
      <c r="N14" s="1399">
        <f>IF(F$21="","-",F$22)</f>
        <v>901.36</v>
      </c>
      <c r="O14" s="1027">
        <f>IF($E35=MYBARGENAME,H37,"-")</f>
        <v>250.06200000000001</v>
      </c>
      <c r="P14" s="1027">
        <f>IF($E35=MYBARGENAME,G37,"-")</f>
        <v>250.268</v>
      </c>
      <c r="R14" s="1218">
        <f>'Cover Page'!J104</f>
        <v>250</v>
      </c>
      <c r="S14" s="1218" t="str">
        <f t="shared" ref="S14:S18" si="0">IF(AND(O14=0,$R14&gt;0),", "&amp;$M14,"")</f>
        <v/>
      </c>
      <c r="T14" s="1218" t="str">
        <f t="shared" ref="T14:T18" si="1">IF(AND(P14=0,$R14&gt;0),", "&amp;$M14,"")</f>
        <v/>
      </c>
    </row>
    <row r="15" spans="1:20" ht="18">
      <c r="A15" s="1144" t="s">
        <v>284</v>
      </c>
      <c r="B15" s="2431" t="s">
        <v>316</v>
      </c>
      <c r="C15" s="2432"/>
      <c r="D15" s="2433"/>
      <c r="E15" s="2429" t="str">
        <f>REFNO</f>
        <v>PI/2022/15000/TR</v>
      </c>
      <c r="F15" s="2429"/>
      <c r="G15" s="2429"/>
      <c r="H15" s="2429"/>
      <c r="I15" s="2429"/>
      <c r="J15" s="2430"/>
      <c r="M15" s="1218" t="str">
        <f>IF(G$21="","-",G$21)</f>
        <v>MDO</v>
      </c>
      <c r="N15" s="1399">
        <f>IF(G$21="","-",G$22)</f>
        <v>0</v>
      </c>
      <c r="O15" s="1027" t="str">
        <f>IF($E40=MYBARGENAME,H42,"-")</f>
        <v>-</v>
      </c>
      <c r="P15" s="1027" t="str">
        <f>IF($E40=MYBARGENAME,G42,"-")</f>
        <v>-</v>
      </c>
      <c r="R15" s="1218">
        <f>'Cover Page'!K104</f>
        <v>0</v>
      </c>
      <c r="S15" s="1218" t="str">
        <f t="shared" si="0"/>
        <v/>
      </c>
      <c r="T15" s="1218" t="str">
        <f t="shared" si="1"/>
        <v/>
      </c>
    </row>
    <row r="16" spans="1:20" ht="18">
      <c r="A16" s="1144" t="s">
        <v>284</v>
      </c>
      <c r="B16" s="2434" t="s">
        <v>46</v>
      </c>
      <c r="C16" s="2435"/>
      <c r="D16" s="2436"/>
      <c r="E16" s="2439" t="str">
        <f>PORT</f>
        <v>ISTANBUL / TURKEY</v>
      </c>
      <c r="F16" s="2439"/>
      <c r="G16" s="2439"/>
      <c r="H16" s="2439"/>
      <c r="I16" s="2439"/>
      <c r="J16" s="2440"/>
      <c r="M16" s="1218" t="str">
        <f>IF(H$21="","-",H$21)</f>
        <v>LSMDO</v>
      </c>
      <c r="N16" s="1399">
        <f>IF(H$21="","-",H$22)</f>
        <v>0</v>
      </c>
      <c r="O16" s="1027" t="str">
        <f>IF($E45=MYBARGENAME,H47,"-")</f>
        <v>-</v>
      </c>
      <c r="P16" s="1027" t="str">
        <f>IF($E45=MYBARGENAME,G47,"-")</f>
        <v>-</v>
      </c>
      <c r="R16" s="1218">
        <f>'Cover Page'!L104</f>
        <v>0</v>
      </c>
      <c r="S16" s="1218" t="str">
        <f t="shared" si="0"/>
        <v/>
      </c>
      <c r="T16" s="1218" t="str">
        <f t="shared" si="1"/>
        <v/>
      </c>
    </row>
    <row r="17" spans="1:20" ht="18">
      <c r="A17" s="1144" t="s">
        <v>284</v>
      </c>
      <c r="B17" s="2434" t="s">
        <v>1392</v>
      </c>
      <c r="C17" s="2435"/>
      <c r="D17" s="2436"/>
      <c r="E17" s="2437">
        <f>DATESURVS</f>
        <v>44792</v>
      </c>
      <c r="F17" s="2437"/>
      <c r="G17" s="2437"/>
      <c r="H17" s="2437"/>
      <c r="I17" s="2437"/>
      <c r="J17" s="2438"/>
      <c r="M17" s="1218" t="str">
        <f>IF(I$21="","-",I$21)</f>
        <v>MGO</v>
      </c>
      <c r="N17" s="1399">
        <f>IF(I$21="","-",I$22)</f>
        <v>0</v>
      </c>
      <c r="O17" s="1027" t="str">
        <f>IF($E50=MYBARGENAME,H52,"-")</f>
        <v>-</v>
      </c>
      <c r="P17" s="1027" t="str">
        <f>IF($E50=MYBARGENAME,G52,"-")</f>
        <v>-</v>
      </c>
      <c r="R17" s="1218">
        <f>'Cover Page'!M104</f>
        <v>0</v>
      </c>
      <c r="S17" s="1218" t="str">
        <f t="shared" si="0"/>
        <v/>
      </c>
      <c r="T17" s="1218" t="str">
        <f t="shared" si="1"/>
        <v/>
      </c>
    </row>
    <row r="18" spans="1:20" ht="18">
      <c r="A18" s="1144" t="s">
        <v>284</v>
      </c>
      <c r="B18" s="2450" t="s">
        <v>1393</v>
      </c>
      <c r="C18" s="2451"/>
      <c r="D18" s="2452"/>
      <c r="E18" s="2453" t="str">
        <f>SURVEYOR&amp;" (Lic: "&amp;SURVLIC&amp;")"</f>
        <v>MEHMET EROĞLU (Lic: 09346)</v>
      </c>
      <c r="F18" s="2454"/>
      <c r="G18" s="2454"/>
      <c r="H18" s="2454"/>
      <c r="I18" s="2454"/>
      <c r="J18" s="2455"/>
      <c r="M18" s="1218" t="str">
        <f>IF(J$21="","-",J$21)</f>
        <v>LSMGO</v>
      </c>
      <c r="N18" s="1399">
        <f>IF(J$21="","-",J$22)</f>
        <v>115.51600000000001</v>
      </c>
      <c r="O18" s="1027">
        <f>IF($E55=MYBARGENAME,H57,"-")</f>
        <v>40.061999999999998</v>
      </c>
      <c r="P18" s="1027">
        <f>IF($E55=MYBARGENAME,G57,"-")</f>
        <v>40.209000000000003</v>
      </c>
      <c r="R18" s="1218">
        <f>'Cover Page'!N104</f>
        <v>40</v>
      </c>
      <c r="S18" s="1218" t="str">
        <f t="shared" si="0"/>
        <v/>
      </c>
      <c r="T18" s="1218" t="str">
        <f t="shared" si="1"/>
        <v/>
      </c>
    </row>
    <row r="19" spans="1:20">
      <c r="A19" s="937" t="str">
        <f t="shared" ref="A19:A24" si="2">IF(SURVEYMODE=2,"HIDE","Y")</f>
        <v>Y</v>
      </c>
      <c r="B19" s="937"/>
      <c r="C19" s="937"/>
      <c r="D19" s="937"/>
      <c r="E19" s="937"/>
      <c r="F19" s="937"/>
      <c r="G19" s="937"/>
      <c r="H19" s="937"/>
      <c r="I19" s="937"/>
      <c r="J19" s="937"/>
      <c r="K19" s="937"/>
      <c r="S19" s="1218">
        <f>COUNTIF(S13:S18,"&gt;""")</f>
        <v>0</v>
      </c>
      <c r="T19" s="1218">
        <f>COUNTIF(T13:T18,"&gt;""")</f>
        <v>0</v>
      </c>
    </row>
    <row r="20" spans="1:20" ht="18">
      <c r="A20" s="1144" t="str">
        <f t="shared" si="2"/>
        <v>Y</v>
      </c>
      <c r="B20" s="470"/>
      <c r="C20" s="471"/>
      <c r="D20" s="471"/>
      <c r="E20" s="471"/>
      <c r="F20" s="472" t="s">
        <v>289</v>
      </c>
      <c r="G20" s="471"/>
      <c r="H20" s="471"/>
      <c r="I20" s="471"/>
      <c r="J20" s="473"/>
      <c r="S20" s="1218" t="str">
        <f>CONCATENATE(S13,S14,S15,S16,S17,S18)</f>
        <v/>
      </c>
      <c r="T20" s="1218" t="str">
        <f>CONCATENATE(T13,T14,T15,T16,T17,T18)</f>
        <v/>
      </c>
    </row>
    <row r="21" spans="1:20" ht="15">
      <c r="A21" s="946" t="str">
        <f t="shared" si="2"/>
        <v>Y</v>
      </c>
      <c r="B21" s="2441" t="s">
        <v>313</v>
      </c>
      <c r="C21" s="2442"/>
      <c r="D21" s="2443"/>
      <c r="E21" s="168" t="str">
        <f t="shared" ref="E21:J21" si="3">E1</f>
        <v>HSFO</v>
      </c>
      <c r="F21" s="169" t="str">
        <f t="shared" si="3"/>
        <v>LSFO</v>
      </c>
      <c r="G21" s="169" t="str">
        <f t="shared" si="3"/>
        <v>MDO</v>
      </c>
      <c r="H21" s="169" t="str">
        <f t="shared" si="3"/>
        <v>LSMDO</v>
      </c>
      <c r="I21" s="169" t="str">
        <f t="shared" si="3"/>
        <v>MGO</v>
      </c>
      <c r="J21" s="170" t="str">
        <f t="shared" si="3"/>
        <v>LSMGO</v>
      </c>
      <c r="S21" s="1218" t="str">
        <f>IF(S20="","",RIGHT(S20,LEN(S20)-2))</f>
        <v/>
      </c>
      <c r="T21" s="1218" t="str">
        <f>IF(T20="","",RIGHT(T20,LEN(T20)-2))</f>
        <v/>
      </c>
    </row>
    <row r="22" spans="1:20" ht="18">
      <c r="A22" s="1144" t="str">
        <f t="shared" si="2"/>
        <v>Y</v>
      </c>
      <c r="B22" s="2447" t="s">
        <v>315</v>
      </c>
      <c r="C22" s="2448"/>
      <c r="D22" s="2449"/>
      <c r="E22" s="171">
        <f>IF(E$21="","",'Vessel ROB Certificate'!G29)</f>
        <v>0</v>
      </c>
      <c r="F22" s="172">
        <f>IF(F$21="","",'Vessel ROB Certificate'!H29)</f>
        <v>901.36</v>
      </c>
      <c r="G22" s="172">
        <f>IF(G$21="","",'Vessel ROB Certificate'!I29)</f>
        <v>0</v>
      </c>
      <c r="H22" s="172">
        <f>IF(H$21="","",'Vessel ROB Certificate'!J29)</f>
        <v>0</v>
      </c>
      <c r="I22" s="173">
        <f>IF(I$21="","",'Vessel ROB Certificate'!K29)</f>
        <v>0</v>
      </c>
      <c r="J22" s="174">
        <f>IF(J$21="","",'Vessel ROB Certificate'!L29)</f>
        <v>115.51600000000001</v>
      </c>
    </row>
    <row r="23" spans="1:20" ht="18">
      <c r="A23" s="1144" t="str">
        <f t="shared" si="2"/>
        <v>Y</v>
      </c>
      <c r="B23" s="2456" t="s">
        <v>314</v>
      </c>
      <c r="C23" s="2457"/>
      <c r="D23" s="2458"/>
      <c r="E23" s="466">
        <f>IF(E$21="","",'Vessel ROB Certificate'!G28)</f>
        <v>0</v>
      </c>
      <c r="F23" s="467">
        <f>IF(F$21="","",'Vessel ROB Certificate'!H28)</f>
        <v>902.24</v>
      </c>
      <c r="G23" s="467">
        <f>IF(G$21="","",'Vessel ROB Certificate'!I28)</f>
        <v>0</v>
      </c>
      <c r="H23" s="467">
        <f>IF(H$21="","",'Vessel ROB Certificate'!J28)</f>
        <v>0</v>
      </c>
      <c r="I23" s="468">
        <f>IF(I$21="","",'Vessel ROB Certificate'!K28)</f>
        <v>0</v>
      </c>
      <c r="J23" s="469">
        <f>IF(J$21="","",'Vessel ROB Certificate'!L28)</f>
        <v>116.086</v>
      </c>
    </row>
    <row r="24" spans="1:20" ht="18.75" customHeight="1">
      <c r="A24" s="1144" t="str">
        <f t="shared" si="2"/>
        <v>Y</v>
      </c>
      <c r="B24" s="2444" t="s">
        <v>693</v>
      </c>
      <c r="C24" s="2445"/>
      <c r="D24" s="2446"/>
      <c r="E24" s="920">
        <f t="shared" ref="E24:J24" si="4">IF(OR(E1="",E22="",E23=""),"",E22-E23)</f>
        <v>0</v>
      </c>
      <c r="F24" s="921">
        <f t="shared" si="4"/>
        <v>-0.87999999999999545</v>
      </c>
      <c r="G24" s="921">
        <f t="shared" si="4"/>
        <v>0</v>
      </c>
      <c r="H24" s="921">
        <f t="shared" si="4"/>
        <v>0</v>
      </c>
      <c r="I24" s="922">
        <f t="shared" si="4"/>
        <v>0</v>
      </c>
      <c r="J24" s="923">
        <f t="shared" si="4"/>
        <v>-0.56999999999999318</v>
      </c>
    </row>
    <row r="25" spans="1:20">
      <c r="A25" s="160" t="str">
        <f>IF(SURVEYMODE=3,"HIDE","Y")</f>
        <v>Y</v>
      </c>
      <c r="B25" s="933"/>
      <c r="C25" s="933"/>
      <c r="D25" s="933"/>
      <c r="E25" s="933"/>
      <c r="F25" s="933"/>
      <c r="G25" s="933"/>
      <c r="H25" s="933"/>
      <c r="I25" s="933"/>
      <c r="J25" s="933"/>
      <c r="K25" s="933"/>
    </row>
    <row r="26" spans="1:20" s="892" customFormat="1" ht="18">
      <c r="A26" s="1144" t="str">
        <f>IF(SURVEYMODE=3,"HIDE","Y")</f>
        <v>Y</v>
      </c>
      <c r="B26" s="470"/>
      <c r="C26" s="471"/>
      <c r="D26" s="471"/>
      <c r="E26" s="471"/>
      <c r="F26" s="472" t="s">
        <v>158</v>
      </c>
      <c r="G26" s="471"/>
      <c r="H26" s="471"/>
      <c r="I26" s="471"/>
      <c r="J26" s="473"/>
      <c r="K26" s="160"/>
      <c r="L26" s="160"/>
    </row>
    <row r="27" spans="1:20">
      <c r="A27" s="892" t="str">
        <f>IF(SURVEYMODE=3,"N",IF(BARGESEL=1,"Y",A31))</f>
        <v>Y</v>
      </c>
      <c r="B27" s="1852"/>
      <c r="C27" s="1852"/>
      <c r="D27" s="1852"/>
      <c r="E27" s="1852"/>
      <c r="F27" s="1852"/>
      <c r="G27" s="1852"/>
      <c r="H27" s="1852"/>
      <c r="I27" s="1852"/>
      <c r="J27" s="1852"/>
      <c r="K27" s="892"/>
      <c r="L27" s="892"/>
    </row>
    <row r="28" spans="1:20" ht="15">
      <c r="A28" s="946" t="str">
        <f>IF(SURVEYMODE=3,"N",IF(BARGESEL=1,"Y",A31))</f>
        <v>Y</v>
      </c>
      <c r="B28" s="2398" t="s">
        <v>1076</v>
      </c>
      <c r="C28" s="2399"/>
      <c r="D28" s="2399"/>
      <c r="E28" s="2400" t="str">
        <f>IF(BARGESEL=1,SUPPLIER,INDEX(BARGETABLE,MATCH(E29,BARGENAMES,0),5))</f>
        <v>ENERGY</v>
      </c>
      <c r="F28" s="2401"/>
      <c r="G28" s="2401"/>
      <c r="H28" s="2401"/>
      <c r="I28" s="2401"/>
      <c r="J28" s="2402"/>
    </row>
    <row r="29" spans="1:20" s="892" customFormat="1" ht="15">
      <c r="A29" s="946" t="str">
        <f>IF(SURVEYMODE=3,"N",IF(BARGESEL=1,"Y",A31))</f>
        <v>Y</v>
      </c>
      <c r="B29" s="2398" t="s">
        <v>318</v>
      </c>
      <c r="C29" s="2399"/>
      <c r="D29" s="2399"/>
      <c r="E29" s="2400" t="str">
        <f>IF(BARGESEL=1,BARGE,'Cover Page'!I$89)</f>
        <v>M/T YALÇIN 2</v>
      </c>
      <c r="F29" s="2401"/>
      <c r="G29" s="1866" t="str">
        <f>IF(H29="","","License No.:")</f>
        <v/>
      </c>
      <c r="H29" s="1853" t="str">
        <f>IF(AND(SURVEYMODE&lt;&gt;3,SPORE=TRUE),IF(BARGESEL=1,BARGELIC,INDEX(BARGETABLE,MATCH(E29,BARGENAMES,0),3)),"")</f>
        <v/>
      </c>
      <c r="I29" s="1853"/>
      <c r="J29" s="1854"/>
      <c r="K29" s="160"/>
      <c r="L29" s="160"/>
    </row>
    <row r="30" spans="1:20" hidden="1">
      <c r="A30" s="892" t="str">
        <f>IF(SURVEYMODE=3,"HIDE",IF(C31="","HIDE",IF(BARGESEL=1,"Y","HIDE")))</f>
        <v>HIDE</v>
      </c>
      <c r="B30" s="1852"/>
      <c r="C30" s="1852"/>
      <c r="D30" s="1852"/>
      <c r="E30" s="1852"/>
      <c r="F30" s="1852"/>
      <c r="G30" s="1852"/>
      <c r="H30" s="1852"/>
      <c r="I30" s="1852"/>
      <c r="J30" s="1852"/>
      <c r="K30" s="892"/>
      <c r="L30" s="892"/>
    </row>
    <row r="31" spans="1:20" ht="15">
      <c r="A31" s="946" t="str">
        <f>IF(SURVEYMODE=3,"HIDE",IF(C31="","HIDE","Y"))</f>
        <v>HIDE</v>
      </c>
      <c r="B31" s="1855" t="s">
        <v>313</v>
      </c>
      <c r="C31" s="1902" t="str">
        <f>IF(OR(SURVEYMODE=3,'Cover Page'!I$104=0),"",IF(BARGECALC=1,E$1,IF(E29=MYBARGENAME,E$1,"")))</f>
        <v/>
      </c>
      <c r="D31" s="1904" t="str">
        <f>IF(OR($C31="",'Cover Page'!$A$91&lt;&gt;"Y",FMTYPE1=0,FMTYPE1="-"),"",FMTYPE1)</f>
        <v/>
      </c>
      <c r="E31" s="1856" t="s">
        <v>1280</v>
      </c>
      <c r="F31" s="1857" t="s">
        <v>719</v>
      </c>
      <c r="G31" s="1858" t="s">
        <v>159</v>
      </c>
      <c r="H31" s="1858" t="s">
        <v>720</v>
      </c>
      <c r="I31" s="1856" t="s">
        <v>714</v>
      </c>
      <c r="J31" s="1859" t="s">
        <v>668</v>
      </c>
    </row>
    <row r="32" spans="1:20" ht="15">
      <c r="A32" s="946" t="str">
        <f>A31</f>
        <v>HIDE</v>
      </c>
      <c r="B32" s="1324">
        <v>1</v>
      </c>
      <c r="C32" s="1306"/>
      <c r="D32" s="1307" t="s">
        <v>312</v>
      </c>
      <c r="E32" s="1860" t="str">
        <f>IF(OR(C31="",'Cover Page'!I$104=0),"",'Cover Page'!I$104)</f>
        <v/>
      </c>
      <c r="F32" s="1861" t="str">
        <f>IF(OR(C31="",'Cover Page'!I$105=0),"",'Cover Page'!I$105)</f>
        <v/>
      </c>
      <c r="G32" s="1862">
        <f>IF(AND(SPORE=TRUE,'Cover Page'!I$91&lt;&gt;'Cover Page'!$AA$3,$E29=MYBARGENAME),L32,IF(AND(BARGESEL&gt;1,BARGECALC=1,$E29&lt;&gt;BARGE,$E29&lt;&gt;"",$C31&lt;&gt;""),INDEX(OUTTURNT,MATCH($E29,OUTTURNB,0),MATCH($C31,OUTTURNG,0)),IF(SPORE=TRUE,'Barge BQS Report (SS)'!O377,ROUND('Barge BQS Report'!$T42-'Barge BQS Report'!$T219,3))))</f>
        <v>0</v>
      </c>
      <c r="H32" s="1862">
        <f>IF(AND(BARGESEL&gt;1,BARGECALC=1,$E29&lt;&gt;BARGE,$E29&lt;&gt;"",$C31&lt;&gt;""),INDEX(OUTTURNT,MATCH($E29,OUTTURNB,0),MATCH($C31,OUTTURNG,0)+1),IF(SPORE=TRUE,'Vessel BQS Report (SS)'!O377,ROUND('Vessel BQS Report'!$T219-'Vessel BQS Report'!$T42,3)))</f>
        <v>0</v>
      </c>
      <c r="I32" s="1863" t="str">
        <f>IF(OR(F32="",H32=0),"",H32-F32)</f>
        <v/>
      </c>
      <c r="J32" s="1864" t="str">
        <f>IF(OR(F32="",H32=0),"",(H32-F32)*100/F32)</f>
        <v/>
      </c>
      <c r="L32" s="1218">
        <f>IF(OR('Cover Page'!I$91='Cover Page'!$AA$4,'Cover Page'!I$91='Cover Page'!$AA$5),IF($E29=MYBARGENAME,'FlowMeter (SS)'!$I$37,""),IF('Cover Page'!I$91='Cover Page'!$AA$2,"",""))</f>
        <v>1001</v>
      </c>
    </row>
    <row r="33" spans="1:12" ht="15" hidden="1">
      <c r="A33" s="946" t="str">
        <f>A36</f>
        <v>Y</v>
      </c>
      <c r="B33" s="1865"/>
      <c r="C33" s="1865"/>
      <c r="D33" s="1865"/>
      <c r="E33" s="1865"/>
      <c r="F33" s="1865"/>
      <c r="G33" s="1865"/>
      <c r="H33" s="1865"/>
      <c r="I33" s="1865"/>
      <c r="J33" s="1865"/>
    </row>
    <row r="34" spans="1:12" ht="15" hidden="1">
      <c r="A34" s="946" t="str">
        <f>IF(BARGESEL=1,"HIDE",A36)</f>
        <v>HIDE</v>
      </c>
      <c r="B34" s="2398" t="s">
        <v>1076</v>
      </c>
      <c r="C34" s="2399"/>
      <c r="D34" s="2399"/>
      <c r="E34" s="2400" t="str">
        <f>INDEX(BARGETABLE,MATCH(E35,BARGENAMES,0),5)</f>
        <v>ENERGY</v>
      </c>
      <c r="F34" s="2401"/>
      <c r="G34" s="2401"/>
      <c r="H34" s="2401"/>
      <c r="I34" s="2401"/>
      <c r="J34" s="2402"/>
    </row>
    <row r="35" spans="1:12" ht="15" hidden="1">
      <c r="A35" s="946" t="str">
        <f>IF(BARGESEL=1,"HIDE",A36)</f>
        <v>HIDE</v>
      </c>
      <c r="B35" s="2398" t="s">
        <v>318</v>
      </c>
      <c r="C35" s="2399"/>
      <c r="D35" s="2399"/>
      <c r="E35" s="2400" t="str">
        <f>'Cover Page'!J$89</f>
        <v>M/T YALÇIN 2</v>
      </c>
      <c r="F35" s="2401"/>
      <c r="G35" s="1866" t="str">
        <f>IF(H35="","","License No.:")</f>
        <v/>
      </c>
      <c r="H35" s="1853" t="str">
        <f>IF(AND(SURVEYMODE&lt;&gt;3,SPORE=TRUE),INDEX(BARGETABLE,MATCH(E35,BARGENAMES,0),3),"")</f>
        <v/>
      </c>
      <c r="I35" s="1853"/>
      <c r="J35" s="1854"/>
    </row>
    <row r="36" spans="1:12" ht="15" hidden="1">
      <c r="A36" s="946" t="str">
        <f>IF(SURVEYMODE=3,"HIDE",IF(C36="","HIDE","Y"))</f>
        <v>Y</v>
      </c>
      <c r="B36" s="1855" t="s">
        <v>313</v>
      </c>
      <c r="C36" s="1902" t="str">
        <f>IF(OR(SURVEYMODE=3,'Cover Page'!J$104=0),"",IF(BARGECALC=1,F$1,IF(E35=MYBARGENAME,F$1,"")))</f>
        <v>LSFO</v>
      </c>
      <c r="D36" s="1903" t="str">
        <f>IF(OR($C36="",'Cover Page'!$A$91&lt;&gt;"Y",FMTYPE2=0,FMTYPE2="-"),"",FMTYPE2)</f>
        <v/>
      </c>
      <c r="E36" s="1856" t="s">
        <v>1280</v>
      </c>
      <c r="F36" s="1857" t="s">
        <v>719</v>
      </c>
      <c r="G36" s="1858" t="s">
        <v>159</v>
      </c>
      <c r="H36" s="1858" t="s">
        <v>720</v>
      </c>
      <c r="I36" s="1856" t="s">
        <v>714</v>
      </c>
      <c r="J36" s="1859" t="s">
        <v>668</v>
      </c>
    </row>
    <row r="37" spans="1:12" ht="15" hidden="1">
      <c r="A37" s="946" t="str">
        <f>A36</f>
        <v>Y</v>
      </c>
      <c r="B37" s="1324">
        <v>2</v>
      </c>
      <c r="C37" s="1306"/>
      <c r="D37" s="1307" t="s">
        <v>312</v>
      </c>
      <c r="E37" s="1860">
        <f>IF(OR(C36="",'Cover Page'!J$104=0),"",'Cover Page'!J$104)</f>
        <v>250</v>
      </c>
      <c r="F37" s="1861">
        <f>IF(OR(C36="",'Cover Page'!J$105=0),"",'Cover Page'!J$105)</f>
        <v>250</v>
      </c>
      <c r="G37" s="1862">
        <f>IF(AND(SPORE=TRUE,'Cover Page'!J$91&lt;&gt;'Cover Page'!$AA$3,$E35=MYBARGENAME),L37,IF(AND(BARGESEL&gt;1,BARGECALC=1,$E35&lt;&gt;BARGE,$E35&lt;&gt;"",$C36&lt;&gt;""),INDEX(OUTTURNT,MATCH($E35,OUTTURNB,0),MATCH($C36,OUTTURNG,0)),IF(SPORE=TRUE,'Barge BQS Report (SS)'!O378,ROUND('Barge BQS Report'!$T65-'Barge BQS Report'!$T242,3))))</f>
        <v>250.268</v>
      </c>
      <c r="H37" s="1862">
        <f>IF(AND(BARGESEL&gt;1,BARGECALC=1,$E35&lt;&gt;BARGE,$E35&lt;&gt;"",$C36&lt;&gt;""),INDEX(OUTTURNT,MATCH($E35,OUTTURNB,0),MATCH($C36,OUTTURNG,0)+1),IF(SPORE=TRUE,'Vessel BQS Report (SS)'!O378,ROUND('Vessel BQS Report'!$T242-'Vessel BQS Report'!$T65,3)))</f>
        <v>250.06200000000001</v>
      </c>
      <c r="I37" s="1863">
        <f>IF(OR(F37="",H37=0),"",H37-F37)</f>
        <v>6.2000000000011823E-2</v>
      </c>
      <c r="J37" s="1864">
        <f>IF(OR(F37="",H37=0),"",(H37-F37)*100/F37)</f>
        <v>2.4800000000004728E-2</v>
      </c>
      <c r="L37" s="1218" t="str">
        <f>IF(OR('Cover Page'!J$91='Cover Page'!$AA$4,'Cover Page'!J$91='Cover Page'!$AA$5),IF($E35=MYBARGENAME,'FlowMeter (SS)'!$I$101,""),IF('Cover Page'!J$91='Cover Page'!$AA$2,"",""))</f>
        <v/>
      </c>
    </row>
    <row r="38" spans="1:12" ht="15" hidden="1">
      <c r="A38" s="946" t="str">
        <f>A41</f>
        <v>HIDE</v>
      </c>
      <c r="B38" s="1865"/>
      <c r="C38" s="1865"/>
      <c r="D38" s="1865"/>
      <c r="E38" s="1865"/>
      <c r="F38" s="1865"/>
      <c r="G38" s="1865"/>
      <c r="H38" s="1865"/>
      <c r="I38" s="1865"/>
      <c r="J38" s="1865"/>
    </row>
    <row r="39" spans="1:12" ht="15" hidden="1">
      <c r="A39" s="946" t="str">
        <f>IF(BARGESEL=1,"HIDE",A41)</f>
        <v>HIDE</v>
      </c>
      <c r="B39" s="2398" t="s">
        <v>1076</v>
      </c>
      <c r="C39" s="2399"/>
      <c r="D39" s="2399"/>
      <c r="E39" s="2400" t="str">
        <f>INDEX(BARGETABLE,MATCH(E40,BARGENAMES,0),5)</f>
        <v/>
      </c>
      <c r="F39" s="2401"/>
      <c r="G39" s="2401"/>
      <c r="H39" s="2401"/>
      <c r="I39" s="2401"/>
      <c r="J39" s="2402"/>
    </row>
    <row r="40" spans="1:12" ht="15" hidden="1">
      <c r="A40" s="946" t="str">
        <f>IF(BARGESEL=1,"HIDE",A41)</f>
        <v>HIDE</v>
      </c>
      <c r="B40" s="2398" t="s">
        <v>318</v>
      </c>
      <c r="C40" s="2399"/>
      <c r="D40" s="2399"/>
      <c r="E40" s="2400" t="str">
        <f>'Cover Page'!K$89</f>
        <v/>
      </c>
      <c r="F40" s="2401"/>
      <c r="G40" s="1866" t="str">
        <f>IF(H40="","","License No.:")</f>
        <v/>
      </c>
      <c r="H40" s="1853" t="str">
        <f>IF(AND(SURVEYMODE&lt;&gt;3,SPORE=TRUE),INDEX(BARGETABLE,MATCH(E40,BARGENAMES,0),3),"")</f>
        <v/>
      </c>
      <c r="I40" s="1853"/>
      <c r="J40" s="1854"/>
    </row>
    <row r="41" spans="1:12" ht="15" hidden="1">
      <c r="A41" s="946" t="str">
        <f>IF(SURVEYMODE=3,"HIDE",IF(C41="","HIDE","Y"))</f>
        <v>HIDE</v>
      </c>
      <c r="B41" s="1855" t="s">
        <v>313</v>
      </c>
      <c r="C41" s="1902" t="str">
        <f>IF(OR(SURVEYMODE=3,'Cover Page'!K$104=0),"",IF(BARGECALC=1,G$1,IF(E40=MYBARGENAME,G$1,"")))</f>
        <v/>
      </c>
      <c r="D41" s="1903" t="str">
        <f>IF(OR($C41="",'Cover Page'!$A$91&lt;&gt;"Y",FMTYPE3=0,FMTYPE3="-"),"",FMTYPE3)</f>
        <v/>
      </c>
      <c r="E41" s="1856" t="s">
        <v>1280</v>
      </c>
      <c r="F41" s="1857" t="s">
        <v>719</v>
      </c>
      <c r="G41" s="1858" t="s">
        <v>159</v>
      </c>
      <c r="H41" s="1858" t="s">
        <v>720</v>
      </c>
      <c r="I41" s="1856" t="s">
        <v>714</v>
      </c>
      <c r="J41" s="1859" t="s">
        <v>668</v>
      </c>
    </row>
    <row r="42" spans="1:12" ht="15" hidden="1">
      <c r="A42" s="946" t="str">
        <f>A41</f>
        <v>HIDE</v>
      </c>
      <c r="B42" s="1324">
        <v>3</v>
      </c>
      <c r="C42" s="1306"/>
      <c r="D42" s="1307" t="s">
        <v>312</v>
      </c>
      <c r="E42" s="1860" t="str">
        <f>IF(OR(C41="",'Cover Page'!K$104=0),"",'Cover Page'!K$104)</f>
        <v/>
      </c>
      <c r="F42" s="1861" t="str">
        <f>IF(OR(C41="",'Cover Page'!K$105=0),"",'Cover Page'!K$105)</f>
        <v/>
      </c>
      <c r="G42" s="1862">
        <f>IF(AND(SPORE=TRUE,'Cover Page'!K$91&lt;&gt;'Cover Page'!$AA$3,$E40=MYBARGENAME),L42,IF(AND(BARGESEL&gt;1,BARGECALC=1,$E40&lt;&gt;BARGE,$E40&lt;&gt;"",$C41&lt;&gt;""),INDEX(OUTTURNT,MATCH($E40,OUTTURNB,0),MATCH($C41,OUTTURNG,0)),IF(SPORE=TRUE,'Barge BQS Report (SS)'!O379,ROUND('Barge BQS Report'!$T88-'Barge BQS Report'!$T265,3))))</f>
        <v>0</v>
      </c>
      <c r="H42" s="1862">
        <f>IF(AND(BARGESEL&gt;1,BARGECALC=1,$E40&lt;&gt;BARGE,$E40&lt;&gt;"",$C41&lt;&gt;""),INDEX(OUTTURNT,MATCH($E40,OUTTURNB,0),MATCH($C41,OUTTURNG,0)+1),IF(SPORE=TRUE,'Vessel BQS Report (SS)'!O379,ROUND('Vessel BQS Report'!$T265-'Vessel BQS Report'!$T88,3)))</f>
        <v>0</v>
      </c>
      <c r="I42" s="1863" t="str">
        <f>IF(OR(F42="",H42=0),"",H42-F42)</f>
        <v/>
      </c>
      <c r="J42" s="1864" t="str">
        <f>IF(OR(F42="",H42=0),"",(H42-F42)*100/F42)</f>
        <v/>
      </c>
      <c r="L42" s="1218" t="str">
        <f>IF(OR('Cover Page'!K$91='Cover Page'!$AA$4,'Cover Page'!K$91='Cover Page'!$AA$5),IF($E40=MYBARGENAME,'FlowMeter (SS)'!$I$165,""),IF('Cover Page'!K$91='Cover Page'!$AA$2,"",""))</f>
        <v/>
      </c>
    </row>
    <row r="43" spans="1:12" ht="15" hidden="1">
      <c r="A43" s="946" t="str">
        <f>A46</f>
        <v>HIDE</v>
      </c>
      <c r="B43" s="1865"/>
      <c r="C43" s="1865"/>
      <c r="D43" s="1865"/>
      <c r="E43" s="1865"/>
      <c r="F43" s="1865"/>
      <c r="G43" s="1865"/>
      <c r="H43" s="1865"/>
      <c r="I43" s="1865"/>
      <c r="J43" s="1865"/>
    </row>
    <row r="44" spans="1:12" ht="15" hidden="1">
      <c r="A44" s="946" t="str">
        <f>IF(BARGESEL=1,"HIDE",A46)</f>
        <v>HIDE</v>
      </c>
      <c r="B44" s="2398" t="s">
        <v>1076</v>
      </c>
      <c r="C44" s="2399"/>
      <c r="D44" s="2399"/>
      <c r="E44" s="2400" t="str">
        <f>INDEX(BARGETABLE,MATCH(E45,BARGENAMES,0),5)</f>
        <v/>
      </c>
      <c r="F44" s="2401"/>
      <c r="G44" s="2401"/>
      <c r="H44" s="2401"/>
      <c r="I44" s="2401"/>
      <c r="J44" s="2402"/>
    </row>
    <row r="45" spans="1:12" ht="15" hidden="1">
      <c r="A45" s="946" t="str">
        <f>IF(BARGESEL=1,"HIDE",A46)</f>
        <v>HIDE</v>
      </c>
      <c r="B45" s="2398" t="s">
        <v>318</v>
      </c>
      <c r="C45" s="2399"/>
      <c r="D45" s="2399"/>
      <c r="E45" s="2400" t="str">
        <f>'Cover Page'!L$89</f>
        <v/>
      </c>
      <c r="F45" s="2401"/>
      <c r="G45" s="1866" t="str">
        <f>IF(H45="","","License No.:")</f>
        <v/>
      </c>
      <c r="H45" s="1853" t="str">
        <f>IF(AND(SURVEYMODE&lt;&gt;3,SPORE=TRUE),INDEX(BARGETABLE,MATCH(E45,BARGENAMES,0),3),"")</f>
        <v/>
      </c>
      <c r="I45" s="1853"/>
      <c r="J45" s="1854"/>
    </row>
    <row r="46" spans="1:12" ht="15" hidden="1">
      <c r="A46" s="946" t="str">
        <f>IF(SURVEYMODE=3,"HIDE",IF(C46="","HIDE","Y"))</f>
        <v>HIDE</v>
      </c>
      <c r="B46" s="1855" t="s">
        <v>313</v>
      </c>
      <c r="C46" s="1902" t="str">
        <f>IF(OR(SURVEYMODE=3,'Cover Page'!L$104=0),"",IF(BARGECALC=1,H$1,IF(E45=MYBARGENAME,H$1,"")))</f>
        <v/>
      </c>
      <c r="D46" s="1903" t="str">
        <f>IF(OR($C46="",'Cover Page'!$A$91&lt;&gt;"Y",FMTYPE4=0,FMTYPE4="-"),"",FMTYPE4)</f>
        <v/>
      </c>
      <c r="E46" s="1856" t="s">
        <v>1280</v>
      </c>
      <c r="F46" s="1857" t="s">
        <v>719</v>
      </c>
      <c r="G46" s="1858" t="s">
        <v>159</v>
      </c>
      <c r="H46" s="1858" t="s">
        <v>720</v>
      </c>
      <c r="I46" s="1856" t="s">
        <v>714</v>
      </c>
      <c r="J46" s="1859" t="s">
        <v>668</v>
      </c>
    </row>
    <row r="47" spans="1:12" ht="15" hidden="1">
      <c r="A47" s="946" t="str">
        <f>A46</f>
        <v>HIDE</v>
      </c>
      <c r="B47" s="1324">
        <v>4</v>
      </c>
      <c r="C47" s="1306"/>
      <c r="D47" s="1307" t="s">
        <v>312</v>
      </c>
      <c r="E47" s="1860" t="str">
        <f>IF(OR(C46="",'Cover Page'!L$104=0),"",'Cover Page'!L$104)</f>
        <v/>
      </c>
      <c r="F47" s="1861" t="str">
        <f>IF(OR(C46="",'Cover Page'!L$105=0),"",'Cover Page'!L$105)</f>
        <v/>
      </c>
      <c r="G47" s="1862">
        <f>IF(AND(SPORE=TRUE,'Cover Page'!L$91&lt;&gt;'Cover Page'!$AA$3,$E45=MYBARGENAME),L47,IF(AND(BARGESEL&gt;1,BARGECALC=1,$E45&lt;&gt;BARGE,$E45&lt;&gt;"",$C46&lt;&gt;""),INDEX(OUTTURNT,MATCH($E45,OUTTURNB,0),MATCH($C46,OUTTURNG,0)),IF(SPORE=TRUE,'Barge BQS Report (SS)'!O380,ROUND('Barge BQS Report'!$T111-'Barge BQS Report'!$T288,3))))</f>
        <v>0</v>
      </c>
      <c r="H47" s="1862">
        <f>IF(AND(BARGESEL&gt;1,BARGECALC=1,$E45&lt;&gt;BARGE,$E45&lt;&gt;"",$C46&lt;&gt;""),INDEX(OUTTURNT,MATCH($E45,OUTTURNB,0),MATCH($C46,OUTTURNG,0)+1),IF(SPORE=TRUE,'Vessel BQS Report (SS)'!O380,ROUND('Vessel BQS Report'!$T288-'Vessel BQS Report'!$T111,3)))</f>
        <v>0</v>
      </c>
      <c r="I47" s="1863" t="str">
        <f>IF(OR(F47="",H47=0),"",H47-F47)</f>
        <v/>
      </c>
      <c r="J47" s="1864" t="str">
        <f>IF(OR(F47="",H47=0),"",(H47-F47)*100/F47)</f>
        <v/>
      </c>
      <c r="L47" s="1218" t="str">
        <f>IF(OR('Cover Page'!L$91='Cover Page'!$AA$4,'Cover Page'!L$91='Cover Page'!$AA$5),IF($E45=MYBARGENAME,'FlowMeter (SS)'!$I$229,""),IF('Cover Page'!L$91='Cover Page'!$AA$2,"",""))</f>
        <v/>
      </c>
    </row>
    <row r="48" spans="1:12" ht="15" hidden="1">
      <c r="A48" s="946" t="str">
        <f>A51</f>
        <v>HIDE</v>
      </c>
      <c r="B48" s="1865"/>
      <c r="C48" s="1865"/>
      <c r="D48" s="1865"/>
      <c r="E48" s="1865"/>
      <c r="F48" s="1865"/>
      <c r="G48" s="1865"/>
      <c r="H48" s="1865"/>
      <c r="I48" s="1865"/>
      <c r="J48" s="1865"/>
    </row>
    <row r="49" spans="1:12" ht="15" hidden="1">
      <c r="A49" s="946" t="str">
        <f>IF(BARGESEL=1,"HIDE",A51)</f>
        <v>HIDE</v>
      </c>
      <c r="B49" s="2398" t="s">
        <v>1076</v>
      </c>
      <c r="C49" s="2399"/>
      <c r="D49" s="2399"/>
      <c r="E49" s="2400" t="str">
        <f>INDEX(BARGETABLE,MATCH(E50,BARGENAMES,0),5)</f>
        <v/>
      </c>
      <c r="F49" s="2401"/>
      <c r="G49" s="2401"/>
      <c r="H49" s="2401"/>
      <c r="I49" s="2401"/>
      <c r="J49" s="2402"/>
    </row>
    <row r="50" spans="1:12" ht="15" hidden="1">
      <c r="A50" s="946" t="str">
        <f>IF(BARGESEL=1,"HIDE",A51)</f>
        <v>HIDE</v>
      </c>
      <c r="B50" s="2398" t="s">
        <v>318</v>
      </c>
      <c r="C50" s="2399"/>
      <c r="D50" s="2399"/>
      <c r="E50" s="2400" t="str">
        <f>'Cover Page'!M$89</f>
        <v/>
      </c>
      <c r="F50" s="2401"/>
      <c r="G50" s="1866" t="str">
        <f>IF(H50="","","License No.:")</f>
        <v/>
      </c>
      <c r="H50" s="1853" t="str">
        <f>IF(AND(SURVEYMODE&lt;&gt;3,SPORE=TRUE),INDEX(BARGETABLE,MATCH(E50,BARGENAMES,0),3),"")</f>
        <v/>
      </c>
      <c r="I50" s="1853"/>
      <c r="J50" s="1854"/>
    </row>
    <row r="51" spans="1:12" ht="15" hidden="1">
      <c r="A51" s="946" t="str">
        <f>IF(SURVEYMODE=3,"HIDE",IF(C51="","HIDE","Y"))</f>
        <v>HIDE</v>
      </c>
      <c r="B51" s="1855" t="s">
        <v>313</v>
      </c>
      <c r="C51" s="1902" t="str">
        <f>IF(OR(SURVEYMODE=3,'Cover Page'!M$104=0),"",IF(BARGECALC=1,I$1,IF(E50=MYBARGENAME,I$1,"")))</f>
        <v/>
      </c>
      <c r="D51" s="1903" t="str">
        <f>IF(OR($C51="",'Cover Page'!$A$91&lt;&gt;"Y",FMTYPE5=0,FMTYPE5="-"),"",FMTYPE5)</f>
        <v/>
      </c>
      <c r="E51" s="1856" t="s">
        <v>1280</v>
      </c>
      <c r="F51" s="1857" t="s">
        <v>719</v>
      </c>
      <c r="G51" s="1858" t="s">
        <v>159</v>
      </c>
      <c r="H51" s="1858" t="s">
        <v>720</v>
      </c>
      <c r="I51" s="1856" t="s">
        <v>714</v>
      </c>
      <c r="J51" s="1859" t="s">
        <v>668</v>
      </c>
    </row>
    <row r="52" spans="1:12" ht="15" hidden="1">
      <c r="A52" s="946" t="str">
        <f>A51</f>
        <v>HIDE</v>
      </c>
      <c r="B52" s="1324">
        <v>5</v>
      </c>
      <c r="C52" s="1306"/>
      <c r="D52" s="1307" t="s">
        <v>312</v>
      </c>
      <c r="E52" s="1860" t="str">
        <f>IF(OR(C51="",'Cover Page'!M$104=0),"",'Cover Page'!M$104)</f>
        <v/>
      </c>
      <c r="F52" s="1861" t="str">
        <f>IF(OR(C51="",'Cover Page'!M$105=0),"",'Cover Page'!M$105)</f>
        <v/>
      </c>
      <c r="G52" s="1862">
        <f>IF(AND(SPORE=TRUE,'Cover Page'!M$91&lt;&gt;'Cover Page'!$AA$3,$E50=MYBARGENAME),L52,IF(AND(BARGESEL&gt;1,BARGECALC=1,$E50&lt;&gt;BARGE,$E50&lt;&gt;"",$C51&lt;&gt;""),INDEX(OUTTURNT,MATCH($E50,OUTTURNB,0),MATCH($C51,OUTTURNG,0)),IF(SPORE=TRUE,'Barge BQS Report (SS)'!O381,ROUND('Barge BQS Report'!$T134-'Barge BQS Report'!$T311,3))))</f>
        <v>0</v>
      </c>
      <c r="H52" s="1862">
        <f>IF(AND(BARGESEL&gt;1,BARGECALC=1,$E50&lt;&gt;BARGE,$E50&lt;&gt;"",$C51&lt;&gt;""),INDEX(OUTTURNT,MATCH($E50,OUTTURNB,0),MATCH($C51,OUTTURNG,0)+1),IF(SPORE=TRUE,'Vessel BQS Report (SS)'!O381,ROUND('Vessel BQS Report'!$T311-'Vessel BQS Report'!$T134,3)))</f>
        <v>0</v>
      </c>
      <c r="I52" s="1863" t="str">
        <f>IF(OR(F52="",H52=0),"",H52-F52)</f>
        <v/>
      </c>
      <c r="J52" s="1864" t="str">
        <f>IF(OR(F52="",H52=0),"",(H52-F52)*100/F52)</f>
        <v/>
      </c>
      <c r="L52" s="1218" t="str">
        <f>IF(OR('Cover Page'!M$91='Cover Page'!$AA$4,'Cover Page'!M$91='Cover Page'!$AA$5),IF($E50=MYBARGENAME,'FlowMeter (SS)'!$I$293,""),IF('Cover Page'!M$91='Cover Page'!$AA$2,"",""))</f>
        <v/>
      </c>
    </row>
    <row r="53" spans="1:12" ht="15">
      <c r="A53" s="946" t="str">
        <f>A56</f>
        <v>Y</v>
      </c>
      <c r="B53" s="1865"/>
      <c r="C53" s="1865"/>
      <c r="D53" s="1865"/>
      <c r="E53" s="1865"/>
      <c r="F53" s="1865"/>
      <c r="G53" s="1865"/>
      <c r="H53" s="1865"/>
      <c r="I53" s="1865"/>
      <c r="J53" s="1865"/>
    </row>
    <row r="54" spans="1:12" ht="15">
      <c r="A54" s="946" t="str">
        <f>IF(BARGESEL=1,"HIDE",A56)</f>
        <v>HIDE</v>
      </c>
      <c r="B54" s="2398" t="s">
        <v>1076</v>
      </c>
      <c r="C54" s="2399"/>
      <c r="D54" s="2399"/>
      <c r="E54" s="2400" t="str">
        <f>INDEX(BARGETABLE,MATCH(E55,BARGENAMES,0),5)</f>
        <v>ENERGY</v>
      </c>
      <c r="F54" s="2401"/>
      <c r="G54" s="2401"/>
      <c r="H54" s="2401"/>
      <c r="I54" s="2401"/>
      <c r="J54" s="2402"/>
    </row>
    <row r="55" spans="1:12" ht="15">
      <c r="A55" s="946" t="str">
        <f>IF(BARGESEL=1,"HIDE",A56)</f>
        <v>HIDE</v>
      </c>
      <c r="B55" s="2398" t="s">
        <v>318</v>
      </c>
      <c r="C55" s="2399"/>
      <c r="D55" s="2399"/>
      <c r="E55" s="2400" t="str">
        <f>'Cover Page'!N$89</f>
        <v>M/T YALÇIN 2</v>
      </c>
      <c r="F55" s="2401"/>
      <c r="G55" s="1866" t="str">
        <f>IF(H55="","","License No.:")</f>
        <v/>
      </c>
      <c r="H55" s="1853" t="str">
        <f>IF(AND(SURVEYMODE&lt;&gt;3,SPORE=TRUE),INDEX(BARGETABLE,MATCH(E55,BARGENAMES,0),3),"")</f>
        <v/>
      </c>
      <c r="I55" s="1853"/>
      <c r="J55" s="1854"/>
    </row>
    <row r="56" spans="1:12" ht="15">
      <c r="A56" s="946" t="str">
        <f>IF(SURVEYMODE=3,"HIDE",IF(C56="","HIDE","Y"))</f>
        <v>Y</v>
      </c>
      <c r="B56" s="1855" t="s">
        <v>313</v>
      </c>
      <c r="C56" s="1902" t="str">
        <f>IF(OR(SURVEYMODE=3,'Cover Page'!N$104=0),"",IF(BARGECALC=1,J$1,IF(E55=MYBARGENAME,J$1,"")))</f>
        <v>LSMGO</v>
      </c>
      <c r="D56" s="1903" t="str">
        <f>IF(OR($C56="",'Cover Page'!$A$91&lt;&gt;"Y",FMTYPE6=0,FMTYPE6="-"),"",FMTYPE6)</f>
        <v/>
      </c>
      <c r="E56" s="1856" t="s">
        <v>1280</v>
      </c>
      <c r="F56" s="1857" t="s">
        <v>719</v>
      </c>
      <c r="G56" s="1858" t="s">
        <v>159</v>
      </c>
      <c r="H56" s="1858" t="s">
        <v>720</v>
      </c>
      <c r="I56" s="1856" t="s">
        <v>714</v>
      </c>
      <c r="J56" s="1859" t="s">
        <v>668</v>
      </c>
    </row>
    <row r="57" spans="1:12" ht="15">
      <c r="A57" s="946" t="str">
        <f>A56</f>
        <v>Y</v>
      </c>
      <c r="B57" s="1324">
        <v>6</v>
      </c>
      <c r="C57" s="1306"/>
      <c r="D57" s="1307" t="s">
        <v>312</v>
      </c>
      <c r="E57" s="1860">
        <f>IF(OR(C56="",'Cover Page'!N$104=0),"",'Cover Page'!N$104)</f>
        <v>40</v>
      </c>
      <c r="F57" s="1861">
        <f>IF(OR(C56="",'Cover Page'!N$105=0),"",'Cover Page'!N$105)</f>
        <v>40</v>
      </c>
      <c r="G57" s="1862">
        <f>IF(AND(SPORE=TRUE,'Cover Page'!N$91&lt;&gt;'Cover Page'!$AA$3,$E55=MYBARGENAME),L57,IF(AND(BARGESEL&gt;1,BARGECALC=1,$E55&lt;&gt;BARGE,$E55&lt;&gt;"",$C56&lt;&gt;""),INDEX(OUTTURNT,MATCH($E55,OUTTURNB,0),MATCH($C56,OUTTURNG,0)),IF(SPORE=TRUE,'Barge BQS Report (SS)'!O382,ROUND('Barge BQS Report'!$T157-'Barge BQS Report'!$T334,3))))</f>
        <v>40.209000000000003</v>
      </c>
      <c r="H57" s="1862">
        <f>IF(AND(BARGESEL&gt;1,BARGECALC=1,$E55&lt;&gt;BARGE,$E55&lt;&gt;"",$C56&lt;&gt;""),INDEX(OUTTURNT,MATCH($E55,OUTTURNB,0),MATCH($C56,OUTTURNG,0)+1),IF(SPORE=TRUE,'Vessel BQS Report (SS)'!O382,ROUND('Vessel BQS Report'!$T334-'Vessel BQS Report'!$T157,3)))</f>
        <v>40.061999999999998</v>
      </c>
      <c r="I57" s="1863">
        <f>IF(OR(F57="",H57=0),"",H57-F57)</f>
        <v>6.1999999999997613E-2</v>
      </c>
      <c r="J57" s="1864">
        <f>IF(OR(F57="",H57=0),"",(H57-F57)*100/F57)</f>
        <v>0.15499999999999403</v>
      </c>
      <c r="L57" s="1218">
        <f>IF(OR('Cover Page'!N$91='Cover Page'!$AA$4,'Cover Page'!N$91='Cover Page'!$AA$5),IF($E55=MYBARGENAME,'FlowMeter (SS)'!$I$357,""),IF('Cover Page'!N$91='Cover Page'!$AA$2,"",""))</f>
        <v>69.708982199985115</v>
      </c>
    </row>
    <row r="58" spans="1:12">
      <c r="A58" s="160" t="s">
        <v>284</v>
      </c>
    </row>
    <row r="59" spans="1:12">
      <c r="A59" s="160" t="s">
        <v>284</v>
      </c>
      <c r="B59" s="824" t="s">
        <v>179</v>
      </c>
    </row>
    <row r="60" spans="1:12">
      <c r="A60" s="160" t="s">
        <v>284</v>
      </c>
      <c r="B60" s="2409" t="s">
        <v>256</v>
      </c>
      <c r="C60" s="2410"/>
      <c r="D60" s="2410"/>
      <c r="E60" s="2410"/>
      <c r="F60" s="2410"/>
      <c r="G60" s="2410"/>
      <c r="H60" s="2410"/>
      <c r="I60" s="2410"/>
      <c r="J60" s="2411"/>
    </row>
    <row r="61" spans="1:12">
      <c r="A61" s="160" t="s">
        <v>284</v>
      </c>
      <c r="B61" s="2412"/>
      <c r="C61" s="2413"/>
      <c r="D61" s="2413"/>
      <c r="E61" s="2413"/>
      <c r="F61" s="2413"/>
      <c r="G61" s="2413"/>
      <c r="H61" s="2413"/>
      <c r="I61" s="2413"/>
      <c r="J61" s="2414"/>
    </row>
    <row r="62" spans="1:12">
      <c r="A62" s="160" t="s">
        <v>284</v>
      </c>
      <c r="B62" s="2412"/>
      <c r="C62" s="2413"/>
      <c r="D62" s="2413"/>
      <c r="E62" s="2413"/>
      <c r="F62" s="2413"/>
      <c r="G62" s="2413"/>
      <c r="H62" s="2413"/>
      <c r="I62" s="2413"/>
      <c r="J62" s="2414"/>
    </row>
    <row r="63" spans="1:12" s="933" customFormat="1">
      <c r="A63" s="160" t="s">
        <v>284</v>
      </c>
      <c r="B63" s="2415"/>
      <c r="C63" s="2416"/>
      <c r="D63" s="2416"/>
      <c r="E63" s="2416"/>
      <c r="F63" s="2416"/>
      <c r="G63" s="2416"/>
      <c r="H63" s="2416"/>
      <c r="I63" s="2416"/>
      <c r="J63" s="2417"/>
      <c r="K63" s="160"/>
      <c r="L63" s="160"/>
    </row>
    <row r="64" spans="1:12" ht="12.75" customHeight="1">
      <c r="A64" s="933" t="s">
        <v>284</v>
      </c>
      <c r="B64" s="1175"/>
      <c r="C64" s="1175"/>
      <c r="D64" s="1176"/>
      <c r="E64" s="1176"/>
      <c r="F64" s="1176"/>
      <c r="G64" s="1176"/>
      <c r="H64" s="1175"/>
      <c r="I64" s="1175"/>
      <c r="J64" s="1175"/>
      <c r="K64" s="933"/>
      <c r="L64" s="933"/>
    </row>
    <row r="65" spans="1:12" ht="12.75" hidden="1" customHeight="1">
      <c r="A65" s="160" t="str">
        <f>IF(SPORE=TRUE,"Y","N")</f>
        <v>N</v>
      </c>
      <c r="B65" s="2403" t="str">
        <f>CONCATENATE("The liability of ",COMPANY1," (" &amp; COMPANY5 &amp; ") ","for any loss or damage whatsoever and howsoever caused by its bodies, officers or employees or caused by others who are instrumental in carrying out ",COMPANY5," contractual obligations according to the client, whether or not such person has acted negligently or otherwise and whether or not the loss or damage has affected the Client or any third party"," who without having any contractual relations with ",COMPANY5," has acted or made arrangements in reliance on decisions made or information given by or on behalf of ",COMPANY5,", shall be limited to the agreed fee to be charged for the service in question.")</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65" s="2404"/>
      <c r="D65" s="2404"/>
      <c r="E65" s="2404"/>
      <c r="F65" s="2404"/>
      <c r="G65" s="2404"/>
      <c r="H65" s="2404"/>
      <c r="I65" s="2418"/>
      <c r="J65" s="2419"/>
    </row>
    <row r="66" spans="1:12" ht="12.75" hidden="1" customHeight="1">
      <c r="A66" s="160" t="str">
        <f>IF(SPORE=TRUE,"Y","N")</f>
        <v>N</v>
      </c>
      <c r="B66" s="2405"/>
      <c r="C66" s="2406"/>
      <c r="D66" s="2406"/>
      <c r="E66" s="2406"/>
      <c r="F66" s="2406"/>
      <c r="G66" s="2406"/>
      <c r="H66" s="2406"/>
      <c r="I66" s="2420"/>
      <c r="J66" s="2421"/>
    </row>
    <row r="67" spans="1:12" ht="12.75" hidden="1" customHeight="1">
      <c r="A67" s="160" t="str">
        <f>IF(SPORE=TRUE,"Y","N")</f>
        <v>N</v>
      </c>
      <c r="B67" s="2405"/>
      <c r="C67" s="2406"/>
      <c r="D67" s="2406"/>
      <c r="E67" s="2406"/>
      <c r="F67" s="2406"/>
      <c r="G67" s="2406"/>
      <c r="H67" s="2406"/>
      <c r="I67" s="2420"/>
      <c r="J67" s="2421"/>
    </row>
    <row r="68" spans="1:12" s="933" customFormat="1" hidden="1">
      <c r="A68" s="160" t="str">
        <f>IF(SPORE=TRUE,"Y","N")</f>
        <v>N</v>
      </c>
      <c r="B68" s="2407"/>
      <c r="C68" s="2408"/>
      <c r="D68" s="2408"/>
      <c r="E68" s="2408"/>
      <c r="F68" s="2408"/>
      <c r="G68" s="2408"/>
      <c r="H68" s="2408"/>
      <c r="I68" s="2422"/>
      <c r="J68" s="2423"/>
      <c r="K68" s="160"/>
      <c r="L68" s="160"/>
    </row>
    <row r="69" spans="1:12" s="933" customFormat="1" ht="5.25" hidden="1">
      <c r="A69" s="933" t="str">
        <f>IF(SPORE=TRUE,"Y","N")</f>
        <v>N</v>
      </c>
    </row>
    <row r="70" spans="1:12" ht="12.75" hidden="1" customHeight="1"/>
  </sheetData>
  <sheetProtection algorithmName="SHA-512" hashValue="1oLJJAKPXDqV5tWeVT7jeO7KQm4TrZJvUC4oYLTO7TiRwMF71Apwk2Xy/60Ksy+hwrXD6LsNRt+kyr47e+YHfg==" saltValue="YjcwVBa0cJQtsBHIW6ka/w==" spinCount="100000" sheet="1" objects="1" scenarios="1" autoFilter="0"/>
  <autoFilter ref="A11:A69" xr:uid="{00000000-0009-0000-0000-00000E000000}">
    <filterColumn colId="0">
      <filters>
        <filter val="Y"/>
      </filters>
    </filterColumn>
  </autoFilter>
  <mergeCells count="46">
    <mergeCell ref="E39:J39"/>
    <mergeCell ref="E40:F40"/>
    <mergeCell ref="E44:J44"/>
    <mergeCell ref="E45:F45"/>
    <mergeCell ref="B23:D23"/>
    <mergeCell ref="E29:F29"/>
    <mergeCell ref="E34:J34"/>
    <mergeCell ref="B29:D29"/>
    <mergeCell ref="B28:D28"/>
    <mergeCell ref="B34:D34"/>
    <mergeCell ref="B35:D35"/>
    <mergeCell ref="B39:D39"/>
    <mergeCell ref="B40:D40"/>
    <mergeCell ref="B44:D44"/>
    <mergeCell ref="B45:D45"/>
    <mergeCell ref="E35:F35"/>
    <mergeCell ref="B13:D13"/>
    <mergeCell ref="E13:J13"/>
    <mergeCell ref="E15:J15"/>
    <mergeCell ref="E28:J28"/>
    <mergeCell ref="B14:D14"/>
    <mergeCell ref="E14:J14"/>
    <mergeCell ref="B15:D15"/>
    <mergeCell ref="B17:D17"/>
    <mergeCell ref="E17:J17"/>
    <mergeCell ref="B16:D16"/>
    <mergeCell ref="E16:J16"/>
    <mergeCell ref="B21:D21"/>
    <mergeCell ref="B24:D24"/>
    <mergeCell ref="B22:D22"/>
    <mergeCell ref="B18:D18"/>
    <mergeCell ref="E18:J18"/>
    <mergeCell ref="B65:H68"/>
    <mergeCell ref="B60:J60"/>
    <mergeCell ref="B61:J61"/>
    <mergeCell ref="B62:J62"/>
    <mergeCell ref="B63:J63"/>
    <mergeCell ref="I65:J68"/>
    <mergeCell ref="B55:D55"/>
    <mergeCell ref="E55:F55"/>
    <mergeCell ref="B49:D49"/>
    <mergeCell ref="E49:J49"/>
    <mergeCell ref="B50:D50"/>
    <mergeCell ref="E50:F50"/>
    <mergeCell ref="B54:D54"/>
    <mergeCell ref="E54:J54"/>
  </mergeCells>
  <conditionalFormatting sqref="G29">
    <cfRule type="cellIs" dxfId="79" priority="6" operator="equal">
      <formula>""</formula>
    </cfRule>
  </conditionalFormatting>
  <conditionalFormatting sqref="G35">
    <cfRule type="cellIs" dxfId="78" priority="5" operator="equal">
      <formula>""</formula>
    </cfRule>
  </conditionalFormatting>
  <conditionalFormatting sqref="G40">
    <cfRule type="cellIs" dxfId="77" priority="4" operator="equal">
      <formula>""</formula>
    </cfRule>
  </conditionalFormatting>
  <conditionalFormatting sqref="G45">
    <cfRule type="cellIs" dxfId="76" priority="3" operator="equal">
      <formula>""</formula>
    </cfRule>
  </conditionalFormatting>
  <conditionalFormatting sqref="G50">
    <cfRule type="cellIs" dxfId="75" priority="2" operator="equal">
      <formula>""</formula>
    </cfRule>
  </conditionalFormatting>
  <conditionalFormatting sqref="G55">
    <cfRule type="cellIs" dxfId="74" priority="1" operator="equal">
      <formula>""</formula>
    </cfRule>
  </conditionalFormatting>
  <dataValidations count="1">
    <dataValidation type="list" errorStyle="information" allowBlank="1" showInputMessage="1" showErrorMessage="1" prompt="Choose Remarks from list or edit yours." sqref="B60:J63" xr:uid="{00000000-0002-0000-0E00-000000000000}">
      <formula1>REMCOL</formula1>
    </dataValidation>
  </dataValidations>
  <hyperlinks>
    <hyperlink ref="B59" location="REMCODE" display="Remarks:" xr:uid="{00000000-0004-0000-0E00-000000000000}"/>
  </hyperlinks>
  <printOptions horizontalCentered="1"/>
  <pageMargins left="0.3" right="0.3" top="0.2" bottom="0.3" header="0.3" footer="0.1"/>
  <pageSetup paperSize="9" scale="95" orientation="portrait" r:id="rId1"/>
  <headerFooter scaleWithDoc="0">
    <oddFooter>&amp;L&amp;8BunkerManager, v1.12&amp;C&amp;8by AMS-Marine | www.ams-marine.com&amp;R&amp;8RefNo: BD/2015/00926 SG</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14" filterMode="1">
    <tabColor rgb="FF002060"/>
    <pageSetUpPr fitToPage="1"/>
  </sheetPr>
  <dimension ref="A1:AA202"/>
  <sheetViews>
    <sheetView showGridLines="0" showRowColHeaders="0" topLeftCell="A9" zoomScaleNormal="100" zoomScaleSheetLayoutView="100" workbookViewId="0">
      <pane ySplit="5" topLeftCell="A14" activePane="bottomLeft" state="frozen"/>
      <selection pane="bottomLeft"/>
    </sheetView>
  </sheetViews>
  <sheetFormatPr defaultColWidth="0" defaultRowHeight="12.75" zeroHeight="1"/>
  <cols>
    <col min="1" max="1" width="3.5" style="881" hidden="1" customWidth="1"/>
    <col min="2" max="2" width="9" style="881" customWidth="1"/>
    <col min="3" max="3" width="7.625" style="881" customWidth="1"/>
    <col min="4" max="4" width="7" style="881" customWidth="1"/>
    <col min="5" max="5" width="7.875" style="881" customWidth="1"/>
    <col min="6" max="6" width="7.125" style="881" customWidth="1"/>
    <col min="7" max="8" width="6.5" style="881" customWidth="1"/>
    <col min="9" max="10" width="6.875" style="881" customWidth="1"/>
    <col min="11" max="12" width="7.875" style="881" customWidth="1"/>
    <col min="13" max="15" width="6.875" style="881" customWidth="1"/>
    <col min="16" max="16" width="7.5" style="881" customWidth="1"/>
    <col min="17" max="17" width="0.375" style="881" customWidth="1"/>
    <col min="18" max="20" width="9" style="881" hidden="1" customWidth="1"/>
    <col min="21" max="21" width="26.25" style="881" hidden="1" customWidth="1"/>
    <col min="22" max="26" width="9" style="881" hidden="1" customWidth="1"/>
    <col min="27" max="27" width="13" style="881" hidden="1" customWidth="1"/>
    <col min="28" max="16384" width="9" style="881" hidden="1"/>
  </cols>
  <sheetData>
    <row r="1" spans="1:27" hidden="1">
      <c r="B1" s="880"/>
      <c r="C1" s="880"/>
      <c r="D1" s="880"/>
      <c r="E1" s="880"/>
      <c r="F1" s="880"/>
      <c r="G1" s="880"/>
      <c r="H1" s="880"/>
      <c r="I1" s="880"/>
      <c r="J1" s="880"/>
      <c r="K1" s="880"/>
      <c r="L1" s="880"/>
      <c r="M1" s="880"/>
      <c r="N1" s="880"/>
      <c r="O1" s="880"/>
      <c r="P1" s="880"/>
      <c r="T1" s="881" t="s">
        <v>1077</v>
      </c>
      <c r="U1" s="881" t="s">
        <v>1077</v>
      </c>
      <c r="W1" s="881" t="s">
        <v>1080</v>
      </c>
      <c r="X1" s="881" t="s">
        <v>1080</v>
      </c>
      <c r="Z1" s="881" t="s">
        <v>1092</v>
      </c>
      <c r="AA1" s="881" t="s">
        <v>1092</v>
      </c>
    </row>
    <row r="2" spans="1:27">
      <c r="B2" s="880"/>
      <c r="C2" s="880"/>
      <c r="D2" s="880"/>
      <c r="E2" s="880"/>
      <c r="F2" s="880"/>
      <c r="G2" s="880"/>
      <c r="H2" s="880"/>
      <c r="I2" s="880"/>
      <c r="J2" s="880"/>
      <c r="K2" s="880"/>
      <c r="L2" s="880"/>
      <c r="M2" s="880"/>
      <c r="N2" s="880"/>
      <c r="O2" s="880"/>
      <c r="P2" s="880"/>
      <c r="T2" s="1158" t="str">
        <f>IF(C33="","",IF(K31="","",", "&amp;K31))</f>
        <v/>
      </c>
      <c r="U2" s="1158" t="str">
        <f t="array" ref="U2">IFERROR(INDEX(T$2:T$7, MATCH(0,IF(ISBLANK(T$2:T$7),1,COUNTIF(U$1:U1,T$2:T$7)), 0)),"")</f>
        <v/>
      </c>
      <c r="W2" s="1158" t="str">
        <f>IF(C33="","",IF(C31="","",", "&amp;C31))</f>
        <v/>
      </c>
      <c r="X2" s="1158" t="str">
        <f t="array" ref="X2">IFERROR(INDEX(W$2:W$7, MATCH(0,IF(ISBLANK(W$2:W$7),1,COUNTIF(X$1:X1,W$2:W$7)), 0)),"")</f>
        <v/>
      </c>
      <c r="Z2" s="1158" t="str">
        <f>IF(C33="","",", "&amp;C33)</f>
        <v/>
      </c>
      <c r="AA2" s="1158" t="s">
        <v>1193</v>
      </c>
    </row>
    <row r="3" spans="1:27">
      <c r="B3" s="880"/>
      <c r="C3" s="880"/>
      <c r="D3" s="880"/>
      <c r="E3" s="880"/>
      <c r="F3" s="880"/>
      <c r="G3" s="880"/>
      <c r="H3" s="880"/>
      <c r="I3" s="880"/>
      <c r="J3" s="880"/>
      <c r="K3" s="880"/>
      <c r="L3" s="880"/>
      <c r="M3" s="880"/>
      <c r="N3" s="880"/>
      <c r="O3" s="880"/>
      <c r="P3" s="880"/>
      <c r="T3" s="1158" t="str">
        <f>IF(C59="","",IF(K57="","",", "&amp;K57))</f>
        <v/>
      </c>
      <c r="U3" s="1158" t="str">
        <f t="array" ref="U3">IFERROR(INDEX(T$2:T$7, MATCH(0,IF(ISBLANK(T$2:T$7),1,COUNTIF(U$1:U2,T$2:T$7)), 0)),"")</f>
        <v/>
      </c>
      <c r="W3" s="1158" t="str">
        <f>IF(C59="","",IF(C57="","",", "&amp;C57))</f>
        <v>, LSFO</v>
      </c>
      <c r="X3" s="1158" t="str">
        <f t="array" ref="X3">IFERROR(INDEX(W$2:W$7, MATCH(0,IF(ISBLANK(W$2:W$7),1,COUNTIF(X$1:X2,W$2:W$7)), 0)),"")</f>
        <v>, LSFO</v>
      </c>
      <c r="Z3" s="1158" t="str">
        <f>IF(C59="","",", "&amp;C59)</f>
        <v>, LSFO</v>
      </c>
      <c r="AA3" s="1158">
        <f>COUNTIF(Z2:Z7,"&gt;""")</f>
        <v>2</v>
      </c>
    </row>
    <row r="4" spans="1:27">
      <c r="B4" s="880"/>
      <c r="C4" s="880"/>
      <c r="D4" s="880"/>
      <c r="E4" s="880"/>
      <c r="F4" s="880"/>
      <c r="G4" s="880"/>
      <c r="H4" s="880"/>
      <c r="I4" s="880"/>
      <c r="J4" s="880"/>
      <c r="K4" s="880"/>
      <c r="L4" s="880"/>
      <c r="M4" s="880"/>
      <c r="N4" s="880"/>
      <c r="O4" s="880"/>
      <c r="P4" s="880"/>
      <c r="T4" s="1158" t="str">
        <f>IF(C85="","",IF(K83="","",", "&amp;K83))</f>
        <v/>
      </c>
      <c r="U4" s="1158" t="str">
        <f t="array" ref="U4">IFERROR(INDEX(T$2:T$7, MATCH(0,IF(ISBLANK(T$2:T$7),1,COUNTIF(U$1:U3,T$2:T$7)), 0)),"")</f>
        <v/>
      </c>
      <c r="W4" s="1158" t="str">
        <f>IF(C85="","",IF(C83="","",", "&amp;C83))</f>
        <v/>
      </c>
      <c r="X4" s="1158" t="str">
        <f t="array" ref="X4">IFERROR(INDEX(W$2:W$7, MATCH(0,IF(ISBLANK(W$2:W$7),1,COUNTIF(X$1:X3,W$2:W$7)), 0)),"")</f>
        <v>, LSMGO</v>
      </c>
      <c r="Z4" s="1158" t="str">
        <f>IF(C85="","",", "&amp;C85)</f>
        <v/>
      </c>
    </row>
    <row r="5" spans="1:27" ht="19.5" customHeight="1">
      <c r="B5" s="880"/>
      <c r="C5" s="880"/>
      <c r="D5" s="880"/>
      <c r="E5" s="882"/>
      <c r="F5" s="882"/>
      <c r="G5" s="883"/>
      <c r="H5" s="883"/>
      <c r="I5" s="883"/>
      <c r="J5" s="883"/>
      <c r="K5" s="883"/>
      <c r="L5" s="883"/>
      <c r="M5" s="883"/>
      <c r="N5" s="883"/>
      <c r="O5" s="883"/>
      <c r="P5" s="161" t="str">
        <f>COMPANY1</f>
        <v>Petro Inspect International</v>
      </c>
      <c r="T5" s="1158" t="str">
        <f>IF(C111="","",IF(K109="","",", "&amp;K109))</f>
        <v/>
      </c>
      <c r="U5" s="1158" t="str">
        <f t="array" ref="U5">IFERROR(INDEX(T$2:T$7, MATCH(0,IF(ISBLANK(T$2:T$7),1,COUNTIF(U$1:U4,T$2:T$7)), 0)),"")</f>
        <v/>
      </c>
      <c r="W5" s="1158" t="str">
        <f>IF(C111="","",IF(C109="","",", "&amp;C109))</f>
        <v/>
      </c>
      <c r="X5" s="1158" t="str">
        <f t="array" ref="X5">IFERROR(INDEX(W$2:W$7, MATCH(0,IF(ISBLANK(W$2:W$7),1,COUNTIF(X$1:X4,W$2:W$7)), 0)),"")</f>
        <v/>
      </c>
      <c r="Z5" s="1158" t="str">
        <f>IF(C111="","",", "&amp;C111)</f>
        <v/>
      </c>
    </row>
    <row r="6" spans="1:27" ht="12.95" customHeight="1">
      <c r="B6" s="880"/>
      <c r="C6" s="880"/>
      <c r="D6" s="880"/>
      <c r="E6" s="884"/>
      <c r="F6" s="884"/>
      <c r="G6" s="883"/>
      <c r="H6" s="883"/>
      <c r="I6" s="883"/>
      <c r="J6" s="883"/>
      <c r="K6" s="883"/>
      <c r="L6" s="883"/>
      <c r="M6" s="883"/>
      <c r="N6" s="883"/>
      <c r="O6" s="883"/>
      <c r="P6" s="162" t="str">
        <f>COMPANY2</f>
        <v>ops@petro-inspect.com</v>
      </c>
      <c r="T6" s="1158" t="str">
        <f>IF(C137="","",IF(K135="","",", "&amp;K135))</f>
        <v/>
      </c>
      <c r="U6" s="1158" t="str">
        <f t="array" ref="U6">IFERROR(INDEX(T$2:T$7, MATCH(0,IF(ISBLANK(T$2:T$7),1,COUNTIF(U$1:U5,T$2:T$7)), 0)),"")</f>
        <v/>
      </c>
      <c r="W6" s="1158" t="str">
        <f>IF(C137="","",IF(C135="","",", "&amp;C135))</f>
        <v/>
      </c>
      <c r="X6" s="1158" t="str">
        <f t="array" ref="X6">IFERROR(INDEX(W$2:W$7, MATCH(0,IF(ISBLANK(W$2:W$7),1,COUNTIF(X$1:X5,W$2:W$7)), 0)),"")</f>
        <v/>
      </c>
      <c r="Z6" s="1158" t="str">
        <f>IF(C137="","",", "&amp;C137)</f>
        <v/>
      </c>
    </row>
    <row r="7" spans="1:27" ht="12.95" customHeight="1">
      <c r="B7" s="880"/>
      <c r="C7" s="880"/>
      <c r="D7" s="880"/>
      <c r="E7" s="884"/>
      <c r="F7" s="884"/>
      <c r="G7" s="883"/>
      <c r="H7" s="883"/>
      <c r="I7" s="883"/>
      <c r="J7" s="883"/>
      <c r="K7" s="883"/>
      <c r="L7" s="883"/>
      <c r="M7" s="883"/>
      <c r="N7" s="883"/>
      <c r="O7" s="883"/>
      <c r="P7" s="162" t="str">
        <f>COMPANY3</f>
        <v/>
      </c>
      <c r="T7" s="1158" t="str">
        <f>IF(C163="","",IF(K161="","",", "&amp;K161))</f>
        <v/>
      </c>
      <c r="U7" s="1158" t="str">
        <f t="array" ref="U7">IFERROR(INDEX(T$2:T$7, MATCH(0,IF(ISBLANK(T$2:T$7),1,COUNTIF(U$1:U6,T$2:T$7)), 0)),"")</f>
        <v/>
      </c>
      <c r="W7" s="1158" t="str">
        <f>IF(C163="","",IF(C161="","",", "&amp;C161))</f>
        <v>, LSMGO</v>
      </c>
      <c r="X7" s="1158" t="str">
        <f t="array" ref="X7">IFERROR(INDEX(W$2:W$7, MATCH(0,IF(ISBLANK(W$2:W$7),1,COUNTIF(X$1:X6,W$2:W$7)), 0)),"")</f>
        <v/>
      </c>
      <c r="Z7" s="1158" t="str">
        <f>IF(C163="","",", "&amp;C163)</f>
        <v>, LSMGO</v>
      </c>
    </row>
    <row r="8" spans="1:27" ht="12.95" customHeight="1">
      <c r="B8" s="880"/>
      <c r="C8" s="880"/>
      <c r="D8" s="880"/>
      <c r="E8" s="884"/>
      <c r="F8" s="884"/>
      <c r="G8" s="883"/>
      <c r="H8" s="883"/>
      <c r="I8" s="883"/>
      <c r="J8" s="883"/>
      <c r="K8" s="883"/>
      <c r="L8" s="883"/>
      <c r="M8" s="883"/>
      <c r="N8" s="883"/>
      <c r="O8" s="883"/>
      <c r="P8" s="162" t="str">
        <f>COMPANY4</f>
        <v/>
      </c>
      <c r="U8" s="1158" t="str">
        <f>CONCATENATE(U2,U3,U4,U5,U6,U7)</f>
        <v/>
      </c>
      <c r="X8" s="1158" t="str">
        <f>CONCATENATE(X2,X3,X4,X5,X6,X7)</f>
        <v>, LSFO, LSMGO</v>
      </c>
      <c r="Z8" s="1158" t="str">
        <f>CONCATENATE(Z2,Z3,Z4,Z5,Z6,Z7)</f>
        <v>, LSFO, LSMGO</v>
      </c>
    </row>
    <row r="9" spans="1:27" ht="3.75" customHeight="1" thickBot="1">
      <c r="B9" s="885"/>
      <c r="C9" s="885"/>
      <c r="D9" s="885"/>
      <c r="E9" s="164"/>
      <c r="F9" s="164"/>
      <c r="G9" s="886"/>
      <c r="H9" s="886"/>
      <c r="I9" s="886"/>
      <c r="J9" s="886"/>
      <c r="K9" s="886"/>
      <c r="L9" s="886"/>
      <c r="M9" s="886"/>
      <c r="N9" s="886"/>
      <c r="O9" s="886"/>
      <c r="P9" s="886"/>
    </row>
    <row r="10" spans="1:27" ht="3.75" customHeight="1">
      <c r="B10" s="880"/>
      <c r="C10" s="880"/>
      <c r="D10" s="880"/>
      <c r="E10" s="162"/>
      <c r="F10" s="162"/>
      <c r="G10" s="887"/>
      <c r="H10" s="887"/>
      <c r="I10" s="887"/>
      <c r="J10" s="887"/>
      <c r="K10" s="887"/>
      <c r="L10" s="887"/>
      <c r="M10" s="887"/>
      <c r="N10" s="887"/>
      <c r="O10" s="887"/>
      <c r="P10" s="887"/>
    </row>
    <row r="11" spans="1:27" ht="26.25" customHeight="1">
      <c r="A11" s="881" t="s">
        <v>284</v>
      </c>
      <c r="B11" s="2571" t="s">
        <v>707</v>
      </c>
      <c r="C11" s="2572"/>
      <c r="D11" s="2572"/>
      <c r="E11" s="2572"/>
      <c r="F11" s="2572"/>
      <c r="G11" s="2572"/>
      <c r="H11" s="2572"/>
      <c r="I11" s="2572"/>
      <c r="J11" s="2572"/>
      <c r="K11" s="2572"/>
      <c r="L11" s="2572"/>
      <c r="M11" s="2572"/>
      <c r="N11" s="2572"/>
      <c r="O11" s="2572"/>
      <c r="P11" s="2573"/>
    </row>
    <row r="12" spans="1:27" s="933" customFormat="1" ht="5.25">
      <c r="A12" s="933" t="s">
        <v>284</v>
      </c>
      <c r="B12" s="967"/>
      <c r="C12" s="967"/>
      <c r="D12" s="967"/>
      <c r="E12" s="967"/>
      <c r="F12" s="967"/>
      <c r="G12" s="967"/>
      <c r="H12" s="967"/>
      <c r="I12" s="967"/>
      <c r="J12" s="967"/>
      <c r="K12" s="967"/>
      <c r="L12" s="967"/>
      <c r="M12" s="967"/>
      <c r="N12" s="967"/>
      <c r="O12" s="967"/>
      <c r="P12" s="967"/>
    </row>
    <row r="13" spans="1:27" ht="15.75" hidden="1">
      <c r="A13" s="881" t="s">
        <v>270</v>
      </c>
      <c r="B13" s="2582"/>
      <c r="C13" s="2583"/>
      <c r="D13" s="2583"/>
      <c r="E13" s="2583"/>
      <c r="F13" s="2583"/>
      <c r="G13" s="2583"/>
      <c r="H13" s="2583"/>
      <c r="I13" s="2583"/>
      <c r="J13" s="2583"/>
      <c r="K13" s="2583"/>
      <c r="L13" s="2583"/>
      <c r="M13" s="2583"/>
      <c r="N13" s="2583"/>
      <c r="O13" s="2583"/>
      <c r="P13" s="2584"/>
      <c r="Q13" s="946"/>
    </row>
    <row r="14" spans="1:27" ht="16.5" customHeight="1">
      <c r="A14" s="881" t="s">
        <v>284</v>
      </c>
      <c r="B14" s="2574" t="s">
        <v>9</v>
      </c>
      <c r="C14" s="2575"/>
      <c r="D14" s="2576"/>
      <c r="E14" s="2577" t="str">
        <f>VESSEL</f>
        <v>MV PESSADA</v>
      </c>
      <c r="F14" s="2427"/>
      <c r="G14" s="2427"/>
      <c r="H14" s="2427"/>
      <c r="I14" s="2427"/>
      <c r="J14" s="2427"/>
      <c r="K14" s="2427"/>
      <c r="L14" s="2427"/>
      <c r="M14" s="2427"/>
      <c r="N14" s="2427"/>
      <c r="O14" s="2427"/>
      <c r="P14" s="2428"/>
    </row>
    <row r="15" spans="1:27" ht="16.5" customHeight="1">
      <c r="A15" s="881" t="str">
        <f t="shared" ref="A15:A29" si="0">IF(SURVEYMODE=3,"HIDE","Y")</f>
        <v>Y</v>
      </c>
      <c r="B15" s="2616" t="s">
        <v>1079</v>
      </c>
      <c r="C15" s="2617"/>
      <c r="D15" s="2618"/>
      <c r="E15" s="2608" t="str">
        <f>IF(BARGESEL=1,BARGE,RIGHT(X8,LEN(X8)-2))</f>
        <v>M/T YALÇIN 2</v>
      </c>
      <c r="F15" s="2609"/>
      <c r="G15" s="2609"/>
      <c r="H15" s="2609"/>
      <c r="I15" s="2609"/>
      <c r="J15" s="2609"/>
      <c r="K15" s="2609"/>
      <c r="L15" s="2609"/>
      <c r="M15" s="2595" t="str">
        <f>IF(O15="","","License No.:")</f>
        <v/>
      </c>
      <c r="N15" s="2595"/>
      <c r="O15" s="2609" t="str">
        <f>IF(AND(SURVEYMODE&lt;&gt;3,SPORE=TRUE,BARGESEL=1),BARGELIC,"")</f>
        <v/>
      </c>
      <c r="P15" s="2610"/>
    </row>
    <row r="16" spans="1:27" ht="16.5" customHeight="1">
      <c r="A16" s="881" t="s">
        <v>284</v>
      </c>
      <c r="B16" s="2578" t="s">
        <v>1296</v>
      </c>
      <c r="C16" s="2578"/>
      <c r="D16" s="2578"/>
      <c r="E16" s="2589" t="str">
        <f>CLIENT &amp;" / " &amp;REFNOCLIENT</f>
        <v xml:space="preserve"> / </v>
      </c>
      <c r="F16" s="2590"/>
      <c r="G16" s="2590"/>
      <c r="H16" s="2590"/>
      <c r="I16" s="2590"/>
      <c r="J16" s="2590"/>
      <c r="K16" s="2590"/>
      <c r="L16" s="2590"/>
      <c r="M16" s="2590"/>
      <c r="N16" s="2590"/>
      <c r="O16" s="2590"/>
      <c r="P16" s="2591"/>
    </row>
    <row r="17" spans="1:24" ht="16.5" customHeight="1">
      <c r="A17" s="881" t="s">
        <v>284</v>
      </c>
      <c r="B17" s="2578" t="s">
        <v>316</v>
      </c>
      <c r="C17" s="2578"/>
      <c r="D17" s="2578"/>
      <c r="E17" s="2629" t="str">
        <f>REFNO</f>
        <v>PI/2022/15000/TR</v>
      </c>
      <c r="F17" s="2629"/>
      <c r="G17" s="2629"/>
      <c r="H17" s="2629"/>
      <c r="I17" s="2629"/>
      <c r="J17" s="2629"/>
      <c r="K17" s="2629"/>
      <c r="L17" s="2629"/>
      <c r="M17" s="2629"/>
      <c r="N17" s="2629"/>
      <c r="O17" s="2629"/>
      <c r="P17" s="2629"/>
    </row>
    <row r="18" spans="1:24" ht="16.5" customHeight="1">
      <c r="A18" s="881" t="str">
        <f t="shared" si="0"/>
        <v>Y</v>
      </c>
      <c r="B18" s="2611" t="s">
        <v>317</v>
      </c>
      <c r="C18" s="2612"/>
      <c r="D18" s="2612"/>
      <c r="E18" s="2608" t="str">
        <f>IF(BARGESEL=1,SUPPLIER,RIGHT(U8,LEN(U8)-2))</f>
        <v>ENERGY</v>
      </c>
      <c r="F18" s="2609"/>
      <c r="G18" s="2609"/>
      <c r="H18" s="2609"/>
      <c r="I18" s="2609"/>
      <c r="J18" s="2609"/>
      <c r="K18" s="2609"/>
      <c r="L18" s="2609"/>
      <c r="M18" s="2609"/>
      <c r="N18" s="2609"/>
      <c r="O18" s="2609"/>
      <c r="P18" s="2610"/>
    </row>
    <row r="19" spans="1:24" ht="16.5" customHeight="1">
      <c r="A19" s="881" t="str">
        <f t="shared" si="0"/>
        <v>Y</v>
      </c>
      <c r="B19" s="2616" t="s">
        <v>1145</v>
      </c>
      <c r="C19" s="2619"/>
      <c r="D19" s="2619"/>
      <c r="E19" s="2608" t="str">
        <f>RIGHT(Z8,LEN(Z8)-2)</f>
        <v>LSFO, LSMGO</v>
      </c>
      <c r="F19" s="2609"/>
      <c r="G19" s="2609"/>
      <c r="H19" s="2609"/>
      <c r="I19" s="2609"/>
      <c r="J19" s="2609"/>
      <c r="K19" s="2609"/>
      <c r="L19" s="2609"/>
      <c r="M19" s="2609"/>
      <c r="N19" s="2609"/>
      <c r="O19" s="2609"/>
      <c r="P19" s="2610"/>
    </row>
    <row r="20" spans="1:24" ht="16.5" customHeight="1">
      <c r="A20" s="881" t="s">
        <v>284</v>
      </c>
      <c r="B20" s="2578" t="s">
        <v>46</v>
      </c>
      <c r="C20" s="2578"/>
      <c r="D20" s="2578"/>
      <c r="E20" s="2613" t="str">
        <f>PORT</f>
        <v>ISTANBUL / TURKEY</v>
      </c>
      <c r="F20" s="2614"/>
      <c r="G20" s="2614"/>
      <c r="H20" s="2614"/>
      <c r="I20" s="2614"/>
      <c r="J20" s="2614"/>
      <c r="K20" s="2614"/>
      <c r="L20" s="2614"/>
      <c r="M20" s="2614"/>
      <c r="N20" s="2614"/>
      <c r="O20" s="2614"/>
      <c r="P20" s="2615"/>
    </row>
    <row r="21" spans="1:24" ht="16.5" customHeight="1">
      <c r="A21" s="881" t="s">
        <v>284</v>
      </c>
      <c r="B21" s="2585" t="s">
        <v>44</v>
      </c>
      <c r="C21" s="2585"/>
      <c r="D21" s="2585"/>
      <c r="E21" s="2586">
        <f>DATESURVC</f>
        <v>44792</v>
      </c>
      <c r="F21" s="2587"/>
      <c r="G21" s="2587"/>
      <c r="H21" s="2587"/>
      <c r="I21" s="2587"/>
      <c r="J21" s="2587"/>
      <c r="K21" s="2587"/>
      <c r="L21" s="2587"/>
      <c r="M21" s="2587"/>
      <c r="N21" s="2587"/>
      <c r="O21" s="2587"/>
      <c r="P21" s="2588"/>
    </row>
    <row r="22" spans="1:24" s="933" customFormat="1" ht="5.25">
      <c r="A22" s="933" t="str">
        <f>A23</f>
        <v>Y</v>
      </c>
    </row>
    <row r="23" spans="1:24" ht="18">
      <c r="A23" s="938" t="str">
        <f t="shared" ref="A23" si="1">IF(SURVEYMODE=2,"HIDE","Y")</f>
        <v>Y</v>
      </c>
      <c r="B23" s="2568" t="s">
        <v>669</v>
      </c>
      <c r="C23" s="2569"/>
      <c r="D23" s="2569"/>
      <c r="E23" s="2569"/>
      <c r="F23" s="2569"/>
      <c r="G23" s="2569"/>
      <c r="H23" s="2569"/>
      <c r="I23" s="2569"/>
      <c r="J23" s="2569"/>
      <c r="K23" s="2569"/>
      <c r="L23" s="2569"/>
      <c r="M23" s="2569"/>
      <c r="N23" s="2569"/>
      <c r="O23" s="2569"/>
      <c r="P23" s="2570"/>
    </row>
    <row r="24" spans="1:24" ht="16.5" customHeight="1">
      <c r="A24" s="881" t="str">
        <f>A23</f>
        <v>Y</v>
      </c>
      <c r="B24" s="2441" t="s">
        <v>313</v>
      </c>
      <c r="C24" s="2442"/>
      <c r="D24" s="2443"/>
      <c r="E24" s="2600" t="str">
        <f>'Preliminary Report'!E21</f>
        <v>HSFO</v>
      </c>
      <c r="F24" s="2601"/>
      <c r="G24" s="2606" t="str">
        <f>'Preliminary Report'!F21</f>
        <v>LSFO</v>
      </c>
      <c r="H24" s="2601"/>
      <c r="I24" s="2606" t="str">
        <f>'Preliminary Report'!G21</f>
        <v>MDO</v>
      </c>
      <c r="J24" s="2601"/>
      <c r="K24" s="2606" t="str">
        <f>'Preliminary Report'!H21</f>
        <v>LSMDO</v>
      </c>
      <c r="L24" s="2601"/>
      <c r="M24" s="2606" t="str">
        <f>'Preliminary Report'!I21</f>
        <v>MGO</v>
      </c>
      <c r="N24" s="2601"/>
      <c r="O24" s="2622" t="str">
        <f>'Preliminary Report'!J21</f>
        <v>LSMGO</v>
      </c>
      <c r="P24" s="2623"/>
    </row>
    <row r="25" spans="1:24" ht="16.5" customHeight="1">
      <c r="A25" s="881" t="str">
        <f>A23</f>
        <v>Y</v>
      </c>
      <c r="B25" s="2620" t="str">
        <f>'Preliminary Report'!B22</f>
        <v>ROB as Measured:</v>
      </c>
      <c r="C25" s="2621"/>
      <c r="D25" s="2621"/>
      <c r="E25" s="2602">
        <f>'Preliminary Report'!E22</f>
        <v>0</v>
      </c>
      <c r="F25" s="2603"/>
      <c r="G25" s="2607">
        <f>'Preliminary Report'!F22</f>
        <v>901.36</v>
      </c>
      <c r="H25" s="2603"/>
      <c r="I25" s="2607">
        <f>'Preliminary Report'!G22</f>
        <v>0</v>
      </c>
      <c r="J25" s="2603"/>
      <c r="K25" s="2607">
        <f>'Preliminary Report'!H22</f>
        <v>0</v>
      </c>
      <c r="L25" s="2603"/>
      <c r="M25" s="2607">
        <f>'Preliminary Report'!I22</f>
        <v>0</v>
      </c>
      <c r="N25" s="2603"/>
      <c r="O25" s="2607">
        <f>'Preliminary Report'!J22</f>
        <v>115.51600000000001</v>
      </c>
      <c r="P25" s="2624"/>
    </row>
    <row r="26" spans="1:24" ht="16.5" customHeight="1">
      <c r="A26" s="881" t="str">
        <f>A23</f>
        <v>Y</v>
      </c>
      <c r="B26" s="2627" t="str">
        <f>'Preliminary Report'!B23</f>
        <v>ROB as Declared by Ch. Eng:</v>
      </c>
      <c r="C26" s="2628"/>
      <c r="D26" s="2628"/>
      <c r="E26" s="2604">
        <f>'Preliminary Report'!E23</f>
        <v>0</v>
      </c>
      <c r="F26" s="2597"/>
      <c r="G26" s="2596">
        <f>'Preliminary Report'!F23</f>
        <v>902.24</v>
      </c>
      <c r="H26" s="2597"/>
      <c r="I26" s="2596">
        <f>'Preliminary Report'!G23</f>
        <v>0</v>
      </c>
      <c r="J26" s="2597"/>
      <c r="K26" s="2596">
        <f>'Preliminary Report'!H23</f>
        <v>0</v>
      </c>
      <c r="L26" s="2597"/>
      <c r="M26" s="2596">
        <f>'Preliminary Report'!I23</f>
        <v>0</v>
      </c>
      <c r="N26" s="2597"/>
      <c r="O26" s="2596">
        <f>'Preliminary Report'!J23</f>
        <v>116.086</v>
      </c>
      <c r="P26" s="2625"/>
    </row>
    <row r="27" spans="1:24" ht="16.5" customHeight="1">
      <c r="A27" s="881" t="str">
        <f>A23</f>
        <v>Y</v>
      </c>
      <c r="B27" s="2579" t="str">
        <f>'Preliminary Report'!B24</f>
        <v>Weight Differential (MT):</v>
      </c>
      <c r="C27" s="2580"/>
      <c r="D27" s="2581"/>
      <c r="E27" s="2605">
        <f>'Preliminary Report'!E24</f>
        <v>0</v>
      </c>
      <c r="F27" s="2599"/>
      <c r="G27" s="2598">
        <f>'Preliminary Report'!F24</f>
        <v>-0.87999999999999545</v>
      </c>
      <c r="H27" s="2599"/>
      <c r="I27" s="2598">
        <f>'Preliminary Report'!G24</f>
        <v>0</v>
      </c>
      <c r="J27" s="2599"/>
      <c r="K27" s="2598">
        <f>'Preliminary Report'!H24</f>
        <v>0</v>
      </c>
      <c r="L27" s="2599"/>
      <c r="M27" s="2598">
        <f>'Preliminary Report'!I24</f>
        <v>0</v>
      </c>
      <c r="N27" s="2599"/>
      <c r="O27" s="2598">
        <f>'Preliminary Report'!J24</f>
        <v>-0.56999999999999318</v>
      </c>
      <c r="P27" s="2626"/>
    </row>
    <row r="28" spans="1:24" s="936" customFormat="1" ht="6" customHeight="1">
      <c r="A28" s="933" t="str">
        <f>A29</f>
        <v>Y</v>
      </c>
    </row>
    <row r="29" spans="1:24" s="888" customFormat="1" ht="18.75" customHeight="1">
      <c r="A29" s="940" t="str">
        <f t="shared" si="0"/>
        <v>Y</v>
      </c>
      <c r="B29" s="2592" t="s">
        <v>721</v>
      </c>
      <c r="C29" s="2593"/>
      <c r="D29" s="2593"/>
      <c r="E29" s="2593"/>
      <c r="F29" s="2593"/>
      <c r="G29" s="2593"/>
      <c r="H29" s="2593"/>
      <c r="I29" s="2593"/>
      <c r="J29" s="2593"/>
      <c r="K29" s="2593"/>
      <c r="L29" s="2593"/>
      <c r="M29" s="2593"/>
      <c r="N29" s="2593"/>
      <c r="O29" s="2593"/>
      <c r="P29" s="2594"/>
    </row>
    <row r="30" spans="1:24" s="947" customFormat="1" ht="5.25" hidden="1">
      <c r="A30" s="947" t="str">
        <f>A31</f>
        <v>HIDE</v>
      </c>
    </row>
    <row r="31" spans="1:24" s="888" customFormat="1" ht="15" hidden="1" customHeight="1">
      <c r="A31" s="939" t="str">
        <f>IF(SURVEYMODE=3,"HIDE",IF(C33="","HIDE","Y"))</f>
        <v>HIDE</v>
      </c>
      <c r="B31" s="1435" t="str">
        <f>IF(BARGESEL=1,"Grade:","Barge:")</f>
        <v>Grade:</v>
      </c>
      <c r="C31" s="2630" t="str">
        <f>IF(BARGESEL=1,C33,'Preliminary Report'!E29)</f>
        <v/>
      </c>
      <c r="D31" s="2630"/>
      <c r="E31" s="2496" t="str">
        <f>IF(G31="","","License No.:")</f>
        <v/>
      </c>
      <c r="F31" s="2496"/>
      <c r="G31" s="2495" t="str">
        <f>IF(BARGESEL=1,"",'Preliminary Report'!H29)</f>
        <v/>
      </c>
      <c r="H31" s="2495"/>
      <c r="I31" s="2496" t="str">
        <f>IF(BARGESEL=1,"","Supplier:")</f>
        <v/>
      </c>
      <c r="J31" s="2496"/>
      <c r="K31" s="2495" t="str">
        <f>IF(BARGESEL=1,"",'Preliminary Report'!E28)</f>
        <v/>
      </c>
      <c r="L31" s="2495"/>
      <c r="M31" s="2495"/>
      <c r="N31" s="2495"/>
      <c r="O31" s="2495"/>
      <c r="P31" s="2497"/>
    </row>
    <row r="32" spans="1:24" s="932" customFormat="1" ht="15" hidden="1" customHeight="1">
      <c r="A32" s="932" t="str">
        <f>A31</f>
        <v>HIDE</v>
      </c>
      <c r="B32" s="2482" t="s">
        <v>695</v>
      </c>
      <c r="C32" s="2483"/>
      <c r="D32" s="2483"/>
      <c r="E32" s="2483"/>
      <c r="F32" s="2483"/>
      <c r="G32" s="2483"/>
      <c r="H32" s="2483"/>
      <c r="I32" s="2483"/>
      <c r="J32" s="2483"/>
      <c r="K32" s="2483"/>
      <c r="L32" s="2483"/>
      <c r="M32" s="2483"/>
      <c r="N32" s="2483"/>
      <c r="O32" s="2483"/>
      <c r="P32" s="2484"/>
      <c r="Q32" s="881"/>
      <c r="R32" s="881"/>
      <c r="S32" s="881"/>
      <c r="T32" s="881"/>
      <c r="U32" s="881"/>
      <c r="V32" s="881"/>
      <c r="W32" s="881"/>
      <c r="X32" s="881"/>
    </row>
    <row r="33" spans="1:16" ht="15" hidden="1" customHeight="1">
      <c r="A33" s="881" t="str">
        <f>A31</f>
        <v>HIDE</v>
      </c>
      <c r="B33" s="1436" t="s">
        <v>313</v>
      </c>
      <c r="C33" s="1900" t="str">
        <f>'Preliminary Report'!C31</f>
        <v/>
      </c>
      <c r="D33" s="1905" t="str">
        <f>'Preliminary Report'!D31</f>
        <v/>
      </c>
      <c r="E33" s="1815" t="s">
        <v>1279</v>
      </c>
      <c r="F33" s="1816" t="s">
        <v>291</v>
      </c>
      <c r="G33" s="2561" t="s">
        <v>719</v>
      </c>
      <c r="H33" s="2562"/>
      <c r="I33" s="2561" t="s">
        <v>159</v>
      </c>
      <c r="J33" s="2562"/>
      <c r="K33" s="2561" t="s">
        <v>720</v>
      </c>
      <c r="L33" s="2562"/>
      <c r="M33" s="2561" t="s">
        <v>714</v>
      </c>
      <c r="N33" s="2562"/>
      <c r="O33" s="1817" t="s">
        <v>668</v>
      </c>
      <c r="P33" s="1818" t="s">
        <v>713</v>
      </c>
    </row>
    <row r="34" spans="1:16" ht="15" hidden="1" customHeight="1">
      <c r="A34" s="881" t="str">
        <f>A31</f>
        <v>HIDE</v>
      </c>
      <c r="B34" s="2563" t="s">
        <v>716</v>
      </c>
      <c r="C34" s="2564"/>
      <c r="D34" s="2565"/>
      <c r="E34" s="2631" t="str">
        <f>'Preliminary Report'!E32</f>
        <v/>
      </c>
      <c r="F34" s="1819" t="e">
        <f>I40/1000</f>
        <v>#N/A</v>
      </c>
      <c r="G34" s="2566" t="str">
        <f>'Preliminary Report'!F32</f>
        <v/>
      </c>
      <c r="H34" s="2567"/>
      <c r="I34" s="2566">
        <f>'Preliminary Report'!G32</f>
        <v>0</v>
      </c>
      <c r="J34" s="2567"/>
      <c r="K34" s="2566">
        <f>'Preliminary Report'!H32</f>
        <v>0</v>
      </c>
      <c r="L34" s="2567"/>
      <c r="M34" s="2566" t="e">
        <f>K34-G34</f>
        <v>#VALUE!</v>
      </c>
      <c r="N34" s="2567"/>
      <c r="O34" s="1820" t="e">
        <f>IF(G34=0,"",(K34-G34)*100/G34)/100</f>
        <v>#VALUE!</v>
      </c>
      <c r="P34" s="2633" t="e">
        <f>IF(PRICESHOW=FALSE,"",INDEX(PRICELIST,MATCH(C33,GRADESLISTINI,0),1))</f>
        <v>#N/A</v>
      </c>
    </row>
    <row r="35" spans="1:16" ht="15" hidden="1" customHeight="1">
      <c r="A35" s="881" t="str">
        <f>A31</f>
        <v>HIDE</v>
      </c>
      <c r="B35" s="2552" t="s">
        <v>715</v>
      </c>
      <c r="C35" s="2553"/>
      <c r="D35" s="2554"/>
      <c r="E35" s="2632"/>
      <c r="F35" s="1821" t="e">
        <f>IF(K40="-","-",K40/1000)</f>
        <v>#N/A</v>
      </c>
      <c r="G35" s="2555" t="e">
        <f>IF($F35="-","-",G34/($F34-0.0011)*($F35-0.0011))</f>
        <v>#N/A</v>
      </c>
      <c r="H35" s="2556"/>
      <c r="I35" s="2555" t="e">
        <f>IF($F35="-","-",I34/($F34-0.0011)*($F35-0.0011))</f>
        <v>#N/A</v>
      </c>
      <c r="J35" s="2556"/>
      <c r="K35" s="2555" t="e">
        <f>IF($F35="-","-",K34/($F34-0.0011)*($F35-0.0011))</f>
        <v>#N/A</v>
      </c>
      <c r="L35" s="2556"/>
      <c r="M35" s="2555" t="str">
        <f>IF(ISERROR(K35-G35),"-",K35-G35)</f>
        <v>-</v>
      </c>
      <c r="N35" s="2556"/>
      <c r="O35" s="1822" t="str">
        <f>IF(M35="-","-",IF(G35=0,"",(K35-G35)*100/G35)/100)</f>
        <v>-</v>
      </c>
      <c r="P35" s="2634"/>
    </row>
    <row r="36" spans="1:16" ht="15" hidden="1" customHeight="1">
      <c r="A36" s="881" t="str">
        <f>A31</f>
        <v>HIDE</v>
      </c>
      <c r="B36" s="2557" t="s">
        <v>717</v>
      </c>
      <c r="C36" s="2558"/>
      <c r="D36" s="2559"/>
      <c r="E36" s="1823"/>
      <c r="F36" s="1824"/>
      <c r="G36" s="2560" t="str">
        <f>IF(ISERROR(G35-G34),"-",G35-G34)</f>
        <v>-</v>
      </c>
      <c r="H36" s="2560"/>
      <c r="I36" s="2560" t="str">
        <f>IF(ISERROR(I35-I34),"-",I35-I34)</f>
        <v>-</v>
      </c>
      <c r="J36" s="2560"/>
      <c r="K36" s="2560" t="str">
        <f>IF(ISERROR(K35-K34),"-",K35-K34)</f>
        <v>-</v>
      </c>
      <c r="L36" s="2560"/>
      <c r="M36" s="2560" t="str">
        <f>IF(ISERROR(M35-M34),"-",M35-M34)</f>
        <v>-</v>
      </c>
      <c r="N36" s="2560"/>
      <c r="O36" s="1825" t="e">
        <f>IF(G35="-","-",IF(G34=0,"",(G35-G34)*100/G34)/100)</f>
        <v>#N/A</v>
      </c>
      <c r="P36" s="1826" t="str">
        <f>IF(PRICESHOW=FALSE,"",IF(G36="-","-",G36*INDEX(PRICELIST,MATCH(C33,GRADESLISTINI,0),1)))</f>
        <v>-</v>
      </c>
    </row>
    <row r="37" spans="1:16" s="936" customFormat="1" ht="5.25" hidden="1">
      <c r="A37" s="936" t="str">
        <f>A31</f>
        <v>HIDE</v>
      </c>
      <c r="B37" s="1827"/>
      <c r="C37" s="1828"/>
      <c r="D37" s="1828"/>
      <c r="E37" s="1829"/>
      <c r="F37" s="1829"/>
      <c r="G37" s="1829"/>
      <c r="H37" s="1829"/>
      <c r="I37" s="1829"/>
      <c r="J37" s="1829"/>
      <c r="K37" s="1829"/>
      <c r="L37" s="1829"/>
      <c r="M37" s="1829"/>
      <c r="N37" s="1829"/>
      <c r="O37" s="1829"/>
      <c r="P37" s="1830"/>
    </row>
    <row r="38" spans="1:16" ht="15" hidden="1" customHeight="1">
      <c r="A38" s="881" t="str">
        <f>A31</f>
        <v>HIDE</v>
      </c>
      <c r="B38" s="2482" t="s">
        <v>696</v>
      </c>
      <c r="C38" s="2483"/>
      <c r="D38" s="2483"/>
      <c r="E38" s="2483"/>
      <c r="F38" s="2483"/>
      <c r="G38" s="2483"/>
      <c r="H38" s="2483"/>
      <c r="I38" s="2483"/>
      <c r="J38" s="2483"/>
      <c r="K38" s="2483"/>
      <c r="L38" s="2483"/>
      <c r="M38" s="2483"/>
      <c r="N38" s="2483"/>
      <c r="O38" s="2483"/>
      <c r="P38" s="2484"/>
    </row>
    <row r="39" spans="1:16" ht="15" hidden="1" customHeight="1">
      <c r="A39" s="881" t="str">
        <f>A31</f>
        <v>HIDE</v>
      </c>
      <c r="B39" s="1437" t="s">
        <v>313</v>
      </c>
      <c r="C39" s="1901" t="str">
        <f>C33</f>
        <v/>
      </c>
      <c r="D39" s="1906" t="str">
        <f>D33</f>
        <v/>
      </c>
      <c r="E39" s="2537" t="s">
        <v>704</v>
      </c>
      <c r="F39" s="2538"/>
      <c r="G39" s="2538"/>
      <c r="H39" s="2539"/>
      <c r="I39" s="2540" t="s">
        <v>667</v>
      </c>
      <c r="J39" s="2539"/>
      <c r="K39" s="2540" t="s">
        <v>666</v>
      </c>
      <c r="L39" s="2539"/>
      <c r="M39" s="2540" t="s">
        <v>665</v>
      </c>
      <c r="N39" s="2539"/>
      <c r="O39" s="2540" t="s">
        <v>694</v>
      </c>
      <c r="P39" s="2541"/>
    </row>
    <row r="40" spans="1:16" ht="15" hidden="1" customHeight="1">
      <c r="A40" s="881" t="str">
        <f>A31</f>
        <v>HIDE</v>
      </c>
      <c r="B40" s="2542" t="s">
        <v>702</v>
      </c>
      <c r="C40" s="2543"/>
      <c r="D40" s="2544"/>
      <c r="E40" s="2545" t="s">
        <v>718</v>
      </c>
      <c r="F40" s="2546"/>
      <c r="G40" s="2546"/>
      <c r="H40" s="2547"/>
      <c r="I40" s="2548" t="e">
        <f>INDEX('Cover Page'!$AI$106:$AI$111,MATCH($C39,'Cover Page'!$AC$106:$AC$111,0),1)*1000</f>
        <v>#N/A</v>
      </c>
      <c r="J40" s="2549"/>
      <c r="K40" s="2548" t="e">
        <f>IF(INDEX('Cover Page'!$AR$106:$AR$111,MATCH($C39,'Cover Page'!$AL$106:$AL$111,0),1)="","-",INDEX('Cover Page'!$AR$106:$AR$111,MATCH($C39,'Cover Page'!$AL$106:$AL$111,0),1)*1000)</f>
        <v>#N/A</v>
      </c>
      <c r="L40" s="2549"/>
      <c r="M40" s="2548">
        <f>IF(ISERROR(MATCH($C39,RESIDUALS,0)),'POWER SETT'!$G$14,'POWER SETT'!$F$14)*1000</f>
        <v>890</v>
      </c>
      <c r="N40" s="2549"/>
      <c r="O40" s="2550" t="e">
        <f>IF(K40="-","-",IF(K40&gt;M40,"No","Yes"))</f>
        <v>#N/A</v>
      </c>
      <c r="P40" s="2551"/>
    </row>
    <row r="41" spans="1:16" ht="15" hidden="1" customHeight="1">
      <c r="A41" s="881" t="str">
        <f>A31</f>
        <v>HIDE</v>
      </c>
      <c r="B41" s="2515" t="s">
        <v>703</v>
      </c>
      <c r="C41" s="2516"/>
      <c r="D41" s="2517"/>
      <c r="E41" s="2518" t="str">
        <f>IF(ISERROR(MATCH($C39,RESIDUALS,0)),"40ºC cSt","50ºC cSt")</f>
        <v>40ºC cSt</v>
      </c>
      <c r="F41" s="2519"/>
      <c r="G41" s="2519"/>
      <c r="H41" s="2520"/>
      <c r="I41" s="2521" t="e">
        <f>INDEX('Cover Page'!$I$106:$N$109,2,MATCH($C39,'Cover Page'!$I$88:$N$88,0))</f>
        <v>#N/A</v>
      </c>
      <c r="J41" s="2522"/>
      <c r="K41" s="2521" t="e">
        <f>IF(ISBLANK(INDEX('Cover Page'!$I$110:$N$113,2,MATCH($C39,'Cover Page'!$I$88:$N$88,0))),"-",INDEX('Cover Page'!$I$110:$N$113,2,MATCH($C39,'Cover Page'!$I$88:$N$88,0)))</f>
        <v>#N/A</v>
      </c>
      <c r="L41" s="2522"/>
      <c r="M41" s="2521">
        <f>IF(ISERROR(MATCH($C39,RESIDUALS,0)),'POWER SETT'!$G$15,'POWER SETT'!$F$15)</f>
        <v>6</v>
      </c>
      <c r="N41" s="2522"/>
      <c r="O41" s="2523" t="e">
        <f>IF(K41="-","-",IF(K41&gt;M41,"No","Yes"))</f>
        <v>#N/A</v>
      </c>
      <c r="P41" s="2524"/>
    </row>
    <row r="42" spans="1:16" ht="15" hidden="1" customHeight="1">
      <c r="A42" s="881" t="str">
        <f>A31</f>
        <v>HIDE</v>
      </c>
      <c r="B42" s="2515" t="s">
        <v>705</v>
      </c>
      <c r="C42" s="2516"/>
      <c r="D42" s="2517"/>
      <c r="E42" s="2518" t="s">
        <v>706</v>
      </c>
      <c r="F42" s="2519"/>
      <c r="G42" s="2519"/>
      <c r="H42" s="2520"/>
      <c r="I42" s="2525" t="e">
        <f>INDEX('Cover Page'!$I$106:$N$109,3,MATCH($C39,'Cover Page'!$I$88:$N$88,0))</f>
        <v>#N/A</v>
      </c>
      <c r="J42" s="2526"/>
      <c r="K42" s="2525" t="e">
        <f>IF(ISBLANK(INDEX('Cover Page'!$I$110:$N$113,3,MATCH($C39,'Cover Page'!$I$88:$N$88,0))),"-",INDEX('Cover Page'!$I$110:$N$113,3,MATCH($C39,'Cover Page'!$I$88:$N$88,0)))</f>
        <v>#N/A</v>
      </c>
      <c r="L42" s="2526"/>
      <c r="M42" s="2525">
        <f>IF(ISERROR(MATCH($C39,RESIDUALS,0)),'POWER SETT'!$G$16,'POWER SETT'!$F$16)</f>
        <v>0.6</v>
      </c>
      <c r="N42" s="2526"/>
      <c r="O42" s="2523" t="e">
        <f>IF(K42="-","-",IF(K42&gt;M42,"No","Yes"))</f>
        <v>#N/A</v>
      </c>
      <c r="P42" s="2524"/>
    </row>
    <row r="43" spans="1:16" ht="15" hidden="1" customHeight="1">
      <c r="A43" s="881" t="str">
        <f>A31</f>
        <v>HIDE</v>
      </c>
      <c r="B43" s="2527" t="s">
        <v>1507</v>
      </c>
      <c r="C43" s="2528"/>
      <c r="D43" s="2529"/>
      <c r="E43" s="2530" t="s">
        <v>1508</v>
      </c>
      <c r="F43" s="2531"/>
      <c r="G43" s="2531"/>
      <c r="H43" s="2532"/>
      <c r="I43" s="2533" t="e">
        <f>INDEX('Cover Page'!$I$106:$N$109,4,MATCH($C39,'Cover Page'!$I$88:$N$88,0))</f>
        <v>#N/A</v>
      </c>
      <c r="J43" s="2534"/>
      <c r="K43" s="2533" t="e">
        <f>IF(ISBLANK(INDEX('Cover Page'!$I$110:$N$113,4,MATCH($C39,'Cover Page'!$I$88:$N$88,0))),"-",INDEX('Cover Page'!$I$110:$N$113,4,MATCH($C39,'Cover Page'!$I$88:$N$88,0)))</f>
        <v>#N/A</v>
      </c>
      <c r="L43" s="2534"/>
      <c r="M43" s="2533">
        <f>IF(ISERROR(MATCH($C39,RESIDUALS,0)),'POWER SETT'!$G$17,'POWER SETT'!$F$17)</f>
        <v>0.5</v>
      </c>
      <c r="N43" s="2534"/>
      <c r="O43" s="2535" t="e">
        <f>IF(K43="-","-",IF(K43&gt;M43,"No","Yes"))</f>
        <v>#N/A</v>
      </c>
      <c r="P43" s="2536"/>
    </row>
    <row r="44" spans="1:16" s="936" customFormat="1" ht="5.25" hidden="1">
      <c r="A44" s="936" t="str">
        <f>A46</f>
        <v>N</v>
      </c>
      <c r="B44" s="1831"/>
      <c r="C44" s="1832"/>
      <c r="D44" s="1832"/>
      <c r="E44" s="1832"/>
      <c r="F44" s="1832"/>
      <c r="G44" s="1832"/>
      <c r="H44" s="1832"/>
      <c r="I44" s="1832"/>
      <c r="J44" s="1832"/>
      <c r="K44" s="1832"/>
      <c r="L44" s="1832"/>
      <c r="M44" s="1832"/>
      <c r="N44" s="1832"/>
      <c r="O44" s="1832"/>
      <c r="P44" s="1830"/>
    </row>
    <row r="45" spans="1:16" ht="15" hidden="1" customHeight="1">
      <c r="A45" s="881" t="str">
        <f>A46</f>
        <v>N</v>
      </c>
      <c r="B45" s="2482" t="s">
        <v>711</v>
      </c>
      <c r="C45" s="2483"/>
      <c r="D45" s="2483"/>
      <c r="E45" s="2483"/>
      <c r="F45" s="2483"/>
      <c r="G45" s="2483"/>
      <c r="H45" s="2483"/>
      <c r="I45" s="2483"/>
      <c r="J45" s="2483"/>
      <c r="K45" s="2483"/>
      <c r="L45" s="2483"/>
      <c r="M45" s="2483"/>
      <c r="N45" s="2483"/>
      <c r="O45" s="2483"/>
      <c r="P45" s="2484"/>
    </row>
    <row r="46" spans="1:16" ht="15" hidden="1" customHeight="1">
      <c r="A46" s="938" t="str">
        <f>IF(SURVEYMODE=3,"HIDE",'Time Log'!A78)</f>
        <v>N</v>
      </c>
      <c r="B46" s="1437" t="s">
        <v>313</v>
      </c>
      <c r="C46" s="1901" t="str">
        <f>C33</f>
        <v/>
      </c>
      <c r="D46" s="1906" t="str">
        <f>D33</f>
        <v/>
      </c>
      <c r="E46" s="2485" t="s">
        <v>201</v>
      </c>
      <c r="F46" s="2486"/>
      <c r="G46" s="1833" t="s">
        <v>200</v>
      </c>
      <c r="H46" s="2485" t="s">
        <v>201</v>
      </c>
      <c r="I46" s="2486"/>
      <c r="J46" s="1833" t="s">
        <v>200</v>
      </c>
      <c r="K46" s="1834" t="s">
        <v>664</v>
      </c>
      <c r="L46" s="1835" t="s">
        <v>266</v>
      </c>
      <c r="M46" s="2487" t="s">
        <v>681</v>
      </c>
      <c r="N46" s="2488"/>
      <c r="O46" s="2488"/>
      <c r="P46" s="2489"/>
    </row>
    <row r="47" spans="1:16" ht="15" hidden="1" customHeight="1">
      <c r="A47" s="881" t="str">
        <f>A46</f>
        <v>N</v>
      </c>
      <c r="B47" s="2479" t="s">
        <v>663</v>
      </c>
      <c r="C47" s="2480"/>
      <c r="D47" s="2481"/>
      <c r="E47" s="2490">
        <f>'Time Log'!H79</f>
        <v>44792</v>
      </c>
      <c r="F47" s="2491"/>
      <c r="G47" s="1836">
        <f>'Time Log'!I79</f>
        <v>0.10416666666666667</v>
      </c>
      <c r="H47" s="2490">
        <f>'Time Log'!J79</f>
        <v>44792</v>
      </c>
      <c r="I47" s="2491"/>
      <c r="J47" s="1836">
        <f>'Time Log'!K79</f>
        <v>0.5</v>
      </c>
      <c r="K47" s="1837">
        <f>'Time Log'!L79</f>
        <v>0.39583333333333331</v>
      </c>
      <c r="L47" s="1838">
        <f>'Time Log'!M79</f>
        <v>9.5</v>
      </c>
      <c r="M47" s="2492" t="str">
        <f>IF('Time Log'!N79=0,"",'Time Log'!N79)</f>
        <v/>
      </c>
      <c r="N47" s="2493"/>
      <c r="O47" s="2493"/>
      <c r="P47" s="2494"/>
    </row>
    <row r="48" spans="1:16" ht="15" hidden="1" customHeight="1">
      <c r="A48" s="881" t="str">
        <f>A46</f>
        <v>N</v>
      </c>
      <c r="B48" s="2471" t="s">
        <v>662</v>
      </c>
      <c r="C48" s="2472"/>
      <c r="D48" s="2473"/>
      <c r="E48" s="2474">
        <f>'Time Log'!H80</f>
        <v>0</v>
      </c>
      <c r="F48" s="2475"/>
      <c r="G48" s="1839">
        <f>'Time Log'!I80</f>
        <v>0</v>
      </c>
      <c r="H48" s="2474">
        <f>'Time Log'!J80</f>
        <v>0</v>
      </c>
      <c r="I48" s="2475"/>
      <c r="J48" s="1839">
        <f>'Time Log'!K80</f>
        <v>0</v>
      </c>
      <c r="K48" s="1840" t="str">
        <f>'Time Log'!L80</f>
        <v/>
      </c>
      <c r="L48" s="1841" t="str">
        <f>'Time Log'!M80</f>
        <v/>
      </c>
      <c r="M48" s="2476" t="str">
        <f>IF('Time Log'!N80=0,"",'Time Log'!N80)</f>
        <v/>
      </c>
      <c r="N48" s="2477"/>
      <c r="O48" s="2477"/>
      <c r="P48" s="2478"/>
    </row>
    <row r="49" spans="1:24" ht="15" hidden="1" customHeight="1" thickBot="1">
      <c r="A49" s="938" t="str">
        <f>IF(SURVEYMODE=3,"HIDE",'Time Log'!A81)</f>
        <v>N</v>
      </c>
      <c r="B49" s="2471" t="s">
        <v>1035</v>
      </c>
      <c r="C49" s="2472"/>
      <c r="D49" s="2473"/>
      <c r="E49" s="2474">
        <f>'Time Log'!H81</f>
        <v>0</v>
      </c>
      <c r="F49" s="2475"/>
      <c r="G49" s="1839">
        <f>'Time Log'!I81</f>
        <v>0</v>
      </c>
      <c r="H49" s="2474">
        <f>'Time Log'!J81</f>
        <v>0</v>
      </c>
      <c r="I49" s="2475"/>
      <c r="J49" s="1839">
        <f>'Time Log'!K81</f>
        <v>0</v>
      </c>
      <c r="K49" s="1840" t="str">
        <f>'Time Log'!L81</f>
        <v/>
      </c>
      <c r="L49" s="1841" t="str">
        <f>'Time Log'!M81</f>
        <v/>
      </c>
      <c r="M49" s="2476" t="str">
        <f>IF('Time Log'!N81=0,"",'Time Log'!N81)</f>
        <v>Leaking hose connection</v>
      </c>
      <c r="N49" s="2477"/>
      <c r="O49" s="2477"/>
      <c r="P49" s="2478"/>
    </row>
    <row r="50" spans="1:24" ht="15" hidden="1" customHeight="1">
      <c r="A50" s="938" t="str">
        <f>IF(SURVEYMODE=3,"HIDE",'Time Log'!A82)</f>
        <v>N</v>
      </c>
      <c r="B50" s="2471" t="s">
        <v>1035</v>
      </c>
      <c r="C50" s="2472"/>
      <c r="D50" s="2473"/>
      <c r="E50" s="2474">
        <f>'Time Log'!H82</f>
        <v>0</v>
      </c>
      <c r="F50" s="2475"/>
      <c r="G50" s="1839">
        <f>'Time Log'!I82</f>
        <v>0</v>
      </c>
      <c r="H50" s="2474">
        <f>'Time Log'!J82</f>
        <v>0</v>
      </c>
      <c r="I50" s="2475"/>
      <c r="J50" s="1839">
        <f>'Time Log'!K82</f>
        <v>0</v>
      </c>
      <c r="K50" s="1840" t="str">
        <f>'Time Log'!L82</f>
        <v/>
      </c>
      <c r="L50" s="1841" t="str">
        <f>'Time Log'!M82</f>
        <v/>
      </c>
      <c r="M50" s="2476" t="str">
        <f>IF('Time Log'!N82=0,"",'Time Log'!N82)</f>
        <v>Stoppage due to potential cappuccino bunkers</v>
      </c>
      <c r="N50" s="2477"/>
      <c r="O50" s="2477"/>
      <c r="P50" s="2478"/>
    </row>
    <row r="51" spans="1:24" ht="15" hidden="1" customHeight="1">
      <c r="A51" s="938" t="str">
        <f>IF(SURVEYMODE=3,"HIDE",'Time Log'!A83)</f>
        <v>N</v>
      </c>
      <c r="B51" s="2471" t="s">
        <v>1035</v>
      </c>
      <c r="C51" s="2472"/>
      <c r="D51" s="2473"/>
      <c r="E51" s="2474">
        <f>'Time Log'!H83</f>
        <v>0</v>
      </c>
      <c r="F51" s="2475"/>
      <c r="G51" s="1839">
        <f>'Time Log'!I83</f>
        <v>0</v>
      </c>
      <c r="H51" s="2474">
        <f>'Time Log'!J83</f>
        <v>0</v>
      </c>
      <c r="I51" s="2475"/>
      <c r="J51" s="1839">
        <f>'Time Log'!K83</f>
        <v>0</v>
      </c>
      <c r="K51" s="1840" t="str">
        <f>'Time Log'!L83</f>
        <v/>
      </c>
      <c r="L51" s="1841" t="str">
        <f>'Time Log'!M83</f>
        <v/>
      </c>
      <c r="M51" s="2476" t="str">
        <f>IF('Time Log'!N83=0,"",'Time Log'!N83)</f>
        <v/>
      </c>
      <c r="N51" s="2477"/>
      <c r="O51" s="2477"/>
      <c r="P51" s="2478"/>
    </row>
    <row r="52" spans="1:24" ht="15" hidden="1" customHeight="1">
      <c r="A52" s="938" t="str">
        <f>IF(SURVEYMODE=3,"HIDE",'Time Log'!A84)</f>
        <v>N</v>
      </c>
      <c r="B52" s="2471" t="s">
        <v>1035</v>
      </c>
      <c r="C52" s="2472"/>
      <c r="D52" s="2473"/>
      <c r="E52" s="2474">
        <f>'Time Log'!H84</f>
        <v>0</v>
      </c>
      <c r="F52" s="2475"/>
      <c r="G52" s="1839">
        <f>'Time Log'!I84</f>
        <v>0</v>
      </c>
      <c r="H52" s="2474">
        <f>'Time Log'!J84</f>
        <v>0</v>
      </c>
      <c r="I52" s="2475"/>
      <c r="J52" s="1839">
        <f>'Time Log'!K84</f>
        <v>0</v>
      </c>
      <c r="K52" s="1840" t="str">
        <f>'Time Log'!L84</f>
        <v/>
      </c>
      <c r="L52" s="1841" t="str">
        <f>'Time Log'!M84</f>
        <v/>
      </c>
      <c r="M52" s="2476" t="str">
        <f>IF('Time Log'!N84=0,"",'Time Log'!N84)</f>
        <v/>
      </c>
      <c r="N52" s="2477"/>
      <c r="O52" s="2477"/>
      <c r="P52" s="2478"/>
    </row>
    <row r="53" spans="1:24" ht="15" hidden="1" customHeight="1" thickBot="1">
      <c r="A53" s="938" t="str">
        <f>IF(SURVEYMODE=3,"HIDE",'Time Log'!A85)</f>
        <v>N</v>
      </c>
      <c r="B53" s="2504" t="s">
        <v>1035</v>
      </c>
      <c r="C53" s="2505"/>
      <c r="D53" s="2506"/>
      <c r="E53" s="2507">
        <f>'Time Log'!H85</f>
        <v>0</v>
      </c>
      <c r="F53" s="2508"/>
      <c r="G53" s="1842">
        <f>'Time Log'!I85</f>
        <v>0</v>
      </c>
      <c r="H53" s="2507">
        <f>'Time Log'!J85</f>
        <v>0</v>
      </c>
      <c r="I53" s="2508"/>
      <c r="J53" s="1842">
        <f>'Time Log'!K85</f>
        <v>0</v>
      </c>
      <c r="K53" s="1843" t="str">
        <f>'Time Log'!L85</f>
        <v/>
      </c>
      <c r="L53" s="1844" t="str">
        <f>'Time Log'!M85</f>
        <v/>
      </c>
      <c r="M53" s="2459" t="str">
        <f>IF('Time Log'!N85=0,"",'Time Log'!N85)</f>
        <v/>
      </c>
      <c r="N53" s="2460"/>
      <c r="O53" s="2460"/>
      <c r="P53" s="2461"/>
    </row>
    <row r="54" spans="1:24" ht="15" hidden="1" customHeight="1">
      <c r="A54" s="881" t="str">
        <f>A46</f>
        <v>N</v>
      </c>
      <c r="B54" s="1845"/>
      <c r="C54" s="1845"/>
      <c r="D54" s="1845"/>
      <c r="E54" s="1845"/>
      <c r="F54" s="1845"/>
      <c r="G54" s="1845"/>
      <c r="H54" s="2498" t="s">
        <v>712</v>
      </c>
      <c r="I54" s="2499"/>
      <c r="J54" s="2500"/>
      <c r="K54" s="1846" t="str">
        <f>'Time Log'!L86</f>
        <v/>
      </c>
      <c r="L54" s="1847" t="str">
        <f>'Time Log'!M86</f>
        <v/>
      </c>
      <c r="M54" s="1845"/>
      <c r="N54" s="1845"/>
      <c r="O54" s="1845"/>
      <c r="P54" s="1845"/>
    </row>
    <row r="55" spans="1:24" ht="15" hidden="1" customHeight="1" thickBot="1">
      <c r="A55" s="881" t="str">
        <f>A46</f>
        <v>N</v>
      </c>
      <c r="B55" s="1848"/>
      <c r="C55" s="1848"/>
      <c r="D55" s="1848"/>
      <c r="E55" s="1848"/>
      <c r="F55" s="1848"/>
      <c r="G55" s="1848"/>
      <c r="H55" s="2501" t="s">
        <v>1034</v>
      </c>
      <c r="I55" s="2502"/>
      <c r="J55" s="2503"/>
      <c r="K55" s="1849">
        <f>'Time Log'!L87</f>
        <v>0</v>
      </c>
      <c r="L55" s="1850">
        <f>'Time Log'!M87</f>
        <v>0</v>
      </c>
      <c r="M55" s="1848"/>
      <c r="N55" s="1848"/>
      <c r="O55" s="1848"/>
      <c r="P55" s="1848"/>
    </row>
    <row r="56" spans="1:24" s="936" customFormat="1" ht="6" thickBot="1">
      <c r="A56" s="936" t="str">
        <f>A57</f>
        <v>Y</v>
      </c>
      <c r="B56" s="1851"/>
      <c r="C56" s="1851"/>
      <c r="D56" s="1851"/>
      <c r="E56" s="1851"/>
      <c r="F56" s="1851"/>
      <c r="G56" s="1851"/>
      <c r="H56" s="1851"/>
      <c r="I56" s="1851"/>
      <c r="J56" s="1851"/>
      <c r="K56" s="1851"/>
      <c r="L56" s="1851"/>
      <c r="M56" s="1851"/>
      <c r="N56" s="1851"/>
      <c r="O56" s="1851"/>
      <c r="P56" s="1851"/>
    </row>
    <row r="57" spans="1:24" s="888" customFormat="1" ht="15" customHeight="1">
      <c r="A57" s="939" t="str">
        <f>IF(SURVEYMODE=3,"HIDE",IF(C59="","HIDE","Y"))</f>
        <v>Y</v>
      </c>
      <c r="B57" s="1435" t="str">
        <f>IF(BARGESEL=1,"Grade:","Barge:")</f>
        <v>Grade:</v>
      </c>
      <c r="C57" s="2495" t="str">
        <f>IF(BARGESEL=1,C59,'Preliminary Report'!E35)</f>
        <v>LSFO</v>
      </c>
      <c r="D57" s="2495"/>
      <c r="E57" s="2496" t="str">
        <f>IF(G57="","","License No.:")</f>
        <v/>
      </c>
      <c r="F57" s="2496"/>
      <c r="G57" s="2495" t="str">
        <f>IF(BARGESEL=1,"",'Preliminary Report'!H35)</f>
        <v/>
      </c>
      <c r="H57" s="2495"/>
      <c r="I57" s="2496" t="str">
        <f>IF(BARGESEL=1,"","Supplier:")</f>
        <v/>
      </c>
      <c r="J57" s="2496"/>
      <c r="K57" s="2495" t="str">
        <f>IF(BARGESEL=1,"",'Preliminary Report'!E34)</f>
        <v/>
      </c>
      <c r="L57" s="2495"/>
      <c r="M57" s="2495"/>
      <c r="N57" s="2495"/>
      <c r="O57" s="2495"/>
      <c r="P57" s="2497"/>
    </row>
    <row r="58" spans="1:24" s="932" customFormat="1" ht="15" customHeight="1">
      <c r="A58" s="932" t="str">
        <f>A57</f>
        <v>Y</v>
      </c>
      <c r="B58" s="2482" t="s">
        <v>695</v>
      </c>
      <c r="C58" s="2483"/>
      <c r="D58" s="2483"/>
      <c r="E58" s="2483"/>
      <c r="F58" s="2483"/>
      <c r="G58" s="2483"/>
      <c r="H58" s="2483"/>
      <c r="I58" s="2483"/>
      <c r="J58" s="2483"/>
      <c r="K58" s="2483"/>
      <c r="L58" s="2483"/>
      <c r="M58" s="2483"/>
      <c r="N58" s="2483"/>
      <c r="O58" s="2483"/>
      <c r="P58" s="2484"/>
      <c r="Q58" s="881"/>
      <c r="R58" s="881"/>
      <c r="S58" s="881"/>
      <c r="T58" s="881"/>
      <c r="U58" s="881"/>
      <c r="V58" s="881"/>
      <c r="W58" s="881"/>
      <c r="X58" s="881"/>
    </row>
    <row r="59" spans="1:24" ht="15" customHeight="1">
      <c r="A59" s="881" t="str">
        <f>A57</f>
        <v>Y</v>
      </c>
      <c r="B59" s="1436" t="s">
        <v>313</v>
      </c>
      <c r="C59" s="1900" t="str">
        <f>'Preliminary Report'!C36</f>
        <v>LSFO</v>
      </c>
      <c r="D59" s="1905" t="str">
        <f>'Preliminary Report'!D36</f>
        <v/>
      </c>
      <c r="E59" s="1815" t="s">
        <v>1279</v>
      </c>
      <c r="F59" s="1816" t="s">
        <v>291</v>
      </c>
      <c r="G59" s="2561" t="s">
        <v>719</v>
      </c>
      <c r="H59" s="2562"/>
      <c r="I59" s="2561" t="s">
        <v>159</v>
      </c>
      <c r="J59" s="2562"/>
      <c r="K59" s="2561" t="s">
        <v>720</v>
      </c>
      <c r="L59" s="2562"/>
      <c r="M59" s="2561" t="s">
        <v>714</v>
      </c>
      <c r="N59" s="2562"/>
      <c r="O59" s="1817" t="s">
        <v>668</v>
      </c>
      <c r="P59" s="1818" t="s">
        <v>713</v>
      </c>
    </row>
    <row r="60" spans="1:24" ht="15" customHeight="1">
      <c r="A60" s="881" t="str">
        <f>A57</f>
        <v>Y</v>
      </c>
      <c r="B60" s="2563" t="s">
        <v>716</v>
      </c>
      <c r="C60" s="2564"/>
      <c r="D60" s="2565"/>
      <c r="E60" s="2631">
        <f>'Preliminary Report'!E37</f>
        <v>250</v>
      </c>
      <c r="F60" s="1819">
        <f>I66/1000</f>
        <v>0.92059999999999997</v>
      </c>
      <c r="G60" s="2566">
        <f>'Preliminary Report'!F37</f>
        <v>250</v>
      </c>
      <c r="H60" s="2567"/>
      <c r="I60" s="2566">
        <f>'Preliminary Report'!G37</f>
        <v>250.268</v>
      </c>
      <c r="J60" s="2567"/>
      <c r="K60" s="2566">
        <f>'Preliminary Report'!H37</f>
        <v>250.06200000000001</v>
      </c>
      <c r="L60" s="2567"/>
      <c r="M60" s="2566">
        <f>K60-G60</f>
        <v>6.2000000000011823E-2</v>
      </c>
      <c r="N60" s="2567"/>
      <c r="O60" s="1820">
        <f>IF(G60=0,"",(K60-G60)*100/G60)/100</f>
        <v>2.4800000000004728E-4</v>
      </c>
      <c r="P60" s="2633">
        <f>IF(PRICESHOW=FALSE,"",INDEX(PRICELIST,MATCH(C59,GRADESLISTINI,0),1))</f>
        <v>320.12299999999999</v>
      </c>
    </row>
    <row r="61" spans="1:24" ht="15" customHeight="1">
      <c r="A61" s="881" t="str">
        <f>A57</f>
        <v>Y</v>
      </c>
      <c r="B61" s="2552" t="s">
        <v>715</v>
      </c>
      <c r="C61" s="2553"/>
      <c r="D61" s="2554"/>
      <c r="E61" s="2632"/>
      <c r="F61" s="1821" t="str">
        <f>IF(K66="-","-",K66/1000)</f>
        <v>-</v>
      </c>
      <c r="G61" s="2555" t="str">
        <f>IF($F61="-","-",G60/($F60-0.0011)*($F61-0.0011))</f>
        <v>-</v>
      </c>
      <c r="H61" s="2556"/>
      <c r="I61" s="2555" t="str">
        <f>IF($F61="-","-",I60/($F60-0.0011)*($F61-0.0011))</f>
        <v>-</v>
      </c>
      <c r="J61" s="2556"/>
      <c r="K61" s="2555" t="str">
        <f>IF($F61="-","-",K60/($F60-0.0011)*($F61-0.0011))</f>
        <v>-</v>
      </c>
      <c r="L61" s="2556"/>
      <c r="M61" s="2555" t="str">
        <f>IF(ISERROR(K61-G61),"-",K61-G61)</f>
        <v>-</v>
      </c>
      <c r="N61" s="2556"/>
      <c r="O61" s="1822" t="str">
        <f>IF(M61="-","-",IF(G61=0,"",(K61-G61)*100/G61)/100)</f>
        <v>-</v>
      </c>
      <c r="P61" s="2634"/>
    </row>
    <row r="62" spans="1:24" ht="15" customHeight="1">
      <c r="A62" s="881" t="str">
        <f>A57</f>
        <v>Y</v>
      </c>
      <c r="B62" s="2557" t="s">
        <v>717</v>
      </c>
      <c r="C62" s="2558"/>
      <c r="D62" s="2559"/>
      <c r="E62" s="1823"/>
      <c r="F62" s="1824"/>
      <c r="G62" s="2560" t="str">
        <f>IF(ISERROR(G61-G60),"-",G61-G60)</f>
        <v>-</v>
      </c>
      <c r="H62" s="2560"/>
      <c r="I62" s="2560" t="str">
        <f>IF(ISERROR(I61-I60),"-",I61-I60)</f>
        <v>-</v>
      </c>
      <c r="J62" s="2560"/>
      <c r="K62" s="2560" t="str">
        <f>IF(ISERROR(K61-K60),"-",K61-K60)</f>
        <v>-</v>
      </c>
      <c r="L62" s="2560"/>
      <c r="M62" s="2560" t="str">
        <f>IF(ISERROR(M61-M60),"-",M61-M60)</f>
        <v>-</v>
      </c>
      <c r="N62" s="2560"/>
      <c r="O62" s="1825" t="str">
        <f>IF(G61="-","-",IF(G60=0,"",(G61-G60)*100/G60)/100)</f>
        <v>-</v>
      </c>
      <c r="P62" s="1826" t="str">
        <f>IF(PRICESHOW=FALSE,"",IF(G62="-","-",G62*INDEX(PRICELIST,MATCH(C59,GRADESLISTINI,0),1)))</f>
        <v>-</v>
      </c>
    </row>
    <row r="63" spans="1:24" s="936" customFormat="1" ht="5.25">
      <c r="A63" s="936" t="str">
        <f>A57</f>
        <v>Y</v>
      </c>
      <c r="B63" s="1827"/>
      <c r="C63" s="1828"/>
      <c r="D63" s="1828"/>
      <c r="E63" s="1829"/>
      <c r="F63" s="1829"/>
      <c r="G63" s="1829"/>
      <c r="H63" s="1829"/>
      <c r="I63" s="1829"/>
      <c r="J63" s="1829"/>
      <c r="K63" s="1829"/>
      <c r="L63" s="1829"/>
      <c r="M63" s="1829"/>
      <c r="N63" s="1829"/>
      <c r="O63" s="1829"/>
      <c r="P63" s="1830"/>
    </row>
    <row r="64" spans="1:24" ht="15" customHeight="1">
      <c r="A64" s="881" t="str">
        <f>A57</f>
        <v>Y</v>
      </c>
      <c r="B64" s="2482" t="s">
        <v>696</v>
      </c>
      <c r="C64" s="2483"/>
      <c r="D64" s="2483"/>
      <c r="E64" s="2483"/>
      <c r="F64" s="2483"/>
      <c r="G64" s="2483"/>
      <c r="H64" s="2483"/>
      <c r="I64" s="2483"/>
      <c r="J64" s="2483"/>
      <c r="K64" s="2483"/>
      <c r="L64" s="2483"/>
      <c r="M64" s="2483"/>
      <c r="N64" s="2483"/>
      <c r="O64" s="2483"/>
      <c r="P64" s="2484"/>
    </row>
    <row r="65" spans="1:16" ht="15" customHeight="1">
      <c r="A65" s="881" t="str">
        <f>A57</f>
        <v>Y</v>
      </c>
      <c r="B65" s="1437" t="s">
        <v>313</v>
      </c>
      <c r="C65" s="1901" t="str">
        <f>C59</f>
        <v>LSFO</v>
      </c>
      <c r="D65" s="1906" t="str">
        <f>D59</f>
        <v/>
      </c>
      <c r="E65" s="2537" t="s">
        <v>704</v>
      </c>
      <c r="F65" s="2538"/>
      <c r="G65" s="2538"/>
      <c r="H65" s="2539"/>
      <c r="I65" s="2540" t="s">
        <v>667</v>
      </c>
      <c r="J65" s="2539"/>
      <c r="K65" s="2540" t="s">
        <v>666</v>
      </c>
      <c r="L65" s="2539"/>
      <c r="M65" s="2540" t="s">
        <v>665</v>
      </c>
      <c r="N65" s="2539"/>
      <c r="O65" s="2540" t="s">
        <v>694</v>
      </c>
      <c r="P65" s="2541"/>
    </row>
    <row r="66" spans="1:16" ht="15" customHeight="1">
      <c r="A66" s="881" t="str">
        <f>A57</f>
        <v>Y</v>
      </c>
      <c r="B66" s="2542" t="s">
        <v>702</v>
      </c>
      <c r="C66" s="2543"/>
      <c r="D66" s="2544"/>
      <c r="E66" s="2545" t="s">
        <v>718</v>
      </c>
      <c r="F66" s="2546"/>
      <c r="G66" s="2546"/>
      <c r="H66" s="2547"/>
      <c r="I66" s="2548">
        <f>INDEX('Cover Page'!$AI$106:$AI$111,MATCH($C65,'Cover Page'!$AC$106:$AC$111,0),1)*1000</f>
        <v>920.6</v>
      </c>
      <c r="J66" s="2549"/>
      <c r="K66" s="2548" t="str">
        <f>IF(INDEX('Cover Page'!$AR$106:$AR$111,MATCH($C65,'Cover Page'!$AL$106:$AL$111,0),1)="","-",INDEX('Cover Page'!$AR$106:$AR$111,MATCH($C65,'Cover Page'!$AL$106:$AL$111,0),1)*1000)</f>
        <v>-</v>
      </c>
      <c r="L66" s="2549"/>
      <c r="M66" s="2548">
        <f>IF(ISERROR(MATCH($C65,RESIDUALS,0)),'POWER SETT'!$G$14,'POWER SETT'!$F$14)*1000</f>
        <v>991</v>
      </c>
      <c r="N66" s="2549"/>
      <c r="O66" s="2550" t="str">
        <f>IF(K66="-","-",IF(K66&gt;M66,"No","Yes"))</f>
        <v>-</v>
      </c>
      <c r="P66" s="2551"/>
    </row>
    <row r="67" spans="1:16" ht="15" customHeight="1">
      <c r="A67" s="881" t="str">
        <f>A57</f>
        <v>Y</v>
      </c>
      <c r="B67" s="2515" t="s">
        <v>703</v>
      </c>
      <c r="C67" s="2516"/>
      <c r="D67" s="2517"/>
      <c r="E67" s="2518" t="str">
        <f>IF(ISERROR(MATCH($C65,RESIDUALS,0)),"40ºC cSt","50ºC cSt")</f>
        <v>50ºC cSt</v>
      </c>
      <c r="F67" s="2519"/>
      <c r="G67" s="2519"/>
      <c r="H67" s="2520"/>
      <c r="I67" s="2521">
        <f>INDEX('Cover Page'!$I$106:$N$109,2,MATCH($C65,'Cover Page'!$I$88:$N$88,0))</f>
        <v>81.45</v>
      </c>
      <c r="J67" s="2522"/>
      <c r="K67" s="2521" t="str">
        <f>IF(ISBLANK(INDEX('Cover Page'!$I$110:$N$113,2,MATCH($C65,'Cover Page'!$I$88:$N$88,0))),"-",INDEX('Cover Page'!$I$110:$N$113,2,MATCH($C65,'Cover Page'!$I$88:$N$88,0)))</f>
        <v>-</v>
      </c>
      <c r="L67" s="2522"/>
      <c r="M67" s="2521">
        <f>IF(ISERROR(MATCH($C65,RESIDUALS,0)),'POWER SETT'!$G$15,'POWER SETT'!$F$15)</f>
        <v>380</v>
      </c>
      <c r="N67" s="2522"/>
      <c r="O67" s="2523" t="str">
        <f>IF(K67="-","-",IF(K67&gt;M67,"No","Yes"))</f>
        <v>-</v>
      </c>
      <c r="P67" s="2524"/>
    </row>
    <row r="68" spans="1:16" ht="15" customHeight="1">
      <c r="A68" s="881" t="str">
        <f>A57</f>
        <v>Y</v>
      </c>
      <c r="B68" s="2515" t="s">
        <v>705</v>
      </c>
      <c r="C68" s="2516"/>
      <c r="D68" s="2517"/>
      <c r="E68" s="2518" t="s">
        <v>706</v>
      </c>
      <c r="F68" s="2519"/>
      <c r="G68" s="2519"/>
      <c r="H68" s="2520"/>
      <c r="I68" s="2525">
        <f>INDEX('Cover Page'!$I$106:$N$109,3,MATCH($C65,'Cover Page'!$I$88:$N$88,0))</f>
        <v>0.1</v>
      </c>
      <c r="J68" s="2526"/>
      <c r="K68" s="2525" t="str">
        <f>IF(ISBLANK(INDEX('Cover Page'!$I$110:$N$113,3,MATCH($C65,'Cover Page'!$I$88:$N$88,0))),"-",INDEX('Cover Page'!$I$110:$N$113,3,MATCH($C65,'Cover Page'!$I$88:$N$88,0)))</f>
        <v>-</v>
      </c>
      <c r="L68" s="2526"/>
      <c r="M68" s="2525">
        <f>IF(ISERROR(MATCH($C65,RESIDUALS,0)),'POWER SETT'!$G$16,'POWER SETT'!$F$16)</f>
        <v>0.5</v>
      </c>
      <c r="N68" s="2526"/>
      <c r="O68" s="2523" t="str">
        <f>IF(K68="-","-",IF(K68&gt;M68,"No","Yes"))</f>
        <v>-</v>
      </c>
      <c r="P68" s="2524"/>
    </row>
    <row r="69" spans="1:16" ht="15" customHeight="1">
      <c r="A69" s="881" t="str">
        <f>A57</f>
        <v>Y</v>
      </c>
      <c r="B69" s="2527" t="s">
        <v>1507</v>
      </c>
      <c r="C69" s="2528"/>
      <c r="D69" s="2529"/>
      <c r="E69" s="2530" t="s">
        <v>1508</v>
      </c>
      <c r="F69" s="2531"/>
      <c r="G69" s="2531"/>
      <c r="H69" s="2532"/>
      <c r="I69" s="2533">
        <f>INDEX('Cover Page'!$I$106:$N$109,4,MATCH($C65,'Cover Page'!$I$88:$N$88,0))</f>
        <v>0.49</v>
      </c>
      <c r="J69" s="2534"/>
      <c r="K69" s="2533" t="str">
        <f>IF(ISBLANK(INDEX('Cover Page'!$I$110:$N$113,4,MATCH($C65,'Cover Page'!$I$88:$N$88,0))),"-",INDEX('Cover Page'!$I$110:$N$113,4,MATCH($C65,'Cover Page'!$I$88:$N$88,0)))</f>
        <v>-</v>
      </c>
      <c r="L69" s="2534"/>
      <c r="M69" s="2533">
        <f>IF(ISERROR(MATCH($C65,RESIDUALS,0)),'POWER SETT'!$G$17,'POWER SETT'!$F$17)</f>
        <v>0.5</v>
      </c>
      <c r="N69" s="2534"/>
      <c r="O69" s="2535" t="str">
        <f>IF(K69="-","-",IF(K69&gt;M69,"No","Yes"))</f>
        <v>-</v>
      </c>
      <c r="P69" s="2536"/>
    </row>
    <row r="70" spans="1:16" s="936" customFormat="1" ht="5.25">
      <c r="A70" s="936" t="str">
        <f>A72</f>
        <v>Y</v>
      </c>
      <c r="B70" s="1831"/>
      <c r="C70" s="1832"/>
      <c r="D70" s="1832"/>
      <c r="E70" s="1832"/>
      <c r="F70" s="1832"/>
      <c r="G70" s="1832"/>
      <c r="H70" s="1832"/>
      <c r="I70" s="1832"/>
      <c r="J70" s="1832"/>
      <c r="K70" s="1832"/>
      <c r="L70" s="1832"/>
      <c r="M70" s="1832"/>
      <c r="N70" s="1832"/>
      <c r="O70" s="1832"/>
      <c r="P70" s="1830"/>
    </row>
    <row r="71" spans="1:16" ht="15" customHeight="1">
      <c r="A71" s="881" t="str">
        <f>A72</f>
        <v>Y</v>
      </c>
      <c r="B71" s="2482" t="s">
        <v>711</v>
      </c>
      <c r="C71" s="2483"/>
      <c r="D71" s="2483"/>
      <c r="E71" s="2483"/>
      <c r="F71" s="2483"/>
      <c r="G71" s="2483"/>
      <c r="H71" s="2483"/>
      <c r="I71" s="2483"/>
      <c r="J71" s="2483"/>
      <c r="K71" s="2483"/>
      <c r="L71" s="2483"/>
      <c r="M71" s="2483"/>
      <c r="N71" s="2483"/>
      <c r="O71" s="2483"/>
      <c r="P71" s="2484"/>
    </row>
    <row r="72" spans="1:16" ht="15" customHeight="1">
      <c r="A72" s="938" t="str">
        <f>IF(SURVEYMODE=3,"HIDE",'Time Log'!A89)</f>
        <v>Y</v>
      </c>
      <c r="B72" s="1437" t="s">
        <v>313</v>
      </c>
      <c r="C72" s="1901" t="str">
        <f>C59</f>
        <v>LSFO</v>
      </c>
      <c r="D72" s="1906" t="str">
        <f>D59</f>
        <v/>
      </c>
      <c r="E72" s="2485" t="s">
        <v>201</v>
      </c>
      <c r="F72" s="2486"/>
      <c r="G72" s="1833" t="s">
        <v>200</v>
      </c>
      <c r="H72" s="2485" t="s">
        <v>201</v>
      </c>
      <c r="I72" s="2486"/>
      <c r="J72" s="1833" t="s">
        <v>200</v>
      </c>
      <c r="K72" s="1834" t="s">
        <v>664</v>
      </c>
      <c r="L72" s="1835" t="s">
        <v>266</v>
      </c>
      <c r="M72" s="2487" t="s">
        <v>681</v>
      </c>
      <c r="N72" s="2488"/>
      <c r="O72" s="2488"/>
      <c r="P72" s="2489"/>
    </row>
    <row r="73" spans="1:16" ht="15" customHeight="1">
      <c r="A73" s="881" t="str">
        <f>A72</f>
        <v>Y</v>
      </c>
      <c r="B73" s="2479" t="s">
        <v>663</v>
      </c>
      <c r="C73" s="2480"/>
      <c r="D73" s="2481"/>
      <c r="E73" s="2490">
        <f>'Time Log'!H90</f>
        <v>44792</v>
      </c>
      <c r="F73" s="2491"/>
      <c r="G73" s="1836">
        <f>'Time Log'!I90</f>
        <v>0.10416666666666667</v>
      </c>
      <c r="H73" s="2490">
        <f>'Time Log'!J90</f>
        <v>44792</v>
      </c>
      <c r="I73" s="2491"/>
      <c r="J73" s="1836">
        <f>'Time Log'!K90</f>
        <v>0.5</v>
      </c>
      <c r="K73" s="1837">
        <f>'Time Log'!L90</f>
        <v>0.39583333333333331</v>
      </c>
      <c r="L73" s="1838">
        <f>'Time Log'!M90</f>
        <v>9.5</v>
      </c>
      <c r="M73" s="2492" t="str">
        <f>IF('Time Log'!N90=0,"",'Time Log'!N90)</f>
        <v/>
      </c>
      <c r="N73" s="2493"/>
      <c r="O73" s="2493"/>
      <c r="P73" s="2494"/>
    </row>
    <row r="74" spans="1:16" ht="15" customHeight="1" thickBot="1">
      <c r="A74" s="881" t="str">
        <f>A72</f>
        <v>Y</v>
      </c>
      <c r="B74" s="2471" t="s">
        <v>662</v>
      </c>
      <c r="C74" s="2472"/>
      <c r="D74" s="2473"/>
      <c r="E74" s="2474">
        <f>'Time Log'!H91</f>
        <v>44792</v>
      </c>
      <c r="F74" s="2475"/>
      <c r="G74" s="1839">
        <f>'Time Log'!I91</f>
        <v>0.33333333333333331</v>
      </c>
      <c r="H74" s="2474">
        <f>'Time Log'!J91</f>
        <v>44792</v>
      </c>
      <c r="I74" s="2475"/>
      <c r="J74" s="1839">
        <f>'Time Log'!K91</f>
        <v>0.3923611111111111</v>
      </c>
      <c r="K74" s="1840">
        <f>'Time Log'!L91</f>
        <v>5.9027777776160917E-2</v>
      </c>
      <c r="L74" s="1841">
        <f>'Time Log'!M91</f>
        <v>1.416666666627862</v>
      </c>
      <c r="M74" s="2476" t="str">
        <f>IF('Time Log'!N91=0,"",'Time Log'!N91)</f>
        <v/>
      </c>
      <c r="N74" s="2477"/>
      <c r="O74" s="2477"/>
      <c r="P74" s="2478"/>
    </row>
    <row r="75" spans="1:16" ht="15" hidden="1" customHeight="1">
      <c r="A75" s="938" t="str">
        <f>IF(SURVEYMODE=3,"HIDE",'Time Log'!A92)</f>
        <v>N</v>
      </c>
      <c r="B75" s="2471" t="s">
        <v>1035</v>
      </c>
      <c r="C75" s="2472"/>
      <c r="D75" s="2473"/>
      <c r="E75" s="2474">
        <f>'Time Log'!H92</f>
        <v>0</v>
      </c>
      <c r="F75" s="2475"/>
      <c r="G75" s="1839">
        <f>'Time Log'!I92</f>
        <v>0</v>
      </c>
      <c r="H75" s="2474">
        <f>'Time Log'!J92</f>
        <v>0</v>
      </c>
      <c r="I75" s="2475"/>
      <c r="J75" s="1839">
        <f>'Time Log'!K92</f>
        <v>0</v>
      </c>
      <c r="K75" s="1840" t="str">
        <f>'Time Log'!L92</f>
        <v/>
      </c>
      <c r="L75" s="1841" t="str">
        <f>'Time Log'!M92</f>
        <v/>
      </c>
      <c r="M75" s="2476" t="str">
        <f>IF('Time Log'!N92=0,"",'Time Log'!N92)</f>
        <v>Leaking hose connection</v>
      </c>
      <c r="N75" s="2477"/>
      <c r="O75" s="2477"/>
      <c r="P75" s="2478"/>
    </row>
    <row r="76" spans="1:16" ht="15" hidden="1" customHeight="1">
      <c r="A76" s="938" t="str">
        <f>IF(SURVEYMODE=3,"HIDE",'Time Log'!A93)</f>
        <v>N</v>
      </c>
      <c r="B76" s="2471" t="s">
        <v>1035</v>
      </c>
      <c r="C76" s="2472"/>
      <c r="D76" s="2473"/>
      <c r="E76" s="2474">
        <f>'Time Log'!H93</f>
        <v>0</v>
      </c>
      <c r="F76" s="2475"/>
      <c r="G76" s="1839">
        <f>'Time Log'!I93</f>
        <v>0</v>
      </c>
      <c r="H76" s="2474">
        <f>'Time Log'!J93</f>
        <v>0</v>
      </c>
      <c r="I76" s="2475"/>
      <c r="J76" s="1839">
        <f>'Time Log'!K93</f>
        <v>0</v>
      </c>
      <c r="K76" s="1840" t="str">
        <f>'Time Log'!L93</f>
        <v/>
      </c>
      <c r="L76" s="1841" t="str">
        <f>'Time Log'!M93</f>
        <v/>
      </c>
      <c r="M76" s="2476" t="str">
        <f>IF('Time Log'!N93=0,"",'Time Log'!N93)</f>
        <v>Stoppage due to potential cappuccino bunkers</v>
      </c>
      <c r="N76" s="2477"/>
      <c r="O76" s="2477"/>
      <c r="P76" s="2478"/>
    </row>
    <row r="77" spans="1:16" ht="15" hidden="1" customHeight="1">
      <c r="A77" s="938" t="str">
        <f>IF(SURVEYMODE=3,"HIDE",'Time Log'!A94)</f>
        <v>N</v>
      </c>
      <c r="B77" s="2471" t="s">
        <v>1035</v>
      </c>
      <c r="C77" s="2472"/>
      <c r="D77" s="2473"/>
      <c r="E77" s="2474">
        <f>'Time Log'!H94</f>
        <v>0</v>
      </c>
      <c r="F77" s="2475"/>
      <c r="G77" s="1839">
        <f>'Time Log'!I94</f>
        <v>0</v>
      </c>
      <c r="H77" s="2474">
        <f>'Time Log'!J94</f>
        <v>0</v>
      </c>
      <c r="I77" s="2475"/>
      <c r="J77" s="1839">
        <f>'Time Log'!K94</f>
        <v>0</v>
      </c>
      <c r="K77" s="1840" t="str">
        <f>'Time Log'!L94</f>
        <v/>
      </c>
      <c r="L77" s="1841" t="str">
        <f>'Time Log'!M94</f>
        <v/>
      </c>
      <c r="M77" s="2476" t="str">
        <f>IF('Time Log'!N94=0,"",'Time Log'!N94)</f>
        <v/>
      </c>
      <c r="N77" s="2477"/>
      <c r="O77" s="2477"/>
      <c r="P77" s="2478"/>
    </row>
    <row r="78" spans="1:16" ht="15" hidden="1" customHeight="1">
      <c r="A78" s="938" t="str">
        <f>IF(SURVEYMODE=3,"HIDE",'Time Log'!A95)</f>
        <v>N</v>
      </c>
      <c r="B78" s="2471" t="s">
        <v>1035</v>
      </c>
      <c r="C78" s="2472"/>
      <c r="D78" s="2473"/>
      <c r="E78" s="2474">
        <f>'Time Log'!H95</f>
        <v>0</v>
      </c>
      <c r="F78" s="2475"/>
      <c r="G78" s="1839">
        <f>'Time Log'!I95</f>
        <v>0</v>
      </c>
      <c r="H78" s="2474">
        <f>'Time Log'!J95</f>
        <v>0</v>
      </c>
      <c r="I78" s="2475"/>
      <c r="J78" s="1839">
        <f>'Time Log'!K95</f>
        <v>0</v>
      </c>
      <c r="K78" s="1840" t="str">
        <f>'Time Log'!L95</f>
        <v/>
      </c>
      <c r="L78" s="1841" t="str">
        <f>'Time Log'!M95</f>
        <v/>
      </c>
      <c r="M78" s="2476" t="str">
        <f>IF('Time Log'!N95=0,"",'Time Log'!N95)</f>
        <v/>
      </c>
      <c r="N78" s="2477"/>
      <c r="O78" s="2477"/>
      <c r="P78" s="2478"/>
    </row>
    <row r="79" spans="1:16" ht="15" hidden="1" customHeight="1" thickBot="1">
      <c r="A79" s="938" t="str">
        <f>IF(SURVEYMODE=3,"HIDE",'Time Log'!A96)</f>
        <v>N</v>
      </c>
      <c r="B79" s="2504" t="s">
        <v>1035</v>
      </c>
      <c r="C79" s="2505"/>
      <c r="D79" s="2506"/>
      <c r="E79" s="2507">
        <f>'Time Log'!H96</f>
        <v>0</v>
      </c>
      <c r="F79" s="2508"/>
      <c r="G79" s="1842">
        <f>'Time Log'!I96</f>
        <v>0</v>
      </c>
      <c r="H79" s="2507">
        <f>'Time Log'!J96</f>
        <v>0</v>
      </c>
      <c r="I79" s="2508"/>
      <c r="J79" s="1842">
        <f>'Time Log'!K96</f>
        <v>0</v>
      </c>
      <c r="K79" s="1843" t="str">
        <f>'Time Log'!L96</f>
        <v/>
      </c>
      <c r="L79" s="1844" t="str">
        <f>'Time Log'!M96</f>
        <v/>
      </c>
      <c r="M79" s="2459" t="str">
        <f>IF('Time Log'!N96=0,"",'Time Log'!N96)</f>
        <v/>
      </c>
      <c r="N79" s="2460"/>
      <c r="O79" s="2460"/>
      <c r="P79" s="2461"/>
    </row>
    <row r="80" spans="1:16" ht="15" customHeight="1">
      <c r="A80" s="881" t="str">
        <f>A72</f>
        <v>Y</v>
      </c>
      <c r="B80" s="1845"/>
      <c r="C80" s="1845"/>
      <c r="D80" s="1845"/>
      <c r="E80" s="1845"/>
      <c r="F80" s="1845"/>
      <c r="G80" s="1845"/>
      <c r="H80" s="2498" t="s">
        <v>712</v>
      </c>
      <c r="I80" s="2499"/>
      <c r="J80" s="2500"/>
      <c r="K80" s="1846">
        <f>'Time Log'!L97</f>
        <v>5.9027777776160917E-2</v>
      </c>
      <c r="L80" s="1847">
        <f>'Time Log'!M97</f>
        <v>1.416666666627862</v>
      </c>
      <c r="M80" s="1845"/>
      <c r="N80" s="1845"/>
      <c r="O80" s="1845"/>
      <c r="P80" s="1845"/>
    </row>
    <row r="81" spans="1:24" ht="15" customHeight="1" thickBot="1">
      <c r="A81" s="881" t="str">
        <f>A72</f>
        <v>Y</v>
      </c>
      <c r="B81" s="1848"/>
      <c r="C81" s="1848"/>
      <c r="D81" s="1848"/>
      <c r="E81" s="1848"/>
      <c r="F81" s="1848"/>
      <c r="G81" s="1848"/>
      <c r="H81" s="2501" t="s">
        <v>1034</v>
      </c>
      <c r="I81" s="2502"/>
      <c r="J81" s="2503"/>
      <c r="K81" s="1849">
        <f>'Time Log'!L98</f>
        <v>0</v>
      </c>
      <c r="L81" s="1850">
        <f>'Time Log'!M98</f>
        <v>0</v>
      </c>
      <c r="M81" s="1848"/>
      <c r="N81" s="1848"/>
      <c r="O81" s="1848"/>
      <c r="P81" s="1848"/>
    </row>
    <row r="82" spans="1:24" s="936" customFormat="1" ht="5.25" hidden="1">
      <c r="A82" s="936" t="str">
        <f>A83</f>
        <v>HIDE</v>
      </c>
      <c r="B82" s="1851"/>
      <c r="C82" s="1851"/>
      <c r="D82" s="1851"/>
      <c r="E82" s="1851"/>
      <c r="F82" s="1851"/>
      <c r="G82" s="1851"/>
      <c r="H82" s="1851"/>
      <c r="I82" s="1851"/>
      <c r="J82" s="1851"/>
      <c r="K82" s="1851"/>
      <c r="L82" s="1851"/>
      <c r="M82" s="1851"/>
      <c r="N82" s="1851"/>
      <c r="O82" s="1851"/>
      <c r="P82" s="1851"/>
    </row>
    <row r="83" spans="1:24" s="888" customFormat="1" ht="15" hidden="1" customHeight="1">
      <c r="A83" s="939" t="str">
        <f>IF(SURVEYMODE=3,"HIDE",IF(C85="","HIDE","Y"))</f>
        <v>HIDE</v>
      </c>
      <c r="B83" s="1435" t="str">
        <f>IF(BARGESEL=1,"Grade:","Barge:")</f>
        <v>Grade:</v>
      </c>
      <c r="C83" s="2495" t="str">
        <f>IF(BARGESEL=1,C85,'Preliminary Report'!E40)</f>
        <v/>
      </c>
      <c r="D83" s="2495"/>
      <c r="E83" s="2496" t="str">
        <f>IF(G83="","","License No.:")</f>
        <v/>
      </c>
      <c r="F83" s="2496"/>
      <c r="G83" s="2495" t="str">
        <f>IF(BARGESEL=1,"",'Preliminary Report'!H40)</f>
        <v/>
      </c>
      <c r="H83" s="2495"/>
      <c r="I83" s="2496" t="str">
        <f>IF(BARGESEL=1,"","Supplier:")</f>
        <v/>
      </c>
      <c r="J83" s="2496"/>
      <c r="K83" s="2495" t="str">
        <f>IF(BARGESEL=1,"",'Preliminary Report'!E39)</f>
        <v/>
      </c>
      <c r="L83" s="2495"/>
      <c r="M83" s="2495"/>
      <c r="N83" s="2495"/>
      <c r="O83" s="2495"/>
      <c r="P83" s="2497"/>
    </row>
    <row r="84" spans="1:24" s="932" customFormat="1" ht="15" hidden="1" customHeight="1">
      <c r="A84" s="932" t="str">
        <f>A83</f>
        <v>HIDE</v>
      </c>
      <c r="B84" s="2482" t="s">
        <v>695</v>
      </c>
      <c r="C84" s="2483"/>
      <c r="D84" s="2483"/>
      <c r="E84" s="2483"/>
      <c r="F84" s="2483"/>
      <c r="G84" s="2483"/>
      <c r="H84" s="2483"/>
      <c r="I84" s="2483"/>
      <c r="J84" s="2483"/>
      <c r="K84" s="2483"/>
      <c r="L84" s="2483"/>
      <c r="M84" s="2483"/>
      <c r="N84" s="2483"/>
      <c r="O84" s="2483"/>
      <c r="P84" s="2484"/>
      <c r="Q84" s="881"/>
      <c r="R84" s="881"/>
      <c r="S84" s="881"/>
      <c r="T84" s="881"/>
      <c r="U84" s="881"/>
      <c r="V84" s="881"/>
      <c r="W84" s="881"/>
      <c r="X84" s="881"/>
    </row>
    <row r="85" spans="1:24" ht="15" hidden="1" customHeight="1">
      <c r="A85" s="881" t="str">
        <f>A83</f>
        <v>HIDE</v>
      </c>
      <c r="B85" s="1436" t="s">
        <v>313</v>
      </c>
      <c r="C85" s="1900" t="str">
        <f>'Preliminary Report'!C41</f>
        <v/>
      </c>
      <c r="D85" s="1905" t="str">
        <f>'Preliminary Report'!D41</f>
        <v/>
      </c>
      <c r="E85" s="1815" t="s">
        <v>1279</v>
      </c>
      <c r="F85" s="1816" t="s">
        <v>291</v>
      </c>
      <c r="G85" s="2561" t="s">
        <v>719</v>
      </c>
      <c r="H85" s="2562"/>
      <c r="I85" s="2561" t="s">
        <v>159</v>
      </c>
      <c r="J85" s="2562"/>
      <c r="K85" s="2561" t="s">
        <v>720</v>
      </c>
      <c r="L85" s="2562"/>
      <c r="M85" s="2561" t="s">
        <v>714</v>
      </c>
      <c r="N85" s="2562"/>
      <c r="O85" s="1817" t="s">
        <v>668</v>
      </c>
      <c r="P85" s="1818" t="s">
        <v>713</v>
      </c>
    </row>
    <row r="86" spans="1:24" ht="15" hidden="1" customHeight="1">
      <c r="A86" s="881" t="str">
        <f>A83</f>
        <v>HIDE</v>
      </c>
      <c r="B86" s="2563" t="s">
        <v>716</v>
      </c>
      <c r="C86" s="2564"/>
      <c r="D86" s="2565"/>
      <c r="E86" s="2631" t="str">
        <f>'Preliminary Report'!E42</f>
        <v/>
      </c>
      <c r="F86" s="1819" t="e">
        <f>I92/1000</f>
        <v>#N/A</v>
      </c>
      <c r="G86" s="2566" t="str">
        <f>'Preliminary Report'!F42</f>
        <v/>
      </c>
      <c r="H86" s="2567"/>
      <c r="I86" s="2566">
        <f>'Preliminary Report'!G42</f>
        <v>0</v>
      </c>
      <c r="J86" s="2567"/>
      <c r="K86" s="2566">
        <f>'Preliminary Report'!H42</f>
        <v>0</v>
      </c>
      <c r="L86" s="2567"/>
      <c r="M86" s="2566" t="e">
        <f>K86-G86</f>
        <v>#VALUE!</v>
      </c>
      <c r="N86" s="2567"/>
      <c r="O86" s="1820" t="e">
        <f>IF(G86=0,"",(K86-G86)*100/G86)/100</f>
        <v>#VALUE!</v>
      </c>
      <c r="P86" s="2633" t="e">
        <f>IF(PRICESHOW=FALSE,"",INDEX(PRICELIST,MATCH(C85,GRADESLISTINI,0),1))</f>
        <v>#N/A</v>
      </c>
    </row>
    <row r="87" spans="1:24" ht="15" hidden="1" customHeight="1">
      <c r="A87" s="881" t="str">
        <f>A83</f>
        <v>HIDE</v>
      </c>
      <c r="B87" s="2552" t="s">
        <v>715</v>
      </c>
      <c r="C87" s="2553"/>
      <c r="D87" s="2554"/>
      <c r="E87" s="2632"/>
      <c r="F87" s="1821" t="e">
        <f>IF(K92="-","-",K92/1000)</f>
        <v>#N/A</v>
      </c>
      <c r="G87" s="2555" t="e">
        <f>IF($F87="-","-",G86/($F86-0.0011)*($F87-0.0011))</f>
        <v>#N/A</v>
      </c>
      <c r="H87" s="2556"/>
      <c r="I87" s="2555" t="e">
        <f>IF($F87="-","-",I86/($F86-0.0011)*($F87-0.0011))</f>
        <v>#N/A</v>
      </c>
      <c r="J87" s="2556"/>
      <c r="K87" s="2555" t="e">
        <f>IF($F87="-","-",K86/($F86-0.0011)*($F87-0.0011))</f>
        <v>#N/A</v>
      </c>
      <c r="L87" s="2556"/>
      <c r="M87" s="2555" t="str">
        <f>IF(ISERROR(K87-G87),"-",K87-G87)</f>
        <v>-</v>
      </c>
      <c r="N87" s="2556"/>
      <c r="O87" s="1822" t="str">
        <f>IF(M87="-","-",IF(G87=0,"",(K87-G87)*100/G87)/100)</f>
        <v>-</v>
      </c>
      <c r="P87" s="2634"/>
    </row>
    <row r="88" spans="1:24" ht="15" hidden="1" customHeight="1">
      <c r="A88" s="881" t="str">
        <f>A83</f>
        <v>HIDE</v>
      </c>
      <c r="B88" s="2557" t="s">
        <v>717</v>
      </c>
      <c r="C88" s="2558"/>
      <c r="D88" s="2559"/>
      <c r="E88" s="1823"/>
      <c r="F88" s="1824"/>
      <c r="G88" s="2560" t="str">
        <f>IF(ISERROR(G87-G86),"-",G87-G86)</f>
        <v>-</v>
      </c>
      <c r="H88" s="2560"/>
      <c r="I88" s="2560" t="str">
        <f>IF(ISERROR(I87-I86),"-",I87-I86)</f>
        <v>-</v>
      </c>
      <c r="J88" s="2560"/>
      <c r="K88" s="2560" t="str">
        <f>IF(ISERROR(K87-K86),"-",K87-K86)</f>
        <v>-</v>
      </c>
      <c r="L88" s="2560"/>
      <c r="M88" s="2560" t="str">
        <f>IF(ISERROR(M87-M86),"-",M87-M86)</f>
        <v>-</v>
      </c>
      <c r="N88" s="2560"/>
      <c r="O88" s="1825" t="e">
        <f>IF(G87="-","-",IF(G86=0,"",(G87-G86)*100/G86)/100)</f>
        <v>#N/A</v>
      </c>
      <c r="P88" s="1826" t="str">
        <f>IF(PRICESHOW=FALSE,"",IF(G88="-","-",G88*INDEX(PRICELIST,MATCH(C85,GRADESLISTINI,0),1)))</f>
        <v>-</v>
      </c>
    </row>
    <row r="89" spans="1:24" s="936" customFormat="1" ht="5.25" hidden="1">
      <c r="A89" s="936" t="str">
        <f>A83</f>
        <v>HIDE</v>
      </c>
      <c r="B89" s="1827"/>
      <c r="C89" s="1828"/>
      <c r="D89" s="1828"/>
      <c r="E89" s="1829"/>
      <c r="F89" s="1829"/>
      <c r="G89" s="1829"/>
      <c r="H89" s="1829"/>
      <c r="I89" s="1829"/>
      <c r="J89" s="1829"/>
      <c r="K89" s="1829"/>
      <c r="L89" s="1829"/>
      <c r="M89" s="1829"/>
      <c r="N89" s="1829"/>
      <c r="O89" s="1829"/>
      <c r="P89" s="1830"/>
    </row>
    <row r="90" spans="1:24" ht="15" hidden="1" customHeight="1">
      <c r="A90" s="881" t="str">
        <f>A83</f>
        <v>HIDE</v>
      </c>
      <c r="B90" s="2482" t="s">
        <v>696</v>
      </c>
      <c r="C90" s="2483"/>
      <c r="D90" s="2483"/>
      <c r="E90" s="2483"/>
      <c r="F90" s="2483"/>
      <c r="G90" s="2483"/>
      <c r="H90" s="2483"/>
      <c r="I90" s="2483"/>
      <c r="J90" s="2483"/>
      <c r="K90" s="2483"/>
      <c r="L90" s="2483"/>
      <c r="M90" s="2483"/>
      <c r="N90" s="2483"/>
      <c r="O90" s="2483"/>
      <c r="P90" s="2484"/>
    </row>
    <row r="91" spans="1:24" ht="15" hidden="1" customHeight="1">
      <c r="A91" s="881" t="str">
        <f>A83</f>
        <v>HIDE</v>
      </c>
      <c r="B91" s="1437" t="s">
        <v>313</v>
      </c>
      <c r="C91" s="1901" t="str">
        <f>C85</f>
        <v/>
      </c>
      <c r="D91" s="1906" t="str">
        <f>D85</f>
        <v/>
      </c>
      <c r="E91" s="2537" t="s">
        <v>704</v>
      </c>
      <c r="F91" s="2538"/>
      <c r="G91" s="2538"/>
      <c r="H91" s="2539"/>
      <c r="I91" s="2540" t="s">
        <v>667</v>
      </c>
      <c r="J91" s="2539"/>
      <c r="K91" s="2540" t="s">
        <v>666</v>
      </c>
      <c r="L91" s="2539"/>
      <c r="M91" s="2540" t="s">
        <v>665</v>
      </c>
      <c r="N91" s="2539"/>
      <c r="O91" s="2540" t="s">
        <v>694</v>
      </c>
      <c r="P91" s="2541"/>
    </row>
    <row r="92" spans="1:24" ht="15" hidden="1" customHeight="1">
      <c r="A92" s="881" t="str">
        <f>A83</f>
        <v>HIDE</v>
      </c>
      <c r="B92" s="2542" t="s">
        <v>702</v>
      </c>
      <c r="C92" s="2543"/>
      <c r="D92" s="2544"/>
      <c r="E92" s="2545" t="s">
        <v>718</v>
      </c>
      <c r="F92" s="2546"/>
      <c r="G92" s="2546"/>
      <c r="H92" s="2547"/>
      <c r="I92" s="2548" t="e">
        <f>INDEX('Cover Page'!$AI$106:$AI$111,MATCH($C91,'Cover Page'!$AC$106:$AC$111,0),1)*1000</f>
        <v>#N/A</v>
      </c>
      <c r="J92" s="2549"/>
      <c r="K92" s="2548" t="e">
        <f>IF(INDEX('Cover Page'!$AR$106:$AR$111,MATCH($C91,'Cover Page'!$AL$106:$AL$111,0),1)="","-",INDEX('Cover Page'!$AR$106:$AR$111,MATCH($C91,'Cover Page'!$AL$106:$AL$111,0),1)*1000)</f>
        <v>#N/A</v>
      </c>
      <c r="L92" s="2549"/>
      <c r="M92" s="2548">
        <f>IF(ISERROR(MATCH($C91,RESIDUALS,0)),'POWER SETT'!$G$14,'POWER SETT'!$F$14)*1000</f>
        <v>890</v>
      </c>
      <c r="N92" s="2549"/>
      <c r="O92" s="2550" t="e">
        <f>IF(K92="-","-",IF(K92&gt;M92,"No","Yes"))</f>
        <v>#N/A</v>
      </c>
      <c r="P92" s="2551"/>
    </row>
    <row r="93" spans="1:24" ht="15" hidden="1" customHeight="1">
      <c r="A93" s="881" t="str">
        <f>A83</f>
        <v>HIDE</v>
      </c>
      <c r="B93" s="2515" t="s">
        <v>703</v>
      </c>
      <c r="C93" s="2516"/>
      <c r="D93" s="2517"/>
      <c r="E93" s="2518" t="str">
        <f>IF(ISERROR(MATCH($C91,RESIDUALS,0)),"40ºC cSt","50ºC cSt")</f>
        <v>40ºC cSt</v>
      </c>
      <c r="F93" s="2519"/>
      <c r="G93" s="2519"/>
      <c r="H93" s="2520"/>
      <c r="I93" s="2521" t="e">
        <f>INDEX('Cover Page'!$I$106:$N$109,2,MATCH($C91,'Cover Page'!$I$88:$N$88,0))</f>
        <v>#N/A</v>
      </c>
      <c r="J93" s="2522"/>
      <c r="K93" s="2521" t="e">
        <f>IF(ISBLANK(INDEX('Cover Page'!$I$110:$N$113,2,MATCH($C91,'Cover Page'!$I$88:$N$88,0))),"-",INDEX('Cover Page'!$I$110:$N$113,2,MATCH($C91,'Cover Page'!$I$88:$N$88,0)))</f>
        <v>#N/A</v>
      </c>
      <c r="L93" s="2522"/>
      <c r="M93" s="2521">
        <f>IF(ISERROR(MATCH($C91,RESIDUALS,0)),'POWER SETT'!$G$15,'POWER SETT'!$F$15)</f>
        <v>6</v>
      </c>
      <c r="N93" s="2522"/>
      <c r="O93" s="2523" t="e">
        <f>IF(K93="-","-",IF(K93&gt;M93,"No","Yes"))</f>
        <v>#N/A</v>
      </c>
      <c r="P93" s="2524"/>
    </row>
    <row r="94" spans="1:24" ht="15" hidden="1" customHeight="1">
      <c r="A94" s="881" t="str">
        <f>A83</f>
        <v>HIDE</v>
      </c>
      <c r="B94" s="2515" t="s">
        <v>705</v>
      </c>
      <c r="C94" s="2516"/>
      <c r="D94" s="2517"/>
      <c r="E94" s="2518" t="s">
        <v>706</v>
      </c>
      <c r="F94" s="2519"/>
      <c r="G94" s="2519"/>
      <c r="H94" s="2520"/>
      <c r="I94" s="2525" t="e">
        <f>INDEX('Cover Page'!$I$106:$N$109,3,MATCH($C91,'Cover Page'!$I$88:$N$88,0))</f>
        <v>#N/A</v>
      </c>
      <c r="J94" s="2526"/>
      <c r="K94" s="2525" t="e">
        <f>IF(ISBLANK(INDEX('Cover Page'!$I$110:$N$113,3,MATCH($C91,'Cover Page'!$I$88:$N$88,0))),"-",INDEX('Cover Page'!$I$110:$N$113,3,MATCH($C91,'Cover Page'!$I$88:$N$88,0)))</f>
        <v>#N/A</v>
      </c>
      <c r="L94" s="2526"/>
      <c r="M94" s="2525">
        <f>IF(ISERROR(MATCH($C91,RESIDUALS,0)),'POWER SETT'!$G$16,'POWER SETT'!$F$16)</f>
        <v>0.6</v>
      </c>
      <c r="N94" s="2526"/>
      <c r="O94" s="2523" t="e">
        <f>IF(K94="-","-",IF(K94&gt;M94,"No","Yes"))</f>
        <v>#N/A</v>
      </c>
      <c r="P94" s="2524"/>
    </row>
    <row r="95" spans="1:24" ht="15" hidden="1" customHeight="1">
      <c r="A95" s="881" t="str">
        <f>A83</f>
        <v>HIDE</v>
      </c>
      <c r="B95" s="2527" t="s">
        <v>1507</v>
      </c>
      <c r="C95" s="2528"/>
      <c r="D95" s="2529"/>
      <c r="E95" s="2530" t="s">
        <v>1508</v>
      </c>
      <c r="F95" s="2531"/>
      <c r="G95" s="2531"/>
      <c r="H95" s="2532"/>
      <c r="I95" s="2533" t="e">
        <f>INDEX('Cover Page'!$I$106:$N$109,4,MATCH($C91,'Cover Page'!$I$88:$N$88,0))</f>
        <v>#N/A</v>
      </c>
      <c r="J95" s="2534"/>
      <c r="K95" s="2533" t="e">
        <f>IF(ISBLANK(INDEX('Cover Page'!$I$110:$N$113,4,MATCH($C91,'Cover Page'!$I$88:$N$88,0))),"-",INDEX('Cover Page'!$I$110:$N$113,4,MATCH($C91,'Cover Page'!$I$88:$N$88,0)))</f>
        <v>#N/A</v>
      </c>
      <c r="L95" s="2534"/>
      <c r="M95" s="2533">
        <f>IF(ISERROR(MATCH($C91,RESIDUALS,0)),'POWER SETT'!$G$17,'POWER SETT'!$F$17)</f>
        <v>0.5</v>
      </c>
      <c r="N95" s="2534"/>
      <c r="O95" s="2535" t="e">
        <f>IF(K95="-","-",IF(K95&gt;M95,"No","Yes"))</f>
        <v>#N/A</v>
      </c>
      <c r="P95" s="2536"/>
    </row>
    <row r="96" spans="1:24" s="936" customFormat="1" ht="5.25" hidden="1">
      <c r="A96" s="936" t="str">
        <f>A98</f>
        <v>N</v>
      </c>
      <c r="B96" s="1831"/>
      <c r="C96" s="1832"/>
      <c r="D96" s="1832"/>
      <c r="E96" s="1832"/>
      <c r="F96" s="1832"/>
      <c r="G96" s="1832"/>
      <c r="H96" s="1832"/>
      <c r="I96" s="1832"/>
      <c r="J96" s="1832"/>
      <c r="K96" s="1832"/>
      <c r="L96" s="1832"/>
      <c r="M96" s="1832"/>
      <c r="N96" s="1832"/>
      <c r="O96" s="1832"/>
      <c r="P96" s="1830"/>
    </row>
    <row r="97" spans="1:24" ht="15" hidden="1" customHeight="1">
      <c r="A97" s="881" t="str">
        <f>A98</f>
        <v>N</v>
      </c>
      <c r="B97" s="2482" t="s">
        <v>711</v>
      </c>
      <c r="C97" s="2483"/>
      <c r="D97" s="2483"/>
      <c r="E97" s="2483"/>
      <c r="F97" s="2483"/>
      <c r="G97" s="2483"/>
      <c r="H97" s="2483"/>
      <c r="I97" s="2483"/>
      <c r="J97" s="2483"/>
      <c r="K97" s="2483"/>
      <c r="L97" s="2483"/>
      <c r="M97" s="2483"/>
      <c r="N97" s="2483"/>
      <c r="O97" s="2483"/>
      <c r="P97" s="2484"/>
    </row>
    <row r="98" spans="1:24" ht="15" hidden="1" customHeight="1">
      <c r="A98" s="938" t="str">
        <f>IF(SURVEYMODE=3,"HIDE",'Time Log'!A100)</f>
        <v>N</v>
      </c>
      <c r="B98" s="1437" t="s">
        <v>313</v>
      </c>
      <c r="C98" s="1901" t="str">
        <f>C85</f>
        <v/>
      </c>
      <c r="D98" s="1906" t="str">
        <f>D85</f>
        <v/>
      </c>
      <c r="E98" s="2485" t="s">
        <v>201</v>
      </c>
      <c r="F98" s="2486"/>
      <c r="G98" s="1833" t="s">
        <v>200</v>
      </c>
      <c r="H98" s="2485" t="s">
        <v>201</v>
      </c>
      <c r="I98" s="2486"/>
      <c r="J98" s="1833" t="s">
        <v>200</v>
      </c>
      <c r="K98" s="1834" t="s">
        <v>664</v>
      </c>
      <c r="L98" s="1835" t="s">
        <v>266</v>
      </c>
      <c r="M98" s="2487" t="s">
        <v>681</v>
      </c>
      <c r="N98" s="2488"/>
      <c r="O98" s="2488"/>
      <c r="P98" s="2489"/>
    </row>
    <row r="99" spans="1:24" ht="15" hidden="1" customHeight="1">
      <c r="A99" s="881" t="str">
        <f>A98</f>
        <v>N</v>
      </c>
      <c r="B99" s="2479" t="s">
        <v>663</v>
      </c>
      <c r="C99" s="2480"/>
      <c r="D99" s="2481"/>
      <c r="E99" s="2490">
        <f>'Time Log'!H101</f>
        <v>44792</v>
      </c>
      <c r="F99" s="2491"/>
      <c r="G99" s="1836">
        <f>'Time Log'!I101</f>
        <v>0.10416666666666667</v>
      </c>
      <c r="H99" s="2490">
        <f>'Time Log'!J101</f>
        <v>44792</v>
      </c>
      <c r="I99" s="2491"/>
      <c r="J99" s="1836">
        <f>'Time Log'!K101</f>
        <v>0.5</v>
      </c>
      <c r="K99" s="1837">
        <f>'Time Log'!L101</f>
        <v>0.39583333333333331</v>
      </c>
      <c r="L99" s="1838">
        <f>'Time Log'!M101</f>
        <v>9.5</v>
      </c>
      <c r="M99" s="2492" t="str">
        <f>IF('Time Log'!N101=0,"",'Time Log'!N101)</f>
        <v/>
      </c>
      <c r="N99" s="2493"/>
      <c r="O99" s="2493"/>
      <c r="P99" s="2494"/>
    </row>
    <row r="100" spans="1:24" ht="15" hidden="1" customHeight="1">
      <c r="A100" s="881" t="str">
        <f>A98</f>
        <v>N</v>
      </c>
      <c r="B100" s="2471" t="s">
        <v>662</v>
      </c>
      <c r="C100" s="2472"/>
      <c r="D100" s="2473"/>
      <c r="E100" s="2474">
        <f>'Time Log'!H102</f>
        <v>0</v>
      </c>
      <c r="F100" s="2475"/>
      <c r="G100" s="1839">
        <f>'Time Log'!I102</f>
        <v>0</v>
      </c>
      <c r="H100" s="2474">
        <f>'Time Log'!J102</f>
        <v>0</v>
      </c>
      <c r="I100" s="2475"/>
      <c r="J100" s="1839">
        <f>'Time Log'!K102</f>
        <v>0</v>
      </c>
      <c r="K100" s="1840" t="str">
        <f>'Time Log'!L102</f>
        <v/>
      </c>
      <c r="L100" s="1841" t="str">
        <f>'Time Log'!M102</f>
        <v/>
      </c>
      <c r="M100" s="2476" t="str">
        <f>IF('Time Log'!N102=0,"",'Time Log'!N102)</f>
        <v/>
      </c>
      <c r="N100" s="2477"/>
      <c r="O100" s="2477"/>
      <c r="P100" s="2478"/>
    </row>
    <row r="101" spans="1:24" ht="15" hidden="1" customHeight="1">
      <c r="A101" s="938" t="str">
        <f>IF(SURVEYMODE=3,"HIDE",'Time Log'!A103)</f>
        <v>N</v>
      </c>
      <c r="B101" s="2471" t="s">
        <v>1035</v>
      </c>
      <c r="C101" s="2472"/>
      <c r="D101" s="2473"/>
      <c r="E101" s="2474">
        <f>'Time Log'!H103</f>
        <v>0</v>
      </c>
      <c r="F101" s="2475"/>
      <c r="G101" s="1839">
        <f>'Time Log'!I103</f>
        <v>0</v>
      </c>
      <c r="H101" s="2474">
        <f>'Time Log'!J103</f>
        <v>0</v>
      </c>
      <c r="I101" s="2475"/>
      <c r="J101" s="1839">
        <f>'Time Log'!K103</f>
        <v>0</v>
      </c>
      <c r="K101" s="1840" t="str">
        <f>'Time Log'!L103</f>
        <v/>
      </c>
      <c r="L101" s="1841" t="str">
        <f>'Time Log'!M103</f>
        <v/>
      </c>
      <c r="M101" s="2476" t="str">
        <f>IF('Time Log'!N103=0,"",'Time Log'!N103)</f>
        <v>Leaking hose connection</v>
      </c>
      <c r="N101" s="2477"/>
      <c r="O101" s="2477"/>
      <c r="P101" s="2478"/>
    </row>
    <row r="102" spans="1:24" ht="15" hidden="1" customHeight="1">
      <c r="A102" s="938" t="str">
        <f>IF(SURVEYMODE=3,"HIDE",'Time Log'!A104)</f>
        <v>N</v>
      </c>
      <c r="B102" s="2471" t="s">
        <v>1035</v>
      </c>
      <c r="C102" s="2472"/>
      <c r="D102" s="2473"/>
      <c r="E102" s="2474">
        <f>'Time Log'!H104</f>
        <v>0</v>
      </c>
      <c r="F102" s="2475"/>
      <c r="G102" s="1839">
        <f>'Time Log'!I104</f>
        <v>0</v>
      </c>
      <c r="H102" s="2474">
        <f>'Time Log'!J104</f>
        <v>0</v>
      </c>
      <c r="I102" s="2475"/>
      <c r="J102" s="1839">
        <f>'Time Log'!K104</f>
        <v>0</v>
      </c>
      <c r="K102" s="1840" t="str">
        <f>'Time Log'!L104</f>
        <v/>
      </c>
      <c r="L102" s="1841" t="str">
        <f>'Time Log'!M104</f>
        <v/>
      </c>
      <c r="M102" s="2476" t="str">
        <f>IF('Time Log'!N104=0,"",'Time Log'!N104)</f>
        <v>Stoppage due to potential cappuccino bunkers</v>
      </c>
      <c r="N102" s="2477"/>
      <c r="O102" s="2477"/>
      <c r="P102" s="2478"/>
    </row>
    <row r="103" spans="1:24" ht="15" hidden="1" customHeight="1">
      <c r="A103" s="938" t="str">
        <f>IF(SURVEYMODE=3,"HIDE",'Time Log'!A105)</f>
        <v>N</v>
      </c>
      <c r="B103" s="2471" t="s">
        <v>1035</v>
      </c>
      <c r="C103" s="2472"/>
      <c r="D103" s="2473"/>
      <c r="E103" s="2474">
        <f>'Time Log'!H105</f>
        <v>0</v>
      </c>
      <c r="F103" s="2475"/>
      <c r="G103" s="1839">
        <f>'Time Log'!I105</f>
        <v>0</v>
      </c>
      <c r="H103" s="2474">
        <f>'Time Log'!J105</f>
        <v>0</v>
      </c>
      <c r="I103" s="2475"/>
      <c r="J103" s="1839">
        <f>'Time Log'!K105</f>
        <v>0</v>
      </c>
      <c r="K103" s="1840" t="str">
        <f>'Time Log'!L105</f>
        <v/>
      </c>
      <c r="L103" s="1841" t="str">
        <f>'Time Log'!M105</f>
        <v/>
      </c>
      <c r="M103" s="2476" t="str">
        <f>IF('Time Log'!N105=0,"",'Time Log'!N105)</f>
        <v/>
      </c>
      <c r="N103" s="2477"/>
      <c r="O103" s="2477"/>
      <c r="P103" s="2478"/>
    </row>
    <row r="104" spans="1:24" ht="15" hidden="1" customHeight="1">
      <c r="A104" s="938" t="str">
        <f>IF(SURVEYMODE=3,"HIDE",'Time Log'!A106)</f>
        <v>N</v>
      </c>
      <c r="B104" s="2471" t="s">
        <v>1035</v>
      </c>
      <c r="C104" s="2472"/>
      <c r="D104" s="2473"/>
      <c r="E104" s="2474">
        <f>'Time Log'!H106</f>
        <v>0</v>
      </c>
      <c r="F104" s="2475"/>
      <c r="G104" s="1839">
        <f>'Time Log'!I106</f>
        <v>0</v>
      </c>
      <c r="H104" s="2474">
        <f>'Time Log'!J106</f>
        <v>0</v>
      </c>
      <c r="I104" s="2475"/>
      <c r="J104" s="1839">
        <f>'Time Log'!K106</f>
        <v>0</v>
      </c>
      <c r="K104" s="1840" t="str">
        <f>'Time Log'!L106</f>
        <v/>
      </c>
      <c r="L104" s="1841" t="str">
        <f>'Time Log'!M106</f>
        <v/>
      </c>
      <c r="M104" s="2476" t="str">
        <f>IF('Time Log'!N106=0,"",'Time Log'!N106)</f>
        <v/>
      </c>
      <c r="N104" s="2477"/>
      <c r="O104" s="2477"/>
      <c r="P104" s="2478"/>
    </row>
    <row r="105" spans="1:24" ht="15" hidden="1" customHeight="1" thickBot="1">
      <c r="A105" s="938" t="str">
        <f>IF(SURVEYMODE=3,"HIDE",'Time Log'!A107)</f>
        <v>N</v>
      </c>
      <c r="B105" s="2504" t="s">
        <v>1035</v>
      </c>
      <c r="C105" s="2505"/>
      <c r="D105" s="2506"/>
      <c r="E105" s="2507">
        <f>'Time Log'!H107</f>
        <v>0</v>
      </c>
      <c r="F105" s="2508"/>
      <c r="G105" s="1842">
        <f>'Time Log'!I107</f>
        <v>0</v>
      </c>
      <c r="H105" s="2507">
        <f>'Time Log'!J107</f>
        <v>0</v>
      </c>
      <c r="I105" s="2508"/>
      <c r="J105" s="1842">
        <f>'Time Log'!K107</f>
        <v>0</v>
      </c>
      <c r="K105" s="1843" t="str">
        <f>'Time Log'!L107</f>
        <v/>
      </c>
      <c r="L105" s="1844" t="str">
        <f>'Time Log'!M107</f>
        <v/>
      </c>
      <c r="M105" s="2459" t="str">
        <f>IF('Time Log'!N107=0,"",'Time Log'!N107)</f>
        <v/>
      </c>
      <c r="N105" s="2460"/>
      <c r="O105" s="2460"/>
      <c r="P105" s="2461"/>
    </row>
    <row r="106" spans="1:24" ht="15" hidden="1" customHeight="1">
      <c r="A106" s="881" t="str">
        <f>A98</f>
        <v>N</v>
      </c>
      <c r="B106" s="1845"/>
      <c r="C106" s="1845"/>
      <c r="D106" s="1845"/>
      <c r="E106" s="1845"/>
      <c r="F106" s="1845"/>
      <c r="G106" s="1845"/>
      <c r="H106" s="2498" t="s">
        <v>712</v>
      </c>
      <c r="I106" s="2499"/>
      <c r="J106" s="2500"/>
      <c r="K106" s="1846" t="str">
        <f>'Time Log'!L108</f>
        <v/>
      </c>
      <c r="L106" s="1847" t="str">
        <f>'Time Log'!M108</f>
        <v/>
      </c>
      <c r="M106" s="1845"/>
      <c r="N106" s="1845"/>
      <c r="O106" s="1845"/>
      <c r="P106" s="1845"/>
    </row>
    <row r="107" spans="1:24" ht="15" hidden="1" customHeight="1" thickBot="1">
      <c r="A107" s="881" t="str">
        <f>A98</f>
        <v>N</v>
      </c>
      <c r="B107" s="1848"/>
      <c r="C107" s="1848"/>
      <c r="D107" s="1848"/>
      <c r="E107" s="1848"/>
      <c r="F107" s="1848"/>
      <c r="G107" s="1848"/>
      <c r="H107" s="2501" t="s">
        <v>1034</v>
      </c>
      <c r="I107" s="2502"/>
      <c r="J107" s="2503"/>
      <c r="K107" s="1849">
        <f>'Time Log'!L109</f>
        <v>0</v>
      </c>
      <c r="L107" s="1850">
        <f>'Time Log'!M109</f>
        <v>0</v>
      </c>
      <c r="M107" s="1848"/>
      <c r="N107" s="1848"/>
      <c r="O107" s="1848"/>
      <c r="P107" s="1848"/>
    </row>
    <row r="108" spans="1:24" s="936" customFormat="1" ht="5.25" hidden="1">
      <c r="A108" s="936" t="str">
        <f>A109</f>
        <v>HIDE</v>
      </c>
      <c r="B108" s="1851"/>
      <c r="C108" s="1851"/>
      <c r="D108" s="1851"/>
      <c r="E108" s="1851"/>
      <c r="F108" s="1851"/>
      <c r="G108" s="1851"/>
      <c r="H108" s="1851"/>
      <c r="I108" s="1851"/>
      <c r="J108" s="1851"/>
      <c r="K108" s="1851"/>
      <c r="L108" s="1851"/>
      <c r="M108" s="1851"/>
      <c r="N108" s="1851"/>
      <c r="O108" s="1851"/>
      <c r="P108" s="1851"/>
    </row>
    <row r="109" spans="1:24" s="888" customFormat="1" ht="15" hidden="1" customHeight="1">
      <c r="A109" s="939" t="str">
        <f>IF(SURVEYMODE=3,"HIDE",IF(C111="","HIDE","Y"))</f>
        <v>HIDE</v>
      </c>
      <c r="B109" s="1435" t="str">
        <f>IF(BARGESEL=1,"Grade:","Barge:")</f>
        <v>Grade:</v>
      </c>
      <c r="C109" s="2495" t="str">
        <f>IF(BARGESEL=1,C111,'Preliminary Report'!E45)</f>
        <v/>
      </c>
      <c r="D109" s="2495"/>
      <c r="E109" s="2496" t="str">
        <f>IF(G109="","","License No.:")</f>
        <v/>
      </c>
      <c r="F109" s="2496"/>
      <c r="G109" s="2495" t="str">
        <f>IF(BARGESEL=1,"",'Preliminary Report'!H45)</f>
        <v/>
      </c>
      <c r="H109" s="2495"/>
      <c r="I109" s="2496" t="str">
        <f>IF(BARGESEL=1,"","Supplier:")</f>
        <v/>
      </c>
      <c r="J109" s="2496"/>
      <c r="K109" s="2495" t="str">
        <f>IF(BARGESEL=1,"",'Preliminary Report'!E44)</f>
        <v/>
      </c>
      <c r="L109" s="2495"/>
      <c r="M109" s="2495"/>
      <c r="N109" s="2495"/>
      <c r="O109" s="2495"/>
      <c r="P109" s="2497"/>
    </row>
    <row r="110" spans="1:24" s="932" customFormat="1" ht="15" hidden="1" customHeight="1">
      <c r="A110" s="932" t="str">
        <f>A109</f>
        <v>HIDE</v>
      </c>
      <c r="B110" s="2482" t="s">
        <v>695</v>
      </c>
      <c r="C110" s="2483"/>
      <c r="D110" s="2483"/>
      <c r="E110" s="2483"/>
      <c r="F110" s="2483"/>
      <c r="G110" s="2483"/>
      <c r="H110" s="2483"/>
      <c r="I110" s="2483"/>
      <c r="J110" s="2483"/>
      <c r="K110" s="2483"/>
      <c r="L110" s="2483"/>
      <c r="M110" s="2483"/>
      <c r="N110" s="2483"/>
      <c r="O110" s="2483"/>
      <c r="P110" s="2484"/>
      <c r="Q110" s="881"/>
      <c r="R110" s="881"/>
      <c r="S110" s="881"/>
      <c r="T110" s="881"/>
      <c r="U110" s="881"/>
      <c r="V110" s="881"/>
      <c r="W110" s="881"/>
      <c r="X110" s="881"/>
    </row>
    <row r="111" spans="1:24" ht="15" hidden="1" customHeight="1">
      <c r="A111" s="881" t="str">
        <f>A109</f>
        <v>HIDE</v>
      </c>
      <c r="B111" s="1436" t="s">
        <v>313</v>
      </c>
      <c r="C111" s="1900" t="str">
        <f>'Preliminary Report'!C46</f>
        <v/>
      </c>
      <c r="D111" s="1905" t="str">
        <f>'Preliminary Report'!D46</f>
        <v/>
      </c>
      <c r="E111" s="1815" t="s">
        <v>1279</v>
      </c>
      <c r="F111" s="1816" t="s">
        <v>291</v>
      </c>
      <c r="G111" s="2561" t="s">
        <v>719</v>
      </c>
      <c r="H111" s="2562"/>
      <c r="I111" s="2561" t="s">
        <v>159</v>
      </c>
      <c r="J111" s="2562"/>
      <c r="K111" s="2561" t="s">
        <v>720</v>
      </c>
      <c r="L111" s="2562"/>
      <c r="M111" s="2561" t="s">
        <v>714</v>
      </c>
      <c r="N111" s="2562"/>
      <c r="O111" s="1817" t="s">
        <v>668</v>
      </c>
      <c r="P111" s="1818" t="s">
        <v>713</v>
      </c>
    </row>
    <row r="112" spans="1:24" ht="15" hidden="1" customHeight="1">
      <c r="A112" s="881" t="str">
        <f>A109</f>
        <v>HIDE</v>
      </c>
      <c r="B112" s="2563" t="s">
        <v>716</v>
      </c>
      <c r="C112" s="2564"/>
      <c r="D112" s="2565"/>
      <c r="E112" s="2631" t="str">
        <f>'Preliminary Report'!E47</f>
        <v/>
      </c>
      <c r="F112" s="1819" t="e">
        <f>I118/1000</f>
        <v>#N/A</v>
      </c>
      <c r="G112" s="2566" t="str">
        <f>'Preliminary Report'!F47</f>
        <v/>
      </c>
      <c r="H112" s="2567"/>
      <c r="I112" s="2566">
        <f>'Preliminary Report'!G47</f>
        <v>0</v>
      </c>
      <c r="J112" s="2567"/>
      <c r="K112" s="2566">
        <f>'Preliminary Report'!H47</f>
        <v>0</v>
      </c>
      <c r="L112" s="2567"/>
      <c r="M112" s="2566" t="e">
        <f>K112-G112</f>
        <v>#VALUE!</v>
      </c>
      <c r="N112" s="2567"/>
      <c r="O112" s="1820" t="e">
        <f>IF(G112=0,"",(K112-G112)*100/G112)/100</f>
        <v>#VALUE!</v>
      </c>
      <c r="P112" s="2633" t="e">
        <f>IF(PRICESHOW=FALSE,"",INDEX(PRICELIST,MATCH(C111,GRADESLISTINI,0),1))</f>
        <v>#N/A</v>
      </c>
    </row>
    <row r="113" spans="1:16" ht="15" hidden="1" customHeight="1">
      <c r="A113" s="881" t="str">
        <f>A109</f>
        <v>HIDE</v>
      </c>
      <c r="B113" s="2552" t="s">
        <v>715</v>
      </c>
      <c r="C113" s="2553"/>
      <c r="D113" s="2554"/>
      <c r="E113" s="2632"/>
      <c r="F113" s="1821" t="e">
        <f>IF(K118="-","-",K118/1000)</f>
        <v>#N/A</v>
      </c>
      <c r="G113" s="2555" t="e">
        <f>IF($F113="-","-",G112/($F112-0.0011)*($F113-0.0011))</f>
        <v>#N/A</v>
      </c>
      <c r="H113" s="2556"/>
      <c r="I113" s="2555" t="e">
        <f>IF($F113="-","-",I112/($F112-0.0011)*($F113-0.0011))</f>
        <v>#N/A</v>
      </c>
      <c r="J113" s="2556"/>
      <c r="K113" s="2555" t="e">
        <f>IF($F113="-","-",K112/($F112-0.0011)*($F113-0.0011))</f>
        <v>#N/A</v>
      </c>
      <c r="L113" s="2556"/>
      <c r="M113" s="2555" t="str">
        <f>IF(ISERROR(K113-G113),"-",K113-G113)</f>
        <v>-</v>
      </c>
      <c r="N113" s="2556"/>
      <c r="O113" s="1822" t="str">
        <f>IF(M113="-","-",IF(G113=0,"",(K113-G113)*100/G113)/100)</f>
        <v>-</v>
      </c>
      <c r="P113" s="2634"/>
    </row>
    <row r="114" spans="1:16" ht="15" hidden="1" customHeight="1">
      <c r="A114" s="881" t="str">
        <f>A109</f>
        <v>HIDE</v>
      </c>
      <c r="B114" s="2557" t="s">
        <v>717</v>
      </c>
      <c r="C114" s="2558"/>
      <c r="D114" s="2559"/>
      <c r="E114" s="1823"/>
      <c r="F114" s="1824"/>
      <c r="G114" s="2560" t="str">
        <f>IF(ISERROR(G113-G112),"-",G113-G112)</f>
        <v>-</v>
      </c>
      <c r="H114" s="2560"/>
      <c r="I114" s="2560" t="str">
        <f>IF(ISERROR(I113-I112),"-",I113-I112)</f>
        <v>-</v>
      </c>
      <c r="J114" s="2560"/>
      <c r="K114" s="2560" t="str">
        <f>IF(ISERROR(K113-K112),"-",K113-K112)</f>
        <v>-</v>
      </c>
      <c r="L114" s="2560"/>
      <c r="M114" s="2560" t="str">
        <f>IF(ISERROR(M113-M112),"-",M113-M112)</f>
        <v>-</v>
      </c>
      <c r="N114" s="2560"/>
      <c r="O114" s="1825" t="e">
        <f>IF(G113="-","-",IF(G112=0,"",(G113-G112)*100/G112)/100)</f>
        <v>#N/A</v>
      </c>
      <c r="P114" s="1826" t="str">
        <f>IF(PRICESHOW=FALSE,"",IF(G114="-","-",G114*INDEX(PRICELIST,MATCH(C111,GRADESLISTINI,0),1)))</f>
        <v>-</v>
      </c>
    </row>
    <row r="115" spans="1:16" s="936" customFormat="1" ht="5.25" hidden="1">
      <c r="A115" s="936" t="str">
        <f>A109</f>
        <v>HIDE</v>
      </c>
      <c r="B115" s="1827"/>
      <c r="C115" s="1828"/>
      <c r="D115" s="1828"/>
      <c r="E115" s="1829"/>
      <c r="F115" s="1829"/>
      <c r="G115" s="1829"/>
      <c r="H115" s="1829"/>
      <c r="I115" s="1829"/>
      <c r="J115" s="1829"/>
      <c r="K115" s="1829"/>
      <c r="L115" s="1829"/>
      <c r="M115" s="1829"/>
      <c r="N115" s="1829"/>
      <c r="O115" s="1829"/>
      <c r="P115" s="1830"/>
    </row>
    <row r="116" spans="1:16" ht="15" hidden="1" customHeight="1">
      <c r="A116" s="881" t="str">
        <f>A109</f>
        <v>HIDE</v>
      </c>
      <c r="B116" s="2482" t="s">
        <v>696</v>
      </c>
      <c r="C116" s="2483"/>
      <c r="D116" s="2483"/>
      <c r="E116" s="2483"/>
      <c r="F116" s="2483"/>
      <c r="G116" s="2483"/>
      <c r="H116" s="2483"/>
      <c r="I116" s="2483"/>
      <c r="J116" s="2483"/>
      <c r="K116" s="2483"/>
      <c r="L116" s="2483"/>
      <c r="M116" s="2483"/>
      <c r="N116" s="2483"/>
      <c r="O116" s="2483"/>
      <c r="P116" s="2484"/>
    </row>
    <row r="117" spans="1:16" ht="15" hidden="1" customHeight="1">
      <c r="A117" s="881" t="str">
        <f>A109</f>
        <v>HIDE</v>
      </c>
      <c r="B117" s="1437" t="s">
        <v>313</v>
      </c>
      <c r="C117" s="1901" t="str">
        <f>C111</f>
        <v/>
      </c>
      <c r="D117" s="1906" t="str">
        <f>D111</f>
        <v/>
      </c>
      <c r="E117" s="2537" t="s">
        <v>704</v>
      </c>
      <c r="F117" s="2538"/>
      <c r="G117" s="2538"/>
      <c r="H117" s="2539"/>
      <c r="I117" s="2540" t="s">
        <v>667</v>
      </c>
      <c r="J117" s="2539"/>
      <c r="K117" s="2540" t="s">
        <v>666</v>
      </c>
      <c r="L117" s="2539"/>
      <c r="M117" s="2540" t="s">
        <v>665</v>
      </c>
      <c r="N117" s="2539"/>
      <c r="O117" s="2540" t="s">
        <v>694</v>
      </c>
      <c r="P117" s="2541"/>
    </row>
    <row r="118" spans="1:16" ht="15" hidden="1" customHeight="1">
      <c r="A118" s="881" t="str">
        <f>A109</f>
        <v>HIDE</v>
      </c>
      <c r="B118" s="2542" t="s">
        <v>702</v>
      </c>
      <c r="C118" s="2543"/>
      <c r="D118" s="2544"/>
      <c r="E118" s="2545" t="s">
        <v>718</v>
      </c>
      <c r="F118" s="2546"/>
      <c r="G118" s="2546"/>
      <c r="H118" s="2547"/>
      <c r="I118" s="2548" t="e">
        <f>INDEX('Cover Page'!$AI$106:$AI$111,MATCH($C117,'Cover Page'!$AC$106:$AC$111,0),1)*1000</f>
        <v>#N/A</v>
      </c>
      <c r="J118" s="2549"/>
      <c r="K118" s="2548" t="e">
        <f>IF(INDEX('Cover Page'!$AR$106:$AR$111,MATCH($C117,'Cover Page'!$AL$106:$AL$111,0),1)="","-",INDEX('Cover Page'!$AR$106:$AR$111,MATCH($C117,'Cover Page'!$AL$106:$AL$111,0),1)*1000)</f>
        <v>#N/A</v>
      </c>
      <c r="L118" s="2549"/>
      <c r="M118" s="2548">
        <f>IF(ISERROR(MATCH($C117,RESIDUALS,0)),'POWER SETT'!$G$14,'POWER SETT'!$F$14)*1000</f>
        <v>890</v>
      </c>
      <c r="N118" s="2549"/>
      <c r="O118" s="2550" t="e">
        <f>IF(K118="-","-",IF(K118&gt;M118,"No","Yes"))</f>
        <v>#N/A</v>
      </c>
      <c r="P118" s="2551"/>
    </row>
    <row r="119" spans="1:16" ht="15" hidden="1" customHeight="1">
      <c r="A119" s="881" t="str">
        <f>A109</f>
        <v>HIDE</v>
      </c>
      <c r="B119" s="2515" t="s">
        <v>703</v>
      </c>
      <c r="C119" s="2516"/>
      <c r="D119" s="2517"/>
      <c r="E119" s="2518" t="str">
        <f>IF(ISERROR(MATCH($C117,RESIDUALS,0)),"40ºC cSt","50ºC cSt")</f>
        <v>40ºC cSt</v>
      </c>
      <c r="F119" s="2519"/>
      <c r="G119" s="2519"/>
      <c r="H119" s="2520"/>
      <c r="I119" s="2521" t="e">
        <f>INDEX('Cover Page'!$I$106:$N$109,2,MATCH($C117,'Cover Page'!$I$88:$N$88,0))</f>
        <v>#N/A</v>
      </c>
      <c r="J119" s="2522"/>
      <c r="K119" s="2521" t="e">
        <f>IF(ISBLANK(INDEX('Cover Page'!$I$110:$N$113,2,MATCH($C117,'Cover Page'!$I$88:$N$88,0))),"-",INDEX('Cover Page'!$I$110:$N$113,2,MATCH($C117,'Cover Page'!$I$88:$N$88,0)))</f>
        <v>#N/A</v>
      </c>
      <c r="L119" s="2522"/>
      <c r="M119" s="2521">
        <f>IF(ISERROR(MATCH($C117,RESIDUALS,0)),'POWER SETT'!$G$15,'POWER SETT'!$F$15)</f>
        <v>6</v>
      </c>
      <c r="N119" s="2522"/>
      <c r="O119" s="2523" t="e">
        <f>IF(K119="-","-",IF(K119&gt;M119,"No","Yes"))</f>
        <v>#N/A</v>
      </c>
      <c r="P119" s="2524"/>
    </row>
    <row r="120" spans="1:16" ht="15" hidden="1" customHeight="1">
      <c r="A120" s="881" t="str">
        <f>A109</f>
        <v>HIDE</v>
      </c>
      <c r="B120" s="2515" t="s">
        <v>705</v>
      </c>
      <c r="C120" s="2516"/>
      <c r="D120" s="2517"/>
      <c r="E120" s="2518" t="s">
        <v>706</v>
      </c>
      <c r="F120" s="2519"/>
      <c r="G120" s="2519"/>
      <c r="H120" s="2520"/>
      <c r="I120" s="2525" t="e">
        <f>INDEX('Cover Page'!$I$106:$N$109,3,MATCH($C117,'Cover Page'!$I$88:$N$88,0))</f>
        <v>#N/A</v>
      </c>
      <c r="J120" s="2526"/>
      <c r="K120" s="2525" t="e">
        <f>IF(ISBLANK(INDEX('Cover Page'!$I$110:$N$113,3,MATCH($C117,'Cover Page'!$I$88:$N$88,0))),"-",INDEX('Cover Page'!$I$110:$N$113,3,MATCH($C117,'Cover Page'!$I$88:$N$88,0)))</f>
        <v>#N/A</v>
      </c>
      <c r="L120" s="2526"/>
      <c r="M120" s="2525">
        <f>IF(ISERROR(MATCH($C117,RESIDUALS,0)),'POWER SETT'!$G$16,'POWER SETT'!$F$16)</f>
        <v>0.6</v>
      </c>
      <c r="N120" s="2526"/>
      <c r="O120" s="2523" t="e">
        <f>IF(K120="-","-",IF(K120&gt;M120,"No","Yes"))</f>
        <v>#N/A</v>
      </c>
      <c r="P120" s="2524"/>
    </row>
    <row r="121" spans="1:16" ht="15" hidden="1" customHeight="1">
      <c r="A121" s="881" t="str">
        <f>A109</f>
        <v>HIDE</v>
      </c>
      <c r="B121" s="2527" t="s">
        <v>1507</v>
      </c>
      <c r="C121" s="2528"/>
      <c r="D121" s="2529"/>
      <c r="E121" s="2530" t="s">
        <v>1508</v>
      </c>
      <c r="F121" s="2531"/>
      <c r="G121" s="2531"/>
      <c r="H121" s="2532"/>
      <c r="I121" s="2533" t="e">
        <f>INDEX('Cover Page'!$I$106:$N$109,4,MATCH($C117,'Cover Page'!$I$88:$N$88,0))</f>
        <v>#N/A</v>
      </c>
      <c r="J121" s="2534"/>
      <c r="K121" s="2533" t="e">
        <f>IF(ISBLANK(INDEX('Cover Page'!$I$110:$N$113,4,MATCH($C117,'Cover Page'!$I$88:$N$88,0))),"-",INDEX('Cover Page'!$I$110:$N$113,4,MATCH($C117,'Cover Page'!$I$88:$N$88,0)))</f>
        <v>#N/A</v>
      </c>
      <c r="L121" s="2534"/>
      <c r="M121" s="2533">
        <f>IF(ISERROR(MATCH($C117,RESIDUALS,0)),'POWER SETT'!$G$17,'POWER SETT'!$F$17)</f>
        <v>0.5</v>
      </c>
      <c r="N121" s="2534"/>
      <c r="O121" s="2535" t="e">
        <f>IF(K121="-","-",IF(K121&gt;M121,"No","Yes"))</f>
        <v>#N/A</v>
      </c>
      <c r="P121" s="2536"/>
    </row>
    <row r="122" spans="1:16" s="936" customFormat="1" ht="5.25" hidden="1">
      <c r="A122" s="936" t="str">
        <f>A124</f>
        <v>N</v>
      </c>
      <c r="B122" s="1831"/>
      <c r="C122" s="1832"/>
      <c r="D122" s="1832"/>
      <c r="E122" s="1832"/>
      <c r="F122" s="1832"/>
      <c r="G122" s="1832"/>
      <c r="H122" s="1832"/>
      <c r="I122" s="1832"/>
      <c r="J122" s="1832"/>
      <c r="K122" s="1832"/>
      <c r="L122" s="1832"/>
      <c r="M122" s="1832"/>
      <c r="N122" s="1832"/>
      <c r="O122" s="1832"/>
      <c r="P122" s="1830"/>
    </row>
    <row r="123" spans="1:16" ht="15" hidden="1" customHeight="1">
      <c r="A123" s="881" t="str">
        <f>A124</f>
        <v>N</v>
      </c>
      <c r="B123" s="2482" t="s">
        <v>711</v>
      </c>
      <c r="C123" s="2483"/>
      <c r="D123" s="2483"/>
      <c r="E123" s="2483"/>
      <c r="F123" s="2483"/>
      <c r="G123" s="2483"/>
      <c r="H123" s="2483"/>
      <c r="I123" s="2483"/>
      <c r="J123" s="2483"/>
      <c r="K123" s="2483"/>
      <c r="L123" s="2483"/>
      <c r="M123" s="2483"/>
      <c r="N123" s="2483"/>
      <c r="O123" s="2483"/>
      <c r="P123" s="2484"/>
    </row>
    <row r="124" spans="1:16" ht="15" hidden="1" customHeight="1">
      <c r="A124" s="938" t="str">
        <f>IF(SURVEYMODE=3,"HIDE",'Time Log'!A111)</f>
        <v>N</v>
      </c>
      <c r="B124" s="1437" t="s">
        <v>313</v>
      </c>
      <c r="C124" s="1901" t="str">
        <f>C111</f>
        <v/>
      </c>
      <c r="D124" s="1906" t="str">
        <f>D111</f>
        <v/>
      </c>
      <c r="E124" s="2485" t="s">
        <v>201</v>
      </c>
      <c r="F124" s="2486"/>
      <c r="G124" s="1833" t="s">
        <v>200</v>
      </c>
      <c r="H124" s="2485" t="s">
        <v>201</v>
      </c>
      <c r="I124" s="2486"/>
      <c r="J124" s="1833" t="s">
        <v>200</v>
      </c>
      <c r="K124" s="1834" t="s">
        <v>664</v>
      </c>
      <c r="L124" s="1835" t="s">
        <v>266</v>
      </c>
      <c r="M124" s="2487" t="s">
        <v>681</v>
      </c>
      <c r="N124" s="2488"/>
      <c r="O124" s="2488"/>
      <c r="P124" s="2489"/>
    </row>
    <row r="125" spans="1:16" ht="15" hidden="1" customHeight="1">
      <c r="A125" s="881" t="str">
        <f>A124</f>
        <v>N</v>
      </c>
      <c r="B125" s="2479" t="s">
        <v>663</v>
      </c>
      <c r="C125" s="2480"/>
      <c r="D125" s="2481"/>
      <c r="E125" s="2490">
        <f>'Time Log'!H112</f>
        <v>44792</v>
      </c>
      <c r="F125" s="2491"/>
      <c r="G125" s="1836">
        <f>'Time Log'!I112</f>
        <v>0.10416666666666667</v>
      </c>
      <c r="H125" s="2490">
        <f>'Time Log'!J112</f>
        <v>44792</v>
      </c>
      <c r="I125" s="2491"/>
      <c r="J125" s="1836">
        <f>'Time Log'!K112</f>
        <v>0.5</v>
      </c>
      <c r="K125" s="1837">
        <f>'Time Log'!L112</f>
        <v>0.39583333333333331</v>
      </c>
      <c r="L125" s="1838">
        <f>'Time Log'!M112</f>
        <v>9.5</v>
      </c>
      <c r="M125" s="2492" t="str">
        <f>IF('Time Log'!N112=0,"",'Time Log'!N112)</f>
        <v/>
      </c>
      <c r="N125" s="2493"/>
      <c r="O125" s="2493"/>
      <c r="P125" s="2494"/>
    </row>
    <row r="126" spans="1:16" ht="15" hidden="1" customHeight="1">
      <c r="A126" s="881" t="str">
        <f>A124</f>
        <v>N</v>
      </c>
      <c r="B126" s="2471" t="s">
        <v>662</v>
      </c>
      <c r="C126" s="2472"/>
      <c r="D126" s="2473"/>
      <c r="E126" s="2474">
        <f>'Time Log'!H113</f>
        <v>0</v>
      </c>
      <c r="F126" s="2475"/>
      <c r="G126" s="1839">
        <f>'Time Log'!I113</f>
        <v>0</v>
      </c>
      <c r="H126" s="2474">
        <f>'Time Log'!J113</f>
        <v>0</v>
      </c>
      <c r="I126" s="2475"/>
      <c r="J126" s="1839">
        <f>'Time Log'!K113</f>
        <v>0</v>
      </c>
      <c r="K126" s="1840" t="str">
        <f>'Time Log'!L113</f>
        <v/>
      </c>
      <c r="L126" s="1841" t="str">
        <f>'Time Log'!M113</f>
        <v/>
      </c>
      <c r="M126" s="2476" t="str">
        <f>IF('Time Log'!N113=0,"",'Time Log'!N113)</f>
        <v/>
      </c>
      <c r="N126" s="2477"/>
      <c r="O126" s="2477"/>
      <c r="P126" s="2478"/>
    </row>
    <row r="127" spans="1:16" ht="15" hidden="1" customHeight="1">
      <c r="A127" s="938" t="str">
        <f>IF(SURVEYMODE=3,"HIDE",'Time Log'!A114)</f>
        <v>N</v>
      </c>
      <c r="B127" s="2471" t="s">
        <v>1035</v>
      </c>
      <c r="C127" s="2472"/>
      <c r="D127" s="2473"/>
      <c r="E127" s="2474">
        <f>'Time Log'!H114</f>
        <v>0</v>
      </c>
      <c r="F127" s="2475"/>
      <c r="G127" s="1839">
        <f>'Time Log'!I114</f>
        <v>0</v>
      </c>
      <c r="H127" s="2474">
        <f>'Time Log'!J114</f>
        <v>0</v>
      </c>
      <c r="I127" s="2475"/>
      <c r="J127" s="1839">
        <f>'Time Log'!K114</f>
        <v>0</v>
      </c>
      <c r="K127" s="1840" t="str">
        <f>'Time Log'!L114</f>
        <v/>
      </c>
      <c r="L127" s="1841" t="str">
        <f>'Time Log'!M114</f>
        <v/>
      </c>
      <c r="M127" s="2476" t="str">
        <f>IF('Time Log'!N114=0,"",'Time Log'!N114)</f>
        <v>Leaking hose connection</v>
      </c>
      <c r="N127" s="2477"/>
      <c r="O127" s="2477"/>
      <c r="P127" s="2478"/>
    </row>
    <row r="128" spans="1:16" ht="15" hidden="1" customHeight="1">
      <c r="A128" s="938" t="str">
        <f>IF(SURVEYMODE=3,"HIDE",'Time Log'!A115)</f>
        <v>N</v>
      </c>
      <c r="B128" s="2471" t="s">
        <v>1035</v>
      </c>
      <c r="C128" s="2472"/>
      <c r="D128" s="2473"/>
      <c r="E128" s="2474">
        <f>'Time Log'!H115</f>
        <v>0</v>
      </c>
      <c r="F128" s="2475"/>
      <c r="G128" s="1839">
        <f>'Time Log'!I115</f>
        <v>0</v>
      </c>
      <c r="H128" s="2474">
        <f>'Time Log'!J115</f>
        <v>0</v>
      </c>
      <c r="I128" s="2475"/>
      <c r="J128" s="1839">
        <f>'Time Log'!K115</f>
        <v>0</v>
      </c>
      <c r="K128" s="1840" t="str">
        <f>'Time Log'!L115</f>
        <v/>
      </c>
      <c r="L128" s="1841" t="str">
        <f>'Time Log'!M115</f>
        <v/>
      </c>
      <c r="M128" s="2476" t="str">
        <f>IF('Time Log'!N115=0,"",'Time Log'!N115)</f>
        <v>Stoppage due to potential cappuccino bunkers</v>
      </c>
      <c r="N128" s="2477"/>
      <c r="O128" s="2477"/>
      <c r="P128" s="2478"/>
    </row>
    <row r="129" spans="1:24" ht="15" hidden="1" customHeight="1">
      <c r="A129" s="938" t="str">
        <f>IF(SURVEYMODE=3,"HIDE",'Time Log'!A116)</f>
        <v>N</v>
      </c>
      <c r="B129" s="2471" t="s">
        <v>1035</v>
      </c>
      <c r="C129" s="2472"/>
      <c r="D129" s="2473"/>
      <c r="E129" s="2474">
        <f>'Time Log'!H116</f>
        <v>0</v>
      </c>
      <c r="F129" s="2475"/>
      <c r="G129" s="1839">
        <f>'Time Log'!I116</f>
        <v>0</v>
      </c>
      <c r="H129" s="2474">
        <f>'Time Log'!J116</f>
        <v>0</v>
      </c>
      <c r="I129" s="2475"/>
      <c r="J129" s="1839">
        <f>'Time Log'!K116</f>
        <v>0</v>
      </c>
      <c r="K129" s="1840" t="str">
        <f>'Time Log'!L116</f>
        <v/>
      </c>
      <c r="L129" s="1841" t="str">
        <f>'Time Log'!M116</f>
        <v/>
      </c>
      <c r="M129" s="2476" t="str">
        <f>IF('Time Log'!N116=0,"",'Time Log'!N116)</f>
        <v/>
      </c>
      <c r="N129" s="2477"/>
      <c r="O129" s="2477"/>
      <c r="P129" s="2478"/>
    </row>
    <row r="130" spans="1:24" ht="15" hidden="1" customHeight="1">
      <c r="A130" s="938" t="str">
        <f>IF(SURVEYMODE=3,"HIDE",'Time Log'!A117)</f>
        <v>N</v>
      </c>
      <c r="B130" s="2471" t="s">
        <v>1035</v>
      </c>
      <c r="C130" s="2472"/>
      <c r="D130" s="2473"/>
      <c r="E130" s="2474">
        <f>'Time Log'!H117</f>
        <v>0</v>
      </c>
      <c r="F130" s="2475"/>
      <c r="G130" s="1839">
        <f>'Time Log'!I117</f>
        <v>0</v>
      </c>
      <c r="H130" s="2474">
        <f>'Time Log'!J117</f>
        <v>0</v>
      </c>
      <c r="I130" s="2475"/>
      <c r="J130" s="1839">
        <f>'Time Log'!K117</f>
        <v>0</v>
      </c>
      <c r="K130" s="1840" t="str">
        <f>'Time Log'!L117</f>
        <v/>
      </c>
      <c r="L130" s="1841" t="str">
        <f>'Time Log'!M117</f>
        <v/>
      </c>
      <c r="M130" s="2476" t="str">
        <f>IF('Time Log'!N117=0,"",'Time Log'!N117)</f>
        <v/>
      </c>
      <c r="N130" s="2477"/>
      <c r="O130" s="2477"/>
      <c r="P130" s="2478"/>
    </row>
    <row r="131" spans="1:24" ht="15" hidden="1" customHeight="1" thickBot="1">
      <c r="A131" s="938" t="str">
        <f>IF(SURVEYMODE=3,"HIDE",'Time Log'!A118)</f>
        <v>N</v>
      </c>
      <c r="B131" s="2504" t="s">
        <v>1035</v>
      </c>
      <c r="C131" s="2505"/>
      <c r="D131" s="2506"/>
      <c r="E131" s="2507">
        <f>'Time Log'!H118</f>
        <v>0</v>
      </c>
      <c r="F131" s="2508"/>
      <c r="G131" s="1842">
        <f>'Time Log'!I118</f>
        <v>0</v>
      </c>
      <c r="H131" s="2507">
        <f>'Time Log'!J118</f>
        <v>0</v>
      </c>
      <c r="I131" s="2508"/>
      <c r="J131" s="1842">
        <f>'Time Log'!K118</f>
        <v>0</v>
      </c>
      <c r="K131" s="1843" t="str">
        <f>'Time Log'!L118</f>
        <v/>
      </c>
      <c r="L131" s="1844" t="str">
        <f>'Time Log'!M118</f>
        <v/>
      </c>
      <c r="M131" s="2459" t="str">
        <f>IF('Time Log'!N118=0,"",'Time Log'!N118)</f>
        <v/>
      </c>
      <c r="N131" s="2460"/>
      <c r="O131" s="2460"/>
      <c r="P131" s="2461"/>
    </row>
    <row r="132" spans="1:24" ht="15" hidden="1" customHeight="1">
      <c r="A132" s="881" t="str">
        <f>A124</f>
        <v>N</v>
      </c>
      <c r="B132" s="1845"/>
      <c r="C132" s="1845"/>
      <c r="D132" s="1845"/>
      <c r="E132" s="1845"/>
      <c r="F132" s="1845"/>
      <c r="G132" s="1845"/>
      <c r="H132" s="2498" t="s">
        <v>712</v>
      </c>
      <c r="I132" s="2499"/>
      <c r="J132" s="2500"/>
      <c r="K132" s="1846" t="str">
        <f>'Time Log'!L119</f>
        <v/>
      </c>
      <c r="L132" s="1847" t="str">
        <f>'Time Log'!M119</f>
        <v/>
      </c>
      <c r="M132" s="1845"/>
      <c r="N132" s="1845"/>
      <c r="O132" s="1845"/>
      <c r="P132" s="1845"/>
    </row>
    <row r="133" spans="1:24" ht="15" hidden="1" customHeight="1" thickBot="1">
      <c r="A133" s="881" t="str">
        <f>A124</f>
        <v>N</v>
      </c>
      <c r="B133" s="1848"/>
      <c r="C133" s="1848"/>
      <c r="D133" s="1848"/>
      <c r="E133" s="1848"/>
      <c r="F133" s="1848"/>
      <c r="G133" s="1848"/>
      <c r="H133" s="2501" t="s">
        <v>1034</v>
      </c>
      <c r="I133" s="2502"/>
      <c r="J133" s="2503"/>
      <c r="K133" s="1849">
        <f>'Time Log'!L120</f>
        <v>0</v>
      </c>
      <c r="L133" s="1850">
        <f>'Time Log'!M120</f>
        <v>0</v>
      </c>
      <c r="M133" s="1848"/>
      <c r="N133" s="1848"/>
      <c r="O133" s="1848"/>
      <c r="P133" s="1848"/>
    </row>
    <row r="134" spans="1:24" s="936" customFormat="1" ht="5.25" hidden="1">
      <c r="A134" s="936" t="str">
        <f>A135</f>
        <v>HIDE</v>
      </c>
      <c r="B134" s="1851"/>
      <c r="C134" s="1851"/>
      <c r="D134" s="1851"/>
      <c r="E134" s="1851"/>
      <c r="F134" s="1851"/>
      <c r="G134" s="1851"/>
      <c r="H134" s="1851"/>
      <c r="I134" s="1851"/>
      <c r="J134" s="1851"/>
      <c r="K134" s="1851"/>
      <c r="L134" s="1851"/>
      <c r="M134" s="1851"/>
      <c r="N134" s="1851"/>
      <c r="O134" s="1851"/>
      <c r="P134" s="1851"/>
    </row>
    <row r="135" spans="1:24" s="888" customFormat="1" ht="15" hidden="1" customHeight="1">
      <c r="A135" s="939" t="str">
        <f>IF(SURVEYMODE=3,"HIDE",IF(C137="","HIDE","Y"))</f>
        <v>HIDE</v>
      </c>
      <c r="B135" s="1435" t="str">
        <f>IF(BARGESEL=1,"Grade:","Barge:")</f>
        <v>Grade:</v>
      </c>
      <c r="C135" s="2495" t="str">
        <f>IF(BARGESEL=1,C137,'Preliminary Report'!E50)</f>
        <v/>
      </c>
      <c r="D135" s="2495"/>
      <c r="E135" s="2496" t="str">
        <f>IF(G135="","","License No.:")</f>
        <v/>
      </c>
      <c r="F135" s="2496"/>
      <c r="G135" s="2495" t="str">
        <f>IF(BARGESEL=1,"",'Preliminary Report'!H50)</f>
        <v/>
      </c>
      <c r="H135" s="2495"/>
      <c r="I135" s="2496" t="str">
        <f>IF(BARGESEL=1,"","Supplier:")</f>
        <v/>
      </c>
      <c r="J135" s="2496"/>
      <c r="K135" s="2495" t="str">
        <f>IF(BARGESEL=1,"",'Preliminary Report'!E49)</f>
        <v/>
      </c>
      <c r="L135" s="2495"/>
      <c r="M135" s="2495"/>
      <c r="N135" s="2495"/>
      <c r="O135" s="2495"/>
      <c r="P135" s="2497"/>
    </row>
    <row r="136" spans="1:24" s="932" customFormat="1" ht="15" hidden="1" customHeight="1">
      <c r="A136" s="932" t="str">
        <f>A135</f>
        <v>HIDE</v>
      </c>
      <c r="B136" s="2482" t="s">
        <v>695</v>
      </c>
      <c r="C136" s="2483"/>
      <c r="D136" s="2483"/>
      <c r="E136" s="2483"/>
      <c r="F136" s="2483"/>
      <c r="G136" s="2483"/>
      <c r="H136" s="2483"/>
      <c r="I136" s="2483"/>
      <c r="J136" s="2483"/>
      <c r="K136" s="2483"/>
      <c r="L136" s="2483"/>
      <c r="M136" s="2483"/>
      <c r="N136" s="2483"/>
      <c r="O136" s="2483"/>
      <c r="P136" s="2484"/>
      <c r="Q136" s="881"/>
      <c r="R136" s="881"/>
      <c r="S136" s="881"/>
      <c r="T136" s="881"/>
      <c r="U136" s="881"/>
      <c r="V136" s="881"/>
      <c r="W136" s="881"/>
      <c r="X136" s="881"/>
    </row>
    <row r="137" spans="1:24" ht="15" hidden="1" customHeight="1">
      <c r="A137" s="881" t="str">
        <f>A135</f>
        <v>HIDE</v>
      </c>
      <c r="B137" s="1436" t="s">
        <v>313</v>
      </c>
      <c r="C137" s="1900" t="str">
        <f>'Preliminary Report'!C51</f>
        <v/>
      </c>
      <c r="D137" s="1905" t="str">
        <f>'Preliminary Report'!D51</f>
        <v/>
      </c>
      <c r="E137" s="1815" t="s">
        <v>1279</v>
      </c>
      <c r="F137" s="1816" t="s">
        <v>291</v>
      </c>
      <c r="G137" s="2561" t="s">
        <v>719</v>
      </c>
      <c r="H137" s="2562"/>
      <c r="I137" s="2561" t="s">
        <v>159</v>
      </c>
      <c r="J137" s="2562"/>
      <c r="K137" s="2561" t="s">
        <v>720</v>
      </c>
      <c r="L137" s="2562"/>
      <c r="M137" s="2561" t="s">
        <v>714</v>
      </c>
      <c r="N137" s="2562"/>
      <c r="O137" s="1817" t="s">
        <v>668</v>
      </c>
      <c r="P137" s="1818" t="s">
        <v>713</v>
      </c>
    </row>
    <row r="138" spans="1:24" ht="15" hidden="1" customHeight="1">
      <c r="A138" s="881" t="str">
        <f>A135</f>
        <v>HIDE</v>
      </c>
      <c r="B138" s="2563" t="s">
        <v>716</v>
      </c>
      <c r="C138" s="2564"/>
      <c r="D138" s="2565"/>
      <c r="E138" s="2631" t="str">
        <f>'Preliminary Report'!E52</f>
        <v/>
      </c>
      <c r="F138" s="1819" t="e">
        <f>I144/1000</f>
        <v>#N/A</v>
      </c>
      <c r="G138" s="2566" t="str">
        <f>'Preliminary Report'!F52</f>
        <v/>
      </c>
      <c r="H138" s="2567"/>
      <c r="I138" s="2566">
        <f>'Preliminary Report'!G52</f>
        <v>0</v>
      </c>
      <c r="J138" s="2567"/>
      <c r="K138" s="2566">
        <f>'Preliminary Report'!H52</f>
        <v>0</v>
      </c>
      <c r="L138" s="2567"/>
      <c r="M138" s="2566" t="e">
        <f>K138-G138</f>
        <v>#VALUE!</v>
      </c>
      <c r="N138" s="2567"/>
      <c r="O138" s="1820" t="e">
        <f>IF(G138=0,"",(K138-G138)*100/G138)/100</f>
        <v>#VALUE!</v>
      </c>
      <c r="P138" s="2633" t="e">
        <f>IF(PRICESHOW=FALSE,"",INDEX(PRICELIST,MATCH(C137,GRADESLISTINI,0),1))</f>
        <v>#N/A</v>
      </c>
    </row>
    <row r="139" spans="1:24" ht="15" hidden="1" customHeight="1">
      <c r="A139" s="881" t="str">
        <f>A135</f>
        <v>HIDE</v>
      </c>
      <c r="B139" s="2552" t="s">
        <v>715</v>
      </c>
      <c r="C139" s="2553"/>
      <c r="D139" s="2554"/>
      <c r="E139" s="2632"/>
      <c r="F139" s="1821" t="e">
        <f>IF(K144="-","-",K144/1000)</f>
        <v>#N/A</v>
      </c>
      <c r="G139" s="2555" t="e">
        <f>IF($F139="-","-",G138/($F138-0.0011)*($F139-0.0011))</f>
        <v>#N/A</v>
      </c>
      <c r="H139" s="2556"/>
      <c r="I139" s="2555" t="e">
        <f>IF($F139="-","-",I138/($F138-0.0011)*($F139-0.0011))</f>
        <v>#N/A</v>
      </c>
      <c r="J139" s="2556"/>
      <c r="K139" s="2555" t="e">
        <f>IF($F139="-","-",K138/($F138-0.0011)*($F139-0.0011))</f>
        <v>#N/A</v>
      </c>
      <c r="L139" s="2556"/>
      <c r="M139" s="2555" t="str">
        <f>IF(ISERROR(K139-G139),"-",K139-G139)</f>
        <v>-</v>
      </c>
      <c r="N139" s="2556"/>
      <c r="O139" s="1822" t="str">
        <f>IF(M139="-","-",IF(G139=0,"",(K139-G139)*100/G139)/100)</f>
        <v>-</v>
      </c>
      <c r="P139" s="2634"/>
    </row>
    <row r="140" spans="1:24" ht="15" hidden="1" customHeight="1">
      <c r="A140" s="881" t="str">
        <f>A135</f>
        <v>HIDE</v>
      </c>
      <c r="B140" s="2557" t="s">
        <v>717</v>
      </c>
      <c r="C140" s="2558"/>
      <c r="D140" s="2559"/>
      <c r="E140" s="1823"/>
      <c r="F140" s="1824"/>
      <c r="G140" s="2560" t="str">
        <f>IF(ISERROR(G139-G138),"-",G139-G138)</f>
        <v>-</v>
      </c>
      <c r="H140" s="2560"/>
      <c r="I140" s="2560" t="str">
        <f>IF(ISERROR(I139-I138),"-",I139-I138)</f>
        <v>-</v>
      </c>
      <c r="J140" s="2560"/>
      <c r="K140" s="2560" t="str">
        <f>IF(ISERROR(K139-K138),"-",K139-K138)</f>
        <v>-</v>
      </c>
      <c r="L140" s="2560"/>
      <c r="M140" s="2560" t="str">
        <f>IF(ISERROR(M139-M138),"-",M139-M138)</f>
        <v>-</v>
      </c>
      <c r="N140" s="2560"/>
      <c r="O140" s="1825" t="e">
        <f>IF(G139="-","-",IF(G138=0,"",(G139-G138)*100/G138)/100)</f>
        <v>#N/A</v>
      </c>
      <c r="P140" s="1826" t="str">
        <f>IF(PRICESHOW=FALSE,"",IF(G140="-","-",G140*INDEX(PRICELIST,MATCH(C137,GRADESLISTINI,0),1)))</f>
        <v>-</v>
      </c>
    </row>
    <row r="141" spans="1:24" s="936" customFormat="1" ht="5.25" hidden="1">
      <c r="A141" s="936" t="str">
        <f>A135</f>
        <v>HIDE</v>
      </c>
      <c r="B141" s="1827"/>
      <c r="C141" s="1828"/>
      <c r="D141" s="1828"/>
      <c r="E141" s="1829"/>
      <c r="F141" s="1829"/>
      <c r="G141" s="1829"/>
      <c r="H141" s="1829"/>
      <c r="I141" s="1829"/>
      <c r="J141" s="1829"/>
      <c r="K141" s="1829"/>
      <c r="L141" s="1829"/>
      <c r="M141" s="1829"/>
      <c r="N141" s="1829"/>
      <c r="O141" s="1829"/>
      <c r="P141" s="1830"/>
    </row>
    <row r="142" spans="1:24" ht="15" hidden="1" customHeight="1">
      <c r="A142" s="881" t="str">
        <f>A135</f>
        <v>HIDE</v>
      </c>
      <c r="B142" s="2482" t="s">
        <v>696</v>
      </c>
      <c r="C142" s="2483"/>
      <c r="D142" s="2483"/>
      <c r="E142" s="2483"/>
      <c r="F142" s="2483"/>
      <c r="G142" s="2483"/>
      <c r="H142" s="2483"/>
      <c r="I142" s="2483"/>
      <c r="J142" s="2483"/>
      <c r="K142" s="2483"/>
      <c r="L142" s="2483"/>
      <c r="M142" s="2483"/>
      <c r="N142" s="2483"/>
      <c r="O142" s="2483"/>
      <c r="P142" s="2484"/>
    </row>
    <row r="143" spans="1:24" ht="15" hidden="1" customHeight="1">
      <c r="A143" s="881" t="str">
        <f>A135</f>
        <v>HIDE</v>
      </c>
      <c r="B143" s="1437" t="s">
        <v>313</v>
      </c>
      <c r="C143" s="1901" t="str">
        <f>C137</f>
        <v/>
      </c>
      <c r="D143" s="1906" t="str">
        <f>D137</f>
        <v/>
      </c>
      <c r="E143" s="2537" t="s">
        <v>704</v>
      </c>
      <c r="F143" s="2538"/>
      <c r="G143" s="2538"/>
      <c r="H143" s="2539"/>
      <c r="I143" s="2540" t="s">
        <v>667</v>
      </c>
      <c r="J143" s="2539"/>
      <c r="K143" s="2540" t="s">
        <v>666</v>
      </c>
      <c r="L143" s="2539"/>
      <c r="M143" s="2540" t="s">
        <v>665</v>
      </c>
      <c r="N143" s="2539"/>
      <c r="O143" s="2540" t="s">
        <v>694</v>
      </c>
      <c r="P143" s="2541"/>
    </row>
    <row r="144" spans="1:24" ht="15" hidden="1" customHeight="1">
      <c r="A144" s="881" t="str">
        <f>A135</f>
        <v>HIDE</v>
      </c>
      <c r="B144" s="2542" t="s">
        <v>702</v>
      </c>
      <c r="C144" s="2543"/>
      <c r="D144" s="2544"/>
      <c r="E144" s="2545" t="s">
        <v>718</v>
      </c>
      <c r="F144" s="2546"/>
      <c r="G144" s="2546"/>
      <c r="H144" s="2547"/>
      <c r="I144" s="2548" t="e">
        <f>INDEX('Cover Page'!$AI$106:$AI$111,MATCH($C143,'Cover Page'!$AC$106:$AC$111,0),1)*1000</f>
        <v>#N/A</v>
      </c>
      <c r="J144" s="2549"/>
      <c r="K144" s="2548" t="e">
        <f>IF(INDEX('Cover Page'!$AR$106:$AR$111,MATCH($C143,'Cover Page'!$AL$106:$AL$111,0),1)="","-",INDEX('Cover Page'!$AR$106:$AR$111,MATCH($C143,'Cover Page'!$AL$106:$AL$111,0),1)*1000)</f>
        <v>#N/A</v>
      </c>
      <c r="L144" s="2549"/>
      <c r="M144" s="2548">
        <f>IF(ISERROR(MATCH($C143,RESIDUALS,0)),'POWER SETT'!$G$14,'POWER SETT'!$F$14)*1000</f>
        <v>890</v>
      </c>
      <c r="N144" s="2549"/>
      <c r="O144" s="2550" t="e">
        <f>IF(K144="-","-",IF(K144&gt;M144,"No","Yes"))</f>
        <v>#N/A</v>
      </c>
      <c r="P144" s="2551"/>
    </row>
    <row r="145" spans="1:16" ht="15" hidden="1" customHeight="1">
      <c r="A145" s="881" t="str">
        <f>A135</f>
        <v>HIDE</v>
      </c>
      <c r="B145" s="2515" t="s">
        <v>703</v>
      </c>
      <c r="C145" s="2516"/>
      <c r="D145" s="2517"/>
      <c r="E145" s="2518" t="str">
        <f>IF(ISERROR(MATCH($C143,RESIDUALS,0)),"40ºC cSt","50ºC cSt")</f>
        <v>40ºC cSt</v>
      </c>
      <c r="F145" s="2519"/>
      <c r="G145" s="2519"/>
      <c r="H145" s="2520"/>
      <c r="I145" s="2521" t="e">
        <f>INDEX('Cover Page'!$I$106:$N$109,2,MATCH($C143,'Cover Page'!$I$88:$N$88,0))</f>
        <v>#N/A</v>
      </c>
      <c r="J145" s="2522"/>
      <c r="K145" s="2521" t="e">
        <f>IF(ISBLANK(INDEX('Cover Page'!$I$110:$N$113,2,MATCH($C143,'Cover Page'!$I$88:$N$88,0))),"-",INDEX('Cover Page'!$I$110:$N$113,2,MATCH($C143,'Cover Page'!$I$88:$N$88,0)))</f>
        <v>#N/A</v>
      </c>
      <c r="L145" s="2522"/>
      <c r="M145" s="2521">
        <f>IF(ISERROR(MATCH($C143,RESIDUALS,0)),'POWER SETT'!$G$15,'POWER SETT'!$F$15)</f>
        <v>6</v>
      </c>
      <c r="N145" s="2522"/>
      <c r="O145" s="2523" t="e">
        <f>IF(K145="-","-",IF(K145&gt;M145,"No","Yes"))</f>
        <v>#N/A</v>
      </c>
      <c r="P145" s="2524"/>
    </row>
    <row r="146" spans="1:16" ht="15" hidden="1" customHeight="1">
      <c r="A146" s="881" t="str">
        <f>A135</f>
        <v>HIDE</v>
      </c>
      <c r="B146" s="2515" t="s">
        <v>705</v>
      </c>
      <c r="C146" s="2516"/>
      <c r="D146" s="2517"/>
      <c r="E146" s="2518" t="s">
        <v>706</v>
      </c>
      <c r="F146" s="2519"/>
      <c r="G146" s="2519"/>
      <c r="H146" s="2520"/>
      <c r="I146" s="2525" t="e">
        <f>INDEX('Cover Page'!$I$106:$N$109,3,MATCH($C143,'Cover Page'!$I$88:$N$88,0))</f>
        <v>#N/A</v>
      </c>
      <c r="J146" s="2526"/>
      <c r="K146" s="2525" t="e">
        <f>IF(ISBLANK(INDEX('Cover Page'!$I$110:$N$113,3,MATCH($C143,'Cover Page'!$I$88:$N$88,0))),"-",INDEX('Cover Page'!$I$110:$N$113,3,MATCH($C143,'Cover Page'!$I$88:$N$88,0)))</f>
        <v>#N/A</v>
      </c>
      <c r="L146" s="2526"/>
      <c r="M146" s="2525">
        <f>IF(ISERROR(MATCH($C143,RESIDUALS,0)),'POWER SETT'!$G$16,'POWER SETT'!$F$16)</f>
        <v>0.6</v>
      </c>
      <c r="N146" s="2526"/>
      <c r="O146" s="2523" t="e">
        <f>IF(K146="-","-",IF(K146&gt;M146,"No","Yes"))</f>
        <v>#N/A</v>
      </c>
      <c r="P146" s="2524"/>
    </row>
    <row r="147" spans="1:16" ht="15" hidden="1" customHeight="1">
      <c r="A147" s="881" t="str">
        <f>A135</f>
        <v>HIDE</v>
      </c>
      <c r="B147" s="2527" t="s">
        <v>1507</v>
      </c>
      <c r="C147" s="2528"/>
      <c r="D147" s="2529"/>
      <c r="E147" s="2530" t="s">
        <v>1508</v>
      </c>
      <c r="F147" s="2531"/>
      <c r="G147" s="2531"/>
      <c r="H147" s="2532"/>
      <c r="I147" s="2533" t="e">
        <f>INDEX('Cover Page'!$I$106:$N$109,4,MATCH($C143,'Cover Page'!$I$88:$N$88,0))</f>
        <v>#N/A</v>
      </c>
      <c r="J147" s="2534"/>
      <c r="K147" s="2533" t="e">
        <f>IF(ISBLANK(INDEX('Cover Page'!$I$110:$N$113,4,MATCH($C143,'Cover Page'!$I$88:$N$88,0))),"-",INDEX('Cover Page'!$I$110:$N$113,4,MATCH($C143,'Cover Page'!$I$88:$N$88,0)))</f>
        <v>#N/A</v>
      </c>
      <c r="L147" s="2534"/>
      <c r="M147" s="2533">
        <f>IF(ISERROR(MATCH($C143,RESIDUALS,0)),'POWER SETT'!$G$17,'POWER SETT'!$F$17)</f>
        <v>0.5</v>
      </c>
      <c r="N147" s="2534"/>
      <c r="O147" s="2535" t="e">
        <f>IF(K147="-","-",IF(K147&gt;M147,"No","Yes"))</f>
        <v>#N/A</v>
      </c>
      <c r="P147" s="2536"/>
    </row>
    <row r="148" spans="1:16" s="936" customFormat="1" ht="5.25" hidden="1">
      <c r="A148" s="936" t="str">
        <f>A150</f>
        <v>N</v>
      </c>
      <c r="B148" s="1831"/>
      <c r="C148" s="1832"/>
      <c r="D148" s="1832"/>
      <c r="E148" s="1832"/>
      <c r="F148" s="1832"/>
      <c r="G148" s="1832"/>
      <c r="H148" s="1832"/>
      <c r="I148" s="1832"/>
      <c r="J148" s="1832"/>
      <c r="K148" s="1832"/>
      <c r="L148" s="1832"/>
      <c r="M148" s="1832"/>
      <c r="N148" s="1832"/>
      <c r="O148" s="1832"/>
      <c r="P148" s="1830"/>
    </row>
    <row r="149" spans="1:16" ht="15" hidden="1" customHeight="1">
      <c r="A149" s="881" t="str">
        <f>A150</f>
        <v>N</v>
      </c>
      <c r="B149" s="2482" t="s">
        <v>711</v>
      </c>
      <c r="C149" s="2483"/>
      <c r="D149" s="2483"/>
      <c r="E149" s="2483"/>
      <c r="F149" s="2483"/>
      <c r="G149" s="2483"/>
      <c r="H149" s="2483"/>
      <c r="I149" s="2483"/>
      <c r="J149" s="2483"/>
      <c r="K149" s="2483"/>
      <c r="L149" s="2483"/>
      <c r="M149" s="2483"/>
      <c r="N149" s="2483"/>
      <c r="O149" s="2483"/>
      <c r="P149" s="2484"/>
    </row>
    <row r="150" spans="1:16" ht="15" hidden="1" customHeight="1">
      <c r="A150" s="938" t="str">
        <f>IF(SURVEYMODE=3,"HIDE",'Time Log'!A122)</f>
        <v>N</v>
      </c>
      <c r="B150" s="1437" t="s">
        <v>313</v>
      </c>
      <c r="C150" s="1901" t="str">
        <f>C137</f>
        <v/>
      </c>
      <c r="D150" s="1906" t="str">
        <f>D137</f>
        <v/>
      </c>
      <c r="E150" s="2485" t="s">
        <v>201</v>
      </c>
      <c r="F150" s="2486"/>
      <c r="G150" s="1833" t="s">
        <v>200</v>
      </c>
      <c r="H150" s="2485" t="s">
        <v>201</v>
      </c>
      <c r="I150" s="2486"/>
      <c r="J150" s="1833" t="s">
        <v>200</v>
      </c>
      <c r="K150" s="1834" t="s">
        <v>664</v>
      </c>
      <c r="L150" s="1835" t="s">
        <v>266</v>
      </c>
      <c r="M150" s="2487" t="s">
        <v>681</v>
      </c>
      <c r="N150" s="2488"/>
      <c r="O150" s="2488"/>
      <c r="P150" s="2489"/>
    </row>
    <row r="151" spans="1:16" ht="15" hidden="1" customHeight="1">
      <c r="A151" s="881" t="str">
        <f>A150</f>
        <v>N</v>
      </c>
      <c r="B151" s="2479" t="s">
        <v>663</v>
      </c>
      <c r="C151" s="2480"/>
      <c r="D151" s="2481"/>
      <c r="E151" s="2490">
        <f>'Time Log'!H123</f>
        <v>44792</v>
      </c>
      <c r="F151" s="2491"/>
      <c r="G151" s="1836">
        <f>'Time Log'!I123</f>
        <v>0.10416666666666667</v>
      </c>
      <c r="H151" s="2490">
        <f>'Time Log'!J123</f>
        <v>44792</v>
      </c>
      <c r="I151" s="2491"/>
      <c r="J151" s="1836">
        <f>'Time Log'!K123</f>
        <v>0.5</v>
      </c>
      <c r="K151" s="1837">
        <f>'Time Log'!L123</f>
        <v>0.39583333333333331</v>
      </c>
      <c r="L151" s="1838">
        <f>'Time Log'!M123</f>
        <v>9.5</v>
      </c>
      <c r="M151" s="2492" t="str">
        <f>IF('Time Log'!N123=0,"",'Time Log'!N123)</f>
        <v/>
      </c>
      <c r="N151" s="2493"/>
      <c r="O151" s="2493"/>
      <c r="P151" s="2494"/>
    </row>
    <row r="152" spans="1:16" ht="15" hidden="1" customHeight="1">
      <c r="A152" s="881" t="str">
        <f>A150</f>
        <v>N</v>
      </c>
      <c r="B152" s="2471" t="s">
        <v>662</v>
      </c>
      <c r="C152" s="2472"/>
      <c r="D152" s="2473"/>
      <c r="E152" s="2474">
        <f>'Time Log'!H124</f>
        <v>0</v>
      </c>
      <c r="F152" s="2475"/>
      <c r="G152" s="1839">
        <f>'Time Log'!I124</f>
        <v>0</v>
      </c>
      <c r="H152" s="2474">
        <f>'Time Log'!J124</f>
        <v>0</v>
      </c>
      <c r="I152" s="2475"/>
      <c r="J152" s="1839">
        <f>'Time Log'!K124</f>
        <v>0</v>
      </c>
      <c r="K152" s="1840" t="str">
        <f>'Time Log'!L124</f>
        <v/>
      </c>
      <c r="L152" s="1841" t="str">
        <f>'Time Log'!M124</f>
        <v/>
      </c>
      <c r="M152" s="2476" t="str">
        <f>IF('Time Log'!N124=0,"",'Time Log'!N124)</f>
        <v/>
      </c>
      <c r="N152" s="2477"/>
      <c r="O152" s="2477"/>
      <c r="P152" s="2478"/>
    </row>
    <row r="153" spans="1:16" ht="15" hidden="1" customHeight="1">
      <c r="A153" s="938" t="str">
        <f>IF(SURVEYMODE=3,"HIDE",'Time Log'!A125)</f>
        <v>N</v>
      </c>
      <c r="B153" s="2471" t="s">
        <v>1035</v>
      </c>
      <c r="C153" s="2472"/>
      <c r="D153" s="2473"/>
      <c r="E153" s="2474">
        <f>'Time Log'!H125</f>
        <v>0</v>
      </c>
      <c r="F153" s="2475"/>
      <c r="G153" s="1839">
        <f>'Time Log'!I125</f>
        <v>0</v>
      </c>
      <c r="H153" s="2474">
        <f>'Time Log'!J125</f>
        <v>0</v>
      </c>
      <c r="I153" s="2475"/>
      <c r="J153" s="1839">
        <f>'Time Log'!K125</f>
        <v>0</v>
      </c>
      <c r="K153" s="1840" t="str">
        <f>'Time Log'!L125</f>
        <v/>
      </c>
      <c r="L153" s="1841" t="str">
        <f>'Time Log'!M125</f>
        <v/>
      </c>
      <c r="M153" s="2476" t="str">
        <f>IF('Time Log'!N125=0,"",'Time Log'!N125)</f>
        <v>Leaking hose connection</v>
      </c>
      <c r="N153" s="2477"/>
      <c r="O153" s="2477"/>
      <c r="P153" s="2478"/>
    </row>
    <row r="154" spans="1:16" ht="15" hidden="1" customHeight="1">
      <c r="A154" s="938" t="str">
        <f>IF(SURVEYMODE=3,"HIDE",'Time Log'!A126)</f>
        <v>N</v>
      </c>
      <c r="B154" s="2471" t="s">
        <v>1035</v>
      </c>
      <c r="C154" s="2472"/>
      <c r="D154" s="2473"/>
      <c r="E154" s="2474">
        <f>'Time Log'!H126</f>
        <v>0</v>
      </c>
      <c r="F154" s="2475"/>
      <c r="G154" s="1839">
        <f>'Time Log'!I126</f>
        <v>0</v>
      </c>
      <c r="H154" s="2474">
        <f>'Time Log'!J126</f>
        <v>0</v>
      </c>
      <c r="I154" s="2475"/>
      <c r="J154" s="1839">
        <f>'Time Log'!K126</f>
        <v>0</v>
      </c>
      <c r="K154" s="1840" t="str">
        <f>'Time Log'!L126</f>
        <v/>
      </c>
      <c r="L154" s="1841" t="str">
        <f>'Time Log'!M126</f>
        <v/>
      </c>
      <c r="M154" s="2476" t="str">
        <f>IF('Time Log'!N126=0,"",'Time Log'!N126)</f>
        <v>Stoppage due to potential cappuccino bunkers</v>
      </c>
      <c r="N154" s="2477"/>
      <c r="O154" s="2477"/>
      <c r="P154" s="2478"/>
    </row>
    <row r="155" spans="1:16" ht="15" hidden="1" customHeight="1">
      <c r="A155" s="938" t="str">
        <f>IF(SURVEYMODE=3,"HIDE",'Time Log'!A127)</f>
        <v>N</v>
      </c>
      <c r="B155" s="2471" t="s">
        <v>1035</v>
      </c>
      <c r="C155" s="2472"/>
      <c r="D155" s="2473"/>
      <c r="E155" s="2474">
        <f>'Time Log'!H127</f>
        <v>0</v>
      </c>
      <c r="F155" s="2475"/>
      <c r="G155" s="1839">
        <f>'Time Log'!I127</f>
        <v>0</v>
      </c>
      <c r="H155" s="2474">
        <f>'Time Log'!J127</f>
        <v>0</v>
      </c>
      <c r="I155" s="2475"/>
      <c r="J155" s="1839">
        <f>'Time Log'!K127</f>
        <v>0</v>
      </c>
      <c r="K155" s="1840" t="str">
        <f>'Time Log'!L127</f>
        <v/>
      </c>
      <c r="L155" s="1841" t="str">
        <f>'Time Log'!M127</f>
        <v/>
      </c>
      <c r="M155" s="2476" t="str">
        <f>IF('Time Log'!N127=0,"",'Time Log'!N127)</f>
        <v/>
      </c>
      <c r="N155" s="2477"/>
      <c r="O155" s="2477"/>
      <c r="P155" s="2478"/>
    </row>
    <row r="156" spans="1:16" ht="15" hidden="1" customHeight="1">
      <c r="A156" s="938" t="str">
        <f>IF(SURVEYMODE=3,"HIDE",'Time Log'!A128)</f>
        <v>N</v>
      </c>
      <c r="B156" s="2471" t="s">
        <v>1035</v>
      </c>
      <c r="C156" s="2472"/>
      <c r="D156" s="2473"/>
      <c r="E156" s="2474">
        <f>'Time Log'!H128</f>
        <v>0</v>
      </c>
      <c r="F156" s="2475"/>
      <c r="G156" s="1839">
        <f>'Time Log'!I128</f>
        <v>0</v>
      </c>
      <c r="H156" s="2474">
        <f>'Time Log'!J128</f>
        <v>0</v>
      </c>
      <c r="I156" s="2475"/>
      <c r="J156" s="1839">
        <f>'Time Log'!K128</f>
        <v>0</v>
      </c>
      <c r="K156" s="1840" t="str">
        <f>'Time Log'!L128</f>
        <v/>
      </c>
      <c r="L156" s="1841" t="str">
        <f>'Time Log'!M128</f>
        <v/>
      </c>
      <c r="M156" s="2476" t="str">
        <f>IF('Time Log'!N128=0,"",'Time Log'!N128)</f>
        <v/>
      </c>
      <c r="N156" s="2477"/>
      <c r="O156" s="2477"/>
      <c r="P156" s="2478"/>
    </row>
    <row r="157" spans="1:16" ht="15" hidden="1" customHeight="1" thickBot="1">
      <c r="A157" s="938" t="str">
        <f>IF(SURVEYMODE=3,"HIDE",'Time Log'!A129)</f>
        <v>N</v>
      </c>
      <c r="B157" s="2504" t="s">
        <v>1035</v>
      </c>
      <c r="C157" s="2505"/>
      <c r="D157" s="2506"/>
      <c r="E157" s="2507">
        <f>'Time Log'!H129</f>
        <v>0</v>
      </c>
      <c r="F157" s="2508"/>
      <c r="G157" s="1842">
        <f>'Time Log'!I129</f>
        <v>0</v>
      </c>
      <c r="H157" s="2507">
        <f>'Time Log'!J129</f>
        <v>0</v>
      </c>
      <c r="I157" s="2508"/>
      <c r="J157" s="1842">
        <f>'Time Log'!K129</f>
        <v>0</v>
      </c>
      <c r="K157" s="1843" t="str">
        <f>'Time Log'!L129</f>
        <v/>
      </c>
      <c r="L157" s="1844" t="str">
        <f>'Time Log'!M129</f>
        <v/>
      </c>
      <c r="M157" s="2459" t="str">
        <f>IF('Time Log'!N129=0,"",'Time Log'!N129)</f>
        <v/>
      </c>
      <c r="N157" s="2460"/>
      <c r="O157" s="2460"/>
      <c r="P157" s="2461"/>
    </row>
    <row r="158" spans="1:16" ht="15" hidden="1" customHeight="1">
      <c r="A158" s="881" t="str">
        <f>A150</f>
        <v>N</v>
      </c>
      <c r="B158" s="1845"/>
      <c r="C158" s="1845"/>
      <c r="D158" s="1845"/>
      <c r="E158" s="1845"/>
      <c r="F158" s="1845"/>
      <c r="G158" s="1845"/>
      <c r="H158" s="2498" t="s">
        <v>712</v>
      </c>
      <c r="I158" s="2499"/>
      <c r="J158" s="2500"/>
      <c r="K158" s="1846" t="str">
        <f>'Time Log'!L130</f>
        <v/>
      </c>
      <c r="L158" s="1847" t="str">
        <f>'Time Log'!M130</f>
        <v/>
      </c>
      <c r="M158" s="1845"/>
      <c r="N158" s="1845"/>
      <c r="O158" s="1845"/>
      <c r="P158" s="1845"/>
    </row>
    <row r="159" spans="1:16" ht="15" hidden="1" customHeight="1" thickBot="1">
      <c r="A159" s="881" t="str">
        <f>A150</f>
        <v>N</v>
      </c>
      <c r="B159" s="1848"/>
      <c r="C159" s="1848"/>
      <c r="D159" s="1848"/>
      <c r="E159" s="1848"/>
      <c r="F159" s="1848"/>
      <c r="G159" s="1848"/>
      <c r="H159" s="2501" t="s">
        <v>1034</v>
      </c>
      <c r="I159" s="2502"/>
      <c r="J159" s="2503"/>
      <c r="K159" s="1849">
        <f>'Time Log'!L131</f>
        <v>0</v>
      </c>
      <c r="L159" s="1850">
        <f>'Time Log'!M131</f>
        <v>0</v>
      </c>
      <c r="M159" s="1848"/>
      <c r="N159" s="1848"/>
      <c r="O159" s="1848"/>
      <c r="P159" s="1848"/>
    </row>
    <row r="160" spans="1:16" s="936" customFormat="1" ht="6" thickBot="1">
      <c r="A160" s="936" t="str">
        <f>A161</f>
        <v>Y</v>
      </c>
      <c r="B160" s="1851"/>
      <c r="C160" s="1851"/>
      <c r="D160" s="1851"/>
      <c r="E160" s="1851"/>
      <c r="F160" s="1851"/>
      <c r="G160" s="1851"/>
      <c r="H160" s="1851"/>
      <c r="I160" s="1851"/>
      <c r="J160" s="1851"/>
      <c r="K160" s="1851"/>
      <c r="L160" s="1851"/>
      <c r="M160" s="1851"/>
      <c r="N160" s="1851"/>
      <c r="O160" s="1851"/>
      <c r="P160" s="1851"/>
    </row>
    <row r="161" spans="1:24" s="888" customFormat="1" ht="15" customHeight="1">
      <c r="A161" s="939" t="str">
        <f>IF(SURVEYMODE=3,"HIDE",IF(C163="","HIDE","Y"))</f>
        <v>Y</v>
      </c>
      <c r="B161" s="1435" t="str">
        <f>IF(BARGESEL=1,"Grade:","Barge:")</f>
        <v>Grade:</v>
      </c>
      <c r="C161" s="2495" t="str">
        <f>IF(BARGESEL=1,C163,'Preliminary Report'!E55)</f>
        <v>LSMGO</v>
      </c>
      <c r="D161" s="2495"/>
      <c r="E161" s="2496" t="str">
        <f>IF(G161="","","License No.:")</f>
        <v/>
      </c>
      <c r="F161" s="2496"/>
      <c r="G161" s="2495" t="str">
        <f>IF(BARGESEL=1,"",'Preliminary Report'!H55)</f>
        <v/>
      </c>
      <c r="H161" s="2495"/>
      <c r="I161" s="2496" t="str">
        <f>IF(BARGESEL=1,"","Supplier:")</f>
        <v/>
      </c>
      <c r="J161" s="2496"/>
      <c r="K161" s="2495" t="str">
        <f>IF(BARGESEL=1,"",'Preliminary Report'!E54)</f>
        <v/>
      </c>
      <c r="L161" s="2495"/>
      <c r="M161" s="2495"/>
      <c r="N161" s="2495"/>
      <c r="O161" s="2495"/>
      <c r="P161" s="2497"/>
    </row>
    <row r="162" spans="1:24" s="932" customFormat="1" ht="15" customHeight="1">
      <c r="A162" s="932" t="str">
        <f>A161</f>
        <v>Y</v>
      </c>
      <c r="B162" s="2482" t="s">
        <v>695</v>
      </c>
      <c r="C162" s="2483"/>
      <c r="D162" s="2483"/>
      <c r="E162" s="2483"/>
      <c r="F162" s="2483"/>
      <c r="G162" s="2483"/>
      <c r="H162" s="2483"/>
      <c r="I162" s="2483"/>
      <c r="J162" s="2483"/>
      <c r="K162" s="2483"/>
      <c r="L162" s="2483"/>
      <c r="M162" s="2483"/>
      <c r="N162" s="2483"/>
      <c r="O162" s="2483"/>
      <c r="P162" s="2484"/>
      <c r="Q162" s="881"/>
      <c r="R162" s="881"/>
      <c r="S162" s="881"/>
      <c r="T162" s="881"/>
      <c r="U162" s="881"/>
      <c r="V162" s="881"/>
      <c r="W162" s="881"/>
      <c r="X162" s="881"/>
    </row>
    <row r="163" spans="1:24" ht="15" customHeight="1">
      <c r="A163" s="881" t="str">
        <f>A161</f>
        <v>Y</v>
      </c>
      <c r="B163" s="1436" t="s">
        <v>313</v>
      </c>
      <c r="C163" s="1900" t="str">
        <f>'Preliminary Report'!C56</f>
        <v>LSMGO</v>
      </c>
      <c r="D163" s="1905" t="str">
        <f>'Preliminary Report'!D56</f>
        <v/>
      </c>
      <c r="E163" s="1815" t="s">
        <v>1279</v>
      </c>
      <c r="F163" s="1816" t="s">
        <v>291</v>
      </c>
      <c r="G163" s="2561" t="s">
        <v>719</v>
      </c>
      <c r="H163" s="2562"/>
      <c r="I163" s="2561" t="s">
        <v>159</v>
      </c>
      <c r="J163" s="2562"/>
      <c r="K163" s="2561" t="s">
        <v>720</v>
      </c>
      <c r="L163" s="2562"/>
      <c r="M163" s="2561" t="s">
        <v>714</v>
      </c>
      <c r="N163" s="2562"/>
      <c r="O163" s="1817" t="s">
        <v>668</v>
      </c>
      <c r="P163" s="1818" t="s">
        <v>713</v>
      </c>
    </row>
    <row r="164" spans="1:24" ht="15" customHeight="1">
      <c r="A164" s="881" t="str">
        <f>A161</f>
        <v>Y</v>
      </c>
      <c r="B164" s="2563" t="s">
        <v>716</v>
      </c>
      <c r="C164" s="2564"/>
      <c r="D164" s="2565"/>
      <c r="E164" s="2631">
        <f>'Preliminary Report'!E57</f>
        <v>40</v>
      </c>
      <c r="F164" s="1819">
        <f>I170/1000</f>
        <v>0.83520000000000005</v>
      </c>
      <c r="G164" s="2566">
        <f>'Preliminary Report'!F57</f>
        <v>40</v>
      </c>
      <c r="H164" s="2567"/>
      <c r="I164" s="2566">
        <f>'Preliminary Report'!G57</f>
        <v>40.209000000000003</v>
      </c>
      <c r="J164" s="2567"/>
      <c r="K164" s="2566">
        <f>'Preliminary Report'!H57</f>
        <v>40.061999999999998</v>
      </c>
      <c r="L164" s="2567"/>
      <c r="M164" s="2566">
        <f>K164-G164</f>
        <v>6.1999999999997613E-2</v>
      </c>
      <c r="N164" s="2567"/>
      <c r="O164" s="1820">
        <f>IF(G164=0,"",(K164-G164)*100/G164)/100</f>
        <v>1.5499999999999403E-3</v>
      </c>
      <c r="P164" s="2633">
        <f>IF(PRICESHOW=FALSE,"",INDEX(PRICELIST,MATCH(C163,GRADESLISTINI,0),1))</f>
        <v>500.12299999999999</v>
      </c>
    </row>
    <row r="165" spans="1:24" ht="15" customHeight="1">
      <c r="A165" s="881" t="str">
        <f>A161</f>
        <v>Y</v>
      </c>
      <c r="B165" s="2552" t="s">
        <v>715</v>
      </c>
      <c r="C165" s="2553"/>
      <c r="D165" s="2554"/>
      <c r="E165" s="2632"/>
      <c r="F165" s="1821" t="str">
        <f>IF(K170="-","-",K170/1000)</f>
        <v>-</v>
      </c>
      <c r="G165" s="2555" t="str">
        <f>IF($F165="-","-",G164/($F164-0.0011)*($F165-0.0011))</f>
        <v>-</v>
      </c>
      <c r="H165" s="2556"/>
      <c r="I165" s="2555" t="str">
        <f>IF($F165="-","-",I164/($F164-0.0011)*($F165-0.0011))</f>
        <v>-</v>
      </c>
      <c r="J165" s="2556"/>
      <c r="K165" s="2555" t="str">
        <f>IF($F165="-","-",K164/($F164-0.0011)*($F165-0.0011))</f>
        <v>-</v>
      </c>
      <c r="L165" s="2556"/>
      <c r="M165" s="2555" t="str">
        <f>IF(ISERROR(K165-G165),"-",K165-G165)</f>
        <v>-</v>
      </c>
      <c r="N165" s="2556"/>
      <c r="O165" s="1822" t="str">
        <f>IF(M165="-","-",IF(G165=0,"",(K165-G165)*100/G165)/100)</f>
        <v>-</v>
      </c>
      <c r="P165" s="2634"/>
    </row>
    <row r="166" spans="1:24" ht="15" customHeight="1">
      <c r="A166" s="881" t="str">
        <f>A161</f>
        <v>Y</v>
      </c>
      <c r="B166" s="2557" t="s">
        <v>717</v>
      </c>
      <c r="C166" s="2558"/>
      <c r="D166" s="2559"/>
      <c r="E166" s="1823"/>
      <c r="F166" s="1824"/>
      <c r="G166" s="2560" t="str">
        <f>IF(ISERROR(G165-G164),"-",G165-G164)</f>
        <v>-</v>
      </c>
      <c r="H166" s="2560"/>
      <c r="I166" s="2560" t="str">
        <f>IF(ISERROR(I165-I164),"-",I165-I164)</f>
        <v>-</v>
      </c>
      <c r="J166" s="2560"/>
      <c r="K166" s="2560" t="str">
        <f>IF(ISERROR(K165-K164),"-",K165-K164)</f>
        <v>-</v>
      </c>
      <c r="L166" s="2560"/>
      <c r="M166" s="2560" t="str">
        <f>IF(ISERROR(M165-M164),"-",M165-M164)</f>
        <v>-</v>
      </c>
      <c r="N166" s="2560"/>
      <c r="O166" s="1825" t="str">
        <f>IF(G165="-","-",IF(G164=0,"",(G165-G164)*100/G164)/100)</f>
        <v>-</v>
      </c>
      <c r="P166" s="1826" t="str">
        <f>IF(PRICESHOW=FALSE,"",IF(G166="-","-",G166*INDEX(PRICELIST,MATCH(C163,GRADESLISTINI,0),1)))</f>
        <v>-</v>
      </c>
    </row>
    <row r="167" spans="1:24" s="936" customFormat="1" ht="5.25">
      <c r="A167" s="936" t="str">
        <f>A161</f>
        <v>Y</v>
      </c>
      <c r="B167" s="1827"/>
      <c r="C167" s="1828"/>
      <c r="D167" s="1828"/>
      <c r="E167" s="1829"/>
      <c r="F167" s="1829"/>
      <c r="G167" s="1829"/>
      <c r="H167" s="1829"/>
      <c r="I167" s="1829"/>
      <c r="J167" s="1829"/>
      <c r="K167" s="1829"/>
      <c r="L167" s="1829"/>
      <c r="M167" s="1829"/>
      <c r="N167" s="1829"/>
      <c r="O167" s="1829"/>
      <c r="P167" s="1830"/>
    </row>
    <row r="168" spans="1:24" ht="15" customHeight="1">
      <c r="A168" s="881" t="str">
        <f>A161</f>
        <v>Y</v>
      </c>
      <c r="B168" s="2482" t="s">
        <v>696</v>
      </c>
      <c r="C168" s="2483"/>
      <c r="D168" s="2483"/>
      <c r="E168" s="2483"/>
      <c r="F168" s="2483"/>
      <c r="G168" s="2483"/>
      <c r="H168" s="2483"/>
      <c r="I168" s="2483"/>
      <c r="J168" s="2483"/>
      <c r="K168" s="2483"/>
      <c r="L168" s="2483"/>
      <c r="M168" s="2483"/>
      <c r="N168" s="2483"/>
      <c r="O168" s="2483"/>
      <c r="P168" s="2484"/>
    </row>
    <row r="169" spans="1:24" ht="15" customHeight="1">
      <c r="A169" s="881" t="str">
        <f>A161</f>
        <v>Y</v>
      </c>
      <c r="B169" s="1437" t="s">
        <v>313</v>
      </c>
      <c r="C169" s="1901" t="str">
        <f>C163</f>
        <v>LSMGO</v>
      </c>
      <c r="D169" s="1906" t="str">
        <f>D163</f>
        <v/>
      </c>
      <c r="E169" s="2537" t="s">
        <v>704</v>
      </c>
      <c r="F169" s="2538"/>
      <c r="G169" s="2538"/>
      <c r="H169" s="2539"/>
      <c r="I169" s="2540" t="s">
        <v>667</v>
      </c>
      <c r="J169" s="2539"/>
      <c r="K169" s="2540" t="s">
        <v>666</v>
      </c>
      <c r="L169" s="2539"/>
      <c r="M169" s="2540" t="s">
        <v>665</v>
      </c>
      <c r="N169" s="2539"/>
      <c r="O169" s="2540" t="s">
        <v>694</v>
      </c>
      <c r="P169" s="2541"/>
    </row>
    <row r="170" spans="1:24" ht="15" customHeight="1">
      <c r="A170" s="881" t="str">
        <f>A161</f>
        <v>Y</v>
      </c>
      <c r="B170" s="2542" t="s">
        <v>702</v>
      </c>
      <c r="C170" s="2543"/>
      <c r="D170" s="2544"/>
      <c r="E170" s="2545" t="s">
        <v>718</v>
      </c>
      <c r="F170" s="2546"/>
      <c r="G170" s="2546"/>
      <c r="H170" s="2547"/>
      <c r="I170" s="2548">
        <f>INDEX('Cover Page'!$AI$106:$AI$111,MATCH($C169,'Cover Page'!$AC$106:$AC$111,0),1)*1000</f>
        <v>835.2</v>
      </c>
      <c r="J170" s="2549"/>
      <c r="K170" s="2548" t="str">
        <f>IF(INDEX('Cover Page'!$AR$106:$AR$111,MATCH($C169,'Cover Page'!$AL$106:$AL$111,0),1)="","-",INDEX('Cover Page'!$AR$106:$AR$111,MATCH($C169,'Cover Page'!$AL$106:$AL$111,0),1)*1000)</f>
        <v>-</v>
      </c>
      <c r="L170" s="2549"/>
      <c r="M170" s="2548">
        <f>IF(ISERROR(MATCH($C169,RESIDUALS,0)),'POWER SETT'!$G$14,'POWER SETT'!$F$14)*1000</f>
        <v>890</v>
      </c>
      <c r="N170" s="2549"/>
      <c r="O170" s="2550" t="str">
        <f>IF(K170="-","-",IF(K170&gt;M170,"No","Yes"))</f>
        <v>-</v>
      </c>
      <c r="P170" s="2551"/>
    </row>
    <row r="171" spans="1:24" ht="15" customHeight="1">
      <c r="A171" s="881" t="str">
        <f>A161</f>
        <v>Y</v>
      </c>
      <c r="B171" s="2515" t="s">
        <v>703</v>
      </c>
      <c r="C171" s="2516"/>
      <c r="D171" s="2517"/>
      <c r="E171" s="2518" t="str">
        <f>IF(ISERROR(MATCH($C169,RESIDUALS,0)),"40ºC cSt","50ºC cSt")</f>
        <v>40ºC cSt</v>
      </c>
      <c r="F171" s="2519"/>
      <c r="G171" s="2519"/>
      <c r="H171" s="2520"/>
      <c r="I171" s="2521">
        <f>INDEX('Cover Page'!$I$106:$N$109,2,MATCH($C169,'Cover Page'!$I$88:$N$88,0))</f>
        <v>3.24</v>
      </c>
      <c r="J171" s="2522"/>
      <c r="K171" s="2521" t="str">
        <f>IF(ISBLANK(INDEX('Cover Page'!$I$110:$N$113,2,MATCH($C169,'Cover Page'!$I$88:$N$88,0))),"-",INDEX('Cover Page'!$I$110:$N$113,2,MATCH($C169,'Cover Page'!$I$88:$N$88,0)))</f>
        <v>-</v>
      </c>
      <c r="L171" s="2522"/>
      <c r="M171" s="2521">
        <f>IF(ISERROR(MATCH($C169,RESIDUALS,0)),'POWER SETT'!$G$15,'POWER SETT'!$F$15)</f>
        <v>6</v>
      </c>
      <c r="N171" s="2522"/>
      <c r="O171" s="2523" t="str">
        <f>IF(K171="-","-",IF(K171&gt;M171,"No","Yes"))</f>
        <v>-</v>
      </c>
      <c r="P171" s="2524"/>
    </row>
    <row r="172" spans="1:24" ht="15" customHeight="1">
      <c r="A172" s="881" t="str">
        <f>A161</f>
        <v>Y</v>
      </c>
      <c r="B172" s="2515" t="s">
        <v>705</v>
      </c>
      <c r="C172" s="2516"/>
      <c r="D172" s="2517"/>
      <c r="E172" s="2518" t="s">
        <v>706</v>
      </c>
      <c r="F172" s="2519"/>
      <c r="G172" s="2519"/>
      <c r="H172" s="2520"/>
      <c r="I172" s="2525">
        <f>INDEX('Cover Page'!$I$106:$N$109,3,MATCH($C169,'Cover Page'!$I$88:$N$88,0))</f>
        <v>0</v>
      </c>
      <c r="J172" s="2526"/>
      <c r="K172" s="2525" t="str">
        <f>IF(ISBLANK(INDEX('Cover Page'!$I$110:$N$113,3,MATCH($C169,'Cover Page'!$I$88:$N$88,0))),"-",INDEX('Cover Page'!$I$110:$N$113,3,MATCH($C169,'Cover Page'!$I$88:$N$88,0)))</f>
        <v>-</v>
      </c>
      <c r="L172" s="2526"/>
      <c r="M172" s="2525">
        <f>IF(ISERROR(MATCH($C169,RESIDUALS,0)),'POWER SETT'!$G$16,'POWER SETT'!$F$16)</f>
        <v>0.6</v>
      </c>
      <c r="N172" s="2526"/>
      <c r="O172" s="2523" t="str">
        <f>IF(K172="-","-",IF(K172&gt;M172,"No","Yes"))</f>
        <v>-</v>
      </c>
      <c r="P172" s="2524"/>
    </row>
    <row r="173" spans="1:24" ht="15" customHeight="1">
      <c r="A173" s="881" t="str">
        <f>A161</f>
        <v>Y</v>
      </c>
      <c r="B173" s="2527" t="s">
        <v>1507</v>
      </c>
      <c r="C173" s="2528"/>
      <c r="D173" s="2529"/>
      <c r="E173" s="2530" t="s">
        <v>1508</v>
      </c>
      <c r="F173" s="2531"/>
      <c r="G173" s="2531"/>
      <c r="H173" s="2532"/>
      <c r="I173" s="2533">
        <f>INDEX('Cover Page'!$I$106:$N$109,4,MATCH($C169,'Cover Page'!$I$88:$N$88,0))</f>
        <v>7.0000000000000007E-2</v>
      </c>
      <c r="J173" s="2534"/>
      <c r="K173" s="2533" t="str">
        <f>IF(ISBLANK(INDEX('Cover Page'!$I$110:$N$113,4,MATCH($C169,'Cover Page'!$I$88:$N$88,0))),"-",INDEX('Cover Page'!$I$110:$N$113,4,MATCH($C169,'Cover Page'!$I$88:$N$88,0)))</f>
        <v>-</v>
      </c>
      <c r="L173" s="2534"/>
      <c r="M173" s="2533">
        <f>IF(ISERROR(MATCH($C169,RESIDUALS,0)),'POWER SETT'!$G$17,'POWER SETT'!$F$17)</f>
        <v>0.5</v>
      </c>
      <c r="N173" s="2534"/>
      <c r="O173" s="2535" t="str">
        <f>IF(K173="-","-",IF(K173&gt;M173,"No","Yes"))</f>
        <v>-</v>
      </c>
      <c r="P173" s="2536"/>
    </row>
    <row r="174" spans="1:24" s="936" customFormat="1" ht="5.25">
      <c r="A174" s="936" t="str">
        <f>A176</f>
        <v>Y</v>
      </c>
      <c r="B174" s="1831"/>
      <c r="C174" s="1832"/>
      <c r="D174" s="1832"/>
      <c r="E174" s="1832"/>
      <c r="F174" s="1832"/>
      <c r="G174" s="1832"/>
      <c r="H174" s="1832"/>
      <c r="I174" s="1832"/>
      <c r="J174" s="1832"/>
      <c r="K174" s="1832"/>
      <c r="L174" s="1832"/>
      <c r="M174" s="1832"/>
      <c r="N174" s="1832"/>
      <c r="O174" s="1832"/>
      <c r="P174" s="1830"/>
    </row>
    <row r="175" spans="1:24" ht="15" customHeight="1">
      <c r="A175" s="881" t="str">
        <f>A176</f>
        <v>Y</v>
      </c>
      <c r="B175" s="2482" t="s">
        <v>711</v>
      </c>
      <c r="C175" s="2483"/>
      <c r="D175" s="2483"/>
      <c r="E175" s="2483"/>
      <c r="F175" s="2483"/>
      <c r="G175" s="2483"/>
      <c r="H175" s="2483"/>
      <c r="I175" s="2483"/>
      <c r="J175" s="2483"/>
      <c r="K175" s="2483"/>
      <c r="L175" s="2483"/>
      <c r="M175" s="2483"/>
      <c r="N175" s="2483"/>
      <c r="O175" s="2483"/>
      <c r="P175" s="2484"/>
    </row>
    <row r="176" spans="1:24" ht="15" customHeight="1">
      <c r="A176" s="938" t="str">
        <f>IF(SURVEYMODE=3,"HIDE",'Time Log'!A133)</f>
        <v>Y</v>
      </c>
      <c r="B176" s="1437" t="s">
        <v>313</v>
      </c>
      <c r="C176" s="1901" t="str">
        <f>C163</f>
        <v>LSMGO</v>
      </c>
      <c r="D176" s="1906" t="str">
        <f>D163</f>
        <v/>
      </c>
      <c r="E176" s="2485" t="s">
        <v>201</v>
      </c>
      <c r="F176" s="2486"/>
      <c r="G176" s="1833" t="s">
        <v>200</v>
      </c>
      <c r="H176" s="2485" t="s">
        <v>201</v>
      </c>
      <c r="I176" s="2486"/>
      <c r="J176" s="1833" t="s">
        <v>200</v>
      </c>
      <c r="K176" s="1834" t="s">
        <v>664</v>
      </c>
      <c r="L176" s="1835" t="s">
        <v>266</v>
      </c>
      <c r="M176" s="2487" t="s">
        <v>681</v>
      </c>
      <c r="N176" s="2488"/>
      <c r="O176" s="2488"/>
      <c r="P176" s="2489"/>
    </row>
    <row r="177" spans="1:16" ht="15" customHeight="1">
      <c r="A177" s="881" t="str">
        <f>A176</f>
        <v>Y</v>
      </c>
      <c r="B177" s="2479" t="s">
        <v>663</v>
      </c>
      <c r="C177" s="2480"/>
      <c r="D177" s="2481"/>
      <c r="E177" s="2490">
        <f>'Time Log'!H134</f>
        <v>44792</v>
      </c>
      <c r="F177" s="2491"/>
      <c r="G177" s="1836">
        <f>'Time Log'!I134</f>
        <v>0.10416666666666667</v>
      </c>
      <c r="H177" s="2490">
        <f>'Time Log'!J134</f>
        <v>44792</v>
      </c>
      <c r="I177" s="2491"/>
      <c r="J177" s="1836">
        <f>'Time Log'!K134</f>
        <v>0.5</v>
      </c>
      <c r="K177" s="1837">
        <f>'Time Log'!L134</f>
        <v>0.39583333333333331</v>
      </c>
      <c r="L177" s="1838">
        <f>'Time Log'!M134</f>
        <v>9.5</v>
      </c>
      <c r="M177" s="2492" t="str">
        <f>IF('Time Log'!N134=0,"",'Time Log'!N134)</f>
        <v/>
      </c>
      <c r="N177" s="2493"/>
      <c r="O177" s="2493"/>
      <c r="P177" s="2494"/>
    </row>
    <row r="178" spans="1:16" ht="15" customHeight="1" thickBot="1">
      <c r="A178" s="881" t="str">
        <f>A176</f>
        <v>Y</v>
      </c>
      <c r="B178" s="2471" t="s">
        <v>662</v>
      </c>
      <c r="C178" s="2472"/>
      <c r="D178" s="2473"/>
      <c r="E178" s="2474">
        <f>'Time Log'!H135</f>
        <v>44792</v>
      </c>
      <c r="F178" s="2475"/>
      <c r="G178" s="1839">
        <f>'Time Log'!I135</f>
        <v>0.2951388888888889</v>
      </c>
      <c r="H178" s="2474">
        <f>'Time Log'!J135</f>
        <v>44792</v>
      </c>
      <c r="I178" s="2475"/>
      <c r="J178" s="1839">
        <f>'Time Log'!K135</f>
        <v>0.31944444444444448</v>
      </c>
      <c r="K178" s="1840">
        <f>'Time Log'!L135</f>
        <v>2.4305555556363989E-2</v>
      </c>
      <c r="L178" s="1841">
        <f>'Time Log'!M135</f>
        <v>0.58333333335273574</v>
      </c>
      <c r="M178" s="2476" t="str">
        <f>IF('Time Log'!N135=0,"",'Time Log'!N135)</f>
        <v/>
      </c>
      <c r="N178" s="2477"/>
      <c r="O178" s="2477"/>
      <c r="P178" s="2478"/>
    </row>
    <row r="179" spans="1:16" ht="15" hidden="1" customHeight="1">
      <c r="A179" s="938" t="str">
        <f>IF(SURVEYMODE=3,"HIDE",'Time Log'!A136)</f>
        <v>N</v>
      </c>
      <c r="B179" s="2471" t="s">
        <v>1035</v>
      </c>
      <c r="C179" s="2472"/>
      <c r="D179" s="2473"/>
      <c r="E179" s="2474">
        <f>'Time Log'!H136</f>
        <v>0</v>
      </c>
      <c r="F179" s="2475"/>
      <c r="G179" s="1839">
        <f>'Time Log'!I136</f>
        <v>0</v>
      </c>
      <c r="H179" s="2474">
        <f>'Time Log'!J136</f>
        <v>0</v>
      </c>
      <c r="I179" s="2475"/>
      <c r="J179" s="1839">
        <f>'Time Log'!K136</f>
        <v>0</v>
      </c>
      <c r="K179" s="1840" t="str">
        <f>'Time Log'!L136</f>
        <v/>
      </c>
      <c r="L179" s="1841" t="str">
        <f>'Time Log'!M136</f>
        <v/>
      </c>
      <c r="M179" s="2476" t="str">
        <f>IF('Time Log'!N136=0,"",'Time Log'!N136)</f>
        <v>Leaking hose connection</v>
      </c>
      <c r="N179" s="2477"/>
      <c r="O179" s="2477"/>
      <c r="P179" s="2478"/>
    </row>
    <row r="180" spans="1:16" ht="15" hidden="1" customHeight="1">
      <c r="A180" s="938" t="str">
        <f>IF(SURVEYMODE=3,"HIDE",'Time Log'!A137)</f>
        <v>N</v>
      </c>
      <c r="B180" s="2471" t="s">
        <v>1035</v>
      </c>
      <c r="C180" s="2472"/>
      <c r="D180" s="2473"/>
      <c r="E180" s="2474">
        <f>'Time Log'!H137</f>
        <v>0</v>
      </c>
      <c r="F180" s="2475"/>
      <c r="G180" s="1839">
        <f>'Time Log'!I137</f>
        <v>0</v>
      </c>
      <c r="H180" s="2474">
        <f>'Time Log'!J137</f>
        <v>0</v>
      </c>
      <c r="I180" s="2475"/>
      <c r="J180" s="1839">
        <f>'Time Log'!K137</f>
        <v>0</v>
      </c>
      <c r="K180" s="1840" t="str">
        <f>'Time Log'!L137</f>
        <v/>
      </c>
      <c r="L180" s="1841" t="str">
        <f>'Time Log'!M137</f>
        <v/>
      </c>
      <c r="M180" s="2476" t="str">
        <f>IF('Time Log'!N137=0,"",'Time Log'!N137)</f>
        <v>Stoppage due to potential cappuccino bunkers</v>
      </c>
      <c r="N180" s="2477"/>
      <c r="O180" s="2477"/>
      <c r="P180" s="2478"/>
    </row>
    <row r="181" spans="1:16" ht="15" hidden="1" customHeight="1">
      <c r="A181" s="938" t="str">
        <f>IF(SURVEYMODE=3,"HIDE",'Time Log'!A138)</f>
        <v>N</v>
      </c>
      <c r="B181" s="2471" t="s">
        <v>1035</v>
      </c>
      <c r="C181" s="2472"/>
      <c r="D181" s="2473"/>
      <c r="E181" s="2474">
        <f>'Time Log'!H138</f>
        <v>0</v>
      </c>
      <c r="F181" s="2475"/>
      <c r="G181" s="1839">
        <f>'Time Log'!I138</f>
        <v>0</v>
      </c>
      <c r="H181" s="2474">
        <f>'Time Log'!J138</f>
        <v>0</v>
      </c>
      <c r="I181" s="2475"/>
      <c r="J181" s="1839">
        <f>'Time Log'!K138</f>
        <v>0</v>
      </c>
      <c r="K181" s="1840" t="str">
        <f>'Time Log'!L138</f>
        <v/>
      </c>
      <c r="L181" s="1841" t="str">
        <f>'Time Log'!M138</f>
        <v/>
      </c>
      <c r="M181" s="2476" t="str">
        <f>IF('Time Log'!N138=0,"",'Time Log'!N138)</f>
        <v/>
      </c>
      <c r="N181" s="2477"/>
      <c r="O181" s="2477"/>
      <c r="P181" s="2478"/>
    </row>
    <row r="182" spans="1:16" ht="15" hidden="1" customHeight="1">
      <c r="A182" s="938" t="str">
        <f>IF(SURVEYMODE=3,"HIDE",'Time Log'!A139)</f>
        <v>N</v>
      </c>
      <c r="B182" s="2471" t="s">
        <v>1035</v>
      </c>
      <c r="C182" s="2472"/>
      <c r="D182" s="2473"/>
      <c r="E182" s="2474">
        <f>'Time Log'!H139</f>
        <v>0</v>
      </c>
      <c r="F182" s="2475"/>
      <c r="G182" s="1839">
        <f>'Time Log'!I139</f>
        <v>0</v>
      </c>
      <c r="H182" s="2474">
        <f>'Time Log'!J139</f>
        <v>0</v>
      </c>
      <c r="I182" s="2475"/>
      <c r="J182" s="1839">
        <f>'Time Log'!K139</f>
        <v>0</v>
      </c>
      <c r="K182" s="1840" t="str">
        <f>'Time Log'!L139</f>
        <v/>
      </c>
      <c r="L182" s="1841" t="str">
        <f>'Time Log'!M139</f>
        <v/>
      </c>
      <c r="M182" s="2476" t="str">
        <f>IF('Time Log'!N139=0,"",'Time Log'!N139)</f>
        <v/>
      </c>
      <c r="N182" s="2477"/>
      <c r="O182" s="2477"/>
      <c r="P182" s="2478"/>
    </row>
    <row r="183" spans="1:16" ht="15" hidden="1" customHeight="1" thickBot="1">
      <c r="A183" s="938" t="str">
        <f>IF(SURVEYMODE=3,"HIDE",'Time Log'!A140)</f>
        <v>N</v>
      </c>
      <c r="B183" s="2504" t="s">
        <v>1035</v>
      </c>
      <c r="C183" s="2505"/>
      <c r="D183" s="2506"/>
      <c r="E183" s="2507">
        <f>'Time Log'!H140</f>
        <v>0</v>
      </c>
      <c r="F183" s="2508"/>
      <c r="G183" s="1842">
        <f>'Time Log'!I140</f>
        <v>0</v>
      </c>
      <c r="H183" s="2507">
        <f>'Time Log'!J140</f>
        <v>0</v>
      </c>
      <c r="I183" s="2508"/>
      <c r="J183" s="1842">
        <f>'Time Log'!K140</f>
        <v>0</v>
      </c>
      <c r="K183" s="1843" t="str">
        <f>'Time Log'!L140</f>
        <v/>
      </c>
      <c r="L183" s="1844" t="str">
        <f>'Time Log'!M140</f>
        <v/>
      </c>
      <c r="M183" s="2459" t="str">
        <f>IF('Time Log'!N140=0,"",'Time Log'!N140)</f>
        <v/>
      </c>
      <c r="N183" s="2460"/>
      <c r="O183" s="2460"/>
      <c r="P183" s="2461"/>
    </row>
    <row r="184" spans="1:16" ht="15" customHeight="1">
      <c r="A184" s="881" t="str">
        <f>A176</f>
        <v>Y</v>
      </c>
      <c r="B184" s="1845"/>
      <c r="C184" s="1845"/>
      <c r="D184" s="1845"/>
      <c r="E184" s="1845"/>
      <c r="F184" s="1845"/>
      <c r="G184" s="1845"/>
      <c r="H184" s="2498" t="s">
        <v>712</v>
      </c>
      <c r="I184" s="2499"/>
      <c r="J184" s="2500"/>
      <c r="K184" s="1846">
        <f>'Time Log'!L141</f>
        <v>2.4305555556363989E-2</v>
      </c>
      <c r="L184" s="1847">
        <f>'Time Log'!M141</f>
        <v>0.58333333335273574</v>
      </c>
      <c r="M184" s="1845"/>
      <c r="N184" s="1845"/>
      <c r="O184" s="1845"/>
      <c r="P184" s="1845"/>
    </row>
    <row r="185" spans="1:16" ht="15" customHeight="1" thickBot="1">
      <c r="A185" s="881" t="str">
        <f>A176</f>
        <v>Y</v>
      </c>
      <c r="B185" s="1848"/>
      <c r="C185" s="1848"/>
      <c r="D185" s="1848"/>
      <c r="E185" s="1848"/>
      <c r="F185" s="1848"/>
      <c r="G185" s="1848"/>
      <c r="H185" s="2501" t="s">
        <v>1034</v>
      </c>
      <c r="I185" s="2502"/>
      <c r="J185" s="2503"/>
      <c r="K185" s="1849">
        <f>'Time Log'!L142</f>
        <v>0</v>
      </c>
      <c r="L185" s="1850">
        <f>'Time Log'!M142</f>
        <v>0</v>
      </c>
      <c r="M185" s="1848"/>
      <c r="N185" s="1848"/>
      <c r="O185" s="1848"/>
      <c r="P185" s="1848"/>
    </row>
    <row r="186" spans="1:16" s="936" customFormat="1" ht="5.25">
      <c r="A186" s="936" t="s">
        <v>284</v>
      </c>
    </row>
    <row r="187" spans="1:16" ht="15" customHeight="1">
      <c r="A187" s="881" t="s">
        <v>284</v>
      </c>
      <c r="B187" s="824" t="s">
        <v>179</v>
      </c>
      <c r="C187" s="160"/>
      <c r="D187" s="160"/>
      <c r="E187" s="160"/>
      <c r="F187" s="160"/>
      <c r="G187" s="160"/>
      <c r="H187" s="160"/>
      <c r="I187" s="160"/>
      <c r="J187" s="160"/>
      <c r="K187" s="160"/>
      <c r="L187" s="160"/>
      <c r="M187" s="160"/>
      <c r="N187" s="160"/>
      <c r="O187" s="160"/>
      <c r="P187" s="160"/>
    </row>
    <row r="188" spans="1:16" ht="14.25">
      <c r="A188" s="941" t="s">
        <v>284</v>
      </c>
      <c r="B188" s="2465"/>
      <c r="C188" s="2466"/>
      <c r="D188" s="2466"/>
      <c r="E188" s="2466"/>
      <c r="F188" s="2466"/>
      <c r="G188" s="2466"/>
      <c r="H188" s="2466"/>
      <c r="I188" s="2466"/>
      <c r="J188" s="2466"/>
      <c r="K188" s="2466"/>
      <c r="L188" s="2466"/>
      <c r="M188" s="2466"/>
      <c r="N188" s="2466"/>
      <c r="O188" s="2466"/>
      <c r="P188" s="2467"/>
    </row>
    <row r="189" spans="1:16" ht="14.25">
      <c r="A189" s="941" t="s">
        <v>284</v>
      </c>
      <c r="B189" s="2468"/>
      <c r="C189" s="2469"/>
      <c r="D189" s="2469"/>
      <c r="E189" s="2469"/>
      <c r="F189" s="2469"/>
      <c r="G189" s="2469"/>
      <c r="H189" s="2469"/>
      <c r="I189" s="2469"/>
      <c r="J189" s="2469"/>
      <c r="K189" s="2469"/>
      <c r="L189" s="2469"/>
      <c r="M189" s="2469"/>
      <c r="N189" s="2469"/>
      <c r="O189" s="2469"/>
      <c r="P189" s="2470"/>
    </row>
    <row r="190" spans="1:16" ht="14.25" hidden="1">
      <c r="A190" s="941" t="s">
        <v>270</v>
      </c>
      <c r="B190" s="2468"/>
      <c r="C190" s="2469"/>
      <c r="D190" s="2469"/>
      <c r="E190" s="2469"/>
      <c r="F190" s="2469"/>
      <c r="G190" s="2469"/>
      <c r="H190" s="2469"/>
      <c r="I190" s="2469"/>
      <c r="J190" s="2469"/>
      <c r="K190" s="2469"/>
      <c r="L190" s="2469"/>
      <c r="M190" s="2469"/>
      <c r="N190" s="2469"/>
      <c r="O190" s="2469"/>
      <c r="P190" s="2470"/>
    </row>
    <row r="191" spans="1:16" ht="14.25">
      <c r="A191" s="941" t="s">
        <v>284</v>
      </c>
      <c r="B191" s="2462"/>
      <c r="C191" s="2463"/>
      <c r="D191" s="2463"/>
      <c r="E191" s="2463"/>
      <c r="F191" s="2463"/>
      <c r="G191" s="2463"/>
      <c r="H191" s="2463"/>
      <c r="I191" s="2463"/>
      <c r="J191" s="2463"/>
      <c r="K191" s="2463"/>
      <c r="L191" s="2463"/>
      <c r="M191" s="2463"/>
      <c r="N191" s="2463"/>
      <c r="O191" s="2463"/>
      <c r="P191" s="2464"/>
    </row>
    <row r="192" spans="1:16" hidden="1">
      <c r="A192" s="881" t="s">
        <v>270</v>
      </c>
    </row>
    <row r="193" spans="1:16">
      <c r="A193" s="881" t="s">
        <v>284</v>
      </c>
    </row>
    <row r="194" spans="1:16">
      <c r="A194" s="881" t="s">
        <v>284</v>
      </c>
    </row>
    <row r="195" spans="1:16" ht="15">
      <c r="A195" s="881" t="s">
        <v>284</v>
      </c>
      <c r="L195" s="2373" t="str">
        <f>SURVEYOR</f>
        <v>MEHMET EROĞLU</v>
      </c>
      <c r="M195" s="2373"/>
      <c r="N195" s="2373"/>
      <c r="O195" s="2373"/>
      <c r="P195" s="2373"/>
    </row>
    <row r="196" spans="1:16" ht="15">
      <c r="A196" s="881" t="s">
        <v>284</v>
      </c>
      <c r="L196" s="2374" t="str">
        <f>"Bunker Surveyor"&amp;IF(SPORE=TRUE,", License No. "&amp;SURVLIC,"")</f>
        <v>Bunker Surveyor</v>
      </c>
      <c r="M196" s="2374"/>
      <c r="N196" s="2374"/>
      <c r="O196" s="2374"/>
      <c r="P196" s="2374"/>
    </row>
    <row r="197" spans="1:16" s="933" customFormat="1" ht="5.25">
      <c r="A197" s="933" t="s">
        <v>284</v>
      </c>
    </row>
    <row r="198" spans="1:16" ht="12.75" hidden="1" customHeight="1">
      <c r="A198" s="881" t="str">
        <f>IF(SPORE=TRUE,"Y","N")</f>
        <v>N</v>
      </c>
      <c r="B198" s="2509"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198" s="2510"/>
      <c r="D198" s="2510"/>
      <c r="E198" s="2510"/>
      <c r="F198" s="2510"/>
      <c r="G198" s="2510"/>
      <c r="H198" s="2510"/>
      <c r="I198" s="2510"/>
      <c r="J198" s="2510"/>
      <c r="K198" s="2510"/>
      <c r="L198" s="2510"/>
      <c r="M198" s="1179"/>
      <c r="N198" s="1177"/>
      <c r="O198" s="2418"/>
      <c r="P198" s="2419"/>
    </row>
    <row r="199" spans="1:16" hidden="1">
      <c r="A199" s="881" t="str">
        <f>IF(SPORE=TRUE,"Y","N")</f>
        <v>N</v>
      </c>
      <c r="B199" s="2511"/>
      <c r="C199" s="2512"/>
      <c r="D199" s="2512"/>
      <c r="E199" s="2512"/>
      <c r="F199" s="2512"/>
      <c r="G199" s="2512"/>
      <c r="H199" s="2512"/>
      <c r="I199" s="2512"/>
      <c r="J199" s="2512"/>
      <c r="K199" s="2512"/>
      <c r="L199" s="2512"/>
      <c r="M199" s="1180"/>
      <c r="N199" s="1098"/>
      <c r="O199" s="2420"/>
      <c r="P199" s="2421"/>
    </row>
    <row r="200" spans="1:16" hidden="1">
      <c r="A200" s="881" t="str">
        <f>IF(SPORE=TRUE,"Y","N")</f>
        <v>N</v>
      </c>
      <c r="B200" s="2511"/>
      <c r="C200" s="2512"/>
      <c r="D200" s="2512"/>
      <c r="E200" s="2512"/>
      <c r="F200" s="2512"/>
      <c r="G200" s="2512"/>
      <c r="H200" s="2512"/>
      <c r="I200" s="2512"/>
      <c r="J200" s="2512"/>
      <c r="K200" s="2512"/>
      <c r="L200" s="2512"/>
      <c r="M200" s="1180"/>
      <c r="N200" s="1098"/>
      <c r="O200" s="2420"/>
      <c r="P200" s="2421"/>
    </row>
    <row r="201" spans="1:16" hidden="1">
      <c r="A201" s="881" t="str">
        <f>IF(SPORE=TRUE,"Y","N")</f>
        <v>N</v>
      </c>
      <c r="B201" s="2513"/>
      <c r="C201" s="2514"/>
      <c r="D201" s="2514"/>
      <c r="E201" s="2514"/>
      <c r="F201" s="2514"/>
      <c r="G201" s="2514"/>
      <c r="H201" s="2514"/>
      <c r="I201" s="2514"/>
      <c r="J201" s="2514"/>
      <c r="K201" s="2514"/>
      <c r="L201" s="2514"/>
      <c r="M201" s="1181"/>
      <c r="N201" s="1178"/>
      <c r="O201" s="2422"/>
      <c r="P201" s="2423"/>
    </row>
    <row r="202" spans="1:16" s="933" customFormat="1" ht="2.25" hidden="1" customHeight="1">
      <c r="A202" s="933" t="str">
        <f>IF(SPORE=TRUE,"Y","N")</f>
        <v>N</v>
      </c>
    </row>
  </sheetData>
  <sheetProtection algorithmName="SHA-512" hashValue="6ACp5tG3wtnFeFTfUXdHqUTtu/1j2WZXgQQAY8eKpVY4ErCqKmEH0qnJaEBAhh8cQG4l5zXig3BXmNTsU7cYmA==" saltValue="7wT+F12kBWwl8Cum9TJ7bQ==" spinCount="100000" sheet="1" objects="1" scenarios="1" autoFilter="0"/>
  <autoFilter ref="A11:A202" xr:uid="{00000000-0009-0000-0000-00000F000000}">
    <filterColumn colId="0">
      <filters>
        <filter val="Y"/>
      </filters>
    </filterColumn>
  </autoFilter>
  <mergeCells count="604">
    <mergeCell ref="B43:D43"/>
    <mergeCell ref="E43:H43"/>
    <mergeCell ref="I43:J43"/>
    <mergeCell ref="K43:L43"/>
    <mergeCell ref="M43:N43"/>
    <mergeCell ref="O43:P43"/>
    <mergeCell ref="B95:D95"/>
    <mergeCell ref="E95:H95"/>
    <mergeCell ref="I95:J95"/>
    <mergeCell ref="K95:L95"/>
    <mergeCell ref="M95:N95"/>
    <mergeCell ref="O95:P95"/>
    <mergeCell ref="B69:D69"/>
    <mergeCell ref="E69:H69"/>
    <mergeCell ref="I69:J69"/>
    <mergeCell ref="K69:L69"/>
    <mergeCell ref="M69:N69"/>
    <mergeCell ref="O69:P69"/>
    <mergeCell ref="E50:F50"/>
    <mergeCell ref="H49:I49"/>
    <mergeCell ref="H50:I50"/>
    <mergeCell ref="H51:I51"/>
    <mergeCell ref="M62:N62"/>
    <mergeCell ref="B64:P64"/>
    <mergeCell ref="E34:E35"/>
    <mergeCell ref="P34:P35"/>
    <mergeCell ref="E60:E61"/>
    <mergeCell ref="E86:E87"/>
    <mergeCell ref="E112:E113"/>
    <mergeCell ref="E138:E139"/>
    <mergeCell ref="E164:E165"/>
    <mergeCell ref="P60:P61"/>
    <mergeCell ref="P86:P87"/>
    <mergeCell ref="P112:P113"/>
    <mergeCell ref="P138:P139"/>
    <mergeCell ref="P164:P165"/>
    <mergeCell ref="O41:P41"/>
    <mergeCell ref="O42:P42"/>
    <mergeCell ref="H52:I52"/>
    <mergeCell ref="H53:I53"/>
    <mergeCell ref="I41:J41"/>
    <mergeCell ref="I42:J42"/>
    <mergeCell ref="E41:H41"/>
    <mergeCell ref="E42:H42"/>
    <mergeCell ref="K40:L40"/>
    <mergeCell ref="K41:L41"/>
    <mergeCell ref="K42:L42"/>
    <mergeCell ref="M52:P52"/>
    <mergeCell ref="E18:P18"/>
    <mergeCell ref="E20:P20"/>
    <mergeCell ref="B15:D15"/>
    <mergeCell ref="B19:D19"/>
    <mergeCell ref="E31:F31"/>
    <mergeCell ref="B25:D25"/>
    <mergeCell ref="O24:P24"/>
    <mergeCell ref="O25:P25"/>
    <mergeCell ref="O26:P26"/>
    <mergeCell ref="O27:P27"/>
    <mergeCell ref="M24:N24"/>
    <mergeCell ref="M25:N25"/>
    <mergeCell ref="M26:N26"/>
    <mergeCell ref="M27:N27"/>
    <mergeCell ref="K24:L24"/>
    <mergeCell ref="K25:L25"/>
    <mergeCell ref="B26:D26"/>
    <mergeCell ref="B24:D24"/>
    <mergeCell ref="O15:P15"/>
    <mergeCell ref="E17:P17"/>
    <mergeCell ref="I31:J31"/>
    <mergeCell ref="K31:P31"/>
    <mergeCell ref="C31:D31"/>
    <mergeCell ref="B41:D41"/>
    <mergeCell ref="M15:N15"/>
    <mergeCell ref="E47:F47"/>
    <mergeCell ref="G26:H26"/>
    <mergeCell ref="G27:H27"/>
    <mergeCell ref="E24:F24"/>
    <mergeCell ref="E25:F25"/>
    <mergeCell ref="E26:F26"/>
    <mergeCell ref="E27:F27"/>
    <mergeCell ref="K26:L26"/>
    <mergeCell ref="K27:L27"/>
    <mergeCell ref="I24:J24"/>
    <mergeCell ref="I25:J25"/>
    <mergeCell ref="I26:J26"/>
    <mergeCell ref="I27:J27"/>
    <mergeCell ref="G24:H24"/>
    <mergeCell ref="G25:H25"/>
    <mergeCell ref="E15:L15"/>
    <mergeCell ref="G31:H31"/>
    <mergeCell ref="G36:H36"/>
    <mergeCell ref="B32:P32"/>
    <mergeCell ref="E19:P19"/>
    <mergeCell ref="B18:D18"/>
    <mergeCell ref="B36:D36"/>
    <mergeCell ref="B62:D62"/>
    <mergeCell ref="G62:H62"/>
    <mergeCell ref="I62:J62"/>
    <mergeCell ref="K62:L62"/>
    <mergeCell ref="M33:N33"/>
    <mergeCell ref="M34:N34"/>
    <mergeCell ref="M35:N35"/>
    <mergeCell ref="B23:P23"/>
    <mergeCell ref="B11:P11"/>
    <mergeCell ref="B14:D14"/>
    <mergeCell ref="E14:P14"/>
    <mergeCell ref="B16:D16"/>
    <mergeCell ref="B50:D50"/>
    <mergeCell ref="B47:D47"/>
    <mergeCell ref="B48:D48"/>
    <mergeCell ref="B27:D27"/>
    <mergeCell ref="B13:P13"/>
    <mergeCell ref="B20:D20"/>
    <mergeCell ref="B21:D21"/>
    <mergeCell ref="E21:P21"/>
    <mergeCell ref="B38:P38"/>
    <mergeCell ref="E16:P16"/>
    <mergeCell ref="B17:D17"/>
    <mergeCell ref="B29:P29"/>
    <mergeCell ref="H54:J54"/>
    <mergeCell ref="H55:J55"/>
    <mergeCell ref="M60:N60"/>
    <mergeCell ref="B58:P58"/>
    <mergeCell ref="G59:H59"/>
    <mergeCell ref="I59:J59"/>
    <mergeCell ref="K59:L59"/>
    <mergeCell ref="M59:N59"/>
    <mergeCell ref="B61:D61"/>
    <mergeCell ref="G61:H61"/>
    <mergeCell ref="I61:J61"/>
    <mergeCell ref="K61:L61"/>
    <mergeCell ref="M61:N61"/>
    <mergeCell ref="B60:D60"/>
    <mergeCell ref="G60:H60"/>
    <mergeCell ref="I60:J60"/>
    <mergeCell ref="K60:L60"/>
    <mergeCell ref="I36:J36"/>
    <mergeCell ref="K36:L36"/>
    <mergeCell ref="B34:D34"/>
    <mergeCell ref="B35:D35"/>
    <mergeCell ref="G33:H33"/>
    <mergeCell ref="O39:P39"/>
    <mergeCell ref="O40:P40"/>
    <mergeCell ref="K39:L39"/>
    <mergeCell ref="M36:N36"/>
    <mergeCell ref="G34:H34"/>
    <mergeCell ref="G35:H35"/>
    <mergeCell ref="B40:D40"/>
    <mergeCell ref="I33:J33"/>
    <mergeCell ref="I34:J34"/>
    <mergeCell ref="I35:J35"/>
    <mergeCell ref="K33:L33"/>
    <mergeCell ref="K34:L34"/>
    <mergeCell ref="K35:L35"/>
    <mergeCell ref="I39:J39"/>
    <mergeCell ref="I40:J40"/>
    <mergeCell ref="E39:H39"/>
    <mergeCell ref="E40:H40"/>
    <mergeCell ref="M39:N39"/>
    <mergeCell ref="M40:N40"/>
    <mergeCell ref="M41:N41"/>
    <mergeCell ref="M42:N42"/>
    <mergeCell ref="B52:D52"/>
    <mergeCell ref="B53:D53"/>
    <mergeCell ref="B42:D42"/>
    <mergeCell ref="E52:F52"/>
    <mergeCell ref="E53:F53"/>
    <mergeCell ref="M47:P47"/>
    <mergeCell ref="M48:P48"/>
    <mergeCell ref="M49:P49"/>
    <mergeCell ref="M50:P50"/>
    <mergeCell ref="M51:P51"/>
    <mergeCell ref="B49:D49"/>
    <mergeCell ref="M46:P46"/>
    <mergeCell ref="B45:P45"/>
    <mergeCell ref="B51:D51"/>
    <mergeCell ref="E51:F51"/>
    <mergeCell ref="H46:I46"/>
    <mergeCell ref="H47:I47"/>
    <mergeCell ref="H48:I48"/>
    <mergeCell ref="E46:F46"/>
    <mergeCell ref="E48:F48"/>
    <mergeCell ref="E49:F49"/>
    <mergeCell ref="M53:P53"/>
    <mergeCell ref="E65:H65"/>
    <mergeCell ref="I65:J65"/>
    <mergeCell ref="K65:L65"/>
    <mergeCell ref="M65:N65"/>
    <mergeCell ref="O65:P65"/>
    <mergeCell ref="B66:D66"/>
    <mergeCell ref="E66:H66"/>
    <mergeCell ref="I66:J66"/>
    <mergeCell ref="K66:L66"/>
    <mergeCell ref="M66:N66"/>
    <mergeCell ref="O66:P66"/>
    <mergeCell ref="B67:D67"/>
    <mergeCell ref="E67:H67"/>
    <mergeCell ref="I67:J67"/>
    <mergeCell ref="K67:L67"/>
    <mergeCell ref="M67:N67"/>
    <mergeCell ref="O67:P67"/>
    <mergeCell ref="B68:D68"/>
    <mergeCell ref="E68:H68"/>
    <mergeCell ref="I68:J68"/>
    <mergeCell ref="K68:L68"/>
    <mergeCell ref="M68:N68"/>
    <mergeCell ref="O68:P68"/>
    <mergeCell ref="B71:P71"/>
    <mergeCell ref="E72:F72"/>
    <mergeCell ref="H72:I72"/>
    <mergeCell ref="M72:P72"/>
    <mergeCell ref="B73:D73"/>
    <mergeCell ref="E73:F73"/>
    <mergeCell ref="H73:I73"/>
    <mergeCell ref="M73:P73"/>
    <mergeCell ref="B74:D74"/>
    <mergeCell ref="E74:F74"/>
    <mergeCell ref="H74:I74"/>
    <mergeCell ref="M74:P74"/>
    <mergeCell ref="B75:D75"/>
    <mergeCell ref="E75:F75"/>
    <mergeCell ref="H75:I75"/>
    <mergeCell ref="M75:P75"/>
    <mergeCell ref="B76:D76"/>
    <mergeCell ref="E76:F76"/>
    <mergeCell ref="H76:I76"/>
    <mergeCell ref="M76:P76"/>
    <mergeCell ref="B77:D77"/>
    <mergeCell ref="E77:F77"/>
    <mergeCell ref="H77:I77"/>
    <mergeCell ref="M77:P77"/>
    <mergeCell ref="B78:D78"/>
    <mergeCell ref="E78:F78"/>
    <mergeCell ref="H78:I78"/>
    <mergeCell ref="M78:P78"/>
    <mergeCell ref="B79:D79"/>
    <mergeCell ref="E79:F79"/>
    <mergeCell ref="H79:I79"/>
    <mergeCell ref="M79:P79"/>
    <mergeCell ref="H80:J80"/>
    <mergeCell ref="H81:J81"/>
    <mergeCell ref="B84:P84"/>
    <mergeCell ref="G85:H85"/>
    <mergeCell ref="I85:J85"/>
    <mergeCell ref="K85:L85"/>
    <mergeCell ref="M85:N85"/>
    <mergeCell ref="B86:D86"/>
    <mergeCell ref="G86:H86"/>
    <mergeCell ref="I86:J86"/>
    <mergeCell ref="K86:L86"/>
    <mergeCell ref="M86:N86"/>
    <mergeCell ref="B87:D87"/>
    <mergeCell ref="G87:H87"/>
    <mergeCell ref="I87:J87"/>
    <mergeCell ref="K87:L87"/>
    <mergeCell ref="M87:N87"/>
    <mergeCell ref="B88:D88"/>
    <mergeCell ref="G88:H88"/>
    <mergeCell ref="I88:J88"/>
    <mergeCell ref="K88:L88"/>
    <mergeCell ref="M88:N88"/>
    <mergeCell ref="B90:P90"/>
    <mergeCell ref="E91:H91"/>
    <mergeCell ref="I91:J91"/>
    <mergeCell ref="K91:L91"/>
    <mergeCell ref="M91:N91"/>
    <mergeCell ref="O91:P91"/>
    <mergeCell ref="B92:D92"/>
    <mergeCell ref="E92:H92"/>
    <mergeCell ref="I92:J92"/>
    <mergeCell ref="K92:L92"/>
    <mergeCell ref="M92:N92"/>
    <mergeCell ref="O92:P92"/>
    <mergeCell ref="B93:D93"/>
    <mergeCell ref="E93:H93"/>
    <mergeCell ref="I93:J93"/>
    <mergeCell ref="K93:L93"/>
    <mergeCell ref="M93:N93"/>
    <mergeCell ref="O93:P93"/>
    <mergeCell ref="B94:D94"/>
    <mergeCell ref="E94:H94"/>
    <mergeCell ref="I94:J94"/>
    <mergeCell ref="K94:L94"/>
    <mergeCell ref="M94:N94"/>
    <mergeCell ref="O94:P94"/>
    <mergeCell ref="B97:P97"/>
    <mergeCell ref="E98:F98"/>
    <mergeCell ref="H98:I98"/>
    <mergeCell ref="M98:P98"/>
    <mergeCell ref="B99:D99"/>
    <mergeCell ref="E99:F99"/>
    <mergeCell ref="H99:I99"/>
    <mergeCell ref="M99:P99"/>
    <mergeCell ref="B100:D100"/>
    <mergeCell ref="E100:F100"/>
    <mergeCell ref="H100:I100"/>
    <mergeCell ref="M100:P100"/>
    <mergeCell ref="B101:D101"/>
    <mergeCell ref="E101:F101"/>
    <mergeCell ref="H101:I101"/>
    <mergeCell ref="M101:P101"/>
    <mergeCell ref="B102:D102"/>
    <mergeCell ref="E102:F102"/>
    <mergeCell ref="H102:I102"/>
    <mergeCell ref="M102:P102"/>
    <mergeCell ref="B103:D103"/>
    <mergeCell ref="E103:F103"/>
    <mergeCell ref="H103:I103"/>
    <mergeCell ref="M103:P103"/>
    <mergeCell ref="B104:D104"/>
    <mergeCell ref="E104:F104"/>
    <mergeCell ref="H104:I104"/>
    <mergeCell ref="M104:P104"/>
    <mergeCell ref="B105:D105"/>
    <mergeCell ref="E105:F105"/>
    <mergeCell ref="H105:I105"/>
    <mergeCell ref="M105:P105"/>
    <mergeCell ref="H106:J106"/>
    <mergeCell ref="H107:J107"/>
    <mergeCell ref="B110:P110"/>
    <mergeCell ref="G111:H111"/>
    <mergeCell ref="I111:J111"/>
    <mergeCell ref="K111:L111"/>
    <mergeCell ref="M111:N111"/>
    <mergeCell ref="G109:H109"/>
    <mergeCell ref="I109:J109"/>
    <mergeCell ref="K109:P109"/>
    <mergeCell ref="E109:F109"/>
    <mergeCell ref="B112:D112"/>
    <mergeCell ref="G112:H112"/>
    <mergeCell ref="I112:J112"/>
    <mergeCell ref="K112:L112"/>
    <mergeCell ref="M112:N112"/>
    <mergeCell ref="B113:D113"/>
    <mergeCell ref="G113:H113"/>
    <mergeCell ref="I113:J113"/>
    <mergeCell ref="K113:L113"/>
    <mergeCell ref="M113:N113"/>
    <mergeCell ref="B114:D114"/>
    <mergeCell ref="G114:H114"/>
    <mergeCell ref="I114:J114"/>
    <mergeCell ref="K114:L114"/>
    <mergeCell ref="M114:N114"/>
    <mergeCell ref="B116:P116"/>
    <mergeCell ref="E117:H117"/>
    <mergeCell ref="I117:J117"/>
    <mergeCell ref="K117:L117"/>
    <mergeCell ref="M117:N117"/>
    <mergeCell ref="O117:P117"/>
    <mergeCell ref="B118:D118"/>
    <mergeCell ref="E118:H118"/>
    <mergeCell ref="I118:J118"/>
    <mergeCell ref="K118:L118"/>
    <mergeCell ref="M118:N118"/>
    <mergeCell ref="O118:P118"/>
    <mergeCell ref="B119:D119"/>
    <mergeCell ref="E119:H119"/>
    <mergeCell ref="I119:J119"/>
    <mergeCell ref="K119:L119"/>
    <mergeCell ref="M119:N119"/>
    <mergeCell ref="O119:P119"/>
    <mergeCell ref="B120:D120"/>
    <mergeCell ref="E120:H120"/>
    <mergeCell ref="I120:J120"/>
    <mergeCell ref="K120:L120"/>
    <mergeCell ref="M120:N120"/>
    <mergeCell ref="O120:P120"/>
    <mergeCell ref="B123:P123"/>
    <mergeCell ref="E124:F124"/>
    <mergeCell ref="H124:I124"/>
    <mergeCell ref="M124:P124"/>
    <mergeCell ref="B121:D121"/>
    <mergeCell ref="E121:H121"/>
    <mergeCell ref="I121:J121"/>
    <mergeCell ref="K121:L121"/>
    <mergeCell ref="M121:N121"/>
    <mergeCell ref="O121:P121"/>
    <mergeCell ref="B125:D125"/>
    <mergeCell ref="E125:F125"/>
    <mergeCell ref="H125:I125"/>
    <mergeCell ref="M125:P125"/>
    <mergeCell ref="B126:D126"/>
    <mergeCell ref="E126:F126"/>
    <mergeCell ref="H126:I126"/>
    <mergeCell ref="M126:P126"/>
    <mergeCell ref="B127:D127"/>
    <mergeCell ref="E127:F127"/>
    <mergeCell ref="H127:I127"/>
    <mergeCell ref="M127:P127"/>
    <mergeCell ref="B128:D128"/>
    <mergeCell ref="E128:F128"/>
    <mergeCell ref="H128:I128"/>
    <mergeCell ref="M128:P128"/>
    <mergeCell ref="B129:D129"/>
    <mergeCell ref="E129:F129"/>
    <mergeCell ref="H129:I129"/>
    <mergeCell ref="M129:P129"/>
    <mergeCell ref="B130:D130"/>
    <mergeCell ref="E130:F130"/>
    <mergeCell ref="H130:I130"/>
    <mergeCell ref="M130:P130"/>
    <mergeCell ref="B131:D131"/>
    <mergeCell ref="E131:F131"/>
    <mergeCell ref="H131:I131"/>
    <mergeCell ref="M131:P131"/>
    <mergeCell ref="H132:J132"/>
    <mergeCell ref="H133:J133"/>
    <mergeCell ref="B136:P136"/>
    <mergeCell ref="G137:H137"/>
    <mergeCell ref="I137:J137"/>
    <mergeCell ref="K137:L137"/>
    <mergeCell ref="M137:N137"/>
    <mergeCell ref="C135:D135"/>
    <mergeCell ref="E135:F135"/>
    <mergeCell ref="G135:H135"/>
    <mergeCell ref="I135:J135"/>
    <mergeCell ref="K135:P135"/>
    <mergeCell ref="B138:D138"/>
    <mergeCell ref="G138:H138"/>
    <mergeCell ref="I138:J138"/>
    <mergeCell ref="K138:L138"/>
    <mergeCell ref="M138:N138"/>
    <mergeCell ref="B139:D139"/>
    <mergeCell ref="G139:H139"/>
    <mergeCell ref="I139:J139"/>
    <mergeCell ref="K139:L139"/>
    <mergeCell ref="M139:N139"/>
    <mergeCell ref="B140:D140"/>
    <mergeCell ref="G140:H140"/>
    <mergeCell ref="I140:J140"/>
    <mergeCell ref="K140:L140"/>
    <mergeCell ref="M140:N140"/>
    <mergeCell ref="B142:P142"/>
    <mergeCell ref="E143:H143"/>
    <mergeCell ref="I143:J143"/>
    <mergeCell ref="K143:L143"/>
    <mergeCell ref="M143:N143"/>
    <mergeCell ref="O143:P143"/>
    <mergeCell ref="B144:D144"/>
    <mergeCell ref="E144:H144"/>
    <mergeCell ref="I144:J144"/>
    <mergeCell ref="K144:L144"/>
    <mergeCell ref="M144:N144"/>
    <mergeCell ref="O144:P144"/>
    <mergeCell ref="B145:D145"/>
    <mergeCell ref="E145:H145"/>
    <mergeCell ref="I145:J145"/>
    <mergeCell ref="K145:L145"/>
    <mergeCell ref="M145:N145"/>
    <mergeCell ref="O145:P145"/>
    <mergeCell ref="B146:D146"/>
    <mergeCell ref="E146:H146"/>
    <mergeCell ref="I146:J146"/>
    <mergeCell ref="K146:L146"/>
    <mergeCell ref="M146:N146"/>
    <mergeCell ref="O146:P146"/>
    <mergeCell ref="B149:P149"/>
    <mergeCell ref="E150:F150"/>
    <mergeCell ref="H150:I150"/>
    <mergeCell ref="M150:P150"/>
    <mergeCell ref="B147:D147"/>
    <mergeCell ref="E147:H147"/>
    <mergeCell ref="I147:J147"/>
    <mergeCell ref="K147:L147"/>
    <mergeCell ref="M147:N147"/>
    <mergeCell ref="O147:P147"/>
    <mergeCell ref="H155:I155"/>
    <mergeCell ref="M155:P155"/>
    <mergeCell ref="B156:D156"/>
    <mergeCell ref="E156:F156"/>
    <mergeCell ref="H156:I156"/>
    <mergeCell ref="M156:P156"/>
    <mergeCell ref="B151:D151"/>
    <mergeCell ref="E151:F151"/>
    <mergeCell ref="H151:I151"/>
    <mergeCell ref="M151:P151"/>
    <mergeCell ref="B152:D152"/>
    <mergeCell ref="E152:F152"/>
    <mergeCell ref="H152:I152"/>
    <mergeCell ref="M152:P152"/>
    <mergeCell ref="B153:D153"/>
    <mergeCell ref="E153:F153"/>
    <mergeCell ref="H153:I153"/>
    <mergeCell ref="M153:P153"/>
    <mergeCell ref="B162:P162"/>
    <mergeCell ref="G163:H163"/>
    <mergeCell ref="I163:J163"/>
    <mergeCell ref="K163:L163"/>
    <mergeCell ref="M163:N163"/>
    <mergeCell ref="B164:D164"/>
    <mergeCell ref="G164:H164"/>
    <mergeCell ref="I164:J164"/>
    <mergeCell ref="K164:L164"/>
    <mergeCell ref="M164:N164"/>
    <mergeCell ref="B165:D165"/>
    <mergeCell ref="G165:H165"/>
    <mergeCell ref="I165:J165"/>
    <mergeCell ref="K165:L165"/>
    <mergeCell ref="M165:N165"/>
    <mergeCell ref="B166:D166"/>
    <mergeCell ref="G166:H166"/>
    <mergeCell ref="I166:J166"/>
    <mergeCell ref="K166:L166"/>
    <mergeCell ref="M166:N166"/>
    <mergeCell ref="B168:P168"/>
    <mergeCell ref="E169:H169"/>
    <mergeCell ref="I169:J169"/>
    <mergeCell ref="K169:L169"/>
    <mergeCell ref="M169:N169"/>
    <mergeCell ref="O169:P169"/>
    <mergeCell ref="B170:D170"/>
    <mergeCell ref="E170:H170"/>
    <mergeCell ref="I170:J170"/>
    <mergeCell ref="K170:L170"/>
    <mergeCell ref="M170:N170"/>
    <mergeCell ref="O170:P170"/>
    <mergeCell ref="M178:P178"/>
    <mergeCell ref="B171:D171"/>
    <mergeCell ref="E171:H171"/>
    <mergeCell ref="I171:J171"/>
    <mergeCell ref="K171:L171"/>
    <mergeCell ref="M171:N171"/>
    <mergeCell ref="O171:P171"/>
    <mergeCell ref="B172:D172"/>
    <mergeCell ref="E172:H172"/>
    <mergeCell ref="I172:J172"/>
    <mergeCell ref="K172:L172"/>
    <mergeCell ref="M172:N172"/>
    <mergeCell ref="O172:P172"/>
    <mergeCell ref="B173:D173"/>
    <mergeCell ref="E173:H173"/>
    <mergeCell ref="I173:J173"/>
    <mergeCell ref="K173:L173"/>
    <mergeCell ref="M173:N173"/>
    <mergeCell ref="O173:P173"/>
    <mergeCell ref="B198:L201"/>
    <mergeCell ref="B183:D183"/>
    <mergeCell ref="E183:F183"/>
    <mergeCell ref="H183:I183"/>
    <mergeCell ref="M183:P183"/>
    <mergeCell ref="H184:J184"/>
    <mergeCell ref="H185:J185"/>
    <mergeCell ref="B180:D180"/>
    <mergeCell ref="E180:F180"/>
    <mergeCell ref="H180:I180"/>
    <mergeCell ref="M180:P180"/>
    <mergeCell ref="B181:D181"/>
    <mergeCell ref="E181:F181"/>
    <mergeCell ref="H181:I181"/>
    <mergeCell ref="M181:P181"/>
    <mergeCell ref="B182:D182"/>
    <mergeCell ref="E182:F182"/>
    <mergeCell ref="H182:I182"/>
    <mergeCell ref="M182:P182"/>
    <mergeCell ref="O198:P201"/>
    <mergeCell ref="B190:P190"/>
    <mergeCell ref="I161:J161"/>
    <mergeCell ref="K161:P161"/>
    <mergeCell ref="C57:D57"/>
    <mergeCell ref="E57:F57"/>
    <mergeCell ref="G57:H57"/>
    <mergeCell ref="I57:J57"/>
    <mergeCell ref="K57:P57"/>
    <mergeCell ref="C83:D83"/>
    <mergeCell ref="E83:F83"/>
    <mergeCell ref="G83:H83"/>
    <mergeCell ref="I83:J83"/>
    <mergeCell ref="K83:P83"/>
    <mergeCell ref="C109:D109"/>
    <mergeCell ref="H158:J158"/>
    <mergeCell ref="H159:J159"/>
    <mergeCell ref="B154:D154"/>
    <mergeCell ref="E154:F154"/>
    <mergeCell ref="H154:I154"/>
    <mergeCell ref="B157:D157"/>
    <mergeCell ref="E157:F157"/>
    <mergeCell ref="H157:I157"/>
    <mergeCell ref="M154:P154"/>
    <mergeCell ref="B155:D155"/>
    <mergeCell ref="E155:F155"/>
    <mergeCell ref="M157:P157"/>
    <mergeCell ref="L195:P195"/>
    <mergeCell ref="L196:P196"/>
    <mergeCell ref="B191:P191"/>
    <mergeCell ref="B188:P188"/>
    <mergeCell ref="B189:P189"/>
    <mergeCell ref="B179:D179"/>
    <mergeCell ref="E179:F179"/>
    <mergeCell ref="H179:I179"/>
    <mergeCell ref="M179:P179"/>
    <mergeCell ref="B177:D177"/>
    <mergeCell ref="B175:P175"/>
    <mergeCell ref="E176:F176"/>
    <mergeCell ref="H176:I176"/>
    <mergeCell ref="M176:P176"/>
    <mergeCell ref="E177:F177"/>
    <mergeCell ref="H177:I177"/>
    <mergeCell ref="M177:P177"/>
    <mergeCell ref="B178:D178"/>
    <mergeCell ref="E178:F178"/>
    <mergeCell ref="H178:I178"/>
    <mergeCell ref="C161:D161"/>
    <mergeCell ref="E161:F161"/>
    <mergeCell ref="G161:H161"/>
  </mergeCells>
  <conditionalFormatting sqref="O40:O42">
    <cfRule type="expression" dxfId="73" priority="35">
      <formula>AND($K40&gt;$M40,$K40&lt;&gt;"-")</formula>
    </cfRule>
  </conditionalFormatting>
  <conditionalFormatting sqref="O40:P42">
    <cfRule type="expression" dxfId="72" priority="34">
      <formula>AND($K40&lt;=$M40,$K40&lt;&gt;"-")</formula>
    </cfRule>
  </conditionalFormatting>
  <conditionalFormatting sqref="O66:O68">
    <cfRule type="expression" dxfId="71" priority="25">
      <formula>AND($K66&gt;$M66,$K66&lt;&gt;"-")</formula>
    </cfRule>
  </conditionalFormatting>
  <conditionalFormatting sqref="O66:P68">
    <cfRule type="expression" dxfId="70" priority="24">
      <formula>AND($K66&lt;=$M66,$K66&lt;&gt;"-")</formula>
    </cfRule>
  </conditionalFormatting>
  <conditionalFormatting sqref="O92:O94">
    <cfRule type="expression" dxfId="69" priority="23">
      <formula>AND($K92&gt;$M92,$K92&lt;&gt;"-")</formula>
    </cfRule>
  </conditionalFormatting>
  <conditionalFormatting sqref="O92:P94">
    <cfRule type="expression" dxfId="68" priority="22">
      <formula>AND($K92&lt;=$M92,$K92&lt;&gt;"-")</formula>
    </cfRule>
  </conditionalFormatting>
  <conditionalFormatting sqref="O118:O120">
    <cfRule type="expression" dxfId="67" priority="21">
      <formula>AND($K118&gt;$M118,$K118&lt;&gt;"-")</formula>
    </cfRule>
  </conditionalFormatting>
  <conditionalFormatting sqref="O118:P120">
    <cfRule type="expression" dxfId="66" priority="20">
      <formula>AND($K118&lt;=$M118,$K118&lt;&gt;"-")</formula>
    </cfRule>
  </conditionalFormatting>
  <conditionalFormatting sqref="O144:O146">
    <cfRule type="expression" dxfId="65" priority="19">
      <formula>AND($K144&gt;$M144,$K144&lt;&gt;"-")</formula>
    </cfRule>
  </conditionalFormatting>
  <conditionalFormatting sqref="O144:P146">
    <cfRule type="expression" dxfId="64" priority="18">
      <formula>AND($K144&lt;=$M144,$K144&lt;&gt;"-")</formula>
    </cfRule>
  </conditionalFormatting>
  <conditionalFormatting sqref="O170:O172">
    <cfRule type="expression" dxfId="63" priority="17">
      <formula>AND($K170&gt;$M170,$K170&lt;&gt;"-")</formula>
    </cfRule>
  </conditionalFormatting>
  <conditionalFormatting sqref="O170:P172">
    <cfRule type="expression" dxfId="62" priority="16">
      <formula>AND($K170&lt;=$M170,$K170&lt;&gt;"-")</formula>
    </cfRule>
  </conditionalFormatting>
  <conditionalFormatting sqref="M15:N15">
    <cfRule type="expression" dxfId="61" priority="13">
      <formula>$M$15&lt;&gt;""</formula>
    </cfRule>
  </conditionalFormatting>
  <conditionalFormatting sqref="O43">
    <cfRule type="expression" dxfId="60" priority="12">
      <formula>AND($K43&gt;$M43,$K43&lt;&gt;"-")</formula>
    </cfRule>
  </conditionalFormatting>
  <conditionalFormatting sqref="O43:P43">
    <cfRule type="expression" dxfId="59" priority="11">
      <formula>AND($K43&lt;=$M43,$K43&lt;&gt;"-")</formula>
    </cfRule>
  </conditionalFormatting>
  <conditionalFormatting sqref="O95">
    <cfRule type="expression" dxfId="58" priority="10">
      <formula>AND($K95&gt;$M95,$K95&lt;&gt;"-")</formula>
    </cfRule>
  </conditionalFormatting>
  <conditionalFormatting sqref="O95:P95">
    <cfRule type="expression" dxfId="57" priority="9">
      <formula>AND($K95&lt;=$M95,$K95&lt;&gt;"-")</formula>
    </cfRule>
  </conditionalFormatting>
  <conditionalFormatting sqref="O121">
    <cfRule type="expression" dxfId="56" priority="8">
      <formula>AND($K121&gt;$M121,$K121&lt;&gt;"-")</formula>
    </cfRule>
  </conditionalFormatting>
  <conditionalFormatting sqref="O121:P121">
    <cfRule type="expression" dxfId="55" priority="7">
      <formula>AND($K121&lt;=$M121,$K121&lt;&gt;"-")</formula>
    </cfRule>
  </conditionalFormatting>
  <conditionalFormatting sqref="O147">
    <cfRule type="expression" dxfId="54" priority="6">
      <formula>AND($K147&gt;$M147,$K147&lt;&gt;"-")</formula>
    </cfRule>
  </conditionalFormatting>
  <conditionalFormatting sqref="O147:P147">
    <cfRule type="expression" dxfId="53" priority="5">
      <formula>AND($K147&lt;=$M147,$K147&lt;&gt;"-")</formula>
    </cfRule>
  </conditionalFormatting>
  <conditionalFormatting sqref="O173">
    <cfRule type="expression" dxfId="52" priority="4">
      <formula>AND($K173&gt;$M173,$K173&lt;&gt;"-")</formula>
    </cfRule>
  </conditionalFormatting>
  <conditionalFormatting sqref="O173:P173">
    <cfRule type="expression" dxfId="51" priority="3">
      <formula>AND($K173&lt;=$M173,$K173&lt;&gt;"-")</formula>
    </cfRule>
  </conditionalFormatting>
  <conditionalFormatting sqref="O69">
    <cfRule type="expression" dxfId="50" priority="2">
      <formula>AND($K69&gt;$M69,$K69&lt;&gt;"-")</formula>
    </cfRule>
  </conditionalFormatting>
  <conditionalFormatting sqref="O69:P69">
    <cfRule type="expression" dxfId="49" priority="1">
      <formula>AND($K69&lt;=$M69,$K69&lt;&gt;"-")</formula>
    </cfRule>
  </conditionalFormatting>
  <dataValidations xWindow="416" yWindow="591" count="1">
    <dataValidation type="list" errorStyle="information" allowBlank="1" showInputMessage="1" showErrorMessage="1" prompt="Choose Remarks from list or edit yours." sqref="B188:P191" xr:uid="{00000000-0002-0000-0F00-000000000000}">
      <formula1>REMCOL</formula1>
    </dataValidation>
  </dataValidations>
  <hyperlinks>
    <hyperlink ref="B187" location="REMCODE" display="Remarks:" xr:uid="{00000000-0004-0000-0F00-000000000000}"/>
  </hyperlinks>
  <printOptions horizontalCentered="1"/>
  <pageMargins left="0.3" right="0.3" top="0.2" bottom="0.3" header="0.3" footer="0.1"/>
  <pageSetup paperSize="9" scale="82" orientation="portrait" r:id="rId1"/>
  <headerFooter scaleWithDoc="0">
    <oddFooter>&amp;L&amp;8BunkerManager, v1.12&amp;C&amp;8by AMS-Marine | www.ams-marine.com&amp;R&amp;8RefNo: BD/2015/00926 SG</oddFooter>
  </headerFooter>
  <rowBreaks count="1" manualBreakCount="1">
    <brk id="82" min="1" max="15"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2" filterMode="1">
    <tabColor rgb="FFFFFF00"/>
    <pageSetUpPr fitToPage="1"/>
  </sheetPr>
  <dimension ref="A1:AH290"/>
  <sheetViews>
    <sheetView showGridLines="0" showRowColHeaders="0" topLeftCell="C8" zoomScaleNormal="100" zoomScaleSheetLayoutView="100" workbookViewId="0">
      <pane ySplit="8" topLeftCell="A16" activePane="bottomLeft" state="frozen"/>
      <selection pane="bottomLeft"/>
    </sheetView>
  </sheetViews>
  <sheetFormatPr defaultColWidth="0" defaultRowHeight="12.6" customHeight="1" zeroHeight="1"/>
  <cols>
    <col min="1" max="1" width="3.625" style="13" hidden="1" customWidth="1"/>
    <col min="2" max="2" width="5.625" style="13" hidden="1" customWidth="1"/>
    <col min="3" max="3" width="2.625" style="13" customWidth="1"/>
    <col min="4" max="4" width="6.875" style="13" customWidth="1"/>
    <col min="5" max="5" width="7.375" style="13" customWidth="1"/>
    <col min="6" max="6" width="5.25" style="13" customWidth="1"/>
    <col min="7" max="7" width="7.5" style="13" customWidth="1"/>
    <col min="8" max="8" width="5.875" style="13" customWidth="1"/>
    <col min="9" max="9" width="7.5" style="13" customWidth="1"/>
    <col min="10" max="10" width="5.875" style="13" customWidth="1"/>
    <col min="11" max="11" width="7.5" style="13" customWidth="1"/>
    <col min="12" max="12" width="5.875" style="13" customWidth="1"/>
    <col min="13" max="13" width="7.5" style="13" customWidth="1"/>
    <col min="14" max="14" width="5.875" style="13" customWidth="1"/>
    <col min="15" max="15" width="7.5" style="13" customWidth="1"/>
    <col min="16" max="16" width="5.875" style="13" customWidth="1"/>
    <col min="17" max="17" width="7.5" style="13" customWidth="1"/>
    <col min="18" max="18" width="5.875" style="13" customWidth="1"/>
    <col min="19" max="19" width="0.375" style="13" customWidth="1"/>
    <col min="20" max="20" width="3" style="13" customWidth="1"/>
    <col min="21" max="21" width="8.625" style="13" customWidth="1"/>
    <col min="22" max="22" width="0.375" style="13" customWidth="1"/>
    <col min="23" max="32" width="7.375" style="13" hidden="1" customWidth="1"/>
    <col min="33" max="34" width="7.625" style="13" hidden="1" customWidth="1"/>
    <col min="35" max="16384" width="2.5" style="13" hidden="1"/>
  </cols>
  <sheetData>
    <row r="1" spans="1:18" ht="15" hidden="1">
      <c r="C1" s="1907"/>
      <c r="D1" s="1907"/>
      <c r="E1" s="1907"/>
      <c r="F1" s="1907"/>
      <c r="G1" s="1907"/>
      <c r="H1" s="1907"/>
      <c r="I1" s="1907"/>
      <c r="J1" s="1907"/>
      <c r="K1" s="1907"/>
      <c r="L1" s="1907"/>
      <c r="M1" s="1907"/>
      <c r="N1" s="1907"/>
      <c r="O1" s="1907"/>
      <c r="P1" s="1907"/>
      <c r="Q1" s="1907"/>
      <c r="R1" s="1907"/>
    </row>
    <row r="2" spans="1:18" ht="15">
      <c r="C2" s="1907"/>
      <c r="D2" s="1907"/>
      <c r="E2" s="1907"/>
      <c r="F2" s="1907"/>
      <c r="G2" s="1907"/>
      <c r="H2" s="1907"/>
      <c r="I2" s="1907"/>
      <c r="J2" s="1907"/>
      <c r="K2" s="1907"/>
      <c r="L2" s="1907"/>
      <c r="M2" s="1907"/>
      <c r="N2" s="1907"/>
      <c r="O2" s="1907"/>
      <c r="P2" s="1907"/>
      <c r="Q2" s="1907"/>
      <c r="R2" s="1907"/>
    </row>
    <row r="3" spans="1:18" ht="15">
      <c r="C3" s="1907"/>
      <c r="D3" s="1907"/>
      <c r="E3" s="1907"/>
      <c r="F3" s="1907"/>
      <c r="G3" s="1907"/>
      <c r="H3" s="1907"/>
      <c r="I3" s="1907"/>
      <c r="J3" s="1907"/>
      <c r="K3" s="1907"/>
      <c r="L3" s="1907"/>
      <c r="M3" s="1907"/>
      <c r="N3" s="1907"/>
      <c r="O3" s="1907"/>
      <c r="P3" s="1907"/>
      <c r="Q3" s="1907"/>
      <c r="R3" s="1907"/>
    </row>
    <row r="4" spans="1:18" ht="18.75">
      <c r="C4" s="1907"/>
      <c r="D4" s="1907"/>
      <c r="E4" s="1907"/>
      <c r="F4" s="1907"/>
      <c r="G4" s="1907"/>
      <c r="H4" s="1907"/>
      <c r="I4" s="1907"/>
      <c r="J4" s="1907"/>
      <c r="K4" s="1907"/>
      <c r="L4" s="1907"/>
      <c r="M4" s="1907"/>
      <c r="N4" s="1907"/>
      <c r="O4" s="1907"/>
      <c r="P4" s="1907"/>
      <c r="Q4" s="1907"/>
      <c r="R4" s="334" t="str">
        <f>COMPANY1</f>
        <v>Petro Inspect International</v>
      </c>
    </row>
    <row r="5" spans="1:18" s="1908" customFormat="1" ht="11.25">
      <c r="C5" s="406"/>
      <c r="D5" s="406"/>
      <c r="E5" s="406"/>
      <c r="F5" s="406"/>
      <c r="G5" s="406"/>
      <c r="H5" s="406"/>
      <c r="I5" s="406"/>
      <c r="J5" s="406"/>
      <c r="K5" s="406"/>
      <c r="L5" s="406"/>
      <c r="M5" s="406"/>
      <c r="N5" s="406"/>
      <c r="O5" s="406"/>
      <c r="P5" s="406"/>
      <c r="Q5" s="406"/>
      <c r="R5" s="335" t="str">
        <f>COMPANY2</f>
        <v>ops@petro-inspect.com</v>
      </c>
    </row>
    <row r="6" spans="1:18" s="1908" customFormat="1" ht="11.25">
      <c r="C6" s="406"/>
      <c r="D6" s="406"/>
      <c r="E6" s="406"/>
      <c r="F6" s="406"/>
      <c r="G6" s="406"/>
      <c r="H6" s="406"/>
      <c r="I6" s="406"/>
      <c r="J6" s="406"/>
      <c r="K6" s="406"/>
      <c r="L6" s="406"/>
      <c r="M6" s="406"/>
      <c r="N6" s="406"/>
      <c r="O6" s="406"/>
      <c r="P6" s="406"/>
      <c r="Q6" s="406"/>
      <c r="R6" s="335" t="str">
        <f>COMPANY3</f>
        <v/>
      </c>
    </row>
    <row r="7" spans="1:18" s="1908" customFormat="1" ht="11.25">
      <c r="C7" s="406"/>
      <c r="D7" s="406"/>
      <c r="E7" s="406"/>
      <c r="F7" s="406"/>
      <c r="G7" s="406"/>
      <c r="H7" s="406"/>
      <c r="I7" s="406"/>
      <c r="J7" s="406"/>
      <c r="K7" s="406"/>
      <c r="L7" s="406"/>
      <c r="M7" s="406"/>
      <c r="N7" s="406"/>
      <c r="O7" s="406"/>
      <c r="P7" s="406"/>
      <c r="Q7" s="406"/>
      <c r="R7" s="335" t="str">
        <f>COMPANY4</f>
        <v/>
      </c>
    </row>
    <row r="8" spans="1:18" ht="3.75" customHeight="1" thickBot="1">
      <c r="C8" s="1909"/>
      <c r="D8" s="1909"/>
      <c r="E8" s="1909"/>
      <c r="F8" s="1909"/>
      <c r="G8" s="1909"/>
      <c r="H8" s="1909"/>
      <c r="I8" s="1909"/>
      <c r="J8" s="339"/>
      <c r="K8" s="339"/>
      <c r="L8" s="339"/>
      <c r="M8" s="340"/>
      <c r="N8" s="341"/>
      <c r="O8" s="341"/>
      <c r="P8" s="341"/>
      <c r="Q8" s="341"/>
      <c r="R8" s="341"/>
    </row>
    <row r="9" spans="1:18" ht="3.75" customHeight="1">
      <c r="C9" s="1907"/>
      <c r="D9" s="1907"/>
      <c r="E9" s="1907"/>
      <c r="F9" s="1907"/>
      <c r="G9" s="1907"/>
      <c r="H9" s="1907"/>
      <c r="I9" s="1907"/>
      <c r="J9" s="1907"/>
      <c r="K9" s="1907"/>
      <c r="L9" s="1907"/>
      <c r="M9" s="1907"/>
      <c r="N9" s="1907"/>
      <c r="O9" s="1907"/>
      <c r="P9" s="1907"/>
      <c r="Q9" s="1907"/>
      <c r="R9" s="1907"/>
    </row>
    <row r="10" spans="1:18" ht="18.75">
      <c r="A10" s="13" t="s">
        <v>284</v>
      </c>
      <c r="C10" s="203"/>
      <c r="D10" s="203"/>
      <c r="E10" s="203"/>
      <c r="F10" s="203"/>
      <c r="G10" s="203"/>
      <c r="H10" s="203"/>
      <c r="I10" s="203"/>
      <c r="J10" s="203"/>
      <c r="K10" s="203" t="s">
        <v>1298</v>
      </c>
      <c r="L10" s="203"/>
      <c r="M10" s="203"/>
      <c r="N10" s="203"/>
      <c r="O10" s="203"/>
      <c r="P10" s="203"/>
      <c r="Q10" s="203"/>
      <c r="R10" s="203"/>
    </row>
    <row r="11" spans="1:18" ht="6" customHeight="1">
      <c r="A11" s="13" t="s">
        <v>284</v>
      </c>
      <c r="C11" s="1907"/>
      <c r="D11" s="1907"/>
      <c r="E11" s="1907"/>
      <c r="F11" s="1907"/>
      <c r="G11" s="1907"/>
      <c r="H11" s="1907"/>
      <c r="I11" s="1907"/>
      <c r="J11" s="1907"/>
      <c r="K11" s="1907"/>
      <c r="L11" s="1907"/>
      <c r="M11" s="1907"/>
      <c r="N11" s="1907"/>
      <c r="O11" s="1907"/>
      <c r="P11" s="1907"/>
      <c r="Q11" s="1907"/>
      <c r="R11" s="1907"/>
    </row>
    <row r="12" spans="1:18" ht="15" customHeight="1">
      <c r="A12" s="13" t="s">
        <v>284</v>
      </c>
      <c r="C12" s="2635" t="s">
        <v>1321</v>
      </c>
      <c r="D12" s="2635"/>
      <c r="E12" s="2635"/>
      <c r="F12" s="1925" t="str">
        <f>REFNO</f>
        <v>PI/2022/15000/TR</v>
      </c>
      <c r="G12" s="1925"/>
      <c r="H12" s="1925"/>
      <c r="K12" s="1976" t="s">
        <v>1299</v>
      </c>
      <c r="L12" s="1976"/>
      <c r="O12" s="1926"/>
      <c r="P12" s="1926"/>
      <c r="Q12" s="2636">
        <f>DATESURVC</f>
        <v>44792</v>
      </c>
      <c r="R12" s="2636"/>
    </row>
    <row r="13" spans="1:18" s="1972" customFormat="1" ht="8.25">
      <c r="A13" s="1972" t="s">
        <v>284</v>
      </c>
      <c r="C13" s="1941"/>
      <c r="D13" s="1941"/>
      <c r="O13" s="1943"/>
      <c r="P13" s="1943"/>
      <c r="Q13" s="1943"/>
      <c r="R13" s="1943"/>
    </row>
    <row r="14" spans="1:18" ht="15" customHeight="1">
      <c r="A14" s="13" t="s">
        <v>284</v>
      </c>
      <c r="C14" s="2645" t="str">
        <f>MAIN!A13</f>
        <v>BUNKER QUANTITY SURVEY (BQS) &amp; BUNKER ROB SURVEY (ROB)</v>
      </c>
      <c r="D14" s="2645"/>
      <c r="E14" s="2645"/>
      <c r="F14" s="2645"/>
      <c r="G14" s="2645"/>
      <c r="H14" s="2645"/>
      <c r="I14" s="2645"/>
      <c r="J14" s="2645"/>
      <c r="K14" s="2645"/>
      <c r="L14" s="2645"/>
      <c r="M14" s="2645"/>
      <c r="N14" s="2645"/>
      <c r="O14" s="2645"/>
      <c r="P14" s="2645"/>
      <c r="Q14" s="2645"/>
      <c r="R14" s="2645"/>
    </row>
    <row r="15" spans="1:18" s="1972" customFormat="1" ht="8.25">
      <c r="A15" s="1972" t="s">
        <v>284</v>
      </c>
      <c r="C15" s="1941"/>
      <c r="D15" s="1941"/>
      <c r="O15" s="1942"/>
      <c r="P15" s="1942"/>
      <c r="Q15" s="1942"/>
      <c r="R15" s="1942"/>
    </row>
    <row r="16" spans="1:18" ht="15" customHeight="1">
      <c r="A16" s="13" t="s">
        <v>284</v>
      </c>
      <c r="C16" s="2637" t="str">
        <f>"This is to Certify that We, the undersigned, at the request of  ”"&amp;CLIENT&amp;"”,  did attended the vessel  ”"&amp;VESSEL&amp;"”  at  ”"&amp;PORT&amp;"”  on  "&amp;RIGHT("0"&amp;DAY(DATESURVC),2)&amp;"/"&amp;RIGHT("0"&amp;MONTH(DATESURVC),2)&amp;"/"&amp;YEAR(DATESURVC)&amp;"  to determine the vessel R.O.B and Quantity of Bunkers supplied."</f>
        <v>This is to Certify that We, the undersigned, at the request of  ””,  did attended the vessel  ”MV PESSADA”  at  ”ISTANBUL / TURKEY”  on  19/08/2022  to determine the vessel R.O.B and Quantity of Bunkers supplied.</v>
      </c>
      <c r="D16" s="2637"/>
      <c r="E16" s="2637"/>
      <c r="F16" s="2637"/>
      <c r="G16" s="2637"/>
      <c r="H16" s="2637"/>
      <c r="I16" s="2637"/>
      <c r="J16" s="2637"/>
      <c r="K16" s="2637"/>
      <c r="L16" s="2637"/>
      <c r="M16" s="2637"/>
      <c r="N16" s="2637"/>
      <c r="O16" s="2637"/>
      <c r="P16" s="2637"/>
      <c r="Q16" s="2637"/>
      <c r="R16" s="2637"/>
    </row>
    <row r="17" spans="1:28" ht="15" customHeight="1">
      <c r="A17" s="13" t="s">
        <v>284</v>
      </c>
      <c r="C17" s="2637"/>
      <c r="D17" s="2637"/>
      <c r="E17" s="2637"/>
      <c r="F17" s="2637"/>
      <c r="G17" s="2637"/>
      <c r="H17" s="2637"/>
      <c r="I17" s="2637"/>
      <c r="J17" s="2637"/>
      <c r="K17" s="2637"/>
      <c r="L17" s="2637"/>
      <c r="M17" s="2637"/>
      <c r="N17" s="2637"/>
      <c r="O17" s="2637"/>
      <c r="P17" s="2637"/>
      <c r="Q17" s="2637"/>
      <c r="R17" s="2637"/>
    </row>
    <row r="18" spans="1:28" ht="15" customHeight="1">
      <c r="A18" s="13" t="s">
        <v>284</v>
      </c>
      <c r="C18" s="2637" t="s">
        <v>1322</v>
      </c>
      <c r="D18" s="2637"/>
      <c r="E18" s="2637"/>
      <c r="F18" s="2637"/>
      <c r="G18" s="2637"/>
      <c r="H18" s="2637"/>
      <c r="I18" s="2637"/>
      <c r="J18" s="2637"/>
      <c r="K18" s="2637"/>
      <c r="L18" s="2637"/>
      <c r="M18" s="2637"/>
      <c r="N18" s="2637"/>
      <c r="O18" s="2637"/>
      <c r="P18" s="2637"/>
      <c r="Q18" s="2637"/>
      <c r="R18" s="2637"/>
      <c r="W18" s="1911">
        <v>1</v>
      </c>
      <c r="X18" s="1911">
        <v>2</v>
      </c>
      <c r="Y18" s="1911">
        <v>3</v>
      </c>
      <c r="Z18" s="1911">
        <v>4</v>
      </c>
      <c r="AA18" s="1911">
        <v>5</v>
      </c>
      <c r="AB18" s="1911">
        <v>6</v>
      </c>
    </row>
    <row r="19" spans="1:28" ht="15" customHeight="1">
      <c r="A19" s="13" t="s">
        <v>284</v>
      </c>
      <c r="C19" s="2637"/>
      <c r="D19" s="2637"/>
      <c r="E19" s="2637"/>
      <c r="F19" s="2637"/>
      <c r="G19" s="2637"/>
      <c r="H19" s="2637"/>
      <c r="I19" s="2637"/>
      <c r="J19" s="2637"/>
      <c r="K19" s="2637"/>
      <c r="L19" s="2637"/>
      <c r="M19" s="2637"/>
      <c r="N19" s="2637"/>
      <c r="O19" s="2637"/>
      <c r="P19" s="2637"/>
      <c r="Q19" s="2637"/>
      <c r="R19" s="2637"/>
      <c r="W19" s="1911">
        <f>IF(W21="",0,1)</f>
        <v>0</v>
      </c>
      <c r="X19" s="1911">
        <f>IF(X21="",0,MAX($W19:W19)+1)</f>
        <v>1</v>
      </c>
      <c r="Y19" s="1911">
        <f>IF(Y21="",0,MAX($W19:X19)+1)</f>
        <v>0</v>
      </c>
      <c r="Z19" s="1911">
        <f>IF(Z21="",0,MAX($W19:Y19)+1)</f>
        <v>0</v>
      </c>
      <c r="AA19" s="1911">
        <f>IF(AA21="",0,MAX($W19:Z19)+1)</f>
        <v>0</v>
      </c>
      <c r="AB19" s="1911">
        <f>IF(AB21="",0,MAX($W19:AA19)+1)</f>
        <v>2</v>
      </c>
    </row>
    <row r="20" spans="1:28" s="1939" customFormat="1" ht="6.75">
      <c r="A20" s="1939" t="s">
        <v>284</v>
      </c>
      <c r="C20" s="1938"/>
      <c r="D20" s="1938"/>
      <c r="O20" s="1940"/>
      <c r="P20" s="1940"/>
      <c r="Q20" s="1940"/>
      <c r="R20" s="1940"/>
    </row>
    <row r="21" spans="1:28" ht="15">
      <c r="A21" s="12" t="s">
        <v>284</v>
      </c>
      <c r="C21" s="2713" t="s">
        <v>1300</v>
      </c>
      <c r="D21" s="2713"/>
      <c r="E21" s="2713"/>
      <c r="F21" s="2713"/>
      <c r="G21" s="2646" t="str">
        <f>IF(ISERROR(MATCH(W$18,$W$19:$AB$19,0)),"",INDEX($W$21:$AB$24,,MATCH(W$18,$W$19:$AB$19,0)))</f>
        <v>LSFO</v>
      </c>
      <c r="H21" s="2647"/>
      <c r="I21" s="2647"/>
      <c r="J21" s="2648"/>
      <c r="K21" s="2646" t="str">
        <f>IF(ISERROR(MATCH(X$18,$W$19:$AB$19,0)),"",INDEX($W$21:$AB$24,,MATCH(X$18,$W$19:$AB$19,0)))</f>
        <v>LSMGO</v>
      </c>
      <c r="L21" s="2647"/>
      <c r="M21" s="2647"/>
      <c r="N21" s="2648"/>
      <c r="O21" s="2646" t="str">
        <f>IF(ISERROR(MATCH(Y$18,$W$19:$AB$19,0)),"",INDEX($W$21:$AB$24,,MATCH(Y$18,$W$19:$AB$19,0)))</f>
        <v/>
      </c>
      <c r="P21" s="2647"/>
      <c r="Q21" s="2647"/>
      <c r="R21" s="2648"/>
      <c r="W21" s="1911" t="str">
        <f>'Preliminary Report'!$C31</f>
        <v/>
      </c>
      <c r="X21" s="1911" t="str">
        <f>'Preliminary Report'!$C36</f>
        <v>LSFO</v>
      </c>
      <c r="Y21" s="1911" t="str">
        <f>'Preliminary Report'!$C41</f>
        <v/>
      </c>
      <c r="Z21" s="1911" t="str">
        <f>'Preliminary Report'!$C46</f>
        <v/>
      </c>
      <c r="AA21" s="1911" t="str">
        <f>'Preliminary Report'!$C51</f>
        <v/>
      </c>
      <c r="AB21" s="1911" t="str">
        <f>'Preliminary Report'!$C56</f>
        <v>LSMGO</v>
      </c>
    </row>
    <row r="22" spans="1:28" ht="28.5">
      <c r="A22" s="1912" t="s">
        <v>284</v>
      </c>
      <c r="C22" s="2714" t="s">
        <v>1301</v>
      </c>
      <c r="D22" s="2714"/>
      <c r="E22" s="2714"/>
      <c r="F22" s="2714"/>
      <c r="G22" s="2649" t="str">
        <f>IF(ISERROR(MATCH(W$18,$W$19:$AB$19,0)),"",INDEX($W$21:$AB$24,,MATCH(W$18,$W$19:$AB$19,0)))</f>
        <v>ENERGY</v>
      </c>
      <c r="H22" s="2650"/>
      <c r="I22" s="2650"/>
      <c r="J22" s="2651"/>
      <c r="K22" s="2649" t="str">
        <f>IF(ISERROR(MATCH(X$18,$W$19:$AB$19,0)),"",INDEX($W$21:$AB$24,,MATCH(X$18,$W$19:$AB$19,0)))</f>
        <v>ENERGY</v>
      </c>
      <c r="L22" s="2650"/>
      <c r="M22" s="2650"/>
      <c r="N22" s="2651"/>
      <c r="O22" s="2649" t="str">
        <f>IF(ISERROR(MATCH(Y$18,$W$19:$AB$19,0)),"",INDEX($W$21:$AB$24,,MATCH(Y$18,$W$19:$AB$19,0)))</f>
        <v/>
      </c>
      <c r="P22" s="2650"/>
      <c r="Q22" s="2650"/>
      <c r="R22" s="2651"/>
      <c r="W22" s="1911" t="str">
        <f>IF(BARGESEL=1,SUPPLIER,'Preliminary Report'!$E28)</f>
        <v>ENERGY</v>
      </c>
      <c r="X22" s="1911" t="str">
        <f>IF(BARGESEL=1,SUPPLIER,'Preliminary Report'!$E34)</f>
        <v>ENERGY</v>
      </c>
      <c r="Y22" s="1911" t="str">
        <f>IF(BARGESEL=1,SUPPLIER,'Preliminary Report'!$E39)</f>
        <v>ENERGY</v>
      </c>
      <c r="Z22" s="1911" t="str">
        <f>IF(BARGESEL=1,SUPPLIER,'Preliminary Report'!$E44)</f>
        <v>ENERGY</v>
      </c>
      <c r="AA22" s="1911" t="str">
        <f>IF(BARGESEL=1,SUPPLIER,'Preliminary Report'!$E49)</f>
        <v>ENERGY</v>
      </c>
      <c r="AB22" s="1911" t="str">
        <f>IF(BARGESEL=1,SUPPLIER,'Preliminary Report'!$E54)</f>
        <v>ENERGY</v>
      </c>
    </row>
    <row r="23" spans="1:28" ht="15">
      <c r="A23" s="12" t="s">
        <v>284</v>
      </c>
      <c r="C23" s="2714" t="s">
        <v>1302</v>
      </c>
      <c r="D23" s="2714"/>
      <c r="E23" s="2714"/>
      <c r="F23" s="2714"/>
      <c r="G23" s="2652" t="str">
        <f>IF(ISERROR(MATCH(W$18,$W$19:$AB$19,0)),"",INDEX($W$21:$AB$24,,MATCH(W$18,$W$19:$AB$19,0)))</f>
        <v>M/T YALÇIN 2</v>
      </c>
      <c r="H23" s="2653"/>
      <c r="I23" s="2653"/>
      <c r="J23" s="2654"/>
      <c r="K23" s="2652" t="str">
        <f>IF(ISERROR(MATCH(X$18,$W$19:$AB$19,0)),"",INDEX($W$21:$AB$24,,MATCH(X$18,$W$19:$AB$19,0)))</f>
        <v>M/T YALÇIN 2</v>
      </c>
      <c r="L23" s="2653"/>
      <c r="M23" s="2653"/>
      <c r="N23" s="2654"/>
      <c r="O23" s="2652" t="str">
        <f>IF(ISERROR(MATCH(Y$18,$W$19:$AB$19,0)),"",INDEX($W$21:$AB$24,,MATCH(Y$18,$W$19:$AB$19,0)))</f>
        <v/>
      </c>
      <c r="P23" s="2653"/>
      <c r="Q23" s="2653"/>
      <c r="R23" s="2654"/>
      <c r="W23" s="1911" t="str">
        <f>IF(BARGESEL=1,BARGE,'Preliminary Report'!$E29)</f>
        <v>M/T YALÇIN 2</v>
      </c>
      <c r="X23" s="1911" t="str">
        <f>IF(BARGESEL=1,BARGE,'Preliminary Report'!$E35)</f>
        <v>M/T YALÇIN 2</v>
      </c>
      <c r="Y23" s="1911" t="str">
        <f>IF(BARGESEL=1,BARGE,'Preliminary Report'!$E40)</f>
        <v>M/T YALÇIN 2</v>
      </c>
      <c r="Z23" s="1911" t="str">
        <f>IF(BARGESEL=1,BARGE,'Preliminary Report'!$E45)</f>
        <v>M/T YALÇIN 2</v>
      </c>
      <c r="AA23" s="1911" t="str">
        <f>IF(BARGESEL=1,BARGE,'Preliminary Report'!$E50)</f>
        <v>M/T YALÇIN 2</v>
      </c>
      <c r="AB23" s="1911" t="str">
        <f>IF(BARGESEL=1,BARGE,'Preliminary Report'!$E55)</f>
        <v>M/T YALÇIN 2</v>
      </c>
    </row>
    <row r="24" spans="1:28" ht="15">
      <c r="A24" s="12" t="s">
        <v>284</v>
      </c>
      <c r="C24" s="2715" t="s">
        <v>1303</v>
      </c>
      <c r="D24" s="2715"/>
      <c r="E24" s="2715"/>
      <c r="F24" s="2715"/>
      <c r="G24" s="2655" t="str">
        <f>IF(ISERROR(MATCH(W$18,$W$19:$AB$19,0)),"",INDEX($W$21:$AB$24,,MATCH(W$18,$W$19:$AB$19,0)))</f>
        <v>ISTANBUL / TURKEY</v>
      </c>
      <c r="H24" s="2656"/>
      <c r="I24" s="2656"/>
      <c r="J24" s="2657"/>
      <c r="K24" s="2655" t="str">
        <f>IF(ISERROR(MATCH(X$18,$W$19:$AB$19,0)),"",INDEX($W$21:$AB$24,,MATCH(X$18,$W$19:$AB$19,0)))</f>
        <v>ISTANBUL / TURKEY</v>
      </c>
      <c r="L24" s="2656"/>
      <c r="M24" s="2656"/>
      <c r="N24" s="2657"/>
      <c r="O24" s="2655" t="str">
        <f>IF(ISERROR(MATCH(Y$18,$W$19:$AB$19,0)),"",INDEX($W$21:$AB$24,,MATCH(Y$18,$W$19:$AB$19,0)))</f>
        <v/>
      </c>
      <c r="P24" s="2656"/>
      <c r="Q24" s="2656"/>
      <c r="R24" s="2657"/>
      <c r="W24" s="1911" t="str">
        <f t="shared" ref="W24:AB24" si="0">IF(W21="","",PORT)</f>
        <v/>
      </c>
      <c r="X24" s="1911" t="str">
        <f t="shared" si="0"/>
        <v>ISTANBUL / TURKEY</v>
      </c>
      <c r="Y24" s="1911" t="str">
        <f t="shared" si="0"/>
        <v/>
      </c>
      <c r="Z24" s="1911" t="str">
        <f t="shared" si="0"/>
        <v/>
      </c>
      <c r="AA24" s="1911" t="str">
        <f t="shared" si="0"/>
        <v/>
      </c>
      <c r="AB24" s="1911" t="str">
        <f t="shared" si="0"/>
        <v>ISTANBUL / TURKEY</v>
      </c>
    </row>
    <row r="25" spans="1:28" s="1972" customFormat="1" ht="8.25" hidden="1">
      <c r="A25" s="1944" t="str">
        <f>A26</f>
        <v>N</v>
      </c>
      <c r="C25" s="2716"/>
      <c r="D25" s="2716"/>
      <c r="E25" s="2716"/>
      <c r="F25" s="2716"/>
      <c r="O25" s="1943"/>
      <c r="P25" s="1943"/>
      <c r="Q25" s="1943"/>
      <c r="R25" s="1943"/>
    </row>
    <row r="26" spans="1:28" ht="15" hidden="1">
      <c r="A26" s="2190" t="str">
        <f>IF(MAX(W19:AB19)&gt;3,"Y","N")</f>
        <v>N</v>
      </c>
      <c r="C26" s="2717" t="s">
        <v>1300</v>
      </c>
      <c r="D26" s="2717"/>
      <c r="E26" s="2717"/>
      <c r="F26" s="2717"/>
      <c r="G26" s="2646" t="str">
        <f>IF(ISERROR(MATCH(Z$18,$W$19:$AB$19,0)),"",INDEX($W$21:$AB$24,,MATCH(Z$18,$W$19:$AB$19,0)))</f>
        <v/>
      </c>
      <c r="H26" s="2647"/>
      <c r="I26" s="2647"/>
      <c r="J26" s="2648"/>
      <c r="K26" s="2646" t="str">
        <f>IF(ISERROR(MATCH(AA$18,$W$19:$AB$19,0)),"",INDEX($W$21:$AB$24,,MATCH(AA$18,$W$19:$AB$19,0)))</f>
        <v/>
      </c>
      <c r="L26" s="2647"/>
      <c r="M26" s="2647"/>
      <c r="N26" s="2648"/>
      <c r="O26" s="2646" t="str">
        <f>IF(ISERROR(MATCH(AB$18,$W$19:$AB$19,0)),"",INDEX($W$21:$AB$24,,MATCH(AB$18,$W$19:$AB$19,0)))</f>
        <v/>
      </c>
      <c r="P26" s="2647"/>
      <c r="Q26" s="2647"/>
      <c r="R26" s="2648"/>
    </row>
    <row r="27" spans="1:28" ht="28.5" hidden="1">
      <c r="A27" s="1914" t="str">
        <f>A26</f>
        <v>N</v>
      </c>
      <c r="C27" s="2718" t="s">
        <v>1301</v>
      </c>
      <c r="D27" s="2718"/>
      <c r="E27" s="2718"/>
      <c r="F27" s="2718"/>
      <c r="G27" s="2649" t="str">
        <f>IF(ISERROR(MATCH(Z$18,$W$19:$AB$19,0)),"",INDEX($W$21:$AB$24,,MATCH(Z$18,$W$19:$AB$19,0)))</f>
        <v/>
      </c>
      <c r="H27" s="2650"/>
      <c r="I27" s="2650"/>
      <c r="J27" s="2651"/>
      <c r="K27" s="2649" t="str">
        <f>IF(ISERROR(MATCH(AA$18,$W$19:$AB$19,0)),"",INDEX($W$21:$AB$24,,MATCH(AA$18,$W$19:$AB$19,0)))</f>
        <v/>
      </c>
      <c r="L27" s="2650"/>
      <c r="M27" s="2650"/>
      <c r="N27" s="2651"/>
      <c r="O27" s="2649" t="str">
        <f>IF(ISERROR(MATCH(AB$18,$W$19:$AB$19,0)),"",INDEX($W$21:$AB$24,,MATCH(AB$18,$W$19:$AB$19,0)))</f>
        <v/>
      </c>
      <c r="P27" s="2650"/>
      <c r="Q27" s="2650"/>
      <c r="R27" s="2651"/>
    </row>
    <row r="28" spans="1:28" ht="15" hidden="1">
      <c r="A28" s="2190" t="str">
        <f>A26</f>
        <v>N</v>
      </c>
      <c r="C28" s="2718" t="s">
        <v>1302</v>
      </c>
      <c r="D28" s="2718"/>
      <c r="E28" s="2718"/>
      <c r="F28" s="2718"/>
      <c r="G28" s="2652" t="str">
        <f>IF(ISERROR(MATCH(Z$18,$W$19:$AB$19,0)),"",INDEX($W$21:$AB$24,,MATCH(Z$18,$W$19:$AB$19,0)))</f>
        <v/>
      </c>
      <c r="H28" s="2653"/>
      <c r="I28" s="2653"/>
      <c r="J28" s="2654"/>
      <c r="K28" s="2652" t="str">
        <f>IF(ISERROR(MATCH(AA$18,$W$19:$AB$19,0)),"",INDEX($W$21:$AB$24,,MATCH(AA$18,$W$19:$AB$19,0)))</f>
        <v/>
      </c>
      <c r="L28" s="2653"/>
      <c r="M28" s="2653"/>
      <c r="N28" s="2654"/>
      <c r="O28" s="2652" t="str">
        <f>IF(ISERROR(MATCH(AB$18,$W$19:$AB$19,0)),"",INDEX($W$21:$AB$24,,MATCH(AB$18,$W$19:$AB$19,0)))</f>
        <v/>
      </c>
      <c r="P28" s="2653"/>
      <c r="Q28" s="2653"/>
      <c r="R28" s="2654"/>
    </row>
    <row r="29" spans="1:28" ht="15" hidden="1">
      <c r="A29" s="2190" t="str">
        <f>A26</f>
        <v>N</v>
      </c>
      <c r="C29" s="2719" t="s">
        <v>1303</v>
      </c>
      <c r="D29" s="2719"/>
      <c r="E29" s="2719"/>
      <c r="F29" s="2719"/>
      <c r="G29" s="2655" t="str">
        <f>IF(ISERROR(MATCH(Z$18,$W$19:$AB$19,0)),"",INDEX($W$21:$AB$24,,MATCH(Z$18,$W$19:$AB$19,0)))</f>
        <v/>
      </c>
      <c r="H29" s="2656"/>
      <c r="I29" s="2656"/>
      <c r="J29" s="2657"/>
      <c r="K29" s="2655" t="str">
        <f>IF(ISERROR(MATCH(AA$18,$W$19:$AB$19,0)),"",INDEX($W$21:$AB$24,,MATCH(AA$18,$W$19:$AB$19,0)))</f>
        <v/>
      </c>
      <c r="L29" s="2656"/>
      <c r="M29" s="2656"/>
      <c r="N29" s="2657"/>
      <c r="O29" s="2655" t="str">
        <f>IF(ISERROR(MATCH(AB$18,$W$19:$AB$19,0)),"",INDEX($W$21:$AB$24,,MATCH(AB$18,$W$19:$AB$19,0)))</f>
        <v/>
      </c>
      <c r="P29" s="2656"/>
      <c r="Q29" s="2656"/>
      <c r="R29" s="2657"/>
    </row>
    <row r="30" spans="1:28" s="1972" customFormat="1" ht="8.25">
      <c r="A30" s="1972" t="s">
        <v>284</v>
      </c>
      <c r="C30" s="1945"/>
      <c r="D30" s="1945"/>
      <c r="E30" s="1943"/>
      <c r="F30" s="1943"/>
      <c r="G30" s="1943"/>
      <c r="H30" s="1943"/>
      <c r="I30" s="1943"/>
      <c r="J30" s="1943"/>
      <c r="K30" s="1943"/>
      <c r="L30" s="1943"/>
      <c r="M30" s="1943"/>
      <c r="N30" s="1943"/>
      <c r="O30" s="1943"/>
      <c r="P30" s="1943"/>
      <c r="Q30" s="1943"/>
      <c r="R30" s="1943"/>
    </row>
    <row r="31" spans="1:28" ht="15" customHeight="1">
      <c r="A31" s="13" t="s">
        <v>284</v>
      </c>
      <c r="C31" s="1929" t="s">
        <v>1317</v>
      </c>
      <c r="D31" s="1929"/>
      <c r="E31" s="1916"/>
      <c r="F31" s="1916"/>
      <c r="G31" s="1916"/>
      <c r="H31" s="1916"/>
      <c r="I31" s="1916"/>
      <c r="J31" s="1927"/>
      <c r="K31" s="1927"/>
      <c r="L31" s="1927"/>
      <c r="M31" s="1927"/>
      <c r="N31" s="1927"/>
      <c r="O31" s="1927"/>
      <c r="P31" s="1927"/>
      <c r="Q31" s="1927"/>
      <c r="R31" s="1927"/>
    </row>
    <row r="32" spans="1:28" ht="12.75">
      <c r="A32" s="13" t="s">
        <v>284</v>
      </c>
      <c r="C32" s="2658" t="s">
        <v>542</v>
      </c>
      <c r="D32" s="2660" t="s">
        <v>1304</v>
      </c>
      <c r="E32" s="2660"/>
      <c r="F32" s="2660"/>
      <c r="G32" s="2668" t="str">
        <f>IF(ISERROR(MATCH(W$18,$W$19:$AB$19,0)),"",INDEX($W$32:$AB$38,,MATCH(W$18,$W$19:$AB$19,0)))</f>
        <v>LSFO</v>
      </c>
      <c r="H32" s="2669"/>
      <c r="I32" s="2668" t="str">
        <f>IF(ISERROR(MATCH(X$18,$W$19:$AB$19,0)),"",INDEX($W$32:$AB$38,,MATCH(X$18,$W$19:$AB$19,0)))</f>
        <v>LSMGO</v>
      </c>
      <c r="J32" s="2669"/>
      <c r="K32" s="2668" t="str">
        <f>IF(ISERROR(MATCH(Y$18,$W$19:$AB$19,0)),"",INDEX($W$32:$AB$38,,MATCH(Y$18,$W$19:$AB$19,0)))</f>
        <v/>
      </c>
      <c r="L32" s="2669"/>
      <c r="M32" s="2668" t="str">
        <f>IF(ISERROR(MATCH(Z$18,$W$19:$AB$19,0)),"",INDEX($W$32:$AB$38,,MATCH(Z$18,$W$19:$AB$19,0)))</f>
        <v/>
      </c>
      <c r="N32" s="2669"/>
      <c r="O32" s="2668" t="str">
        <f>IF(ISERROR(MATCH(AA$18,$W$19:$AB$19,0)),"",INDEX($W$32:$AB$38,,MATCH(AA$18,$W$19:$AB$19,0)))</f>
        <v/>
      </c>
      <c r="P32" s="2669"/>
      <c r="Q32" s="2668" t="str">
        <f>IF(ISERROR(MATCH(AB$18,$W$19:$AB$19,0)),"",INDEX($W$32:$AB$38,,MATCH(AB$18,$W$19:$AB$19,0)))</f>
        <v/>
      </c>
      <c r="R32" s="2669"/>
      <c r="W32" s="1911" t="str">
        <f>'Summary Report'!$C33</f>
        <v/>
      </c>
      <c r="X32" s="1911" t="str">
        <f>'Summary Report'!$C59</f>
        <v>LSFO</v>
      </c>
      <c r="Y32" s="1911" t="str">
        <f>'Summary Report'!$C85</f>
        <v/>
      </c>
      <c r="Z32" s="1911" t="str">
        <f>'Summary Report'!$C111</f>
        <v/>
      </c>
      <c r="AA32" s="1911" t="str">
        <f>'Summary Report'!$C137</f>
        <v/>
      </c>
      <c r="AB32" s="1911" t="str">
        <f>'Summary Report'!$C163</f>
        <v>LSMGO</v>
      </c>
    </row>
    <row r="33" spans="1:28" s="1910" customFormat="1" ht="9.6" customHeight="1">
      <c r="A33" s="1910" t="s">
        <v>284</v>
      </c>
      <c r="C33" s="2659"/>
      <c r="D33" s="2660"/>
      <c r="E33" s="2660"/>
      <c r="F33" s="2660"/>
      <c r="G33" s="2670" t="str">
        <f>IF(G$32="","","MT")</f>
        <v>MT</v>
      </c>
      <c r="H33" s="2662"/>
      <c r="I33" s="2670" t="str">
        <f>IF(I$32="","","MT")</f>
        <v>MT</v>
      </c>
      <c r="J33" s="2662"/>
      <c r="K33" s="2670" t="str">
        <f>IF(K$32="","","MT")</f>
        <v/>
      </c>
      <c r="L33" s="2662"/>
      <c r="M33" s="2670" t="str">
        <f>IF(M$32="","","MT")</f>
        <v/>
      </c>
      <c r="N33" s="2662"/>
      <c r="O33" s="2670" t="str">
        <f>IF(O$32="","","MT")</f>
        <v/>
      </c>
      <c r="P33" s="2662"/>
      <c r="Q33" s="2670" t="str">
        <f>IF(Q$32="","","MT")</f>
        <v/>
      </c>
      <c r="R33" s="2662"/>
      <c r="W33" s="1961"/>
      <c r="X33" s="1961"/>
      <c r="Y33" s="1961"/>
      <c r="Z33" s="1961"/>
      <c r="AA33" s="1961"/>
      <c r="AB33" s="1961"/>
    </row>
    <row r="34" spans="1:28" ht="15" customHeight="1">
      <c r="A34" s="13" t="s">
        <v>284</v>
      </c>
      <c r="C34" s="1953" t="s">
        <v>868</v>
      </c>
      <c r="D34" s="2707" t="s">
        <v>1305</v>
      </c>
      <c r="E34" s="2708"/>
      <c r="F34" s="2709"/>
      <c r="G34" s="2671">
        <f>IF(ISERROR(MATCH(W$18,$W$19:$AB$19,0)),"",INDEX($W$32:$AB$38,,MATCH(W$18,$W$19:$AB$19,0)))</f>
        <v>250</v>
      </c>
      <c r="H34" s="2672"/>
      <c r="I34" s="2671">
        <f>IF(ISERROR(MATCH(X$18,$W$19:$AB$19,0)),"",INDEX($W$32:$AB$38,,MATCH(X$18,$W$19:$AB$19,0)))</f>
        <v>40</v>
      </c>
      <c r="J34" s="2672"/>
      <c r="K34" s="2671" t="str">
        <f>IF(ISERROR(MATCH(Y$18,$W$19:$AB$19,0)),"",INDEX($W$32:$AB$38,,MATCH(Y$18,$W$19:$AB$19,0)))</f>
        <v/>
      </c>
      <c r="L34" s="2672"/>
      <c r="M34" s="2671" t="str">
        <f>IF(ISERROR(MATCH(Z$18,$W$19:$AB$19,0)),"",INDEX($W$32:$AB$38,,MATCH(Z$18,$W$19:$AB$19,0)))</f>
        <v/>
      </c>
      <c r="N34" s="2672"/>
      <c r="O34" s="2671" t="str">
        <f>IF(ISERROR(MATCH(AA$18,$W$19:$AB$19,0)),"",INDEX($W$32:$AB$38,,MATCH(AA$18,$W$19:$AB$19,0)))</f>
        <v/>
      </c>
      <c r="P34" s="2672"/>
      <c r="Q34" s="2671" t="str">
        <f>IF(ISERROR(MATCH(AB$18,$W$19:$AB$19,0)),"",INDEX($W$32:$AB$38,,MATCH(AB$18,$W$19:$AB$19,0)))</f>
        <v/>
      </c>
      <c r="R34" s="2672"/>
      <c r="W34" s="1911" t="str">
        <f>IF(W$32="","",'Summary Report'!$E34)</f>
        <v/>
      </c>
      <c r="X34" s="1911">
        <f>IF(X$32="","",'Summary Report'!$E60)</f>
        <v>250</v>
      </c>
      <c r="Y34" s="1911" t="str">
        <f>IF(Y$32="","",'Summary Report'!$E86)</f>
        <v/>
      </c>
      <c r="Z34" s="1911" t="str">
        <f>IF(Z$32="","",'Summary Report'!$E112)</f>
        <v/>
      </c>
      <c r="AA34" s="1911" t="str">
        <f>IF(AA$32="","",'Summary Report'!$E138)</f>
        <v/>
      </c>
      <c r="AB34" s="1911">
        <f>IF(AB$32="","",'Summary Report'!$E164)</f>
        <v>40</v>
      </c>
    </row>
    <row r="35" spans="1:28" ht="15" customHeight="1">
      <c r="A35" s="13" t="s">
        <v>284</v>
      </c>
      <c r="C35" s="1954" t="s">
        <v>869</v>
      </c>
      <c r="D35" s="2710" t="s">
        <v>1306</v>
      </c>
      <c r="E35" s="2711"/>
      <c r="F35" s="2712"/>
      <c r="G35" s="2673">
        <f>IF(ISERROR(MATCH(W$18,$W$19:$AB$19,0)),"",INDEX($W$32:$AB$38,,MATCH(W$18,$W$19:$AB$19,0)))</f>
        <v>250.06200000000001</v>
      </c>
      <c r="H35" s="2674"/>
      <c r="I35" s="2673">
        <f>IF(ISERROR(MATCH(X$18,$W$19:$AB$19,0)),"",INDEX($W$32:$AB$38,,MATCH(X$18,$W$19:$AB$19,0)))</f>
        <v>40.061999999999998</v>
      </c>
      <c r="J35" s="2674"/>
      <c r="K35" s="2673" t="str">
        <f>IF(ISERROR(MATCH(Y$18,$W$19:$AB$19,0)),"",INDEX($W$32:$AB$38,,MATCH(Y$18,$W$19:$AB$19,0)))</f>
        <v/>
      </c>
      <c r="L35" s="2674"/>
      <c r="M35" s="2673" t="str">
        <f>IF(ISERROR(MATCH(Z$18,$W$19:$AB$19,0)),"",INDEX($W$32:$AB$38,,MATCH(Z$18,$W$19:$AB$19,0)))</f>
        <v/>
      </c>
      <c r="N35" s="2674"/>
      <c r="O35" s="2673" t="str">
        <f>IF(ISERROR(MATCH(AA$18,$W$19:$AB$19,0)),"",INDEX($W$32:$AB$38,,MATCH(AA$18,$W$19:$AB$19,0)))</f>
        <v/>
      </c>
      <c r="P35" s="2674"/>
      <c r="Q35" s="2673" t="str">
        <f>IF(ISERROR(MATCH(AB$18,$W$19:$AB$19,0)),"",INDEX($W$32:$AB$38,,MATCH(AB$18,$W$19:$AB$19,0)))</f>
        <v/>
      </c>
      <c r="R35" s="2674"/>
      <c r="W35" s="1911" t="str">
        <f>IF(W$32="","",'Summary Report'!$K34)</f>
        <v/>
      </c>
      <c r="X35" s="1911">
        <f>IF(X$32="","",'Summary Report'!$K60)</f>
        <v>250.06200000000001</v>
      </c>
      <c r="Y35" s="1911" t="str">
        <f>IF(Y$32="","",'Summary Report'!$K86)</f>
        <v/>
      </c>
      <c r="Z35" s="1911" t="str">
        <f>IF(Z$32="","",'Summary Report'!$K112)</f>
        <v/>
      </c>
      <c r="AA35" s="1911" t="str">
        <f>IF(AA$32="","",'Summary Report'!$K138)</f>
        <v/>
      </c>
      <c r="AB35" s="1911">
        <f>IF(AB$32="","",'Summary Report'!$K164)</f>
        <v>40.061999999999998</v>
      </c>
    </row>
    <row r="36" spans="1:28" ht="15" customHeight="1">
      <c r="A36" s="13" t="s">
        <v>284</v>
      </c>
      <c r="C36" s="1954" t="s">
        <v>870</v>
      </c>
      <c r="D36" s="2710" t="s">
        <v>1307</v>
      </c>
      <c r="E36" s="2711"/>
      <c r="F36" s="2712"/>
      <c r="G36" s="2673">
        <f>IF(ISERROR(MATCH(W$18,$W$19:$AB$19,0)),"",INDEX($W$32:$AB$38,,MATCH(W$18,$W$19:$AB$19,0)))</f>
        <v>250.268</v>
      </c>
      <c r="H36" s="2674"/>
      <c r="I36" s="2673">
        <f>IF(ISERROR(MATCH(X$18,$W$19:$AB$19,0)),"",INDEX($W$32:$AB$38,,MATCH(X$18,$W$19:$AB$19,0)))</f>
        <v>40.209000000000003</v>
      </c>
      <c r="J36" s="2674"/>
      <c r="K36" s="2673" t="str">
        <f>IF(ISERROR(MATCH(Y$18,$W$19:$AB$19,0)),"",INDEX($W$32:$AB$38,,MATCH(Y$18,$W$19:$AB$19,0)))</f>
        <v/>
      </c>
      <c r="L36" s="2674"/>
      <c r="M36" s="2673" t="str">
        <f>IF(ISERROR(MATCH(Z$18,$W$19:$AB$19,0)),"",INDEX($W$32:$AB$38,,MATCH(Z$18,$W$19:$AB$19,0)))</f>
        <v/>
      </c>
      <c r="N36" s="2674"/>
      <c r="O36" s="2673" t="str">
        <f>IF(ISERROR(MATCH(AA$18,$W$19:$AB$19,0)),"",INDEX($W$32:$AB$38,,MATCH(AA$18,$W$19:$AB$19,0)))</f>
        <v/>
      </c>
      <c r="P36" s="2674"/>
      <c r="Q36" s="2673" t="str">
        <f>IF(ISERROR(MATCH(AB$18,$W$19:$AB$19,0)),"",INDEX($W$32:$AB$38,,MATCH(AB$18,$W$19:$AB$19,0)))</f>
        <v/>
      </c>
      <c r="R36" s="2674"/>
      <c r="W36" s="1911" t="str">
        <f>IF(W$32="","",'Summary Report'!$I34)</f>
        <v/>
      </c>
      <c r="X36" s="1911">
        <f>IF(X$32="","",'Summary Report'!$I60)</f>
        <v>250.268</v>
      </c>
      <c r="Y36" s="1911" t="str">
        <f>IF(Y$32="","",'Summary Report'!$I86)</f>
        <v/>
      </c>
      <c r="Z36" s="1911" t="str">
        <f>IF(Z$32="","",'Summary Report'!$I112)</f>
        <v/>
      </c>
      <c r="AA36" s="1911" t="str">
        <f>IF(AA$32="","",'Summary Report'!$I138)</f>
        <v/>
      </c>
      <c r="AB36" s="1911">
        <f>IF(AB$32="","",'Summary Report'!$I164)</f>
        <v>40.209000000000003</v>
      </c>
    </row>
    <row r="37" spans="1:28" ht="15" customHeight="1">
      <c r="A37" s="13" t="s">
        <v>284</v>
      </c>
      <c r="C37" s="1954" t="s">
        <v>871</v>
      </c>
      <c r="D37" s="2710" t="s">
        <v>1352</v>
      </c>
      <c r="E37" s="2711"/>
      <c r="F37" s="2712"/>
      <c r="G37" s="2673">
        <f>IF(G$32="","",G35-G36)</f>
        <v>-0.20599999999998886</v>
      </c>
      <c r="H37" s="2674"/>
      <c r="I37" s="2673">
        <f>IF(I$32="","",I35-I36)</f>
        <v>-0.14700000000000557</v>
      </c>
      <c r="J37" s="2674"/>
      <c r="K37" s="2673" t="str">
        <f>IF(K$32="","",K35-K36)</f>
        <v/>
      </c>
      <c r="L37" s="2674"/>
      <c r="M37" s="2673" t="str">
        <f>IF(M$32="","",M35-M36)</f>
        <v/>
      </c>
      <c r="N37" s="2674"/>
      <c r="O37" s="2673" t="str">
        <f>IF(O$32="","",O35-O36)</f>
        <v/>
      </c>
      <c r="P37" s="2674"/>
      <c r="Q37" s="2673" t="str">
        <f>IF(Q$32="","",Q35-Q36)</f>
        <v/>
      </c>
      <c r="R37" s="2674"/>
      <c r="W37" s="1911"/>
      <c r="X37" s="1911"/>
      <c r="Y37" s="1911"/>
      <c r="Z37" s="1911"/>
      <c r="AA37" s="1911"/>
      <c r="AB37" s="1911"/>
    </row>
    <row r="38" spans="1:28" ht="15" customHeight="1">
      <c r="A38" s="13" t="s">
        <v>284</v>
      </c>
      <c r="C38" s="1955" t="s">
        <v>269</v>
      </c>
      <c r="D38" s="2663" t="s">
        <v>1308</v>
      </c>
      <c r="E38" s="2664"/>
      <c r="F38" s="2665"/>
      <c r="G38" s="2666">
        <f>IF(ISERROR(MATCH(W$18,$W$19:$AB$19,0)),"",INDEX($W$32:$AB$38,,MATCH(W$18,$W$19:$AB$19,0)))</f>
        <v>250</v>
      </c>
      <c r="H38" s="2667"/>
      <c r="I38" s="2666">
        <f>IF(ISERROR(MATCH(X$18,$W$19:$AB$19,0)),"",INDEX($W$32:$AB$38,,MATCH(X$18,$W$19:$AB$19,0)))</f>
        <v>40</v>
      </c>
      <c r="J38" s="2667"/>
      <c r="K38" s="2666" t="str">
        <f>IF(ISERROR(MATCH(Y$18,$W$19:$AB$19,0)),"",INDEX($W$32:$AB$38,,MATCH(Y$18,$W$19:$AB$19,0)))</f>
        <v/>
      </c>
      <c r="L38" s="2667"/>
      <c r="M38" s="2666" t="str">
        <f>IF(ISERROR(MATCH(Z$18,$W$19:$AB$19,0)),"",INDEX($W$32:$AB$38,,MATCH(Z$18,$W$19:$AB$19,0)))</f>
        <v/>
      </c>
      <c r="N38" s="2667"/>
      <c r="O38" s="2666" t="str">
        <f>IF(ISERROR(MATCH(AA$18,$W$19:$AB$19,0)),"",INDEX($W$32:$AB$38,,MATCH(AA$18,$W$19:$AB$19,0)))</f>
        <v/>
      </c>
      <c r="P38" s="2667"/>
      <c r="Q38" s="2666" t="str">
        <f>IF(ISERROR(MATCH(AB$18,$W$19:$AB$19,0)),"",INDEX($W$32:$AB$38,,MATCH(AB$18,$W$19:$AB$19,0)))</f>
        <v/>
      </c>
      <c r="R38" s="2667"/>
      <c r="W38" s="1911" t="str">
        <f>IF(W$32="","",'Summary Report'!$G34)</f>
        <v/>
      </c>
      <c r="X38" s="1911">
        <f>IF(X$32="","",'Summary Report'!$G60)</f>
        <v>250</v>
      </c>
      <c r="Y38" s="1911" t="str">
        <f>IF(Y$32="","",'Summary Report'!$G86)</f>
        <v/>
      </c>
      <c r="Z38" s="1911" t="str">
        <f>IF(Z$32="","",'Summary Report'!$G112)</f>
        <v/>
      </c>
      <c r="AA38" s="1911" t="str">
        <f>IF(AA$32="","",'Summary Report'!$G138)</f>
        <v/>
      </c>
      <c r="AB38" s="1911">
        <f>IF(AB$32="","",'Summary Report'!$G164)</f>
        <v>40</v>
      </c>
    </row>
    <row r="39" spans="1:28" s="1972" customFormat="1" ht="8.25">
      <c r="A39" s="1972" t="s">
        <v>284</v>
      </c>
      <c r="C39" s="1973"/>
      <c r="D39" s="1973"/>
    </row>
    <row r="40" spans="1:28" ht="15" customHeight="1">
      <c r="A40" s="13" t="s">
        <v>284</v>
      </c>
      <c r="C40" s="1930" t="s">
        <v>1316</v>
      </c>
      <c r="D40" s="1930"/>
      <c r="E40" s="1930"/>
      <c r="F40" s="1930"/>
      <c r="G40" s="1930"/>
      <c r="H40" s="1930"/>
    </row>
    <row r="41" spans="1:28" ht="15" customHeight="1">
      <c r="A41" s="13" t="s">
        <v>284</v>
      </c>
      <c r="C41" s="2658" t="s">
        <v>542</v>
      </c>
      <c r="D41" s="2660" t="s">
        <v>764</v>
      </c>
      <c r="E41" s="2660"/>
      <c r="F41" s="2660"/>
      <c r="G41" s="2675" t="str">
        <f>'Summary Report'!E24</f>
        <v>HSFO</v>
      </c>
      <c r="H41" s="2676"/>
      <c r="I41" s="2675" t="str">
        <f>'Summary Report'!G24</f>
        <v>LSFO</v>
      </c>
      <c r="J41" s="2676"/>
      <c r="K41" s="2675" t="str">
        <f>'Summary Report'!I24</f>
        <v>MDO</v>
      </c>
      <c r="L41" s="2676"/>
      <c r="M41" s="2675" t="str">
        <f>'Summary Report'!K24</f>
        <v>LSMDO</v>
      </c>
      <c r="N41" s="2676"/>
      <c r="O41" s="2675" t="str">
        <f>'Summary Report'!M24</f>
        <v>MGO</v>
      </c>
      <c r="P41" s="2676"/>
      <c r="Q41" s="2675" t="str">
        <f>'Summary Report'!O24</f>
        <v>LSMGO</v>
      </c>
      <c r="R41" s="2676"/>
    </row>
    <row r="42" spans="1:28" s="1910" customFormat="1" ht="9">
      <c r="A42" s="1910" t="s">
        <v>284</v>
      </c>
      <c r="C42" s="2659"/>
      <c r="D42" s="2660"/>
      <c r="E42" s="2660"/>
      <c r="F42" s="2660"/>
      <c r="G42" s="2661" t="str">
        <f>IF(G41="","","MT")</f>
        <v>MT</v>
      </c>
      <c r="H42" s="2662"/>
      <c r="I42" s="2661" t="str">
        <f>IF(I41="","","MT")</f>
        <v>MT</v>
      </c>
      <c r="J42" s="2662"/>
      <c r="K42" s="2661" t="str">
        <f>IF(K41="","","MT")</f>
        <v>MT</v>
      </c>
      <c r="L42" s="2662"/>
      <c r="M42" s="2661" t="str">
        <f>IF(M41="","","MT")</f>
        <v>MT</v>
      </c>
      <c r="N42" s="2662"/>
      <c r="O42" s="2661" t="str">
        <f>IF(O41="","","MT")</f>
        <v>MT</v>
      </c>
      <c r="P42" s="2662"/>
      <c r="Q42" s="2661" t="str">
        <f>IF(Q41="","","MT")</f>
        <v>MT</v>
      </c>
      <c r="R42" s="2662"/>
    </row>
    <row r="43" spans="1:28" ht="15" customHeight="1">
      <c r="A43" s="13" t="s">
        <v>284</v>
      </c>
      <c r="C43" s="1953" t="s">
        <v>868</v>
      </c>
      <c r="D43" s="2688" t="s">
        <v>1318</v>
      </c>
      <c r="E43" s="2688"/>
      <c r="F43" s="2688"/>
      <c r="G43" s="2679">
        <f>IF(G41="","",'Summary Report'!E26)</f>
        <v>0</v>
      </c>
      <c r="H43" s="2672"/>
      <c r="I43" s="2679">
        <f>IF(I41="","",'Summary Report'!G26)</f>
        <v>902.24</v>
      </c>
      <c r="J43" s="2672"/>
      <c r="K43" s="2679">
        <f>IF(K41="","",'Summary Report'!I26)</f>
        <v>0</v>
      </c>
      <c r="L43" s="2672"/>
      <c r="M43" s="2679">
        <f>IF(M41="","",'Summary Report'!K26)</f>
        <v>0</v>
      </c>
      <c r="N43" s="2672"/>
      <c r="O43" s="2679">
        <f>IF(O41="","",'Summary Report'!M26)</f>
        <v>0</v>
      </c>
      <c r="P43" s="2672"/>
      <c r="Q43" s="2679">
        <f>IF(Q41="","",'Summary Report'!O26)</f>
        <v>116.086</v>
      </c>
      <c r="R43" s="2672"/>
    </row>
    <row r="44" spans="1:28" ht="15" customHeight="1">
      <c r="A44" s="13" t="s">
        <v>284</v>
      </c>
      <c r="C44" s="1954" t="s">
        <v>869</v>
      </c>
      <c r="D44" s="2689" t="s">
        <v>1319</v>
      </c>
      <c r="E44" s="2689"/>
      <c r="F44" s="2689"/>
      <c r="G44" s="2677">
        <f>IF(G41="","",'Summary Report'!E25)</f>
        <v>0</v>
      </c>
      <c r="H44" s="2674"/>
      <c r="I44" s="2677">
        <f>IF(I41="","",'Summary Report'!G25)</f>
        <v>901.36</v>
      </c>
      <c r="J44" s="2674"/>
      <c r="K44" s="2677">
        <f>IF(K41="","",'Summary Report'!I25)</f>
        <v>0</v>
      </c>
      <c r="L44" s="2674"/>
      <c r="M44" s="2677">
        <f>IF(M41="","",'Summary Report'!K25)</f>
        <v>0</v>
      </c>
      <c r="N44" s="2674"/>
      <c r="O44" s="2677">
        <f>IF(O41="","",'Summary Report'!M25)</f>
        <v>0</v>
      </c>
      <c r="P44" s="2674"/>
      <c r="Q44" s="2677">
        <f>IF(Q41="","",'Summary Report'!O25)</f>
        <v>115.51600000000001</v>
      </c>
      <c r="R44" s="2674"/>
    </row>
    <row r="45" spans="1:28" ht="15" customHeight="1">
      <c r="A45" s="13" t="s">
        <v>284</v>
      </c>
      <c r="C45" s="1955" t="s">
        <v>870</v>
      </c>
      <c r="D45" s="2690" t="s">
        <v>1320</v>
      </c>
      <c r="E45" s="2690"/>
      <c r="F45" s="2690"/>
      <c r="G45" s="2678">
        <f>IF(G41="","",G44-G43)</f>
        <v>0</v>
      </c>
      <c r="H45" s="2667"/>
      <c r="I45" s="2678">
        <f>IF(I41="","",I44-I43)</f>
        <v>-0.87999999999999545</v>
      </c>
      <c r="J45" s="2667"/>
      <c r="K45" s="2678">
        <f>IF(K41="","",K44-K43)</f>
        <v>0</v>
      </c>
      <c r="L45" s="2667"/>
      <c r="M45" s="2678">
        <f>IF(M41="","",M44-M43)</f>
        <v>0</v>
      </c>
      <c r="N45" s="2667"/>
      <c r="O45" s="2678">
        <f>IF(O41="","",O44-O43)</f>
        <v>0</v>
      </c>
      <c r="P45" s="2667"/>
      <c r="Q45" s="2678">
        <f>IF(Q41="","",Q44-Q43)</f>
        <v>-0.56999999999999318</v>
      </c>
      <c r="R45" s="2667"/>
    </row>
    <row r="46" spans="1:28" s="1972" customFormat="1" ht="8.25">
      <c r="A46" s="1946" t="str">
        <f>A47</f>
        <v>Y</v>
      </c>
      <c r="C46" s="1973"/>
      <c r="D46" s="1973"/>
      <c r="J46" s="1943"/>
      <c r="K46" s="1943"/>
      <c r="L46" s="1943"/>
      <c r="M46" s="1943"/>
      <c r="N46" s="1943"/>
      <c r="O46" s="1943"/>
      <c r="P46" s="1943"/>
      <c r="Q46" s="1943"/>
      <c r="R46" s="1943"/>
    </row>
    <row r="47" spans="1:28" ht="15" customHeight="1">
      <c r="A47" s="1937" t="str">
        <f>IF(COUNTIF(A48:A125,"Y")&gt;0,"Y","N")</f>
        <v>Y</v>
      </c>
      <c r="C47" s="1930" t="s">
        <v>1371</v>
      </c>
      <c r="D47" s="1930"/>
      <c r="E47" s="1930"/>
      <c r="F47" s="1930"/>
      <c r="G47" s="1930"/>
      <c r="H47" s="1930"/>
    </row>
    <row r="48" spans="1:28" s="1972" customFormat="1" ht="8.25">
      <c r="A48" s="1946" t="str">
        <f>A49</f>
        <v>Y</v>
      </c>
      <c r="C48" s="1973"/>
      <c r="D48" s="1973"/>
      <c r="J48" s="1943"/>
      <c r="K48" s="1943"/>
      <c r="L48" s="1943"/>
      <c r="M48" s="1943"/>
      <c r="N48" s="1943"/>
      <c r="O48" s="1943"/>
      <c r="P48" s="1943"/>
      <c r="Q48" s="1943"/>
      <c r="R48" s="1943"/>
    </row>
    <row r="49" spans="1:21" ht="15" customHeight="1">
      <c r="A49" s="1936" t="str">
        <f>IF(OR(FMTYPE1=0,FMTYPE1="-",FMTYPE1=TANKMEAS),"N","Y")</f>
        <v>Y</v>
      </c>
      <c r="B49" s="13">
        <v>1</v>
      </c>
      <c r="C49" s="2002">
        <v>1</v>
      </c>
      <c r="D49" s="1977" t="str">
        <f>"Bunker Tanker / Grade:    "&amp;W$23&amp;" / "&amp;W$21&amp;" ["&amp;FMTYPE1&amp;"]"</f>
        <v>Bunker Tanker / Grade:    M/T YALÇIN 2 /  [Flow (Air)]</v>
      </c>
      <c r="E49" s="1930"/>
      <c r="F49" s="1930"/>
      <c r="G49" s="1930"/>
      <c r="H49" s="1930"/>
      <c r="T49" s="2783" t="str">
        <f>IF(PGUIDE1="Y","Auto","Insert Manually")</f>
        <v>Insert Manually</v>
      </c>
      <c r="U49" s="2784"/>
    </row>
    <row r="50" spans="1:21" ht="12.75">
      <c r="A50" s="1936" t="str">
        <f t="shared" ref="A50:A58" si="1">A49</f>
        <v>Y</v>
      </c>
      <c r="C50" s="1979" t="s">
        <v>868</v>
      </c>
      <c r="D50" s="2698" t="s">
        <v>1345</v>
      </c>
      <c r="E50" s="2698"/>
      <c r="F50" s="2698"/>
      <c r="G50" s="2698"/>
      <c r="H50" s="2698"/>
      <c r="I50" s="2698"/>
      <c r="J50" s="2698"/>
      <c r="K50" s="2699">
        <f>IF(PGUIDE1="N",U50,'FlowMeter (SS)'!I27)</f>
        <v>0</v>
      </c>
      <c r="L50" s="2700"/>
      <c r="M50" s="1963"/>
      <c r="N50" s="1963"/>
      <c r="O50" s="1963"/>
      <c r="P50" s="1963"/>
      <c r="Q50" s="1963"/>
      <c r="R50" s="1963"/>
      <c r="T50" s="2008" t="s">
        <v>868</v>
      </c>
      <c r="U50" s="1986"/>
    </row>
    <row r="51" spans="1:21" ht="12.75">
      <c r="A51" s="1936" t="str">
        <f t="shared" si="1"/>
        <v>Y</v>
      </c>
      <c r="C51" s="1980" t="s">
        <v>869</v>
      </c>
      <c r="D51" s="2701" t="s">
        <v>1346</v>
      </c>
      <c r="E51" s="2701"/>
      <c r="F51" s="2701"/>
      <c r="G51" s="2701"/>
      <c r="H51" s="2701"/>
      <c r="I51" s="2701"/>
      <c r="J51" s="2701"/>
      <c r="K51" s="2691">
        <f>IF(PGUIDE1="N",U51,'FlowMeter (SS)'!I28)</f>
        <v>0</v>
      </c>
      <c r="L51" s="2692"/>
      <c r="M51" s="1963"/>
      <c r="N51" s="1963"/>
      <c r="O51" s="1963"/>
      <c r="P51" s="1963"/>
      <c r="Q51" s="1963"/>
      <c r="R51" s="1963"/>
      <c r="T51" s="2009" t="s">
        <v>869</v>
      </c>
      <c r="U51" s="2010"/>
    </row>
    <row r="52" spans="1:21" ht="12.75">
      <c r="A52" s="1936" t="str">
        <f t="shared" si="1"/>
        <v>Y</v>
      </c>
      <c r="C52" s="1981" t="s">
        <v>870</v>
      </c>
      <c r="D52" s="2693" t="str">
        <f>'FlowMeter (SS)'!D29</f>
        <v>Delivered Meter Quantity - Mass in Air (B-A)</v>
      </c>
      <c r="E52" s="2693"/>
      <c r="F52" s="2693"/>
      <c r="G52" s="2693"/>
      <c r="H52" s="2693"/>
      <c r="I52" s="2693"/>
      <c r="J52" s="2693"/>
      <c r="K52" s="2694">
        <f>K51-K50</f>
        <v>0</v>
      </c>
      <c r="L52" s="2695"/>
      <c r="M52" s="1963"/>
      <c r="N52" s="1963"/>
      <c r="O52" s="1963"/>
      <c r="P52" s="1963"/>
      <c r="Q52" s="1963"/>
      <c r="R52" s="1963"/>
      <c r="T52" s="1963"/>
      <c r="U52" s="1963"/>
    </row>
    <row r="53" spans="1:21" s="1972" customFormat="1" ht="8.25">
      <c r="A53" s="1978" t="str">
        <f t="shared" si="1"/>
        <v>Y</v>
      </c>
      <c r="D53" s="2696"/>
      <c r="E53" s="2696"/>
      <c r="F53" s="2696"/>
      <c r="G53" s="2696"/>
      <c r="H53" s="2696"/>
      <c r="I53" s="2696"/>
      <c r="J53" s="2696"/>
      <c r="K53" s="2697"/>
      <c r="L53" s="2697"/>
      <c r="M53" s="1943"/>
      <c r="N53" s="1943"/>
      <c r="O53" s="1943"/>
      <c r="P53" s="1943"/>
      <c r="Q53" s="1943"/>
      <c r="R53" s="1943"/>
      <c r="T53" s="1943"/>
      <c r="U53" s="1943"/>
    </row>
    <row r="54" spans="1:21" ht="12.75">
      <c r="A54" s="1936" t="str">
        <f t="shared" si="1"/>
        <v>Y</v>
      </c>
      <c r="C54" s="1979" t="s">
        <v>871</v>
      </c>
      <c r="D54" s="2698" t="s">
        <v>1347</v>
      </c>
      <c r="E54" s="2698"/>
      <c r="F54" s="2698"/>
      <c r="G54" s="2698"/>
      <c r="H54" s="2698"/>
      <c r="I54" s="2698"/>
      <c r="J54" s="2698"/>
      <c r="K54" s="2699">
        <f>IF(PGUIDE1="N",U54,'FlowMeter (SS)'!I31)</f>
        <v>0</v>
      </c>
      <c r="L54" s="2700"/>
      <c r="M54" s="1963"/>
      <c r="N54" s="1963"/>
      <c r="O54" s="1963"/>
      <c r="P54" s="1963"/>
      <c r="Q54" s="1963"/>
      <c r="R54" s="1963"/>
      <c r="T54" s="2008" t="s">
        <v>871</v>
      </c>
      <c r="U54" s="1986"/>
    </row>
    <row r="55" spans="1:21" ht="12.75">
      <c r="A55" s="1936" t="str">
        <f t="shared" si="1"/>
        <v>Y</v>
      </c>
      <c r="C55" s="1980" t="s">
        <v>269</v>
      </c>
      <c r="D55" s="2701" t="s">
        <v>1348</v>
      </c>
      <c r="E55" s="2701"/>
      <c r="F55" s="2701"/>
      <c r="G55" s="2701"/>
      <c r="H55" s="2701"/>
      <c r="I55" s="2701"/>
      <c r="J55" s="2701"/>
      <c r="K55" s="2691">
        <f>IF(PGUIDE1="N",U55,'FlowMeter (SS)'!I32)</f>
        <v>0</v>
      </c>
      <c r="L55" s="2692"/>
      <c r="M55" s="1963"/>
      <c r="N55" s="1963"/>
      <c r="O55" s="1963"/>
      <c r="P55" s="1963"/>
      <c r="Q55" s="1963"/>
      <c r="R55" s="1963"/>
      <c r="T55" s="2009" t="s">
        <v>269</v>
      </c>
      <c r="U55" s="2010"/>
    </row>
    <row r="56" spans="1:21" ht="12.75">
      <c r="A56" s="1936" t="str">
        <f t="shared" si="1"/>
        <v>Y</v>
      </c>
      <c r="C56" s="1981" t="s">
        <v>872</v>
      </c>
      <c r="D56" s="2693" t="str">
        <f>'FlowMeter (SS)'!D33</f>
        <v>Loading Meter Quantity - Mass in Air (E-D)</v>
      </c>
      <c r="E56" s="2693"/>
      <c r="F56" s="2693"/>
      <c r="G56" s="2693"/>
      <c r="H56" s="2693"/>
      <c r="I56" s="2693"/>
      <c r="J56" s="2693"/>
      <c r="K56" s="2694">
        <f>K55-K54</f>
        <v>0</v>
      </c>
      <c r="L56" s="2695"/>
      <c r="M56" s="1963"/>
      <c r="N56" s="1963"/>
      <c r="O56" s="1963"/>
      <c r="P56" s="1963"/>
      <c r="Q56" s="1963"/>
      <c r="R56" s="1963"/>
      <c r="T56" s="1963"/>
      <c r="U56" s="1963"/>
    </row>
    <row r="57" spans="1:21" s="1972" customFormat="1" ht="8.25">
      <c r="A57" s="1978" t="str">
        <f t="shared" si="1"/>
        <v>Y</v>
      </c>
      <c r="J57" s="1943"/>
      <c r="K57" s="2697"/>
      <c r="L57" s="2697"/>
      <c r="M57" s="1943"/>
      <c r="N57" s="1943"/>
      <c r="O57" s="1943"/>
      <c r="P57" s="1943"/>
      <c r="Q57" s="1943"/>
      <c r="R57" s="1943"/>
      <c r="T57" s="1943"/>
      <c r="U57" s="1943"/>
    </row>
    <row r="58" spans="1:21" ht="12.75">
      <c r="A58" s="1936" t="str">
        <f t="shared" si="1"/>
        <v>Y</v>
      </c>
      <c r="C58" s="1979" t="s">
        <v>22</v>
      </c>
      <c r="D58" s="2704" t="str">
        <f>'FlowMeter (SS)'!C35</f>
        <v>Quantity Delivered - Mass in Air (C-F)</v>
      </c>
      <c r="E58" s="2705"/>
      <c r="F58" s="2705"/>
      <c r="G58" s="2705"/>
      <c r="H58" s="2705"/>
      <c r="I58" s="2705"/>
      <c r="J58" s="2706"/>
      <c r="K58" s="2699">
        <f>K52-K56</f>
        <v>0</v>
      </c>
      <c r="L58" s="2700"/>
      <c r="M58" s="1963"/>
      <c r="N58" s="1963"/>
      <c r="O58" s="1963"/>
      <c r="P58" s="1963"/>
      <c r="Q58" s="1963"/>
      <c r="R58" s="1963"/>
      <c r="T58" s="1963"/>
      <c r="U58" s="1963"/>
    </row>
    <row r="59" spans="1:21" ht="12.75" hidden="1">
      <c r="A59" s="1936" t="str">
        <f>IF(A58="N","N",IF(INDEX(FMTYPES,MATCH(FMTYPE1,METHOFCALCSHORT,0),1)=FMTYPEVAC,"Y","N"))</f>
        <v>N</v>
      </c>
      <c r="C59" s="1980" t="s">
        <v>1372</v>
      </c>
      <c r="D59" s="2777" t="s">
        <v>906</v>
      </c>
      <c r="E59" s="2778"/>
      <c r="F59" s="2778"/>
      <c r="G59" s="2778"/>
      <c r="H59" s="2778"/>
      <c r="I59" s="2778"/>
      <c r="J59" s="2779"/>
      <c r="K59" s="2702">
        <f>IF(PGUIDE1="N",U59,'FlowMeter (SS)'!I36)</f>
        <v>0</v>
      </c>
      <c r="L59" s="2703"/>
      <c r="M59" s="1963"/>
      <c r="N59" s="1963"/>
      <c r="O59" s="1963"/>
      <c r="P59" s="1963"/>
      <c r="Q59" s="1963"/>
      <c r="R59" s="1963"/>
      <c r="T59" s="2006" t="s">
        <v>1372</v>
      </c>
      <c r="U59" s="2007"/>
    </row>
    <row r="60" spans="1:21" ht="12.75" hidden="1">
      <c r="A60" s="1937" t="str">
        <f>A59</f>
        <v>N</v>
      </c>
      <c r="C60" s="1998" t="s">
        <v>1373</v>
      </c>
      <c r="D60" s="2780" t="s">
        <v>1374</v>
      </c>
      <c r="E60" s="2781"/>
      <c r="F60" s="2781"/>
      <c r="G60" s="2781"/>
      <c r="H60" s="2781"/>
      <c r="I60" s="2781"/>
      <c r="J60" s="2782"/>
      <c r="K60" s="2775">
        <f>IF(A59="N",K58,K58*K59)</f>
        <v>0</v>
      </c>
      <c r="L60" s="2776"/>
      <c r="M60" s="1963"/>
      <c r="N60" s="1963"/>
      <c r="O60" s="1963"/>
      <c r="P60" s="1963"/>
      <c r="Q60" s="1963"/>
      <c r="R60" s="1963"/>
      <c r="T60" s="1963"/>
      <c r="U60" s="1963"/>
    </row>
    <row r="61" spans="1:21" s="1972" customFormat="1" ht="8.25" hidden="1">
      <c r="A61" s="1946" t="str">
        <f>A62</f>
        <v>N</v>
      </c>
      <c r="C61" s="1968"/>
      <c r="D61" s="1968"/>
      <c r="E61" s="1969"/>
      <c r="F61" s="1969"/>
      <c r="G61" s="1969"/>
      <c r="H61" s="1969"/>
      <c r="I61" s="1969"/>
      <c r="J61" s="1970"/>
      <c r="K61" s="1970"/>
      <c r="L61" s="1970"/>
      <c r="M61" s="1943"/>
      <c r="N61" s="1943"/>
      <c r="O61" s="1943"/>
      <c r="P61" s="1943"/>
      <c r="Q61" s="1943"/>
      <c r="R61" s="1943"/>
      <c r="T61" s="1943"/>
      <c r="U61" s="1943"/>
    </row>
    <row r="62" spans="1:21" ht="15" hidden="1" customHeight="1">
      <c r="A62" s="1936" t="str">
        <f>IF(OR(FMTYPE2=0,FMTYPE2="-",FMTYPE2=TANKMEAS),"N","Y")</f>
        <v>N</v>
      </c>
      <c r="B62" s="13">
        <v>2</v>
      </c>
      <c r="C62" s="2002">
        <v>2</v>
      </c>
      <c r="D62" s="1977" t="str">
        <f>"Bunker Tanker / Grade:    "&amp;X$23&amp;" / "&amp;X$21&amp;" ["&amp;FMTYPE2&amp;"]"</f>
        <v>Bunker Tanker / Grade:    M/T YALÇIN 2 / LSFO []</v>
      </c>
      <c r="E62" s="1930"/>
      <c r="F62" s="1930"/>
      <c r="G62" s="1930"/>
      <c r="H62" s="1930"/>
      <c r="T62" s="2783" t="str">
        <f>IF(PGUIDE2="Y","Auto","Insert Manually")</f>
        <v>Insert Manually</v>
      </c>
      <c r="U62" s="2784"/>
    </row>
    <row r="63" spans="1:21" ht="12.75" hidden="1">
      <c r="A63" s="1936" t="str">
        <f t="shared" ref="A63:A71" si="2">A62</f>
        <v>N</v>
      </c>
      <c r="C63" s="1979" t="s">
        <v>868</v>
      </c>
      <c r="D63" s="2698" t="s">
        <v>1345</v>
      </c>
      <c r="E63" s="2698"/>
      <c r="F63" s="2698"/>
      <c r="G63" s="2698"/>
      <c r="H63" s="2698"/>
      <c r="I63" s="2698"/>
      <c r="J63" s="2698"/>
      <c r="K63" s="2699">
        <f>IF(PGUIDE2="N",U63,'FlowMeter (SS)'!I91)</f>
        <v>0</v>
      </c>
      <c r="L63" s="2700"/>
      <c r="M63" s="1963"/>
      <c r="N63" s="1963"/>
      <c r="O63" s="1963"/>
      <c r="P63" s="1963"/>
      <c r="Q63" s="1963"/>
      <c r="R63" s="1963"/>
      <c r="T63" s="2008" t="s">
        <v>868</v>
      </c>
      <c r="U63" s="1986"/>
    </row>
    <row r="64" spans="1:21" ht="12.75" hidden="1">
      <c r="A64" s="1936" t="str">
        <f t="shared" si="2"/>
        <v>N</v>
      </c>
      <c r="C64" s="1980" t="s">
        <v>869</v>
      </c>
      <c r="D64" s="2701" t="s">
        <v>1346</v>
      </c>
      <c r="E64" s="2701"/>
      <c r="F64" s="2701"/>
      <c r="G64" s="2701"/>
      <c r="H64" s="2701"/>
      <c r="I64" s="2701"/>
      <c r="J64" s="2701"/>
      <c r="K64" s="2691">
        <f>IF(PGUIDE2="N",U64,'FlowMeter (SS)'!I92)</f>
        <v>0</v>
      </c>
      <c r="L64" s="2692"/>
      <c r="M64" s="1963"/>
      <c r="N64" s="1963"/>
      <c r="O64" s="1963"/>
      <c r="P64" s="1963"/>
      <c r="Q64" s="1963"/>
      <c r="R64" s="1963"/>
      <c r="T64" s="2009" t="s">
        <v>869</v>
      </c>
      <c r="U64" s="2010"/>
    </row>
    <row r="65" spans="1:21" ht="12.75" hidden="1">
      <c r="A65" s="1936" t="str">
        <f t="shared" si="2"/>
        <v>N</v>
      </c>
      <c r="C65" s="1981" t="s">
        <v>870</v>
      </c>
      <c r="D65" s="2693" t="str">
        <f>'FlowMeter (SS)'!D93</f>
        <v>Delivered Meter Quantity - Mass in  (B-A)</v>
      </c>
      <c r="E65" s="2693"/>
      <c r="F65" s="2693"/>
      <c r="G65" s="2693"/>
      <c r="H65" s="2693"/>
      <c r="I65" s="2693"/>
      <c r="J65" s="2693"/>
      <c r="K65" s="2694">
        <f>K64-K63</f>
        <v>0</v>
      </c>
      <c r="L65" s="2695"/>
      <c r="M65" s="1963"/>
      <c r="N65" s="1963"/>
      <c r="O65" s="1963"/>
      <c r="P65" s="1963"/>
      <c r="Q65" s="1963"/>
      <c r="R65" s="1963"/>
      <c r="T65" s="1963"/>
      <c r="U65" s="1963"/>
    </row>
    <row r="66" spans="1:21" s="1972" customFormat="1" ht="8.25" hidden="1">
      <c r="A66" s="1978" t="str">
        <f t="shared" si="2"/>
        <v>N</v>
      </c>
      <c r="D66" s="2696"/>
      <c r="E66" s="2696"/>
      <c r="F66" s="2696"/>
      <c r="G66" s="2696"/>
      <c r="H66" s="2696"/>
      <c r="I66" s="2696"/>
      <c r="J66" s="2696"/>
      <c r="K66" s="2697"/>
      <c r="L66" s="2697"/>
      <c r="M66" s="1943"/>
      <c r="N66" s="1943"/>
      <c r="O66" s="1943"/>
      <c r="P66" s="1943"/>
      <c r="Q66" s="1943"/>
      <c r="R66" s="1943"/>
      <c r="T66" s="1943"/>
      <c r="U66" s="1943"/>
    </row>
    <row r="67" spans="1:21" ht="12.75" hidden="1">
      <c r="A67" s="1936" t="str">
        <f t="shared" si="2"/>
        <v>N</v>
      </c>
      <c r="C67" s="1979" t="s">
        <v>871</v>
      </c>
      <c r="D67" s="2698" t="s">
        <v>1347</v>
      </c>
      <c r="E67" s="2698"/>
      <c r="F67" s="2698"/>
      <c r="G67" s="2698"/>
      <c r="H67" s="2698"/>
      <c r="I67" s="2698"/>
      <c r="J67" s="2698"/>
      <c r="K67" s="2699">
        <f>IF(PGUIDE2="N",U67,'FlowMeter (SS)'!I95)</f>
        <v>0</v>
      </c>
      <c r="L67" s="2700"/>
      <c r="M67" s="1963"/>
      <c r="N67" s="1963"/>
      <c r="O67" s="1963"/>
      <c r="P67" s="1963"/>
      <c r="Q67" s="1963"/>
      <c r="R67" s="1963"/>
      <c r="T67" s="2008" t="s">
        <v>871</v>
      </c>
      <c r="U67" s="1986"/>
    </row>
    <row r="68" spans="1:21" ht="12.75" hidden="1">
      <c r="A68" s="1936" t="str">
        <f t="shared" si="2"/>
        <v>N</v>
      </c>
      <c r="C68" s="1980" t="s">
        <v>269</v>
      </c>
      <c r="D68" s="2701" t="s">
        <v>1348</v>
      </c>
      <c r="E68" s="2701"/>
      <c r="F68" s="2701"/>
      <c r="G68" s="2701"/>
      <c r="H68" s="2701"/>
      <c r="I68" s="2701"/>
      <c r="J68" s="2701"/>
      <c r="K68" s="2691">
        <f>IF(PGUIDE2="N",U68,'FlowMeter (SS)'!I96)</f>
        <v>0</v>
      </c>
      <c r="L68" s="2692"/>
      <c r="M68" s="1963"/>
      <c r="N68" s="1963"/>
      <c r="O68" s="1963"/>
      <c r="P68" s="1963"/>
      <c r="Q68" s="1963"/>
      <c r="R68" s="1963"/>
      <c r="T68" s="2009" t="s">
        <v>269</v>
      </c>
      <c r="U68" s="2010"/>
    </row>
    <row r="69" spans="1:21" ht="12.75" hidden="1">
      <c r="A69" s="1936" t="str">
        <f t="shared" si="2"/>
        <v>N</v>
      </c>
      <c r="C69" s="1981" t="s">
        <v>872</v>
      </c>
      <c r="D69" s="2693" t="str">
        <f>'FlowMeter (SS)'!D97</f>
        <v>Loading Meter Quantity - Mass in  (E-D)</v>
      </c>
      <c r="E69" s="2693"/>
      <c r="F69" s="2693"/>
      <c r="G69" s="2693"/>
      <c r="H69" s="2693"/>
      <c r="I69" s="2693"/>
      <c r="J69" s="2693"/>
      <c r="K69" s="2694">
        <f>K68-K67</f>
        <v>0</v>
      </c>
      <c r="L69" s="2695"/>
      <c r="M69" s="1963"/>
      <c r="N69" s="1963"/>
      <c r="O69" s="1963"/>
      <c r="P69" s="1963"/>
      <c r="Q69" s="1963"/>
      <c r="R69" s="1963"/>
      <c r="T69" s="1963"/>
      <c r="U69" s="1963"/>
    </row>
    <row r="70" spans="1:21" s="1972" customFormat="1" ht="8.25" hidden="1">
      <c r="A70" s="1978" t="str">
        <f t="shared" si="2"/>
        <v>N</v>
      </c>
      <c r="J70" s="1943"/>
      <c r="K70" s="2697"/>
      <c r="L70" s="2697"/>
      <c r="M70" s="1943"/>
      <c r="N70" s="1943"/>
      <c r="O70" s="1943"/>
      <c r="P70" s="1943"/>
      <c r="Q70" s="1943"/>
      <c r="R70" s="1943"/>
      <c r="T70" s="1943"/>
      <c r="U70" s="1943"/>
    </row>
    <row r="71" spans="1:21" ht="12.75" hidden="1">
      <c r="A71" s="1936" t="str">
        <f t="shared" si="2"/>
        <v>N</v>
      </c>
      <c r="C71" s="1979" t="s">
        <v>22</v>
      </c>
      <c r="D71" s="2704" t="str">
        <f>'FlowMeter (SS)'!C99</f>
        <v>Quantity Delivered - Mass in  (C-F)</v>
      </c>
      <c r="E71" s="2705"/>
      <c r="F71" s="2705"/>
      <c r="G71" s="2705"/>
      <c r="H71" s="2705"/>
      <c r="I71" s="2705"/>
      <c r="J71" s="2706"/>
      <c r="K71" s="2699">
        <f>K65-K69</f>
        <v>0</v>
      </c>
      <c r="L71" s="2700"/>
      <c r="M71" s="1963"/>
      <c r="N71" s="1963"/>
      <c r="O71" s="1963"/>
      <c r="P71" s="1963"/>
      <c r="Q71" s="1963"/>
      <c r="R71" s="1963"/>
      <c r="T71" s="1963"/>
      <c r="U71" s="1963"/>
    </row>
    <row r="72" spans="1:21" ht="12.75" hidden="1">
      <c r="A72" s="1936" t="str">
        <f>IF(A71="N","N",IF(INDEX(FMTYPES,MATCH(FMTYPE2,METHOFCALCSHORT,0),1)=FMTYPEVAC,"Y","N"))</f>
        <v>N</v>
      </c>
      <c r="C72" s="1980" t="s">
        <v>1372</v>
      </c>
      <c r="D72" s="2777" t="s">
        <v>906</v>
      </c>
      <c r="E72" s="2778"/>
      <c r="F72" s="2778"/>
      <c r="G72" s="2778"/>
      <c r="H72" s="2778"/>
      <c r="I72" s="2778"/>
      <c r="J72" s="2779"/>
      <c r="K72" s="2702">
        <f>IF(PGUIDE2="N",U72,'FlowMeter (SS)'!I100)</f>
        <v>0</v>
      </c>
      <c r="L72" s="2703"/>
      <c r="M72" s="1963"/>
      <c r="N72" s="1963"/>
      <c r="O72" s="1963"/>
      <c r="P72" s="1963"/>
      <c r="Q72" s="1963"/>
      <c r="R72" s="1963"/>
      <c r="T72" s="2006" t="s">
        <v>1372</v>
      </c>
      <c r="U72" s="2007"/>
    </row>
    <row r="73" spans="1:21" ht="12.75" hidden="1">
      <c r="A73" s="1937" t="str">
        <f>A72</f>
        <v>N</v>
      </c>
      <c r="C73" s="1998" t="s">
        <v>1373</v>
      </c>
      <c r="D73" s="2780" t="s">
        <v>1374</v>
      </c>
      <c r="E73" s="2781"/>
      <c r="F73" s="2781"/>
      <c r="G73" s="2781"/>
      <c r="H73" s="2781"/>
      <c r="I73" s="2781"/>
      <c r="J73" s="2782"/>
      <c r="K73" s="2775">
        <f>IF(A72="N",K71,K71*K72)</f>
        <v>0</v>
      </c>
      <c r="L73" s="2776"/>
      <c r="M73" s="1963"/>
      <c r="N73" s="1963"/>
      <c r="O73" s="1963"/>
      <c r="P73" s="1963"/>
      <c r="Q73" s="1963"/>
      <c r="R73" s="1963"/>
      <c r="T73" s="1963"/>
      <c r="U73" s="1963"/>
    </row>
    <row r="74" spans="1:21" s="1972" customFormat="1" ht="8.25" hidden="1">
      <c r="A74" s="1946" t="str">
        <f>A75</f>
        <v>N</v>
      </c>
      <c r="C74" s="1968"/>
      <c r="D74" s="1968"/>
      <c r="E74" s="1969"/>
      <c r="F74" s="1969"/>
      <c r="G74" s="1969"/>
      <c r="H74" s="1969"/>
      <c r="I74" s="1969"/>
      <c r="J74" s="1970"/>
      <c r="K74" s="1970"/>
      <c r="L74" s="1970"/>
      <c r="M74" s="1943"/>
      <c r="N74" s="1943"/>
      <c r="O74" s="1943"/>
      <c r="P74" s="1943"/>
      <c r="Q74" s="1943"/>
      <c r="R74" s="1943"/>
      <c r="T74" s="1943"/>
      <c r="U74" s="1943"/>
    </row>
    <row r="75" spans="1:21" ht="15" hidden="1" customHeight="1">
      <c r="A75" s="1936" t="str">
        <f>IF(OR(FMTYPE3=0,FMTYPE3="-",FMTYPE3=TANKMEAS),"N","Y")</f>
        <v>N</v>
      </c>
      <c r="B75" s="13">
        <v>3</v>
      </c>
      <c r="C75" s="2002">
        <v>3</v>
      </c>
      <c r="D75" s="1977" t="str">
        <f>"Bunker Tanker / Grade:    "&amp;Y$23&amp;" / "&amp;Y$21&amp;" ["&amp;FMTYPE3&amp;"]"</f>
        <v>Bunker Tanker / Grade:    M/T YALÇIN 2 /  []</v>
      </c>
      <c r="F75" s="1930"/>
      <c r="G75" s="1930"/>
      <c r="H75" s="1930"/>
      <c r="T75" s="2783" t="str">
        <f>IF(PGUIDE3="Y","Auto","Insert Manually")</f>
        <v>Insert Manually</v>
      </c>
      <c r="U75" s="2784"/>
    </row>
    <row r="76" spans="1:21" ht="12.75" hidden="1">
      <c r="A76" s="1936" t="str">
        <f t="shared" ref="A76:A84" si="3">A75</f>
        <v>N</v>
      </c>
      <c r="C76" s="1979" t="s">
        <v>868</v>
      </c>
      <c r="D76" s="2698" t="s">
        <v>1345</v>
      </c>
      <c r="E76" s="2698"/>
      <c r="F76" s="2698"/>
      <c r="G76" s="2698"/>
      <c r="H76" s="2698"/>
      <c r="I76" s="2698"/>
      <c r="J76" s="2698"/>
      <c r="K76" s="2699">
        <f>IF(PGUIDE3="N",U76,'FlowMeter (SS)'!I155)</f>
        <v>0</v>
      </c>
      <c r="L76" s="2700"/>
      <c r="M76" s="1963"/>
      <c r="N76" s="1963"/>
      <c r="O76" s="1963"/>
      <c r="P76" s="1963"/>
      <c r="Q76" s="1963"/>
      <c r="R76" s="1963"/>
      <c r="T76" s="2008" t="s">
        <v>868</v>
      </c>
      <c r="U76" s="1986"/>
    </row>
    <row r="77" spans="1:21" ht="12.75" hidden="1">
      <c r="A77" s="1936" t="str">
        <f t="shared" si="3"/>
        <v>N</v>
      </c>
      <c r="C77" s="1980" t="s">
        <v>869</v>
      </c>
      <c r="D77" s="2701" t="s">
        <v>1346</v>
      </c>
      <c r="E77" s="2701"/>
      <c r="F77" s="2701"/>
      <c r="G77" s="2701"/>
      <c r="H77" s="2701"/>
      <c r="I77" s="2701"/>
      <c r="J77" s="2701"/>
      <c r="K77" s="2691">
        <f>IF(PGUIDE3="N",U77,'FlowMeter (SS)'!I156)</f>
        <v>0</v>
      </c>
      <c r="L77" s="2692"/>
      <c r="M77" s="1963"/>
      <c r="N77" s="1963"/>
      <c r="O77" s="1963"/>
      <c r="P77" s="1963"/>
      <c r="Q77" s="1963"/>
      <c r="R77" s="1963"/>
      <c r="T77" s="2009" t="s">
        <v>869</v>
      </c>
      <c r="U77" s="2010"/>
    </row>
    <row r="78" spans="1:21" ht="12.75" hidden="1">
      <c r="A78" s="1936" t="str">
        <f t="shared" si="3"/>
        <v>N</v>
      </c>
      <c r="C78" s="1981" t="s">
        <v>870</v>
      </c>
      <c r="D78" s="2693" t="str">
        <f>'FlowMeter (SS)'!D157</f>
        <v>Delivered Meter Quantity - Mass in  (B-A)</v>
      </c>
      <c r="E78" s="2693"/>
      <c r="F78" s="2693"/>
      <c r="G78" s="2693"/>
      <c r="H78" s="2693"/>
      <c r="I78" s="2693"/>
      <c r="J78" s="2693"/>
      <c r="K78" s="2694">
        <f>K77-K76</f>
        <v>0</v>
      </c>
      <c r="L78" s="2695"/>
      <c r="M78" s="1963"/>
      <c r="N78" s="1963"/>
      <c r="O78" s="1963"/>
      <c r="P78" s="1963"/>
      <c r="Q78" s="1963"/>
      <c r="R78" s="1963"/>
      <c r="T78" s="1963"/>
      <c r="U78" s="1963"/>
    </row>
    <row r="79" spans="1:21" s="1972" customFormat="1" ht="8.25" hidden="1">
      <c r="A79" s="1978" t="str">
        <f t="shared" si="3"/>
        <v>N</v>
      </c>
      <c r="D79" s="2696"/>
      <c r="E79" s="2696"/>
      <c r="F79" s="2696"/>
      <c r="G79" s="2696"/>
      <c r="H79" s="2696"/>
      <c r="I79" s="2696"/>
      <c r="J79" s="2696"/>
      <c r="K79" s="2697"/>
      <c r="L79" s="2697"/>
      <c r="M79" s="1943"/>
      <c r="N79" s="1943"/>
      <c r="O79" s="1943"/>
      <c r="P79" s="1943"/>
      <c r="Q79" s="1943"/>
      <c r="R79" s="1943"/>
      <c r="T79" s="1943"/>
      <c r="U79" s="1943"/>
    </row>
    <row r="80" spans="1:21" ht="12.75" hidden="1">
      <c r="A80" s="1936" t="str">
        <f t="shared" si="3"/>
        <v>N</v>
      </c>
      <c r="C80" s="1979" t="s">
        <v>871</v>
      </c>
      <c r="D80" s="2698" t="s">
        <v>1347</v>
      </c>
      <c r="E80" s="2698"/>
      <c r="F80" s="2698"/>
      <c r="G80" s="2698"/>
      <c r="H80" s="2698"/>
      <c r="I80" s="2698"/>
      <c r="J80" s="2698"/>
      <c r="K80" s="2699">
        <f>IF(PGUIDE3="N",U80,'FlowMeter (SS)'!I159)</f>
        <v>0</v>
      </c>
      <c r="L80" s="2700"/>
      <c r="M80" s="1963"/>
      <c r="N80" s="1963"/>
      <c r="O80" s="1963"/>
      <c r="P80" s="1963"/>
      <c r="Q80" s="1963"/>
      <c r="R80" s="1963"/>
      <c r="T80" s="2008" t="s">
        <v>871</v>
      </c>
      <c r="U80" s="1986"/>
    </row>
    <row r="81" spans="1:21" ht="12.75" hidden="1">
      <c r="A81" s="1936" t="str">
        <f t="shared" si="3"/>
        <v>N</v>
      </c>
      <c r="C81" s="1980" t="s">
        <v>269</v>
      </c>
      <c r="D81" s="2701" t="s">
        <v>1348</v>
      </c>
      <c r="E81" s="2701"/>
      <c r="F81" s="2701"/>
      <c r="G81" s="2701"/>
      <c r="H81" s="2701"/>
      <c r="I81" s="2701"/>
      <c r="J81" s="2701"/>
      <c r="K81" s="2691">
        <f>IF(PGUIDE3="N",U81,'FlowMeter (SS)'!I160)</f>
        <v>0</v>
      </c>
      <c r="L81" s="2692"/>
      <c r="M81" s="1963"/>
      <c r="N81" s="1963"/>
      <c r="O81" s="1963"/>
      <c r="P81" s="1963"/>
      <c r="Q81" s="1963"/>
      <c r="R81" s="1963"/>
      <c r="T81" s="2009" t="s">
        <v>269</v>
      </c>
      <c r="U81" s="2010"/>
    </row>
    <row r="82" spans="1:21" ht="12.75" hidden="1">
      <c r="A82" s="1936" t="str">
        <f t="shared" si="3"/>
        <v>N</v>
      </c>
      <c r="C82" s="1981" t="s">
        <v>872</v>
      </c>
      <c r="D82" s="2693" t="str">
        <f>'FlowMeter (SS)'!D161</f>
        <v>Loading Meter Quantity - Mass in  (E-D)</v>
      </c>
      <c r="E82" s="2693"/>
      <c r="F82" s="2693"/>
      <c r="G82" s="2693"/>
      <c r="H82" s="2693"/>
      <c r="I82" s="2693"/>
      <c r="J82" s="2693"/>
      <c r="K82" s="2694">
        <f>K81-K80</f>
        <v>0</v>
      </c>
      <c r="L82" s="2695"/>
      <c r="M82" s="1963"/>
      <c r="N82" s="1963"/>
      <c r="O82" s="1963"/>
      <c r="P82" s="1963"/>
      <c r="Q82" s="1963"/>
      <c r="R82" s="1963"/>
      <c r="T82" s="1963"/>
      <c r="U82" s="1963"/>
    </row>
    <row r="83" spans="1:21" s="1972" customFormat="1" ht="8.25" hidden="1">
      <c r="A83" s="1978" t="str">
        <f t="shared" si="3"/>
        <v>N</v>
      </c>
      <c r="J83" s="1943"/>
      <c r="K83" s="2697"/>
      <c r="L83" s="2697"/>
      <c r="M83" s="1943"/>
      <c r="N83" s="1943"/>
      <c r="O83" s="1943"/>
      <c r="P83" s="1943"/>
      <c r="Q83" s="1943"/>
      <c r="R83" s="1943"/>
      <c r="T83" s="1943"/>
      <c r="U83" s="1943"/>
    </row>
    <row r="84" spans="1:21" ht="12.75" hidden="1">
      <c r="A84" s="1936" t="str">
        <f t="shared" si="3"/>
        <v>N</v>
      </c>
      <c r="C84" s="1979" t="s">
        <v>22</v>
      </c>
      <c r="D84" s="2704" t="str">
        <f>'FlowMeter (SS)'!C163</f>
        <v>Quantity Delivered - Mass in  (C-F)</v>
      </c>
      <c r="E84" s="2705"/>
      <c r="F84" s="2705"/>
      <c r="G84" s="2705"/>
      <c r="H84" s="2705"/>
      <c r="I84" s="2705"/>
      <c r="J84" s="2706"/>
      <c r="K84" s="2699">
        <f>K78-K82</f>
        <v>0</v>
      </c>
      <c r="L84" s="2700"/>
      <c r="M84" s="1963"/>
      <c r="N84" s="1963"/>
      <c r="O84" s="1963"/>
      <c r="P84" s="1963"/>
      <c r="Q84" s="1963"/>
      <c r="R84" s="1963"/>
      <c r="T84" s="1963"/>
      <c r="U84" s="1963"/>
    </row>
    <row r="85" spans="1:21" ht="12.75" hidden="1">
      <c r="A85" s="1936" t="str">
        <f>IF(A84="N","N",IF(INDEX(FMTYPES,MATCH(FMTYPE3,METHOFCALCSHORT,0),1)=FMTYPEVAC,"Y","N"))</f>
        <v>N</v>
      </c>
      <c r="C85" s="1980" t="s">
        <v>1372</v>
      </c>
      <c r="D85" s="2777" t="s">
        <v>906</v>
      </c>
      <c r="E85" s="2778"/>
      <c r="F85" s="2778"/>
      <c r="G85" s="2778"/>
      <c r="H85" s="2778"/>
      <c r="I85" s="2778"/>
      <c r="J85" s="2779"/>
      <c r="K85" s="2702">
        <f>IF(PGUIDE3="N",U85,'FlowMeter (SS)'!I164)</f>
        <v>0</v>
      </c>
      <c r="L85" s="2703"/>
      <c r="M85" s="1963"/>
      <c r="N85" s="1963"/>
      <c r="O85" s="1963"/>
      <c r="P85" s="1963"/>
      <c r="Q85" s="1963"/>
      <c r="R85" s="1963"/>
      <c r="T85" s="2006" t="s">
        <v>1372</v>
      </c>
      <c r="U85" s="2007"/>
    </row>
    <row r="86" spans="1:21" ht="12.75" hidden="1">
      <c r="A86" s="1937" t="str">
        <f>A85</f>
        <v>N</v>
      </c>
      <c r="C86" s="1998" t="s">
        <v>1373</v>
      </c>
      <c r="D86" s="2780" t="s">
        <v>1374</v>
      </c>
      <c r="E86" s="2781"/>
      <c r="F86" s="2781"/>
      <c r="G86" s="2781"/>
      <c r="H86" s="2781"/>
      <c r="I86" s="2781"/>
      <c r="J86" s="2782"/>
      <c r="K86" s="2775">
        <f>IF(A85="N",K84,K84*K85)</f>
        <v>0</v>
      </c>
      <c r="L86" s="2776"/>
      <c r="M86" s="1963"/>
      <c r="N86" s="1963"/>
      <c r="O86" s="1963"/>
      <c r="P86" s="1963"/>
      <c r="Q86" s="1963"/>
      <c r="R86" s="1963"/>
      <c r="T86" s="1963"/>
      <c r="U86" s="1963"/>
    </row>
    <row r="87" spans="1:21" s="1972" customFormat="1" ht="8.25" hidden="1">
      <c r="A87" s="1946" t="str">
        <f>A88</f>
        <v>N</v>
      </c>
      <c r="C87" s="1968"/>
      <c r="D87" s="1968"/>
      <c r="E87" s="1969"/>
      <c r="F87" s="1969"/>
      <c r="G87" s="1969"/>
      <c r="H87" s="1969"/>
      <c r="I87" s="1969"/>
      <c r="J87" s="1970"/>
      <c r="K87" s="1970"/>
      <c r="L87" s="1970"/>
      <c r="M87" s="1943"/>
      <c r="N87" s="1943"/>
      <c r="O87" s="1943"/>
      <c r="P87" s="1943"/>
      <c r="Q87" s="1943"/>
      <c r="R87" s="1943"/>
      <c r="T87" s="1943"/>
      <c r="U87" s="1943"/>
    </row>
    <row r="88" spans="1:21" ht="15" hidden="1" customHeight="1">
      <c r="A88" s="1936" t="str">
        <f>IF(OR(FMTYPE4=0,FMTYPE4="-",FMTYPE4=TANKMEAS),"N","Y")</f>
        <v>N</v>
      </c>
      <c r="B88" s="13">
        <v>4</v>
      </c>
      <c r="C88" s="2002">
        <v>4</v>
      </c>
      <c r="D88" s="1977" t="str">
        <f>"Bunker Tanker / Grade:    "&amp;Z$23&amp;" / "&amp;Z$21&amp;" ["&amp;FMTYPE4&amp;"]"</f>
        <v>Bunker Tanker / Grade:    M/T YALÇIN 2 /  []</v>
      </c>
      <c r="E88" s="1930"/>
      <c r="G88" s="1930"/>
      <c r="H88" s="1930"/>
      <c r="T88" s="2783" t="str">
        <f>IF(PGUIDE4="Y","Auto","Insert Manually")</f>
        <v>Insert Manually</v>
      </c>
      <c r="U88" s="2784"/>
    </row>
    <row r="89" spans="1:21" ht="12.75" hidden="1">
      <c r="A89" s="1936" t="str">
        <f t="shared" ref="A89:A97" si="4">A88</f>
        <v>N</v>
      </c>
      <c r="C89" s="1979" t="s">
        <v>868</v>
      </c>
      <c r="D89" s="2698" t="s">
        <v>1345</v>
      </c>
      <c r="E89" s="2698"/>
      <c r="F89" s="2698"/>
      <c r="G89" s="2698"/>
      <c r="H89" s="2698"/>
      <c r="I89" s="2698"/>
      <c r="J89" s="2698"/>
      <c r="K89" s="2699">
        <f>IF(PGUIDE4="N",U89,'FlowMeter (SS)'!I219)</f>
        <v>0</v>
      </c>
      <c r="L89" s="2700"/>
      <c r="M89" s="1963"/>
      <c r="N89" s="1963"/>
      <c r="O89" s="1963"/>
      <c r="P89" s="1963"/>
      <c r="Q89" s="1963"/>
      <c r="R89" s="1963"/>
      <c r="T89" s="2008" t="s">
        <v>868</v>
      </c>
      <c r="U89" s="1986"/>
    </row>
    <row r="90" spans="1:21" ht="12.75" hidden="1">
      <c r="A90" s="1936" t="str">
        <f t="shared" si="4"/>
        <v>N</v>
      </c>
      <c r="C90" s="1980" t="s">
        <v>869</v>
      </c>
      <c r="D90" s="2701" t="s">
        <v>1346</v>
      </c>
      <c r="E90" s="2701"/>
      <c r="F90" s="2701"/>
      <c r="G90" s="2701"/>
      <c r="H90" s="2701"/>
      <c r="I90" s="2701"/>
      <c r="J90" s="2701"/>
      <c r="K90" s="2691">
        <f>IF(PGUIDE4="N",U90,'FlowMeter (SS)'!I220)</f>
        <v>0</v>
      </c>
      <c r="L90" s="2692"/>
      <c r="M90" s="1963"/>
      <c r="N90" s="1963"/>
      <c r="O90" s="1963"/>
      <c r="P90" s="1963"/>
      <c r="Q90" s="1963"/>
      <c r="R90" s="1963"/>
      <c r="T90" s="2009" t="s">
        <v>869</v>
      </c>
      <c r="U90" s="2010"/>
    </row>
    <row r="91" spans="1:21" ht="12.75" hidden="1">
      <c r="A91" s="1936" t="str">
        <f t="shared" si="4"/>
        <v>N</v>
      </c>
      <c r="C91" s="1981" t="s">
        <v>870</v>
      </c>
      <c r="D91" s="2693" t="str">
        <f>'FlowMeter (SS)'!D221</f>
        <v>Delivered Meter Quantity - Mass in  (B-A)</v>
      </c>
      <c r="E91" s="2693"/>
      <c r="F91" s="2693"/>
      <c r="G91" s="2693"/>
      <c r="H91" s="2693"/>
      <c r="I91" s="2693"/>
      <c r="J91" s="2693"/>
      <c r="K91" s="2694">
        <f>K90-K89</f>
        <v>0</v>
      </c>
      <c r="L91" s="2695"/>
      <c r="M91" s="1963"/>
      <c r="N91" s="1963"/>
      <c r="O91" s="1963"/>
      <c r="P91" s="1963"/>
      <c r="Q91" s="1963"/>
      <c r="R91" s="1963"/>
      <c r="T91" s="1963"/>
      <c r="U91" s="1963"/>
    </row>
    <row r="92" spans="1:21" s="1972" customFormat="1" ht="8.25" hidden="1">
      <c r="A92" s="1978" t="str">
        <f t="shared" si="4"/>
        <v>N</v>
      </c>
      <c r="D92" s="2696"/>
      <c r="E92" s="2696"/>
      <c r="F92" s="2696"/>
      <c r="G92" s="2696"/>
      <c r="H92" s="2696"/>
      <c r="I92" s="2696"/>
      <c r="J92" s="2696"/>
      <c r="K92" s="2697"/>
      <c r="L92" s="2697"/>
      <c r="M92" s="1943"/>
      <c r="N92" s="1943"/>
      <c r="O92" s="1943"/>
      <c r="P92" s="1943"/>
      <c r="Q92" s="1943"/>
      <c r="R92" s="1943"/>
      <c r="T92" s="1943"/>
      <c r="U92" s="1943"/>
    </row>
    <row r="93" spans="1:21" ht="12.75" hidden="1">
      <c r="A93" s="1936" t="str">
        <f t="shared" si="4"/>
        <v>N</v>
      </c>
      <c r="C93" s="1979" t="s">
        <v>871</v>
      </c>
      <c r="D93" s="2698" t="s">
        <v>1347</v>
      </c>
      <c r="E93" s="2698"/>
      <c r="F93" s="2698"/>
      <c r="G93" s="2698"/>
      <c r="H93" s="2698"/>
      <c r="I93" s="2698"/>
      <c r="J93" s="2698"/>
      <c r="K93" s="2699">
        <f>IF(PGUIDE4="N",U93,'FlowMeter (SS)'!I223)</f>
        <v>0</v>
      </c>
      <c r="L93" s="2700"/>
      <c r="M93" s="1963"/>
      <c r="N93" s="1963"/>
      <c r="O93" s="1963"/>
      <c r="P93" s="1963"/>
      <c r="Q93" s="1963"/>
      <c r="R93" s="1963"/>
      <c r="T93" s="2008" t="s">
        <v>871</v>
      </c>
      <c r="U93" s="1986"/>
    </row>
    <row r="94" spans="1:21" ht="12.75" hidden="1">
      <c r="A94" s="1936" t="str">
        <f t="shared" si="4"/>
        <v>N</v>
      </c>
      <c r="C94" s="1980" t="s">
        <v>269</v>
      </c>
      <c r="D94" s="2701" t="s">
        <v>1348</v>
      </c>
      <c r="E94" s="2701"/>
      <c r="F94" s="2701"/>
      <c r="G94" s="2701"/>
      <c r="H94" s="2701"/>
      <c r="I94" s="2701"/>
      <c r="J94" s="2701"/>
      <c r="K94" s="2691">
        <f>IF(PGUIDE4="N",U94,'FlowMeter (SS)'!I224)</f>
        <v>0</v>
      </c>
      <c r="L94" s="2692"/>
      <c r="M94" s="1963"/>
      <c r="N94" s="1963"/>
      <c r="O94" s="1963"/>
      <c r="P94" s="1963"/>
      <c r="Q94" s="1963"/>
      <c r="R94" s="1963"/>
      <c r="T94" s="2009" t="s">
        <v>269</v>
      </c>
      <c r="U94" s="2010"/>
    </row>
    <row r="95" spans="1:21" ht="12.75" hidden="1">
      <c r="A95" s="1936" t="str">
        <f t="shared" si="4"/>
        <v>N</v>
      </c>
      <c r="C95" s="1981" t="s">
        <v>872</v>
      </c>
      <c r="D95" s="2693" t="str">
        <f>'FlowMeter (SS)'!D225</f>
        <v>Loading Meter Quantity - Mass in  (E-D)</v>
      </c>
      <c r="E95" s="2693"/>
      <c r="F95" s="2693"/>
      <c r="G95" s="2693"/>
      <c r="H95" s="2693"/>
      <c r="I95" s="2693"/>
      <c r="J95" s="2693"/>
      <c r="K95" s="2694">
        <f>K94-K93</f>
        <v>0</v>
      </c>
      <c r="L95" s="2695"/>
      <c r="M95" s="1963"/>
      <c r="N95" s="1963"/>
      <c r="O95" s="1963"/>
      <c r="P95" s="1963"/>
      <c r="Q95" s="1963"/>
      <c r="R95" s="1963"/>
      <c r="T95" s="1963"/>
      <c r="U95" s="1963"/>
    </row>
    <row r="96" spans="1:21" s="1972" customFormat="1" ht="8.25" hidden="1">
      <c r="A96" s="1978" t="str">
        <f t="shared" si="4"/>
        <v>N</v>
      </c>
      <c r="J96" s="1943"/>
      <c r="K96" s="2697"/>
      <c r="L96" s="2697"/>
      <c r="M96" s="1943"/>
      <c r="N96" s="1943"/>
      <c r="O96" s="1943"/>
      <c r="P96" s="1943"/>
      <c r="Q96" s="1943"/>
      <c r="R96" s="1943"/>
      <c r="T96" s="1943"/>
      <c r="U96" s="1943"/>
    </row>
    <row r="97" spans="1:21" ht="12.75" hidden="1">
      <c r="A97" s="1936" t="str">
        <f t="shared" si="4"/>
        <v>N</v>
      </c>
      <c r="C97" s="1979" t="s">
        <v>22</v>
      </c>
      <c r="D97" s="2704" t="str">
        <f>'FlowMeter (SS)'!C227</f>
        <v>Quantity Delivered - Mass in  (C-F)</v>
      </c>
      <c r="E97" s="2705"/>
      <c r="F97" s="2705"/>
      <c r="G97" s="2705"/>
      <c r="H97" s="2705"/>
      <c r="I97" s="2705"/>
      <c r="J97" s="2706"/>
      <c r="K97" s="2699">
        <f>K91-K95</f>
        <v>0</v>
      </c>
      <c r="L97" s="2700"/>
      <c r="M97" s="1963"/>
      <c r="N97" s="1963"/>
      <c r="O97" s="1963"/>
      <c r="P97" s="1963"/>
      <c r="Q97" s="1963"/>
      <c r="R97" s="1963"/>
      <c r="T97" s="1963"/>
      <c r="U97" s="1963"/>
    </row>
    <row r="98" spans="1:21" ht="12.75" hidden="1">
      <c r="A98" s="1936" t="str">
        <f>IF(A97="N","N",IF(INDEX(FMTYPES,MATCH(FMTYPE4,METHOFCALCSHORT,0),1)=FMTYPEVAC,"Y","N"))</f>
        <v>N</v>
      </c>
      <c r="C98" s="1980" t="s">
        <v>1372</v>
      </c>
      <c r="D98" s="2777" t="s">
        <v>906</v>
      </c>
      <c r="E98" s="2778"/>
      <c r="F98" s="2778"/>
      <c r="G98" s="2778"/>
      <c r="H98" s="2778"/>
      <c r="I98" s="2778"/>
      <c r="J98" s="2779"/>
      <c r="K98" s="2702">
        <f>IF(PGUIDE4="N",U98,'FlowMeter (SS)'!I228)</f>
        <v>0</v>
      </c>
      <c r="L98" s="2703"/>
      <c r="M98" s="1963"/>
      <c r="N98" s="1963"/>
      <c r="O98" s="1963"/>
      <c r="P98" s="1963"/>
      <c r="Q98" s="1963"/>
      <c r="R98" s="1963"/>
      <c r="T98" s="2006" t="s">
        <v>1372</v>
      </c>
      <c r="U98" s="2007"/>
    </row>
    <row r="99" spans="1:21" ht="12.75" hidden="1">
      <c r="A99" s="1937" t="str">
        <f>A98</f>
        <v>N</v>
      </c>
      <c r="C99" s="1998" t="s">
        <v>1373</v>
      </c>
      <c r="D99" s="2780" t="s">
        <v>1374</v>
      </c>
      <c r="E99" s="2781"/>
      <c r="F99" s="2781"/>
      <c r="G99" s="2781"/>
      <c r="H99" s="2781"/>
      <c r="I99" s="2781"/>
      <c r="J99" s="2782"/>
      <c r="K99" s="2775">
        <f>IF(A98="N",K97,K97*K98)</f>
        <v>0</v>
      </c>
      <c r="L99" s="2776"/>
      <c r="M99" s="1963"/>
      <c r="N99" s="1963"/>
      <c r="O99" s="1963"/>
      <c r="P99" s="1963"/>
      <c r="Q99" s="1963"/>
      <c r="R99" s="1963"/>
      <c r="T99" s="1963"/>
      <c r="U99" s="1963"/>
    </row>
    <row r="100" spans="1:21" s="1972" customFormat="1" ht="8.25" hidden="1">
      <c r="A100" s="1946" t="str">
        <f>A101</f>
        <v>N</v>
      </c>
      <c r="C100" s="1968"/>
      <c r="D100" s="1968"/>
      <c r="E100" s="1969"/>
      <c r="F100" s="1969"/>
      <c r="G100" s="1969"/>
      <c r="H100" s="1969"/>
      <c r="I100" s="1969"/>
      <c r="J100" s="1970"/>
      <c r="K100" s="1970"/>
      <c r="L100" s="1970"/>
      <c r="M100" s="1943"/>
      <c r="N100" s="1943"/>
      <c r="O100" s="1943"/>
      <c r="P100" s="1943"/>
      <c r="Q100" s="1943"/>
      <c r="R100" s="1943"/>
      <c r="T100" s="1943"/>
      <c r="U100" s="1943"/>
    </row>
    <row r="101" spans="1:21" ht="15" hidden="1" customHeight="1">
      <c r="A101" s="1936" t="str">
        <f>IF(OR(FMTYPE5=0,FMTYPE5="-",FMTYPE5=TANKMEAS),"N","Y")</f>
        <v>N</v>
      </c>
      <c r="B101" s="13">
        <v>5</v>
      </c>
      <c r="C101" s="2002">
        <v>5</v>
      </c>
      <c r="D101" s="1977" t="str">
        <f>"Bunker Tanker / Grade:    "&amp;AA$23&amp;" / "&amp;AA$21&amp;" ["&amp;FMTYPE5&amp;"]"</f>
        <v>Bunker Tanker / Grade:    M/T YALÇIN 2 /  []</v>
      </c>
      <c r="E101" s="1930"/>
      <c r="F101" s="1930"/>
      <c r="H101" s="1930"/>
      <c r="T101" s="2783" t="str">
        <f>IF(PGUIDE5="Y","Auto","Insert Manually")</f>
        <v>Insert Manually</v>
      </c>
      <c r="U101" s="2784"/>
    </row>
    <row r="102" spans="1:21" ht="12.75" hidden="1">
      <c r="A102" s="1936" t="str">
        <f t="shared" ref="A102:A110" si="5">A101</f>
        <v>N</v>
      </c>
      <c r="C102" s="1979" t="s">
        <v>868</v>
      </c>
      <c r="D102" s="2698" t="s">
        <v>1345</v>
      </c>
      <c r="E102" s="2698"/>
      <c r="F102" s="2698"/>
      <c r="G102" s="2698"/>
      <c r="H102" s="2698"/>
      <c r="I102" s="2698"/>
      <c r="J102" s="2698"/>
      <c r="K102" s="2699">
        <f>IF(PGUIDE5="N",U102,'FlowMeter (SS)'!I283)</f>
        <v>0</v>
      </c>
      <c r="L102" s="2700"/>
      <c r="M102" s="1963"/>
      <c r="N102" s="1963"/>
      <c r="O102" s="1963"/>
      <c r="P102" s="1963"/>
      <c r="Q102" s="1963"/>
      <c r="R102" s="1963"/>
      <c r="T102" s="2008" t="s">
        <v>868</v>
      </c>
      <c r="U102" s="1986"/>
    </row>
    <row r="103" spans="1:21" ht="12.75" hidden="1">
      <c r="A103" s="1936" t="str">
        <f t="shared" si="5"/>
        <v>N</v>
      </c>
      <c r="C103" s="1980" t="s">
        <v>869</v>
      </c>
      <c r="D103" s="2701" t="s">
        <v>1346</v>
      </c>
      <c r="E103" s="2701"/>
      <c r="F103" s="2701"/>
      <c r="G103" s="2701"/>
      <c r="H103" s="2701"/>
      <c r="I103" s="2701"/>
      <c r="J103" s="2701"/>
      <c r="K103" s="2691">
        <f>IF(PGUIDE5="N",U103,'FlowMeter (SS)'!I284)</f>
        <v>0</v>
      </c>
      <c r="L103" s="2692"/>
      <c r="M103" s="1963"/>
      <c r="N103" s="1963"/>
      <c r="O103" s="1963"/>
      <c r="P103" s="1963"/>
      <c r="Q103" s="1963"/>
      <c r="R103" s="1963"/>
      <c r="T103" s="2009" t="s">
        <v>869</v>
      </c>
      <c r="U103" s="2010"/>
    </row>
    <row r="104" spans="1:21" ht="12.75" hidden="1">
      <c r="A104" s="1936" t="str">
        <f t="shared" si="5"/>
        <v>N</v>
      </c>
      <c r="C104" s="1981" t="s">
        <v>870</v>
      </c>
      <c r="D104" s="2693" t="str">
        <f>'FlowMeter (SS)'!D285</f>
        <v>Delivered Meter Quantity - Mass in  (B-A)</v>
      </c>
      <c r="E104" s="2693"/>
      <c r="F104" s="2693"/>
      <c r="G104" s="2693"/>
      <c r="H104" s="2693"/>
      <c r="I104" s="2693"/>
      <c r="J104" s="2693"/>
      <c r="K104" s="2694">
        <f>K103-K102</f>
        <v>0</v>
      </c>
      <c r="L104" s="2695"/>
      <c r="M104" s="1963"/>
      <c r="N104" s="1963"/>
      <c r="O104" s="1963"/>
      <c r="P104" s="1963"/>
      <c r="Q104" s="1963"/>
      <c r="R104" s="1963"/>
      <c r="T104" s="1963"/>
      <c r="U104" s="1963"/>
    </row>
    <row r="105" spans="1:21" s="1972" customFormat="1" ht="8.25" hidden="1">
      <c r="A105" s="1978" t="str">
        <f t="shared" si="5"/>
        <v>N</v>
      </c>
      <c r="D105" s="2696"/>
      <c r="E105" s="2696"/>
      <c r="F105" s="2696"/>
      <c r="G105" s="2696"/>
      <c r="H105" s="2696"/>
      <c r="I105" s="2696"/>
      <c r="J105" s="2696"/>
      <c r="K105" s="2697"/>
      <c r="L105" s="2697"/>
      <c r="M105" s="1943"/>
      <c r="N105" s="1943"/>
      <c r="O105" s="1943"/>
      <c r="P105" s="1943"/>
      <c r="Q105" s="1943"/>
      <c r="R105" s="1943"/>
      <c r="T105" s="1943"/>
      <c r="U105" s="1943"/>
    </row>
    <row r="106" spans="1:21" ht="12.75" hidden="1">
      <c r="A106" s="1936" t="str">
        <f t="shared" si="5"/>
        <v>N</v>
      </c>
      <c r="C106" s="1979" t="s">
        <v>871</v>
      </c>
      <c r="D106" s="2698" t="s">
        <v>1347</v>
      </c>
      <c r="E106" s="2698"/>
      <c r="F106" s="2698"/>
      <c r="G106" s="2698"/>
      <c r="H106" s="2698"/>
      <c r="I106" s="2698"/>
      <c r="J106" s="2698"/>
      <c r="K106" s="2699">
        <f>IF(PGUIDE5="N",U106,'FlowMeter (SS)'!I287)</f>
        <v>0</v>
      </c>
      <c r="L106" s="2700"/>
      <c r="M106" s="1963"/>
      <c r="N106" s="1963"/>
      <c r="O106" s="1963"/>
      <c r="P106" s="1963"/>
      <c r="Q106" s="1963"/>
      <c r="R106" s="1963"/>
      <c r="T106" s="2008" t="s">
        <v>871</v>
      </c>
      <c r="U106" s="1986"/>
    </row>
    <row r="107" spans="1:21" ht="12.75" hidden="1">
      <c r="A107" s="1936" t="str">
        <f t="shared" si="5"/>
        <v>N</v>
      </c>
      <c r="C107" s="1980" t="s">
        <v>269</v>
      </c>
      <c r="D107" s="2701" t="s">
        <v>1348</v>
      </c>
      <c r="E107" s="2701"/>
      <c r="F107" s="2701"/>
      <c r="G107" s="2701"/>
      <c r="H107" s="2701"/>
      <c r="I107" s="2701"/>
      <c r="J107" s="2701"/>
      <c r="K107" s="2691">
        <f>IF(PGUIDE5="N",U107,'FlowMeter (SS)'!I288)</f>
        <v>0</v>
      </c>
      <c r="L107" s="2692"/>
      <c r="M107" s="1963"/>
      <c r="N107" s="1963"/>
      <c r="O107" s="1963"/>
      <c r="P107" s="1963"/>
      <c r="Q107" s="1963"/>
      <c r="R107" s="1963"/>
      <c r="T107" s="2009" t="s">
        <v>269</v>
      </c>
      <c r="U107" s="2010"/>
    </row>
    <row r="108" spans="1:21" ht="12.75" hidden="1">
      <c r="A108" s="1936" t="str">
        <f t="shared" si="5"/>
        <v>N</v>
      </c>
      <c r="C108" s="1981" t="s">
        <v>872</v>
      </c>
      <c r="D108" s="2693" t="str">
        <f>'FlowMeter (SS)'!D289</f>
        <v>Loading Meter Quantity - Mass in  (E-D)</v>
      </c>
      <c r="E108" s="2693"/>
      <c r="F108" s="2693"/>
      <c r="G108" s="2693"/>
      <c r="H108" s="2693"/>
      <c r="I108" s="2693"/>
      <c r="J108" s="2693"/>
      <c r="K108" s="2694">
        <f>K107-K106</f>
        <v>0</v>
      </c>
      <c r="L108" s="2695"/>
      <c r="M108" s="1963"/>
      <c r="N108" s="1963"/>
      <c r="O108" s="1963"/>
      <c r="P108" s="1963"/>
      <c r="Q108" s="1963"/>
      <c r="R108" s="1963"/>
      <c r="T108" s="1963"/>
      <c r="U108" s="1963"/>
    </row>
    <row r="109" spans="1:21" s="1972" customFormat="1" ht="8.25" hidden="1">
      <c r="A109" s="1978" t="str">
        <f t="shared" si="5"/>
        <v>N</v>
      </c>
      <c r="J109" s="1943"/>
      <c r="K109" s="2697"/>
      <c r="L109" s="2697"/>
      <c r="M109" s="1943"/>
      <c r="N109" s="1943"/>
      <c r="O109" s="1943"/>
      <c r="P109" s="1943"/>
      <c r="Q109" s="1943"/>
      <c r="R109" s="1943"/>
      <c r="T109" s="1943"/>
      <c r="U109" s="1943"/>
    </row>
    <row r="110" spans="1:21" ht="12.75" hidden="1">
      <c r="A110" s="1936" t="str">
        <f t="shared" si="5"/>
        <v>N</v>
      </c>
      <c r="C110" s="1979" t="s">
        <v>22</v>
      </c>
      <c r="D110" s="2704" t="str">
        <f>'FlowMeter (SS)'!C291</f>
        <v>Quantity Delivered - Mass in  (C-F)</v>
      </c>
      <c r="E110" s="2705"/>
      <c r="F110" s="2705"/>
      <c r="G110" s="2705"/>
      <c r="H110" s="2705"/>
      <c r="I110" s="2705"/>
      <c r="J110" s="2706"/>
      <c r="K110" s="2699">
        <f>K104-K108</f>
        <v>0</v>
      </c>
      <c r="L110" s="2700"/>
      <c r="M110" s="1963"/>
      <c r="N110" s="1963"/>
      <c r="O110" s="1963"/>
      <c r="P110" s="1963"/>
      <c r="Q110" s="1963"/>
      <c r="R110" s="1963"/>
      <c r="T110" s="1963"/>
      <c r="U110" s="1963"/>
    </row>
    <row r="111" spans="1:21" ht="12.75" hidden="1">
      <c r="A111" s="1936" t="str">
        <f>IF(A110="N","N",IF(INDEX(FMTYPES,MATCH(FMTYPE5,METHOFCALCSHORT,0),1)=FMTYPEVAC,"Y","N"))</f>
        <v>N</v>
      </c>
      <c r="C111" s="1980" t="s">
        <v>1372</v>
      </c>
      <c r="D111" s="2777" t="s">
        <v>906</v>
      </c>
      <c r="E111" s="2778"/>
      <c r="F111" s="2778"/>
      <c r="G111" s="2778"/>
      <c r="H111" s="2778"/>
      <c r="I111" s="2778"/>
      <c r="J111" s="2779"/>
      <c r="K111" s="2702">
        <f>IF(PGUIDE5="N",U111,'FlowMeter (SS)'!I292)</f>
        <v>0</v>
      </c>
      <c r="L111" s="2703"/>
      <c r="M111" s="1963"/>
      <c r="N111" s="1963"/>
      <c r="O111" s="1963"/>
      <c r="P111" s="1963"/>
      <c r="Q111" s="1963"/>
      <c r="R111" s="1963"/>
      <c r="T111" s="2006" t="s">
        <v>1372</v>
      </c>
      <c r="U111" s="2007"/>
    </row>
    <row r="112" spans="1:21" ht="12.75" hidden="1">
      <c r="A112" s="1937" t="str">
        <f>A111</f>
        <v>N</v>
      </c>
      <c r="C112" s="1998" t="s">
        <v>1373</v>
      </c>
      <c r="D112" s="2780" t="s">
        <v>1374</v>
      </c>
      <c r="E112" s="2781"/>
      <c r="F112" s="2781"/>
      <c r="G112" s="2781"/>
      <c r="H112" s="2781"/>
      <c r="I112" s="2781"/>
      <c r="J112" s="2782"/>
      <c r="K112" s="2775">
        <f>IF(A111="N",K110,K110*K111)</f>
        <v>0</v>
      </c>
      <c r="L112" s="2776"/>
      <c r="M112" s="1963"/>
      <c r="N112" s="1963"/>
      <c r="O112" s="1963"/>
      <c r="P112" s="1963"/>
      <c r="Q112" s="1963"/>
      <c r="R112" s="1963"/>
      <c r="T112" s="1963"/>
      <c r="U112" s="1963"/>
    </row>
    <row r="113" spans="1:21" s="1972" customFormat="1" ht="8.25">
      <c r="A113" s="1946" t="str">
        <f>A114</f>
        <v>Y</v>
      </c>
      <c r="C113" s="1968"/>
      <c r="D113" s="1968"/>
      <c r="E113" s="1969"/>
      <c r="F113" s="1969"/>
      <c r="G113" s="1969"/>
      <c r="H113" s="1969"/>
      <c r="I113" s="1969"/>
      <c r="J113" s="1970"/>
      <c r="K113" s="1970"/>
      <c r="L113" s="1970"/>
      <c r="M113" s="1943"/>
      <c r="N113" s="1943"/>
      <c r="O113" s="1943"/>
      <c r="P113" s="1943"/>
      <c r="Q113" s="1943"/>
      <c r="R113" s="1943"/>
      <c r="T113" s="1943"/>
      <c r="U113" s="1943"/>
    </row>
    <row r="114" spans="1:21" ht="15" customHeight="1">
      <c r="A114" s="1936" t="str">
        <f>IF(OR(FMTYPE6=0,FMTYPE6="-",FMTYPE6=TANKMEAS),"N","Y")</f>
        <v>Y</v>
      </c>
      <c r="B114" s="13">
        <v>6</v>
      </c>
      <c r="C114" s="2002">
        <v>6</v>
      </c>
      <c r="D114" s="1977" t="str">
        <f>"Bunker Tanker / Grade:    "&amp;AB$23&amp;" / "&amp;AB$21&amp;" ["&amp;FMTYPE6&amp;"]"</f>
        <v>Bunker Tanker / Grade:    M/T YALÇIN 2 / LSMGO [Flow (Vac)]</v>
      </c>
      <c r="E114" s="1930"/>
      <c r="F114" s="1930"/>
      <c r="G114" s="1930"/>
      <c r="T114" s="2783" t="str">
        <f>IF(PGUIDE6="Y","Auto","Insert Manually")</f>
        <v>Auto</v>
      </c>
      <c r="U114" s="2784"/>
    </row>
    <row r="115" spans="1:21" ht="12.75">
      <c r="A115" s="1936" t="str">
        <f t="shared" ref="A115:A123" si="6">A114</f>
        <v>Y</v>
      </c>
      <c r="C115" s="1979" t="s">
        <v>868</v>
      </c>
      <c r="D115" s="2698" t="s">
        <v>1345</v>
      </c>
      <c r="E115" s="2698"/>
      <c r="F115" s="2698"/>
      <c r="G115" s="2698"/>
      <c r="H115" s="2698"/>
      <c r="I115" s="2698"/>
      <c r="J115" s="2698"/>
      <c r="K115" s="2699">
        <f>IF(PGUIDE6="N",U115,'FlowMeter (SS)'!I347)</f>
        <v>646700.21600000001</v>
      </c>
      <c r="L115" s="2700"/>
      <c r="M115" s="1963"/>
      <c r="N115" s="1963"/>
      <c r="O115" s="1963"/>
      <c r="P115" s="1963"/>
      <c r="Q115" s="1963"/>
      <c r="R115" s="1963"/>
      <c r="T115" s="2008" t="s">
        <v>868</v>
      </c>
      <c r="U115" s="1986"/>
    </row>
    <row r="116" spans="1:21" ht="12.75">
      <c r="A116" s="1936" t="str">
        <f t="shared" si="6"/>
        <v>Y</v>
      </c>
      <c r="C116" s="1980" t="s">
        <v>869</v>
      </c>
      <c r="D116" s="2701" t="s">
        <v>1346</v>
      </c>
      <c r="E116" s="2701"/>
      <c r="F116" s="2701"/>
      <c r="G116" s="2701"/>
      <c r="H116" s="2701"/>
      <c r="I116" s="2701"/>
      <c r="J116" s="2701"/>
      <c r="K116" s="2691">
        <f>IF(PGUIDE6="N",U116,'FlowMeter (SS)'!I348)</f>
        <v>646770</v>
      </c>
      <c r="L116" s="2692"/>
      <c r="M116" s="1963"/>
      <c r="N116" s="1963"/>
      <c r="O116" s="1963"/>
      <c r="P116" s="1963"/>
      <c r="Q116" s="1963"/>
      <c r="R116" s="1963"/>
      <c r="T116" s="2009" t="s">
        <v>869</v>
      </c>
      <c r="U116" s="2010"/>
    </row>
    <row r="117" spans="1:21" ht="12.75">
      <c r="A117" s="1936" t="str">
        <f t="shared" si="6"/>
        <v>Y</v>
      </c>
      <c r="C117" s="1981" t="s">
        <v>870</v>
      </c>
      <c r="D117" s="2693" t="str">
        <f>'FlowMeter (SS)'!D349</f>
        <v>Delivered Meter Quantity - Mass in Vaccum (B-A)</v>
      </c>
      <c r="E117" s="2693"/>
      <c r="F117" s="2693"/>
      <c r="G117" s="2693"/>
      <c r="H117" s="2693"/>
      <c r="I117" s="2693"/>
      <c r="J117" s="2693"/>
      <c r="K117" s="2694">
        <f>K116-K115</f>
        <v>69.783999999985099</v>
      </c>
      <c r="L117" s="2695"/>
      <c r="M117" s="1963"/>
      <c r="N117" s="1963"/>
      <c r="O117" s="1963"/>
      <c r="P117" s="1963"/>
      <c r="Q117" s="1963"/>
      <c r="R117" s="1963"/>
      <c r="T117" s="1963"/>
      <c r="U117" s="1963"/>
    </row>
    <row r="118" spans="1:21" s="1972" customFormat="1" ht="8.25">
      <c r="A118" s="1978" t="str">
        <f t="shared" si="6"/>
        <v>Y</v>
      </c>
      <c r="D118" s="2696"/>
      <c r="E118" s="2696"/>
      <c r="F118" s="2696"/>
      <c r="G118" s="2696"/>
      <c r="H118" s="2696"/>
      <c r="I118" s="2696"/>
      <c r="J118" s="2696"/>
      <c r="K118" s="2697"/>
      <c r="L118" s="2697"/>
      <c r="M118" s="1943"/>
      <c r="N118" s="1943"/>
      <c r="O118" s="1943"/>
      <c r="P118" s="1943"/>
      <c r="Q118" s="1943"/>
      <c r="R118" s="1943"/>
      <c r="T118" s="1943"/>
      <c r="U118" s="1943"/>
    </row>
    <row r="119" spans="1:21" ht="12.75">
      <c r="A119" s="1936" t="str">
        <f t="shared" si="6"/>
        <v>Y</v>
      </c>
      <c r="C119" s="1979" t="s">
        <v>871</v>
      </c>
      <c r="D119" s="2698" t="s">
        <v>1347</v>
      </c>
      <c r="E119" s="2698"/>
      <c r="F119" s="2698"/>
      <c r="G119" s="2698"/>
      <c r="H119" s="2698"/>
      <c r="I119" s="2698"/>
      <c r="J119" s="2698"/>
      <c r="K119" s="2699">
        <f>IF(PGUIDE6="N",U119,'FlowMeter (SS)'!I351)</f>
        <v>646035.67000000004</v>
      </c>
      <c r="L119" s="2700"/>
      <c r="M119" s="1963"/>
      <c r="N119" s="1963"/>
      <c r="O119" s="1963"/>
      <c r="P119" s="1963"/>
      <c r="Q119" s="1963"/>
      <c r="R119" s="1963"/>
      <c r="T119" s="2008" t="s">
        <v>871</v>
      </c>
      <c r="U119" s="1986"/>
    </row>
    <row r="120" spans="1:21" ht="12.75">
      <c r="A120" s="1936" t="str">
        <f t="shared" si="6"/>
        <v>Y</v>
      </c>
      <c r="C120" s="1980" t="s">
        <v>269</v>
      </c>
      <c r="D120" s="2701" t="s">
        <v>1348</v>
      </c>
      <c r="E120" s="2701"/>
      <c r="F120" s="2701"/>
      <c r="G120" s="2701"/>
      <c r="H120" s="2701"/>
      <c r="I120" s="2701"/>
      <c r="J120" s="2701"/>
      <c r="K120" s="2691">
        <f>IF(PGUIDE6="N",U120,'FlowMeter (SS)'!I352)</f>
        <v>646035.67000000004</v>
      </c>
      <c r="L120" s="2692"/>
      <c r="M120" s="1963"/>
      <c r="N120" s="1963"/>
      <c r="O120" s="1963"/>
      <c r="P120" s="1963"/>
      <c r="Q120" s="1963"/>
      <c r="R120" s="1963"/>
      <c r="T120" s="2009" t="s">
        <v>269</v>
      </c>
      <c r="U120" s="2010"/>
    </row>
    <row r="121" spans="1:21" ht="12.75">
      <c r="A121" s="1936" t="str">
        <f t="shared" si="6"/>
        <v>Y</v>
      </c>
      <c r="C121" s="1981" t="s">
        <v>872</v>
      </c>
      <c r="D121" s="2693" t="str">
        <f>'FlowMeter (SS)'!D353</f>
        <v>Loading Meter Quantity - Mass in Vaccum (E-D)</v>
      </c>
      <c r="E121" s="2693"/>
      <c r="F121" s="2693"/>
      <c r="G121" s="2693"/>
      <c r="H121" s="2693"/>
      <c r="I121" s="2693"/>
      <c r="J121" s="2693"/>
      <c r="K121" s="2694">
        <f>K120-K119</f>
        <v>0</v>
      </c>
      <c r="L121" s="2695"/>
      <c r="M121" s="1963"/>
      <c r="N121" s="1963"/>
      <c r="O121" s="1963"/>
      <c r="P121" s="1963"/>
      <c r="Q121" s="1963"/>
      <c r="R121" s="1963"/>
      <c r="T121" s="1963"/>
      <c r="U121" s="1963"/>
    </row>
    <row r="122" spans="1:21" s="1972" customFormat="1" ht="8.25">
      <c r="A122" s="1978" t="str">
        <f t="shared" si="6"/>
        <v>Y</v>
      </c>
      <c r="J122" s="1943"/>
      <c r="K122" s="2697"/>
      <c r="L122" s="2697"/>
      <c r="M122" s="1943"/>
      <c r="N122" s="1943"/>
      <c r="O122" s="1943"/>
      <c r="P122" s="1943"/>
      <c r="Q122" s="1943"/>
      <c r="R122" s="1943"/>
      <c r="T122" s="1943"/>
      <c r="U122" s="1943"/>
    </row>
    <row r="123" spans="1:21" ht="12.75">
      <c r="A123" s="1936" t="str">
        <f t="shared" si="6"/>
        <v>Y</v>
      </c>
      <c r="C123" s="1979" t="s">
        <v>22</v>
      </c>
      <c r="D123" s="2704" t="str">
        <f>'FlowMeter (SS)'!C355</f>
        <v>Quantity Delivered - Mass in Vaccum (C-F)</v>
      </c>
      <c r="E123" s="2705"/>
      <c r="F123" s="2705"/>
      <c r="G123" s="2705"/>
      <c r="H123" s="2705"/>
      <c r="I123" s="2705"/>
      <c r="J123" s="2706"/>
      <c r="K123" s="2699">
        <f>K117-K121</f>
        <v>69.783999999985099</v>
      </c>
      <c r="L123" s="2700"/>
      <c r="M123" s="1963"/>
      <c r="N123" s="1963"/>
      <c r="O123" s="1963"/>
      <c r="P123" s="1963"/>
      <c r="Q123" s="1963"/>
      <c r="R123" s="1963"/>
      <c r="T123" s="1963"/>
      <c r="U123" s="1963"/>
    </row>
    <row r="124" spans="1:21" ht="12.75">
      <c r="A124" s="1936" t="str">
        <f>IF(A123="N","N",IF(INDEX(FMTYPES,MATCH(FMTYPE6,METHOFCALCSHORT,0),1)=FMTYPEVAC,"Y","N"))</f>
        <v>Y</v>
      </c>
      <c r="C124" s="1980" t="s">
        <v>1372</v>
      </c>
      <c r="D124" s="2777" t="s">
        <v>906</v>
      </c>
      <c r="E124" s="2778"/>
      <c r="F124" s="2778"/>
      <c r="G124" s="2778"/>
      <c r="H124" s="2778"/>
      <c r="I124" s="2778"/>
      <c r="J124" s="2779"/>
      <c r="K124" s="2702">
        <f>IF(PGUIDE6="N",U124,'FlowMeter (SS)'!I356)</f>
        <v>0.99892499999999995</v>
      </c>
      <c r="L124" s="2703"/>
      <c r="M124" s="1963"/>
      <c r="N124" s="1963"/>
      <c r="O124" s="1963"/>
      <c r="P124" s="1963"/>
      <c r="Q124" s="1963"/>
      <c r="R124" s="1963"/>
      <c r="T124" s="2006" t="s">
        <v>1372</v>
      </c>
      <c r="U124" s="2007"/>
    </row>
    <row r="125" spans="1:21" ht="12.75">
      <c r="A125" s="1937" t="str">
        <f>A124</f>
        <v>Y</v>
      </c>
      <c r="C125" s="1998" t="s">
        <v>1373</v>
      </c>
      <c r="D125" s="2780" t="s">
        <v>1374</v>
      </c>
      <c r="E125" s="2781"/>
      <c r="F125" s="2781"/>
      <c r="G125" s="2781"/>
      <c r="H125" s="2781"/>
      <c r="I125" s="2781"/>
      <c r="J125" s="2782"/>
      <c r="K125" s="2775">
        <f>IF(A124="N",K123,K123*K124)</f>
        <v>69.708982199985115</v>
      </c>
      <c r="L125" s="2776"/>
      <c r="M125" s="1963"/>
      <c r="N125" s="1963"/>
      <c r="O125" s="1963"/>
      <c r="P125" s="1963"/>
      <c r="Q125" s="1963"/>
      <c r="R125" s="1963"/>
      <c r="T125" s="1963"/>
      <c r="U125" s="1963"/>
    </row>
    <row r="126" spans="1:21" s="1972" customFormat="1" ht="8.25">
      <c r="A126" s="1946" t="str">
        <f>A127</f>
        <v>Y</v>
      </c>
      <c r="C126" s="1968"/>
      <c r="D126" s="1968"/>
      <c r="E126" s="1969"/>
      <c r="F126" s="1969"/>
      <c r="G126" s="1969"/>
      <c r="H126" s="1969"/>
      <c r="I126" s="1969"/>
      <c r="J126" s="1970"/>
      <c r="K126" s="1970"/>
      <c r="L126" s="1970"/>
      <c r="M126" s="1943"/>
      <c r="N126" s="1943"/>
      <c r="O126" s="1943"/>
      <c r="P126" s="1943"/>
      <c r="Q126" s="1943"/>
      <c r="R126" s="1943"/>
      <c r="T126" s="1943"/>
      <c r="U126" s="1943"/>
    </row>
    <row r="127" spans="1:21" ht="15" customHeight="1">
      <c r="A127" s="1937" t="str">
        <f>IF(COUNTIF(A128:A216,"Y")&gt;0,"Y","N")</f>
        <v>Y</v>
      </c>
      <c r="C127" s="1930" t="s">
        <v>1376</v>
      </c>
      <c r="D127" s="1930"/>
      <c r="E127" s="1930"/>
      <c r="F127" s="1930"/>
      <c r="G127" s="1930"/>
      <c r="H127" s="1930"/>
    </row>
    <row r="128" spans="1:21" ht="15" customHeight="1">
      <c r="A128" s="1962" t="str">
        <f>IF(OR(FMTYPE1=0,FMTYPE1="-",FMTYPE1=TANKMEAS,PICFLOWSEL=2),"N","Y")</f>
        <v>Y</v>
      </c>
      <c r="B128" s="13">
        <v>1</v>
      </c>
      <c r="C128" s="2001">
        <v>1</v>
      </c>
      <c r="D128" s="1930"/>
      <c r="E128" s="1930"/>
      <c r="F128" s="1930"/>
      <c r="G128" s="1930"/>
      <c r="H128" s="1930"/>
      <c r="K128" s="1985" t="str">
        <f>D49</f>
        <v>Bunker Tanker / Grade:    M/T YALÇIN 2 /  [Flow (Air)]</v>
      </c>
    </row>
    <row r="129" spans="1:17" ht="15">
      <c r="A129" s="1936" t="str">
        <f>A128</f>
        <v>Y</v>
      </c>
      <c r="C129" s="1930"/>
      <c r="D129" s="1930"/>
      <c r="E129" s="2785"/>
      <c r="F129" s="2785"/>
      <c r="G129" s="2785"/>
      <c r="H129" s="2785"/>
      <c r="I129" s="2785"/>
      <c r="J129" s="2785"/>
      <c r="L129" s="2786"/>
      <c r="M129" s="2786"/>
      <c r="N129" s="2786"/>
      <c r="O129" s="2786"/>
      <c r="P129" s="2786"/>
      <c r="Q129" s="2786"/>
    </row>
    <row r="130" spans="1:17" ht="15">
      <c r="A130" s="1936" t="str">
        <f>A129</f>
        <v>Y</v>
      </c>
      <c r="C130" s="1930"/>
      <c r="D130" s="1930"/>
      <c r="E130" s="2785"/>
      <c r="F130" s="2785"/>
      <c r="G130" s="2785"/>
      <c r="H130" s="2785"/>
      <c r="I130" s="2785"/>
      <c r="J130" s="2785"/>
      <c r="L130" s="2786"/>
      <c r="M130" s="2786"/>
      <c r="N130" s="2786"/>
      <c r="O130" s="2786"/>
      <c r="P130" s="2786"/>
      <c r="Q130" s="2786"/>
    </row>
    <row r="131" spans="1:17" ht="15">
      <c r="A131" s="1936" t="str">
        <f>A130</f>
        <v>Y</v>
      </c>
      <c r="C131" s="1930"/>
      <c r="D131" s="1930"/>
      <c r="E131" s="2785"/>
      <c r="F131" s="2785"/>
      <c r="G131" s="2785"/>
      <c r="H131" s="2785"/>
      <c r="I131" s="2785"/>
      <c r="J131" s="2785"/>
      <c r="L131" s="2786"/>
      <c r="M131" s="2786"/>
      <c r="N131" s="2786"/>
      <c r="O131" s="2786"/>
      <c r="P131" s="2786"/>
      <c r="Q131" s="2786"/>
    </row>
    <row r="132" spans="1:17" ht="15">
      <c r="A132" s="1936" t="str">
        <f t="shared" ref="A132:A141" si="7">A131</f>
        <v>Y</v>
      </c>
      <c r="C132" s="1930"/>
      <c r="D132" s="1930"/>
      <c r="E132" s="2785"/>
      <c r="F132" s="2785"/>
      <c r="G132" s="2785"/>
      <c r="H132" s="2785"/>
      <c r="I132" s="2785"/>
      <c r="J132" s="2785"/>
      <c r="L132" s="2786"/>
      <c r="M132" s="2786"/>
      <c r="N132" s="2786"/>
      <c r="O132" s="2786"/>
      <c r="P132" s="2786"/>
      <c r="Q132" s="2786"/>
    </row>
    <row r="133" spans="1:17" ht="15">
      <c r="A133" s="1936" t="str">
        <f t="shared" si="7"/>
        <v>Y</v>
      </c>
      <c r="C133" s="1930"/>
      <c r="D133" s="1930"/>
      <c r="E133" s="2785"/>
      <c r="F133" s="2785"/>
      <c r="G133" s="2785"/>
      <c r="H133" s="2785"/>
      <c r="I133" s="2785"/>
      <c r="J133" s="2785"/>
      <c r="L133" s="2786"/>
      <c r="M133" s="2786"/>
      <c r="N133" s="2786"/>
      <c r="O133" s="2786"/>
      <c r="P133" s="2786"/>
      <c r="Q133" s="2786"/>
    </row>
    <row r="134" spans="1:17" ht="15">
      <c r="A134" s="1936" t="str">
        <f t="shared" si="7"/>
        <v>Y</v>
      </c>
      <c r="C134" s="1930"/>
      <c r="D134" s="1930"/>
      <c r="E134" s="2785"/>
      <c r="F134" s="2785"/>
      <c r="G134" s="2785"/>
      <c r="H134" s="2785"/>
      <c r="I134" s="2785"/>
      <c r="J134" s="2785"/>
      <c r="L134" s="2786"/>
      <c r="M134" s="2786"/>
      <c r="N134" s="2786"/>
      <c r="O134" s="2786"/>
      <c r="P134" s="2786"/>
      <c r="Q134" s="2786"/>
    </row>
    <row r="135" spans="1:17" ht="15">
      <c r="A135" s="1936" t="str">
        <f t="shared" si="7"/>
        <v>Y</v>
      </c>
      <c r="C135" s="1930"/>
      <c r="D135" s="1930"/>
      <c r="E135" s="2785"/>
      <c r="F135" s="2785"/>
      <c r="G135" s="2785"/>
      <c r="H135" s="2785"/>
      <c r="I135" s="2785"/>
      <c r="J135" s="2785"/>
      <c r="L135" s="2786"/>
      <c r="M135" s="2786"/>
      <c r="N135" s="2786"/>
      <c r="O135" s="2786"/>
      <c r="P135" s="2786"/>
      <c r="Q135" s="2786"/>
    </row>
    <row r="136" spans="1:17" ht="15">
      <c r="A136" s="1936" t="str">
        <f t="shared" si="7"/>
        <v>Y</v>
      </c>
      <c r="C136" s="1930"/>
      <c r="D136" s="1930"/>
      <c r="E136" s="2785"/>
      <c r="F136" s="2785"/>
      <c r="G136" s="2785"/>
      <c r="H136" s="2785"/>
      <c r="I136" s="2785"/>
      <c r="J136" s="2785"/>
      <c r="L136" s="2786"/>
      <c r="M136" s="2786"/>
      <c r="N136" s="2786"/>
      <c r="O136" s="2786"/>
      <c r="P136" s="2786"/>
      <c r="Q136" s="2786"/>
    </row>
    <row r="137" spans="1:17" ht="15">
      <c r="A137" s="1936" t="str">
        <f t="shared" si="7"/>
        <v>Y</v>
      </c>
      <c r="C137" s="1930"/>
      <c r="D137" s="1930"/>
      <c r="E137" s="2785"/>
      <c r="F137" s="2785"/>
      <c r="G137" s="2785"/>
      <c r="H137" s="2785"/>
      <c r="I137" s="2785"/>
      <c r="J137" s="2785"/>
      <c r="L137" s="2786"/>
      <c r="M137" s="2786"/>
      <c r="N137" s="2786"/>
      <c r="O137" s="2786"/>
      <c r="P137" s="2786"/>
      <c r="Q137" s="2786"/>
    </row>
    <row r="138" spans="1:17" ht="15">
      <c r="A138" s="1936" t="str">
        <f t="shared" si="7"/>
        <v>Y</v>
      </c>
      <c r="C138" s="1930"/>
      <c r="D138" s="1930"/>
      <c r="E138" s="2785"/>
      <c r="F138" s="2785"/>
      <c r="G138" s="2785"/>
      <c r="H138" s="2785"/>
      <c r="I138" s="2785"/>
      <c r="J138" s="2785"/>
      <c r="L138" s="2786"/>
      <c r="M138" s="2786"/>
      <c r="N138" s="2786"/>
      <c r="O138" s="2786"/>
      <c r="P138" s="2786"/>
      <c r="Q138" s="2786"/>
    </row>
    <row r="139" spans="1:17" ht="15">
      <c r="A139" s="1936" t="str">
        <f t="shared" si="7"/>
        <v>Y</v>
      </c>
      <c r="C139" s="1930"/>
      <c r="D139" s="1930"/>
      <c r="E139" s="2785"/>
      <c r="F139" s="2785"/>
      <c r="G139" s="2785"/>
      <c r="H139" s="2785"/>
      <c r="I139" s="2785"/>
      <c r="J139" s="2785"/>
      <c r="L139" s="2786"/>
      <c r="M139" s="2786"/>
      <c r="N139" s="2786"/>
      <c r="O139" s="2786"/>
      <c r="P139" s="2786"/>
      <c r="Q139" s="2786"/>
    </row>
    <row r="140" spans="1:17" ht="15">
      <c r="A140" s="1936" t="str">
        <f t="shared" si="7"/>
        <v>Y</v>
      </c>
      <c r="C140" s="1930"/>
      <c r="D140" s="1930"/>
      <c r="E140" s="2785"/>
      <c r="F140" s="2785"/>
      <c r="G140" s="2785"/>
      <c r="H140" s="2785"/>
      <c r="I140" s="2785"/>
      <c r="J140" s="2785"/>
      <c r="L140" s="2786"/>
      <c r="M140" s="2786"/>
      <c r="N140" s="2786"/>
      <c r="O140" s="2786"/>
      <c r="P140" s="2786"/>
      <c r="Q140" s="2786"/>
    </row>
    <row r="141" spans="1:17" ht="15">
      <c r="A141" s="1937" t="str">
        <f t="shared" si="7"/>
        <v>Y</v>
      </c>
      <c r="C141" s="1930"/>
      <c r="D141" s="1930"/>
      <c r="E141" s="2785" t="s">
        <v>1377</v>
      </c>
      <c r="F141" s="2785"/>
      <c r="G141" s="2785"/>
      <c r="H141" s="2785"/>
      <c r="I141" s="2785"/>
      <c r="J141" s="2785"/>
      <c r="L141" s="2785" t="s">
        <v>1378</v>
      </c>
      <c r="M141" s="2785"/>
      <c r="N141" s="2785"/>
      <c r="O141" s="2785"/>
      <c r="P141" s="2785"/>
      <c r="Q141" s="2785"/>
    </row>
    <row r="142" spans="1:17" s="1972" customFormat="1" ht="8.25" hidden="1">
      <c r="A142" s="1946" t="str">
        <f>A143</f>
        <v>N</v>
      </c>
      <c r="C142" s="2003"/>
      <c r="D142" s="2003"/>
      <c r="E142" s="2003"/>
      <c r="F142" s="2003"/>
      <c r="G142" s="2003"/>
      <c r="H142" s="2003"/>
    </row>
    <row r="143" spans="1:17" ht="15" hidden="1">
      <c r="A143" s="1936" t="str">
        <f>IF(OR(FMTYPE2=0,FMTYPE2="-",FMTYPE2=TANKMEAS,PICFLOWSEL=2),"N","Y")</f>
        <v>N</v>
      </c>
      <c r="B143" s="13">
        <v>2</v>
      </c>
      <c r="C143" s="2001">
        <v>2</v>
      </c>
      <c r="D143" s="1930"/>
      <c r="E143" s="1930"/>
      <c r="F143" s="1930"/>
      <c r="G143" s="1930"/>
      <c r="H143" s="1930"/>
      <c r="K143" s="1985" t="str">
        <f>D62</f>
        <v>Bunker Tanker / Grade:    M/T YALÇIN 2 / LSFO []</v>
      </c>
    </row>
    <row r="144" spans="1:17" ht="15" hidden="1">
      <c r="A144" s="1936" t="str">
        <f>A143</f>
        <v>N</v>
      </c>
      <c r="C144" s="1930"/>
      <c r="D144" s="1930"/>
      <c r="E144" s="2785"/>
      <c r="F144" s="2785"/>
      <c r="G144" s="2785"/>
      <c r="H144" s="2785"/>
      <c r="I144" s="2785"/>
      <c r="J144" s="2785"/>
      <c r="L144" s="2786"/>
      <c r="M144" s="2786"/>
      <c r="N144" s="2786"/>
      <c r="O144" s="2786"/>
      <c r="P144" s="2786"/>
      <c r="Q144" s="2786"/>
    </row>
    <row r="145" spans="1:17" ht="15" hidden="1">
      <c r="A145" s="1936" t="str">
        <f t="shared" ref="A145:A156" si="8">A144</f>
        <v>N</v>
      </c>
      <c r="C145" s="1930"/>
      <c r="D145" s="1930"/>
      <c r="E145" s="2785"/>
      <c r="F145" s="2785"/>
      <c r="G145" s="2785"/>
      <c r="H145" s="2785"/>
      <c r="I145" s="2785"/>
      <c r="J145" s="2785"/>
      <c r="L145" s="2786"/>
      <c r="M145" s="2786"/>
      <c r="N145" s="2786"/>
      <c r="O145" s="2786"/>
      <c r="P145" s="2786"/>
      <c r="Q145" s="2786"/>
    </row>
    <row r="146" spans="1:17" ht="15" hidden="1">
      <c r="A146" s="1936" t="str">
        <f t="shared" si="8"/>
        <v>N</v>
      </c>
      <c r="C146" s="1930"/>
      <c r="D146" s="1930"/>
      <c r="E146" s="2785"/>
      <c r="F146" s="2785"/>
      <c r="G146" s="2785"/>
      <c r="H146" s="2785"/>
      <c r="I146" s="2785"/>
      <c r="J146" s="2785"/>
      <c r="L146" s="2786"/>
      <c r="M146" s="2786"/>
      <c r="N146" s="2786"/>
      <c r="O146" s="2786"/>
      <c r="P146" s="2786"/>
      <c r="Q146" s="2786"/>
    </row>
    <row r="147" spans="1:17" ht="15" hidden="1">
      <c r="A147" s="1936" t="str">
        <f t="shared" si="8"/>
        <v>N</v>
      </c>
      <c r="C147" s="1930"/>
      <c r="D147" s="1930"/>
      <c r="E147" s="2785"/>
      <c r="F147" s="2785"/>
      <c r="G147" s="2785"/>
      <c r="H147" s="2785"/>
      <c r="I147" s="2785"/>
      <c r="J147" s="2785"/>
      <c r="L147" s="2786"/>
      <c r="M147" s="2786"/>
      <c r="N147" s="2786"/>
      <c r="O147" s="2786"/>
      <c r="P147" s="2786"/>
      <c r="Q147" s="2786"/>
    </row>
    <row r="148" spans="1:17" ht="15" hidden="1">
      <c r="A148" s="1936" t="str">
        <f t="shared" si="8"/>
        <v>N</v>
      </c>
      <c r="C148" s="1930"/>
      <c r="D148" s="1930"/>
      <c r="E148" s="2785"/>
      <c r="F148" s="2785"/>
      <c r="G148" s="2785"/>
      <c r="H148" s="2785"/>
      <c r="I148" s="2785"/>
      <c r="J148" s="2785"/>
      <c r="L148" s="2786"/>
      <c r="M148" s="2786"/>
      <c r="N148" s="2786"/>
      <c r="O148" s="2786"/>
      <c r="P148" s="2786"/>
      <c r="Q148" s="2786"/>
    </row>
    <row r="149" spans="1:17" ht="15" hidden="1">
      <c r="A149" s="1936" t="str">
        <f t="shared" si="8"/>
        <v>N</v>
      </c>
      <c r="C149" s="1930"/>
      <c r="D149" s="1930"/>
      <c r="E149" s="2785"/>
      <c r="F149" s="2785"/>
      <c r="G149" s="2785"/>
      <c r="H149" s="2785"/>
      <c r="I149" s="2785"/>
      <c r="J149" s="2785"/>
      <c r="L149" s="2786"/>
      <c r="M149" s="2786"/>
      <c r="N149" s="2786"/>
      <c r="O149" s="2786"/>
      <c r="P149" s="2786"/>
      <c r="Q149" s="2786"/>
    </row>
    <row r="150" spans="1:17" ht="15" hidden="1">
      <c r="A150" s="1936" t="str">
        <f t="shared" si="8"/>
        <v>N</v>
      </c>
      <c r="C150" s="1930"/>
      <c r="D150" s="1930"/>
      <c r="E150" s="2785"/>
      <c r="F150" s="2785"/>
      <c r="G150" s="2785"/>
      <c r="H150" s="2785"/>
      <c r="I150" s="2785"/>
      <c r="J150" s="2785"/>
      <c r="L150" s="2786"/>
      <c r="M150" s="2786"/>
      <c r="N150" s="2786"/>
      <c r="O150" s="2786"/>
      <c r="P150" s="2786"/>
      <c r="Q150" s="2786"/>
    </row>
    <row r="151" spans="1:17" ht="15" hidden="1">
      <c r="A151" s="1936" t="str">
        <f t="shared" si="8"/>
        <v>N</v>
      </c>
      <c r="C151" s="1930"/>
      <c r="D151" s="1930"/>
      <c r="E151" s="2785"/>
      <c r="F151" s="2785"/>
      <c r="G151" s="2785"/>
      <c r="H151" s="2785"/>
      <c r="I151" s="2785"/>
      <c r="J151" s="2785"/>
      <c r="L151" s="2786"/>
      <c r="M151" s="2786"/>
      <c r="N151" s="2786"/>
      <c r="O151" s="2786"/>
      <c r="P151" s="2786"/>
      <c r="Q151" s="2786"/>
    </row>
    <row r="152" spans="1:17" ht="15" hidden="1">
      <c r="A152" s="1936" t="str">
        <f t="shared" si="8"/>
        <v>N</v>
      </c>
      <c r="C152" s="1930"/>
      <c r="D152" s="1930"/>
      <c r="E152" s="2785"/>
      <c r="F152" s="2785"/>
      <c r="G152" s="2785"/>
      <c r="H152" s="2785"/>
      <c r="I152" s="2785"/>
      <c r="J152" s="2785"/>
      <c r="L152" s="2786"/>
      <c r="M152" s="2786"/>
      <c r="N152" s="2786"/>
      <c r="O152" s="2786"/>
      <c r="P152" s="2786"/>
      <c r="Q152" s="2786"/>
    </row>
    <row r="153" spans="1:17" ht="15" hidden="1">
      <c r="A153" s="1936" t="str">
        <f t="shared" si="8"/>
        <v>N</v>
      </c>
      <c r="C153" s="1930"/>
      <c r="D153" s="1930"/>
      <c r="E153" s="2785"/>
      <c r="F153" s="2785"/>
      <c r="G153" s="2785"/>
      <c r="H153" s="2785"/>
      <c r="I153" s="2785"/>
      <c r="J153" s="2785"/>
      <c r="L153" s="2786"/>
      <c r="M153" s="2786"/>
      <c r="N153" s="2786"/>
      <c r="O153" s="2786"/>
      <c r="P153" s="2786"/>
      <c r="Q153" s="2786"/>
    </row>
    <row r="154" spans="1:17" ht="15" hidden="1">
      <c r="A154" s="1936" t="str">
        <f t="shared" si="8"/>
        <v>N</v>
      </c>
      <c r="C154" s="1930"/>
      <c r="D154" s="1930"/>
      <c r="E154" s="2785"/>
      <c r="F154" s="2785"/>
      <c r="G154" s="2785"/>
      <c r="H154" s="2785"/>
      <c r="I154" s="2785"/>
      <c r="J154" s="2785"/>
      <c r="L154" s="2786"/>
      <c r="M154" s="2786"/>
      <c r="N154" s="2786"/>
      <c r="O154" s="2786"/>
      <c r="P154" s="2786"/>
      <c r="Q154" s="2786"/>
    </row>
    <row r="155" spans="1:17" ht="15" hidden="1">
      <c r="A155" s="1936" t="str">
        <f t="shared" si="8"/>
        <v>N</v>
      </c>
      <c r="C155" s="1930"/>
      <c r="D155" s="1930"/>
      <c r="E155" s="2785"/>
      <c r="F155" s="2785"/>
      <c r="G155" s="2785"/>
      <c r="H155" s="2785"/>
      <c r="I155" s="2785"/>
      <c r="J155" s="2785"/>
      <c r="L155" s="2786"/>
      <c r="M155" s="2786"/>
      <c r="N155" s="2786"/>
      <c r="O155" s="2786"/>
      <c r="P155" s="2786"/>
      <c r="Q155" s="2786"/>
    </row>
    <row r="156" spans="1:17" ht="15" hidden="1">
      <c r="A156" s="1937" t="str">
        <f t="shared" si="8"/>
        <v>N</v>
      </c>
      <c r="C156" s="1930"/>
      <c r="D156" s="1930"/>
      <c r="E156" s="2785" t="s">
        <v>1377</v>
      </c>
      <c r="F156" s="2785"/>
      <c r="G156" s="2785"/>
      <c r="H156" s="2785"/>
      <c r="I156" s="2785"/>
      <c r="J156" s="2785"/>
      <c r="L156" s="2785" t="s">
        <v>1378</v>
      </c>
      <c r="M156" s="2785"/>
      <c r="N156" s="2785"/>
      <c r="O156" s="2785"/>
      <c r="P156" s="2785"/>
      <c r="Q156" s="2785"/>
    </row>
    <row r="157" spans="1:17" s="1972" customFormat="1" ht="8.25" hidden="1">
      <c r="A157" s="1946" t="str">
        <f>A158</f>
        <v>N</v>
      </c>
      <c r="C157" s="2003"/>
      <c r="D157" s="2003"/>
      <c r="E157" s="2003"/>
      <c r="F157" s="2003"/>
      <c r="G157" s="2003"/>
      <c r="H157" s="2003"/>
    </row>
    <row r="158" spans="1:17" ht="15" hidden="1">
      <c r="A158" s="1936" t="str">
        <f>IF(OR(FMTYPE3=0,FMTYPE3="-",FMTYPE3=TANKMEAS,PICFLOWSEL=2),"N","Y")</f>
        <v>N</v>
      </c>
      <c r="B158" s="13">
        <v>3</v>
      </c>
      <c r="C158" s="2001">
        <v>3</v>
      </c>
      <c r="D158" s="1930"/>
      <c r="E158" s="1930"/>
      <c r="F158" s="1930"/>
      <c r="G158" s="1930"/>
      <c r="H158" s="1930"/>
      <c r="K158" s="1985" t="str">
        <f>D75</f>
        <v>Bunker Tanker / Grade:    M/T YALÇIN 2 /  []</v>
      </c>
    </row>
    <row r="159" spans="1:17" ht="15" hidden="1">
      <c r="A159" s="1936" t="str">
        <f>A158</f>
        <v>N</v>
      </c>
      <c r="C159" s="1930"/>
      <c r="D159" s="1930"/>
      <c r="E159" s="2785"/>
      <c r="F159" s="2785"/>
      <c r="G159" s="2785"/>
      <c r="H159" s="2785"/>
      <c r="I159" s="2785"/>
      <c r="J159" s="2785"/>
      <c r="L159" s="2786"/>
      <c r="M159" s="2786"/>
      <c r="N159" s="2786"/>
      <c r="O159" s="2786"/>
      <c r="P159" s="2786"/>
      <c r="Q159" s="2786"/>
    </row>
    <row r="160" spans="1:17" ht="15" hidden="1">
      <c r="A160" s="1936" t="str">
        <f t="shared" ref="A160:A171" si="9">A159</f>
        <v>N</v>
      </c>
      <c r="C160" s="1930"/>
      <c r="D160" s="1930"/>
      <c r="E160" s="2785"/>
      <c r="F160" s="2785"/>
      <c r="G160" s="2785"/>
      <c r="H160" s="2785"/>
      <c r="I160" s="2785"/>
      <c r="J160" s="2785"/>
      <c r="L160" s="2786"/>
      <c r="M160" s="2786"/>
      <c r="N160" s="2786"/>
      <c r="O160" s="2786"/>
      <c r="P160" s="2786"/>
      <c r="Q160" s="2786"/>
    </row>
    <row r="161" spans="1:17" ht="15" hidden="1">
      <c r="A161" s="1936" t="str">
        <f t="shared" si="9"/>
        <v>N</v>
      </c>
      <c r="C161" s="1930"/>
      <c r="D161" s="1930"/>
      <c r="E161" s="2785"/>
      <c r="F161" s="2785"/>
      <c r="G161" s="2785"/>
      <c r="H161" s="2785"/>
      <c r="I161" s="2785"/>
      <c r="J161" s="2785"/>
      <c r="L161" s="2786"/>
      <c r="M161" s="2786"/>
      <c r="N161" s="2786"/>
      <c r="O161" s="2786"/>
      <c r="P161" s="2786"/>
      <c r="Q161" s="2786"/>
    </row>
    <row r="162" spans="1:17" ht="15" hidden="1">
      <c r="A162" s="1936" t="str">
        <f t="shared" si="9"/>
        <v>N</v>
      </c>
      <c r="C162" s="1930"/>
      <c r="D162" s="1930"/>
      <c r="E162" s="2785"/>
      <c r="F162" s="2785"/>
      <c r="G162" s="2785"/>
      <c r="H162" s="2785"/>
      <c r="I162" s="2785"/>
      <c r="J162" s="2785"/>
      <c r="L162" s="2786"/>
      <c r="M162" s="2786"/>
      <c r="N162" s="2786"/>
      <c r="O162" s="2786"/>
      <c r="P162" s="2786"/>
      <c r="Q162" s="2786"/>
    </row>
    <row r="163" spans="1:17" ht="15" hidden="1">
      <c r="A163" s="1936" t="str">
        <f t="shared" si="9"/>
        <v>N</v>
      </c>
      <c r="C163" s="1930"/>
      <c r="D163" s="1930"/>
      <c r="E163" s="2785"/>
      <c r="F163" s="2785"/>
      <c r="G163" s="2785"/>
      <c r="H163" s="2785"/>
      <c r="I163" s="2785"/>
      <c r="J163" s="2785"/>
      <c r="L163" s="2786"/>
      <c r="M163" s="2786"/>
      <c r="N163" s="2786"/>
      <c r="O163" s="2786"/>
      <c r="P163" s="2786"/>
      <c r="Q163" s="2786"/>
    </row>
    <row r="164" spans="1:17" ht="15" hidden="1">
      <c r="A164" s="1936" t="str">
        <f t="shared" si="9"/>
        <v>N</v>
      </c>
      <c r="C164" s="1930"/>
      <c r="D164" s="1930"/>
      <c r="E164" s="2785"/>
      <c r="F164" s="2785"/>
      <c r="G164" s="2785"/>
      <c r="H164" s="2785"/>
      <c r="I164" s="2785"/>
      <c r="J164" s="2785"/>
      <c r="L164" s="2786"/>
      <c r="M164" s="2786"/>
      <c r="N164" s="2786"/>
      <c r="O164" s="2786"/>
      <c r="P164" s="2786"/>
      <c r="Q164" s="2786"/>
    </row>
    <row r="165" spans="1:17" ht="15" hidden="1">
      <c r="A165" s="1936" t="str">
        <f t="shared" si="9"/>
        <v>N</v>
      </c>
      <c r="C165" s="1930"/>
      <c r="D165" s="1930"/>
      <c r="E165" s="2785"/>
      <c r="F165" s="2785"/>
      <c r="G165" s="2785"/>
      <c r="H165" s="2785"/>
      <c r="I165" s="2785"/>
      <c r="J165" s="2785"/>
      <c r="L165" s="2786"/>
      <c r="M165" s="2786"/>
      <c r="N165" s="2786"/>
      <c r="O165" s="2786"/>
      <c r="P165" s="2786"/>
      <c r="Q165" s="2786"/>
    </row>
    <row r="166" spans="1:17" ht="15" hidden="1">
      <c r="A166" s="1936" t="str">
        <f t="shared" si="9"/>
        <v>N</v>
      </c>
      <c r="C166" s="1930"/>
      <c r="D166" s="1930"/>
      <c r="E166" s="2785"/>
      <c r="F166" s="2785"/>
      <c r="G166" s="2785"/>
      <c r="H166" s="2785"/>
      <c r="I166" s="2785"/>
      <c r="J166" s="2785"/>
      <c r="L166" s="2786"/>
      <c r="M166" s="2786"/>
      <c r="N166" s="2786"/>
      <c r="O166" s="2786"/>
      <c r="P166" s="2786"/>
      <c r="Q166" s="2786"/>
    </row>
    <row r="167" spans="1:17" ht="15" hidden="1">
      <c r="A167" s="1936" t="str">
        <f t="shared" si="9"/>
        <v>N</v>
      </c>
      <c r="C167" s="1930"/>
      <c r="D167" s="1930"/>
      <c r="E167" s="2785"/>
      <c r="F167" s="2785"/>
      <c r="G167" s="2785"/>
      <c r="H167" s="2785"/>
      <c r="I167" s="2785"/>
      <c r="J167" s="2785"/>
      <c r="L167" s="2786"/>
      <c r="M167" s="2786"/>
      <c r="N167" s="2786"/>
      <c r="O167" s="2786"/>
      <c r="P167" s="2786"/>
      <c r="Q167" s="2786"/>
    </row>
    <row r="168" spans="1:17" ht="15" hidden="1">
      <c r="A168" s="1936" t="str">
        <f t="shared" si="9"/>
        <v>N</v>
      </c>
      <c r="C168" s="1930"/>
      <c r="D168" s="1930"/>
      <c r="E168" s="2785"/>
      <c r="F168" s="2785"/>
      <c r="G168" s="2785"/>
      <c r="H168" s="2785"/>
      <c r="I168" s="2785"/>
      <c r="J168" s="2785"/>
      <c r="L168" s="2786"/>
      <c r="M168" s="2786"/>
      <c r="N168" s="2786"/>
      <c r="O168" s="2786"/>
      <c r="P168" s="2786"/>
      <c r="Q168" s="2786"/>
    </row>
    <row r="169" spans="1:17" ht="15" hidden="1">
      <c r="A169" s="1936" t="str">
        <f t="shared" si="9"/>
        <v>N</v>
      </c>
      <c r="C169" s="1930"/>
      <c r="D169" s="1930"/>
      <c r="E169" s="2785"/>
      <c r="F169" s="2785"/>
      <c r="G169" s="2785"/>
      <c r="H169" s="2785"/>
      <c r="I169" s="2785"/>
      <c r="J169" s="2785"/>
      <c r="L169" s="2786"/>
      <c r="M169" s="2786"/>
      <c r="N169" s="2786"/>
      <c r="O169" s="2786"/>
      <c r="P169" s="2786"/>
      <c r="Q169" s="2786"/>
    </row>
    <row r="170" spans="1:17" ht="15" hidden="1">
      <c r="A170" s="1936" t="str">
        <f t="shared" si="9"/>
        <v>N</v>
      </c>
      <c r="C170" s="1930"/>
      <c r="D170" s="1930"/>
      <c r="E170" s="2785"/>
      <c r="F170" s="2785"/>
      <c r="G170" s="2785"/>
      <c r="H170" s="2785"/>
      <c r="I170" s="2785"/>
      <c r="J170" s="2785"/>
      <c r="L170" s="2786"/>
      <c r="M170" s="2786"/>
      <c r="N170" s="2786"/>
      <c r="O170" s="2786"/>
      <c r="P170" s="2786"/>
      <c r="Q170" s="2786"/>
    </row>
    <row r="171" spans="1:17" ht="15" hidden="1">
      <c r="A171" s="1937" t="str">
        <f t="shared" si="9"/>
        <v>N</v>
      </c>
      <c r="C171" s="1930"/>
      <c r="D171" s="1930"/>
      <c r="E171" s="2785" t="s">
        <v>1377</v>
      </c>
      <c r="F171" s="2785"/>
      <c r="G171" s="2785"/>
      <c r="H171" s="2785"/>
      <c r="I171" s="2785"/>
      <c r="J171" s="2785"/>
      <c r="L171" s="2785" t="s">
        <v>1378</v>
      </c>
      <c r="M171" s="2785"/>
      <c r="N171" s="2785"/>
      <c r="O171" s="2785"/>
      <c r="P171" s="2785"/>
      <c r="Q171" s="2785"/>
    </row>
    <row r="172" spans="1:17" s="1972" customFormat="1" ht="8.25" hidden="1">
      <c r="A172" s="1946" t="str">
        <f>A173</f>
        <v>N</v>
      </c>
      <c r="C172" s="2003"/>
      <c r="D172" s="2003"/>
      <c r="E172" s="2003"/>
      <c r="F172" s="2003"/>
      <c r="G172" s="2003"/>
      <c r="H172" s="2003"/>
    </row>
    <row r="173" spans="1:17" ht="15" hidden="1">
      <c r="A173" s="1936" t="str">
        <f>IF(OR(FMTYPE4=0,FMTYPE4="-",FMTYPE4=TANKMEAS,PICFLOWSEL=2),"N","Y")</f>
        <v>N</v>
      </c>
      <c r="B173" s="13">
        <v>4</v>
      </c>
      <c r="C173" s="2001">
        <v>4</v>
      </c>
      <c r="D173" s="1930"/>
      <c r="E173" s="1930"/>
      <c r="F173" s="1930"/>
      <c r="G173" s="1930"/>
      <c r="H173" s="1930"/>
      <c r="K173" s="1985" t="str">
        <f>D88</f>
        <v>Bunker Tanker / Grade:    M/T YALÇIN 2 /  []</v>
      </c>
    </row>
    <row r="174" spans="1:17" ht="15" hidden="1">
      <c r="A174" s="1936" t="str">
        <f>A173</f>
        <v>N</v>
      </c>
      <c r="C174" s="1930"/>
      <c r="D174" s="1930"/>
      <c r="E174" s="2785"/>
      <c r="F174" s="2785"/>
      <c r="G174" s="2785"/>
      <c r="H174" s="2785"/>
      <c r="I174" s="2785"/>
      <c r="J174" s="2785"/>
      <c r="L174" s="2786"/>
      <c r="M174" s="2786"/>
      <c r="N174" s="2786"/>
      <c r="O174" s="2786"/>
      <c r="P174" s="2786"/>
      <c r="Q174" s="2786"/>
    </row>
    <row r="175" spans="1:17" ht="15" hidden="1">
      <c r="A175" s="1936" t="str">
        <f t="shared" ref="A175:A186" si="10">A174</f>
        <v>N</v>
      </c>
      <c r="C175" s="1930"/>
      <c r="D175" s="1930"/>
      <c r="E175" s="2785"/>
      <c r="F175" s="2785"/>
      <c r="G175" s="2785"/>
      <c r="H175" s="2785"/>
      <c r="I175" s="2785"/>
      <c r="J175" s="2785"/>
      <c r="L175" s="2786"/>
      <c r="M175" s="2786"/>
      <c r="N175" s="2786"/>
      <c r="O175" s="2786"/>
      <c r="P175" s="2786"/>
      <c r="Q175" s="2786"/>
    </row>
    <row r="176" spans="1:17" ht="15" hidden="1">
      <c r="A176" s="1936" t="str">
        <f t="shared" si="10"/>
        <v>N</v>
      </c>
      <c r="C176" s="1930"/>
      <c r="D176" s="1930"/>
      <c r="E176" s="2785"/>
      <c r="F176" s="2785"/>
      <c r="G176" s="2785"/>
      <c r="H176" s="2785"/>
      <c r="I176" s="2785"/>
      <c r="J176" s="2785"/>
      <c r="L176" s="2786"/>
      <c r="M176" s="2786"/>
      <c r="N176" s="2786"/>
      <c r="O176" s="2786"/>
      <c r="P176" s="2786"/>
      <c r="Q176" s="2786"/>
    </row>
    <row r="177" spans="1:17" ht="15" hidden="1">
      <c r="A177" s="1936" t="str">
        <f t="shared" si="10"/>
        <v>N</v>
      </c>
      <c r="C177" s="1930"/>
      <c r="D177" s="1930"/>
      <c r="E177" s="2785"/>
      <c r="F177" s="2785"/>
      <c r="G177" s="2785"/>
      <c r="H177" s="2785"/>
      <c r="I177" s="2785"/>
      <c r="J177" s="2785"/>
      <c r="L177" s="2786"/>
      <c r="M177" s="2786"/>
      <c r="N177" s="2786"/>
      <c r="O177" s="2786"/>
      <c r="P177" s="2786"/>
      <c r="Q177" s="2786"/>
    </row>
    <row r="178" spans="1:17" ht="15" hidden="1">
      <c r="A178" s="1936" t="str">
        <f t="shared" si="10"/>
        <v>N</v>
      </c>
      <c r="C178" s="1930"/>
      <c r="D178" s="1930"/>
      <c r="E178" s="2785"/>
      <c r="F178" s="2785"/>
      <c r="G178" s="2785"/>
      <c r="H178" s="2785"/>
      <c r="I178" s="2785"/>
      <c r="J178" s="2785"/>
      <c r="L178" s="2786"/>
      <c r="M178" s="2786"/>
      <c r="N178" s="2786"/>
      <c r="O178" s="2786"/>
      <c r="P178" s="2786"/>
      <c r="Q178" s="2786"/>
    </row>
    <row r="179" spans="1:17" ht="15" hidden="1">
      <c r="A179" s="1936" t="str">
        <f t="shared" si="10"/>
        <v>N</v>
      </c>
      <c r="C179" s="1930"/>
      <c r="D179" s="1930"/>
      <c r="E179" s="2785"/>
      <c r="F179" s="2785"/>
      <c r="G179" s="2785"/>
      <c r="H179" s="2785"/>
      <c r="I179" s="2785"/>
      <c r="J179" s="2785"/>
      <c r="L179" s="2786"/>
      <c r="M179" s="2786"/>
      <c r="N179" s="2786"/>
      <c r="O179" s="2786"/>
      <c r="P179" s="2786"/>
      <c r="Q179" s="2786"/>
    </row>
    <row r="180" spans="1:17" ht="15" hidden="1">
      <c r="A180" s="1936" t="str">
        <f t="shared" si="10"/>
        <v>N</v>
      </c>
      <c r="C180" s="1930"/>
      <c r="D180" s="1930"/>
      <c r="E180" s="2785"/>
      <c r="F180" s="2785"/>
      <c r="G180" s="2785"/>
      <c r="H180" s="2785"/>
      <c r="I180" s="2785"/>
      <c r="J180" s="2785"/>
      <c r="L180" s="2786"/>
      <c r="M180" s="2786"/>
      <c r="N180" s="2786"/>
      <c r="O180" s="2786"/>
      <c r="P180" s="2786"/>
      <c r="Q180" s="2786"/>
    </row>
    <row r="181" spans="1:17" ht="15" hidden="1">
      <c r="A181" s="1936" t="str">
        <f t="shared" si="10"/>
        <v>N</v>
      </c>
      <c r="C181" s="1930"/>
      <c r="D181" s="1930"/>
      <c r="E181" s="2785"/>
      <c r="F181" s="2785"/>
      <c r="G181" s="2785"/>
      <c r="H181" s="2785"/>
      <c r="I181" s="2785"/>
      <c r="J181" s="2785"/>
      <c r="L181" s="2786"/>
      <c r="M181" s="2786"/>
      <c r="N181" s="2786"/>
      <c r="O181" s="2786"/>
      <c r="P181" s="2786"/>
      <c r="Q181" s="2786"/>
    </row>
    <row r="182" spans="1:17" ht="15" hidden="1">
      <c r="A182" s="1936" t="str">
        <f t="shared" si="10"/>
        <v>N</v>
      </c>
      <c r="C182" s="1930"/>
      <c r="D182" s="1930"/>
      <c r="E182" s="2785"/>
      <c r="F182" s="2785"/>
      <c r="G182" s="2785"/>
      <c r="H182" s="2785"/>
      <c r="I182" s="2785"/>
      <c r="J182" s="2785"/>
      <c r="L182" s="2786"/>
      <c r="M182" s="2786"/>
      <c r="N182" s="2786"/>
      <c r="O182" s="2786"/>
      <c r="P182" s="2786"/>
      <c r="Q182" s="2786"/>
    </row>
    <row r="183" spans="1:17" ht="15" hidden="1">
      <c r="A183" s="1936" t="str">
        <f t="shared" si="10"/>
        <v>N</v>
      </c>
      <c r="C183" s="1930"/>
      <c r="D183" s="1930"/>
      <c r="E183" s="2785"/>
      <c r="F183" s="2785"/>
      <c r="G183" s="2785"/>
      <c r="H183" s="2785"/>
      <c r="I183" s="2785"/>
      <c r="J183" s="2785"/>
      <c r="L183" s="2786"/>
      <c r="M183" s="2786"/>
      <c r="N183" s="2786"/>
      <c r="O183" s="2786"/>
      <c r="P183" s="2786"/>
      <c r="Q183" s="2786"/>
    </row>
    <row r="184" spans="1:17" ht="15" hidden="1">
      <c r="A184" s="1936" t="str">
        <f t="shared" si="10"/>
        <v>N</v>
      </c>
      <c r="C184" s="1930"/>
      <c r="D184" s="1930"/>
      <c r="E184" s="2785"/>
      <c r="F184" s="2785"/>
      <c r="G184" s="2785"/>
      <c r="H184" s="2785"/>
      <c r="I184" s="2785"/>
      <c r="J184" s="2785"/>
      <c r="L184" s="2786"/>
      <c r="M184" s="2786"/>
      <c r="N184" s="2786"/>
      <c r="O184" s="2786"/>
      <c r="P184" s="2786"/>
      <c r="Q184" s="2786"/>
    </row>
    <row r="185" spans="1:17" ht="15" hidden="1">
      <c r="A185" s="1936" t="str">
        <f t="shared" si="10"/>
        <v>N</v>
      </c>
      <c r="C185" s="1930"/>
      <c r="D185" s="1930"/>
      <c r="E185" s="2785"/>
      <c r="F185" s="2785"/>
      <c r="G185" s="2785"/>
      <c r="H185" s="2785"/>
      <c r="I185" s="2785"/>
      <c r="J185" s="2785"/>
      <c r="L185" s="2786"/>
      <c r="M185" s="2786"/>
      <c r="N185" s="2786"/>
      <c r="O185" s="2786"/>
      <c r="P185" s="2786"/>
      <c r="Q185" s="2786"/>
    </row>
    <row r="186" spans="1:17" ht="15" hidden="1">
      <c r="A186" s="1937" t="str">
        <f t="shared" si="10"/>
        <v>N</v>
      </c>
      <c r="C186" s="1930"/>
      <c r="D186" s="1930"/>
      <c r="E186" s="2785" t="s">
        <v>1377</v>
      </c>
      <c r="F186" s="2785"/>
      <c r="G186" s="2785"/>
      <c r="H186" s="2785"/>
      <c r="I186" s="2785"/>
      <c r="J186" s="2785"/>
      <c r="L186" s="2785" t="s">
        <v>1378</v>
      </c>
      <c r="M186" s="2785"/>
      <c r="N186" s="2785"/>
      <c r="O186" s="2785"/>
      <c r="P186" s="2785"/>
      <c r="Q186" s="2785"/>
    </row>
    <row r="187" spans="1:17" s="1972" customFormat="1" ht="8.25" hidden="1">
      <c r="A187" s="1946" t="str">
        <f>A188</f>
        <v>N</v>
      </c>
      <c r="C187" s="2003"/>
      <c r="D187" s="2003"/>
      <c r="E187" s="2003"/>
      <c r="F187" s="2003"/>
      <c r="G187" s="2003"/>
      <c r="H187" s="2003"/>
    </row>
    <row r="188" spans="1:17" ht="15" hidden="1">
      <c r="A188" s="1936" t="str">
        <f>IF(OR(FMTYPE5=0,FMTYPE5="-",FMTYPE5=TANKMEAS,PICFLOWSEL=2),"N","Y")</f>
        <v>N</v>
      </c>
      <c r="B188" s="13">
        <v>5</v>
      </c>
      <c r="C188" s="2001">
        <v>5</v>
      </c>
      <c r="D188" s="1930"/>
      <c r="E188" s="1930"/>
      <c r="F188" s="1930"/>
      <c r="G188" s="1930"/>
      <c r="H188" s="1930"/>
      <c r="K188" s="1985" t="str">
        <f>D101</f>
        <v>Bunker Tanker / Grade:    M/T YALÇIN 2 /  []</v>
      </c>
    </row>
    <row r="189" spans="1:17" ht="15" hidden="1">
      <c r="A189" s="1936" t="str">
        <f>A188</f>
        <v>N</v>
      </c>
      <c r="C189" s="1930"/>
      <c r="D189" s="1930"/>
      <c r="E189" s="2785"/>
      <c r="F189" s="2785"/>
      <c r="G189" s="2785"/>
      <c r="H189" s="2785"/>
      <c r="I189" s="2785"/>
      <c r="J189" s="2785"/>
      <c r="L189" s="2786"/>
      <c r="M189" s="2786"/>
      <c r="N189" s="2786"/>
      <c r="O189" s="2786"/>
      <c r="P189" s="2786"/>
      <c r="Q189" s="2786"/>
    </row>
    <row r="190" spans="1:17" ht="15" hidden="1">
      <c r="A190" s="1936" t="str">
        <f t="shared" ref="A190:A201" si="11">A189</f>
        <v>N</v>
      </c>
      <c r="C190" s="1930"/>
      <c r="D190" s="1930"/>
      <c r="E190" s="2785"/>
      <c r="F190" s="2785"/>
      <c r="G190" s="2785"/>
      <c r="H190" s="2785"/>
      <c r="I190" s="2785"/>
      <c r="J190" s="2785"/>
      <c r="L190" s="2786"/>
      <c r="M190" s="2786"/>
      <c r="N190" s="2786"/>
      <c r="O190" s="2786"/>
      <c r="P190" s="2786"/>
      <c r="Q190" s="2786"/>
    </row>
    <row r="191" spans="1:17" ht="15" hidden="1">
      <c r="A191" s="1936" t="str">
        <f t="shared" si="11"/>
        <v>N</v>
      </c>
      <c r="C191" s="1930"/>
      <c r="D191" s="1930"/>
      <c r="E191" s="2785"/>
      <c r="F191" s="2785"/>
      <c r="G191" s="2785"/>
      <c r="H191" s="2785"/>
      <c r="I191" s="2785"/>
      <c r="J191" s="2785"/>
      <c r="L191" s="2786"/>
      <c r="M191" s="2786"/>
      <c r="N191" s="2786"/>
      <c r="O191" s="2786"/>
      <c r="P191" s="2786"/>
      <c r="Q191" s="2786"/>
    </row>
    <row r="192" spans="1:17" ht="15" hidden="1">
      <c r="A192" s="1936" t="str">
        <f t="shared" si="11"/>
        <v>N</v>
      </c>
      <c r="C192" s="1930"/>
      <c r="D192" s="1930"/>
      <c r="E192" s="2785"/>
      <c r="F192" s="2785"/>
      <c r="G192" s="2785"/>
      <c r="H192" s="2785"/>
      <c r="I192" s="2785"/>
      <c r="J192" s="2785"/>
      <c r="L192" s="2786"/>
      <c r="M192" s="2786"/>
      <c r="N192" s="2786"/>
      <c r="O192" s="2786"/>
      <c r="P192" s="2786"/>
      <c r="Q192" s="2786"/>
    </row>
    <row r="193" spans="1:17" ht="15" hidden="1">
      <c r="A193" s="1936" t="str">
        <f t="shared" si="11"/>
        <v>N</v>
      </c>
      <c r="C193" s="1930"/>
      <c r="D193" s="1930"/>
      <c r="E193" s="2785"/>
      <c r="F193" s="2785"/>
      <c r="G193" s="2785"/>
      <c r="H193" s="2785"/>
      <c r="I193" s="2785"/>
      <c r="J193" s="2785"/>
      <c r="L193" s="2786"/>
      <c r="M193" s="2786"/>
      <c r="N193" s="2786"/>
      <c r="O193" s="2786"/>
      <c r="P193" s="2786"/>
      <c r="Q193" s="2786"/>
    </row>
    <row r="194" spans="1:17" ht="15" hidden="1">
      <c r="A194" s="1936" t="str">
        <f t="shared" si="11"/>
        <v>N</v>
      </c>
      <c r="C194" s="1930"/>
      <c r="D194" s="1930"/>
      <c r="E194" s="2785"/>
      <c r="F194" s="2785"/>
      <c r="G194" s="2785"/>
      <c r="H194" s="2785"/>
      <c r="I194" s="2785"/>
      <c r="J194" s="2785"/>
      <c r="L194" s="2786"/>
      <c r="M194" s="2786"/>
      <c r="N194" s="2786"/>
      <c r="O194" s="2786"/>
      <c r="P194" s="2786"/>
      <c r="Q194" s="2786"/>
    </row>
    <row r="195" spans="1:17" ht="15" hidden="1">
      <c r="A195" s="1936" t="str">
        <f t="shared" si="11"/>
        <v>N</v>
      </c>
      <c r="C195" s="1930"/>
      <c r="D195" s="1930"/>
      <c r="E195" s="2785"/>
      <c r="F195" s="2785"/>
      <c r="G195" s="2785"/>
      <c r="H195" s="2785"/>
      <c r="I195" s="2785"/>
      <c r="J195" s="2785"/>
      <c r="L195" s="2786"/>
      <c r="M195" s="2786"/>
      <c r="N195" s="2786"/>
      <c r="O195" s="2786"/>
      <c r="P195" s="2786"/>
      <c r="Q195" s="2786"/>
    </row>
    <row r="196" spans="1:17" ht="15" hidden="1">
      <c r="A196" s="1936" t="str">
        <f t="shared" si="11"/>
        <v>N</v>
      </c>
      <c r="C196" s="1930"/>
      <c r="D196" s="1930"/>
      <c r="E196" s="2785"/>
      <c r="F196" s="2785"/>
      <c r="G196" s="2785"/>
      <c r="H196" s="2785"/>
      <c r="I196" s="2785"/>
      <c r="J196" s="2785"/>
      <c r="L196" s="2786"/>
      <c r="M196" s="2786"/>
      <c r="N196" s="2786"/>
      <c r="O196" s="2786"/>
      <c r="P196" s="2786"/>
      <c r="Q196" s="2786"/>
    </row>
    <row r="197" spans="1:17" ht="15" hidden="1">
      <c r="A197" s="1936" t="str">
        <f t="shared" si="11"/>
        <v>N</v>
      </c>
      <c r="C197" s="1930"/>
      <c r="D197" s="1930"/>
      <c r="E197" s="2785"/>
      <c r="F197" s="2785"/>
      <c r="G197" s="2785"/>
      <c r="H197" s="2785"/>
      <c r="I197" s="2785"/>
      <c r="J197" s="2785"/>
      <c r="L197" s="2786"/>
      <c r="M197" s="2786"/>
      <c r="N197" s="2786"/>
      <c r="O197" s="2786"/>
      <c r="P197" s="2786"/>
      <c r="Q197" s="2786"/>
    </row>
    <row r="198" spans="1:17" ht="15" hidden="1">
      <c r="A198" s="1936" t="str">
        <f t="shared" si="11"/>
        <v>N</v>
      </c>
      <c r="C198" s="1930"/>
      <c r="D198" s="1930"/>
      <c r="E198" s="2785"/>
      <c r="F198" s="2785"/>
      <c r="G198" s="2785"/>
      <c r="H198" s="2785"/>
      <c r="I198" s="2785"/>
      <c r="J198" s="2785"/>
      <c r="L198" s="2786"/>
      <c r="M198" s="2786"/>
      <c r="N198" s="2786"/>
      <c r="O198" s="2786"/>
      <c r="P198" s="2786"/>
      <c r="Q198" s="2786"/>
    </row>
    <row r="199" spans="1:17" ht="15" hidden="1">
      <c r="A199" s="1936" t="str">
        <f t="shared" si="11"/>
        <v>N</v>
      </c>
      <c r="C199" s="1930"/>
      <c r="D199" s="1930"/>
      <c r="E199" s="2785"/>
      <c r="F199" s="2785"/>
      <c r="G199" s="2785"/>
      <c r="H199" s="2785"/>
      <c r="I199" s="2785"/>
      <c r="J199" s="2785"/>
      <c r="L199" s="2786"/>
      <c r="M199" s="2786"/>
      <c r="N199" s="2786"/>
      <c r="O199" s="2786"/>
      <c r="P199" s="2786"/>
      <c r="Q199" s="2786"/>
    </row>
    <row r="200" spans="1:17" ht="15" hidden="1">
      <c r="A200" s="1936" t="str">
        <f t="shared" si="11"/>
        <v>N</v>
      </c>
      <c r="C200" s="1930"/>
      <c r="D200" s="1930"/>
      <c r="E200" s="2785"/>
      <c r="F200" s="2785"/>
      <c r="G200" s="2785"/>
      <c r="H200" s="2785"/>
      <c r="I200" s="2785"/>
      <c r="J200" s="2785"/>
      <c r="L200" s="2786"/>
      <c r="M200" s="2786"/>
      <c r="N200" s="2786"/>
      <c r="O200" s="2786"/>
      <c r="P200" s="2786"/>
      <c r="Q200" s="2786"/>
    </row>
    <row r="201" spans="1:17" ht="15" hidden="1">
      <c r="A201" s="1937" t="str">
        <f t="shared" si="11"/>
        <v>N</v>
      </c>
      <c r="C201" s="1930"/>
      <c r="D201" s="1930"/>
      <c r="E201" s="2785" t="s">
        <v>1377</v>
      </c>
      <c r="F201" s="2785"/>
      <c r="G201" s="2785"/>
      <c r="H201" s="2785"/>
      <c r="I201" s="2785"/>
      <c r="J201" s="2785"/>
      <c r="L201" s="2785" t="s">
        <v>1378</v>
      </c>
      <c r="M201" s="2785"/>
      <c r="N201" s="2785"/>
      <c r="O201" s="2785"/>
      <c r="P201" s="2785"/>
      <c r="Q201" s="2785"/>
    </row>
    <row r="202" spans="1:17" s="1972" customFormat="1" ht="8.25">
      <c r="A202" s="1946" t="str">
        <f>A203</f>
        <v>Y</v>
      </c>
      <c r="C202" s="2003"/>
      <c r="D202" s="2003"/>
      <c r="E202" s="2003"/>
      <c r="F202" s="2003"/>
      <c r="G202" s="2003"/>
      <c r="H202" s="2003"/>
    </row>
    <row r="203" spans="1:17" ht="15">
      <c r="A203" s="1936" t="str">
        <f>IF(OR(FMTYPE6=0,FMTYPE6="-",FMTYPE6=TANKMEAS,PICFLOWSEL=2),"N","Y")</f>
        <v>Y</v>
      </c>
      <c r="B203" s="13">
        <v>6</v>
      </c>
      <c r="C203" s="2001">
        <v>6</v>
      </c>
      <c r="D203" s="1930"/>
      <c r="E203" s="1930"/>
      <c r="F203" s="1930"/>
      <c r="G203" s="1930"/>
      <c r="H203" s="1930"/>
      <c r="K203" s="1985" t="str">
        <f>D114</f>
        <v>Bunker Tanker / Grade:    M/T YALÇIN 2 / LSMGO [Flow (Vac)]</v>
      </c>
    </row>
    <row r="204" spans="1:17" ht="15">
      <c r="A204" s="1936" t="str">
        <f>A203</f>
        <v>Y</v>
      </c>
      <c r="C204" s="1930"/>
      <c r="D204" s="1930"/>
      <c r="E204" s="2785"/>
      <c r="F204" s="2785"/>
      <c r="G204" s="2785"/>
      <c r="H204" s="2785"/>
      <c r="I204" s="2785"/>
      <c r="J204" s="2785"/>
      <c r="L204" s="2786"/>
      <c r="M204" s="2786"/>
      <c r="N204" s="2786"/>
      <c r="O204" s="2786"/>
      <c r="P204" s="2786"/>
      <c r="Q204" s="2786"/>
    </row>
    <row r="205" spans="1:17" ht="15">
      <c r="A205" s="1936" t="str">
        <f t="shared" ref="A205:A216" si="12">A204</f>
        <v>Y</v>
      </c>
      <c r="C205" s="1930"/>
      <c r="D205" s="1930"/>
      <c r="E205" s="2785"/>
      <c r="F205" s="2785"/>
      <c r="G205" s="2785"/>
      <c r="H205" s="2785"/>
      <c r="I205" s="2785"/>
      <c r="J205" s="2785"/>
      <c r="L205" s="2786"/>
      <c r="M205" s="2786"/>
      <c r="N205" s="2786"/>
      <c r="O205" s="2786"/>
      <c r="P205" s="2786"/>
      <c r="Q205" s="2786"/>
    </row>
    <row r="206" spans="1:17" ht="15">
      <c r="A206" s="1936" t="str">
        <f t="shared" si="12"/>
        <v>Y</v>
      </c>
      <c r="C206" s="1930"/>
      <c r="D206" s="1930"/>
      <c r="E206" s="2785"/>
      <c r="F206" s="2785"/>
      <c r="G206" s="2785"/>
      <c r="H206" s="2785"/>
      <c r="I206" s="2785"/>
      <c r="J206" s="2785"/>
      <c r="L206" s="2786"/>
      <c r="M206" s="2786"/>
      <c r="N206" s="2786"/>
      <c r="O206" s="2786"/>
      <c r="P206" s="2786"/>
      <c r="Q206" s="2786"/>
    </row>
    <row r="207" spans="1:17" ht="15">
      <c r="A207" s="1936" t="str">
        <f t="shared" si="12"/>
        <v>Y</v>
      </c>
      <c r="C207" s="1930"/>
      <c r="D207" s="1930"/>
      <c r="E207" s="2785"/>
      <c r="F207" s="2785"/>
      <c r="G207" s="2785"/>
      <c r="H207" s="2785"/>
      <c r="I207" s="2785"/>
      <c r="J207" s="2785"/>
      <c r="L207" s="2786"/>
      <c r="M207" s="2786"/>
      <c r="N207" s="2786"/>
      <c r="O207" s="2786"/>
      <c r="P207" s="2786"/>
      <c r="Q207" s="2786"/>
    </row>
    <row r="208" spans="1:17" ht="15">
      <c r="A208" s="1936" t="str">
        <f t="shared" si="12"/>
        <v>Y</v>
      </c>
      <c r="C208" s="1930"/>
      <c r="D208" s="1930"/>
      <c r="E208" s="2785"/>
      <c r="F208" s="2785"/>
      <c r="G208" s="2785"/>
      <c r="H208" s="2785"/>
      <c r="I208" s="2785"/>
      <c r="J208" s="2785"/>
      <c r="L208" s="2786"/>
      <c r="M208" s="2786"/>
      <c r="N208" s="2786"/>
      <c r="O208" s="2786"/>
      <c r="P208" s="2786"/>
      <c r="Q208" s="2786"/>
    </row>
    <row r="209" spans="1:19" ht="15">
      <c r="A209" s="1936" t="str">
        <f t="shared" si="12"/>
        <v>Y</v>
      </c>
      <c r="C209" s="1930"/>
      <c r="D209" s="1930"/>
      <c r="E209" s="2785"/>
      <c r="F209" s="2785"/>
      <c r="G209" s="2785"/>
      <c r="H209" s="2785"/>
      <c r="I209" s="2785"/>
      <c r="J209" s="2785"/>
      <c r="L209" s="2786"/>
      <c r="M209" s="2786"/>
      <c r="N209" s="2786"/>
      <c r="O209" s="2786"/>
      <c r="P209" s="2786"/>
      <c r="Q209" s="2786"/>
    </row>
    <row r="210" spans="1:19" ht="15">
      <c r="A210" s="1936" t="str">
        <f t="shared" si="12"/>
        <v>Y</v>
      </c>
      <c r="C210" s="1930"/>
      <c r="D210" s="1930"/>
      <c r="E210" s="2785"/>
      <c r="F210" s="2785"/>
      <c r="G210" s="2785"/>
      <c r="H210" s="2785"/>
      <c r="I210" s="2785"/>
      <c r="J210" s="2785"/>
      <c r="L210" s="2786"/>
      <c r="M210" s="2786"/>
      <c r="N210" s="2786"/>
      <c r="O210" s="2786"/>
      <c r="P210" s="2786"/>
      <c r="Q210" s="2786"/>
    </row>
    <row r="211" spans="1:19" ht="15">
      <c r="A211" s="1936" t="str">
        <f t="shared" si="12"/>
        <v>Y</v>
      </c>
      <c r="C211" s="1930"/>
      <c r="D211" s="1930"/>
      <c r="E211" s="2785"/>
      <c r="F211" s="2785"/>
      <c r="G211" s="2785"/>
      <c r="H211" s="2785"/>
      <c r="I211" s="2785"/>
      <c r="J211" s="2785"/>
      <c r="L211" s="2786"/>
      <c r="M211" s="2786"/>
      <c r="N211" s="2786"/>
      <c r="O211" s="2786"/>
      <c r="P211" s="2786"/>
      <c r="Q211" s="2786"/>
    </row>
    <row r="212" spans="1:19" ht="15">
      <c r="A212" s="1936" t="str">
        <f t="shared" si="12"/>
        <v>Y</v>
      </c>
      <c r="C212" s="1930"/>
      <c r="D212" s="1930"/>
      <c r="E212" s="2785"/>
      <c r="F212" s="2785"/>
      <c r="G212" s="2785"/>
      <c r="H212" s="2785"/>
      <c r="I212" s="2785"/>
      <c r="J212" s="2785"/>
      <c r="L212" s="2786"/>
      <c r="M212" s="2786"/>
      <c r="N212" s="2786"/>
      <c r="O212" s="2786"/>
      <c r="P212" s="2786"/>
      <c r="Q212" s="2786"/>
    </row>
    <row r="213" spans="1:19" ht="15">
      <c r="A213" s="1936" t="str">
        <f t="shared" si="12"/>
        <v>Y</v>
      </c>
      <c r="C213" s="1930"/>
      <c r="D213" s="1930"/>
      <c r="E213" s="2785"/>
      <c r="F213" s="2785"/>
      <c r="G213" s="2785"/>
      <c r="H213" s="2785"/>
      <c r="I213" s="2785"/>
      <c r="J213" s="2785"/>
      <c r="L213" s="2786"/>
      <c r="M213" s="2786"/>
      <c r="N213" s="2786"/>
      <c r="O213" s="2786"/>
      <c r="P213" s="2786"/>
      <c r="Q213" s="2786"/>
    </row>
    <row r="214" spans="1:19" ht="15">
      <c r="A214" s="1936" t="str">
        <f t="shared" si="12"/>
        <v>Y</v>
      </c>
      <c r="C214" s="1930"/>
      <c r="D214" s="1930"/>
      <c r="E214" s="2785"/>
      <c r="F214" s="2785"/>
      <c r="G214" s="2785"/>
      <c r="H214" s="2785"/>
      <c r="I214" s="2785"/>
      <c r="J214" s="2785"/>
      <c r="L214" s="2786"/>
      <c r="M214" s="2786"/>
      <c r="N214" s="2786"/>
      <c r="O214" s="2786"/>
      <c r="P214" s="2786"/>
      <c r="Q214" s="2786"/>
    </row>
    <row r="215" spans="1:19" ht="15">
      <c r="A215" s="1936" t="str">
        <f t="shared" si="12"/>
        <v>Y</v>
      </c>
      <c r="C215" s="1930"/>
      <c r="D215" s="1930"/>
      <c r="E215" s="2785"/>
      <c r="F215" s="2785"/>
      <c r="G215" s="2785"/>
      <c r="H215" s="2785"/>
      <c r="I215" s="2785"/>
      <c r="J215" s="2785"/>
      <c r="L215" s="2786"/>
      <c r="M215" s="2786"/>
      <c r="N215" s="2786"/>
      <c r="O215" s="2786"/>
      <c r="P215" s="2786"/>
      <c r="Q215" s="2786"/>
    </row>
    <row r="216" spans="1:19" ht="15">
      <c r="A216" s="1937" t="str">
        <f t="shared" si="12"/>
        <v>Y</v>
      </c>
      <c r="C216" s="1930"/>
      <c r="D216" s="1930"/>
      <c r="E216" s="2785" t="s">
        <v>1377</v>
      </c>
      <c r="F216" s="2785"/>
      <c r="G216" s="2785"/>
      <c r="H216" s="2785"/>
      <c r="I216" s="2785"/>
      <c r="J216" s="2785"/>
      <c r="L216" s="2785" t="s">
        <v>1378</v>
      </c>
      <c r="M216" s="2785"/>
      <c r="N216" s="2785"/>
      <c r="O216" s="2785"/>
      <c r="P216" s="2785"/>
      <c r="Q216" s="2785"/>
    </row>
    <row r="217" spans="1:19" s="1972" customFormat="1" ht="8.25">
      <c r="A217" s="1972" t="s">
        <v>284</v>
      </c>
      <c r="C217" s="2003"/>
      <c r="D217" s="2003"/>
      <c r="E217" s="2003"/>
      <c r="F217" s="2003"/>
      <c r="G217" s="2003"/>
      <c r="H217" s="2003"/>
    </row>
    <row r="218" spans="1:19" ht="15" customHeight="1">
      <c r="A218" s="13" t="s">
        <v>284</v>
      </c>
      <c r="C218" s="2761" t="s">
        <v>1312</v>
      </c>
      <c r="D218" s="2761"/>
      <c r="E218" s="2761"/>
      <c r="F218" s="2761"/>
      <c r="G218" s="2757" t="s">
        <v>201</v>
      </c>
      <c r="H218" s="2757"/>
      <c r="I218" s="2757" t="s">
        <v>200</v>
      </c>
      <c r="J218" s="2757"/>
      <c r="L218" s="1928"/>
      <c r="M218" s="1927"/>
      <c r="N218" s="1927"/>
      <c r="O218" s="1927"/>
      <c r="P218" s="1927"/>
      <c r="Q218" s="1927"/>
      <c r="R218" s="1927"/>
    </row>
    <row r="219" spans="1:19" ht="15" customHeight="1">
      <c r="A219" s="13" t="s">
        <v>284</v>
      </c>
      <c r="C219" s="2638" t="s">
        <v>987</v>
      </c>
      <c r="D219" s="2639"/>
      <c r="E219" s="2639"/>
      <c r="F219" s="2640"/>
      <c r="G219" s="2729">
        <f>IF(ISERROR(MATCH($C219,'Time Log'!$N$14:$N$21,0)),"",INDEX(LOGBASICS,MATCH($C219,'Time Log'!$N$14:$N$21,0),1))</f>
        <v>44792</v>
      </c>
      <c r="H219" s="2730"/>
      <c r="I219" s="2734">
        <f>IF(ISERROR(MATCH($C219,'Time Log'!$N$14:$N$21,0)),"",INDEX(LOGBASICS,MATCH($C219,'Time Log'!$N$14:$N$21,0),2))</f>
        <v>0.10416666666666667</v>
      </c>
      <c r="J219" s="2735"/>
      <c r="L219" s="1951"/>
      <c r="M219" s="1927"/>
      <c r="N219" s="1927"/>
      <c r="O219" s="1927"/>
      <c r="P219" s="1927"/>
      <c r="Q219" s="1927"/>
      <c r="R219" s="1927"/>
      <c r="S219" s="1916"/>
    </row>
    <row r="220" spans="1:19" ht="15" customHeight="1">
      <c r="A220" s="13" t="s">
        <v>284</v>
      </c>
      <c r="C220" s="2641" t="s">
        <v>618</v>
      </c>
      <c r="D220" s="2642"/>
      <c r="E220" s="2642"/>
      <c r="F220" s="2643"/>
      <c r="G220" s="2731">
        <f>IF(ISERROR(MATCH($C220,'Time Log'!$N$14:$N$21,0)),"",INDEX(LOGBASICS,MATCH($C220,'Time Log'!$N$14:$N$21,0),1))</f>
        <v>44792</v>
      </c>
      <c r="H220" s="2732"/>
      <c r="I220" s="2736">
        <f>IF(ISERROR(MATCH($C220,'Time Log'!$N$14:$N$21,0)),"",INDEX(LOGBASICS,MATCH($C220,'Time Log'!$N$14:$N$21,0),2))</f>
        <v>0.22500000000000001</v>
      </c>
      <c r="J220" s="2737"/>
      <c r="L220" s="1951"/>
      <c r="M220" s="1927"/>
      <c r="N220" s="1927"/>
      <c r="O220" s="1927"/>
      <c r="P220" s="1927"/>
      <c r="Q220" s="1927"/>
      <c r="R220" s="1927"/>
      <c r="S220" s="1916"/>
    </row>
    <row r="221" spans="1:19" ht="15" customHeight="1">
      <c r="A221" s="13" t="s">
        <v>284</v>
      </c>
      <c r="C221" s="2641" t="s">
        <v>986</v>
      </c>
      <c r="D221" s="2642"/>
      <c r="E221" s="2642"/>
      <c r="F221" s="2643"/>
      <c r="G221" s="2731">
        <f>IF(ISERROR(MATCH($C221,'Time Log'!$N$14:$N$21,0)),"",INDEX(LOGBASICS,MATCH($C221,'Time Log'!$N$14:$N$21,0),1))</f>
        <v>44792</v>
      </c>
      <c r="H221" s="2732"/>
      <c r="I221" s="2736">
        <f>IF(ISERROR(MATCH($C221,'Time Log'!$N$14:$N$21,0)),"",INDEX(LOGBASICS,MATCH($C221,'Time Log'!$N$14:$N$21,0),2))</f>
        <v>0.22569444444444445</v>
      </c>
      <c r="J221" s="2737"/>
      <c r="L221" s="1951"/>
      <c r="M221" s="1927"/>
      <c r="N221" s="1927"/>
      <c r="O221" s="1927"/>
      <c r="P221" s="1927"/>
      <c r="Q221" s="1927"/>
      <c r="R221" s="1927"/>
      <c r="S221" s="1916"/>
    </row>
    <row r="222" spans="1:19" ht="15" customHeight="1">
      <c r="A222" s="13" t="s">
        <v>284</v>
      </c>
      <c r="C222" s="2641" t="s">
        <v>989</v>
      </c>
      <c r="D222" s="2642"/>
      <c r="E222" s="2642"/>
      <c r="F222" s="2643"/>
      <c r="G222" s="2731">
        <f>IF(ISERROR(MATCH($C222,'Time Log'!$N$14:$N$21,0)),"",INDEX(LOGBASICS,MATCH($C222,'Time Log'!$N$14:$N$21,0),1))</f>
        <v>44792</v>
      </c>
      <c r="H222" s="2732"/>
      <c r="I222" s="2736">
        <f>IF(ISERROR(MATCH($C222,'Time Log'!$N$14:$N$21,0)),"",INDEX(LOGBASICS,MATCH($C222,'Time Log'!$N$14:$N$21,0),2))</f>
        <v>0.45833333333333331</v>
      </c>
      <c r="J222" s="2737"/>
      <c r="L222" s="1951"/>
      <c r="M222" s="1927"/>
      <c r="N222" s="1927"/>
      <c r="O222" s="1927"/>
      <c r="P222" s="1927"/>
      <c r="Q222" s="1927"/>
      <c r="R222" s="1927"/>
      <c r="S222" s="1916"/>
    </row>
    <row r="223" spans="1:19" ht="15" customHeight="1">
      <c r="A223" s="13" t="s">
        <v>284</v>
      </c>
      <c r="C223" s="2641" t="s">
        <v>189</v>
      </c>
      <c r="D223" s="2642"/>
      <c r="E223" s="2642"/>
      <c r="F223" s="2643"/>
      <c r="G223" s="2731">
        <f>IF(ISERROR(MATCH($C223,'Time Log'!$N$14:$N$21,0)),"",INDEX(LOGBASICS,MATCH($C223,'Time Log'!$N$14:$N$21,0),1))</f>
        <v>44792</v>
      </c>
      <c r="H223" s="2732"/>
      <c r="I223" s="2736">
        <f>IF(ISERROR(MATCH($C223,'Time Log'!$N$14:$N$21,0)),"",INDEX(LOGBASICS,MATCH($C223,'Time Log'!$N$14:$N$21,0),2))</f>
        <v>0.5</v>
      </c>
      <c r="J223" s="2737"/>
      <c r="L223" s="1951"/>
      <c r="M223" s="1927"/>
      <c r="N223" s="1927"/>
      <c r="O223" s="1927"/>
      <c r="P223" s="1927"/>
      <c r="Q223" s="1927"/>
      <c r="R223" s="1927"/>
      <c r="S223" s="1916"/>
    </row>
    <row r="224" spans="1:19" ht="15" customHeight="1">
      <c r="A224" s="13" t="s">
        <v>284</v>
      </c>
      <c r="C224" s="2722"/>
      <c r="D224" s="2723"/>
      <c r="E224" s="2723"/>
      <c r="F224" s="2724"/>
      <c r="G224" s="2725" t="str">
        <f>IF(ISERROR(MATCH($C224,'Time Log'!$N$14:$N$21,0)),"",INDEX(LOGBASICS,MATCH($C224,'Time Log'!$N$14:$N$21,0),1))</f>
        <v/>
      </c>
      <c r="H224" s="2726"/>
      <c r="I224" s="2727" t="str">
        <f>IF(ISERROR(MATCH($C224,'Time Log'!$N$14:$N$21,0)),"",INDEX(LOGBASICS,MATCH($C224,'Time Log'!$N$14:$N$21,0),2))</f>
        <v/>
      </c>
      <c r="J224" s="2728"/>
      <c r="L224" s="1951"/>
      <c r="M224" s="1927"/>
      <c r="N224" s="1927"/>
      <c r="O224" s="1927"/>
      <c r="P224" s="1927"/>
      <c r="Q224" s="1927"/>
      <c r="R224" s="1927"/>
      <c r="S224" s="1916"/>
    </row>
    <row r="225" spans="1:34" ht="15" customHeight="1">
      <c r="A225" s="1982" t="s">
        <v>284</v>
      </c>
      <c r="C225" s="2644" t="s">
        <v>663</v>
      </c>
      <c r="D225" s="2644"/>
      <c r="E225" s="2644"/>
      <c r="F225" s="2644"/>
      <c r="G225" s="2733">
        <f>'Time Log'!M79</f>
        <v>9.5</v>
      </c>
      <c r="H225" s="2733"/>
      <c r="I225" s="2738" t="s">
        <v>266</v>
      </c>
      <c r="J225" s="2738"/>
      <c r="L225" s="1952"/>
      <c r="M225" s="1927"/>
      <c r="N225" s="1927"/>
      <c r="O225" s="1927"/>
      <c r="P225" s="1927"/>
      <c r="Q225" s="1927"/>
      <c r="R225" s="1927"/>
      <c r="S225" s="1916"/>
    </row>
    <row r="226" spans="1:34" s="1972" customFormat="1" ht="8.25">
      <c r="A226" s="1984" t="s">
        <v>284</v>
      </c>
      <c r="C226" s="1947"/>
      <c r="D226" s="1947"/>
      <c r="E226" s="1947"/>
      <c r="F226" s="1947"/>
      <c r="G226" s="1947"/>
      <c r="H226" s="1947"/>
      <c r="I226" s="1948"/>
      <c r="J226" s="1949"/>
      <c r="K226" s="1949"/>
      <c r="L226" s="1949"/>
      <c r="M226" s="1943"/>
      <c r="N226" s="1943"/>
      <c r="O226" s="1943"/>
      <c r="P226" s="1943"/>
      <c r="Q226" s="1943"/>
      <c r="R226" s="1943"/>
      <c r="S226" s="1948"/>
    </row>
    <row r="227" spans="1:34" ht="15" customHeight="1">
      <c r="A227" s="1982" t="s">
        <v>284</v>
      </c>
      <c r="C227" s="2739" t="s">
        <v>1349</v>
      </c>
      <c r="D227" s="2739"/>
      <c r="E227" s="2739"/>
      <c r="F227" s="2739"/>
      <c r="G227" s="2687" t="str">
        <f>G$23</f>
        <v>M/T YALÇIN 2</v>
      </c>
      <c r="H227" s="2687"/>
      <c r="I227" s="2687" t="str">
        <f>K$23</f>
        <v>M/T YALÇIN 2</v>
      </c>
      <c r="J227" s="2687"/>
      <c r="K227" s="2687" t="str">
        <f>O$23</f>
        <v/>
      </c>
      <c r="L227" s="2687"/>
      <c r="M227" s="2687" t="str">
        <f>G$28</f>
        <v/>
      </c>
      <c r="N227" s="2687"/>
      <c r="O227" s="2687" t="str">
        <f>K$28</f>
        <v/>
      </c>
      <c r="P227" s="2687"/>
      <c r="Q227" s="2687" t="str">
        <f>O$28</f>
        <v/>
      </c>
      <c r="R227" s="2687"/>
    </row>
    <row r="228" spans="1:34" ht="15" customHeight="1">
      <c r="A228" s="1982" t="s">
        <v>284</v>
      </c>
      <c r="C228" s="2721" t="s">
        <v>313</v>
      </c>
      <c r="D228" s="2721"/>
      <c r="E228" s="2721"/>
      <c r="F228" s="2721"/>
      <c r="G228" s="2720" t="str">
        <f>G$21</f>
        <v>LSFO</v>
      </c>
      <c r="H228" s="2720"/>
      <c r="I228" s="2720" t="str">
        <f>K$21</f>
        <v>LSMGO</v>
      </c>
      <c r="J228" s="2720"/>
      <c r="K228" s="2720" t="str">
        <f>O$21</f>
        <v/>
      </c>
      <c r="L228" s="2720"/>
      <c r="M228" s="2720" t="str">
        <f>G$26</f>
        <v/>
      </c>
      <c r="N228" s="2720"/>
      <c r="O228" s="2720" t="str">
        <f>K$26</f>
        <v/>
      </c>
      <c r="P228" s="2720"/>
      <c r="Q228" s="2720" t="str">
        <f>O$26</f>
        <v/>
      </c>
      <c r="R228" s="2720"/>
    </row>
    <row r="229" spans="1:34" ht="15" customHeight="1">
      <c r="A229" s="1982" t="s">
        <v>284</v>
      </c>
      <c r="C229" s="2740"/>
      <c r="D229" s="2741"/>
      <c r="E229" s="2741"/>
      <c r="F229" s="2742"/>
      <c r="G229" s="1959" t="str">
        <f>IF($G$228="","","Date")</f>
        <v>Date</v>
      </c>
      <c r="H229" s="1960" t="str">
        <f>IF($G$228="","","Time")</f>
        <v>Time</v>
      </c>
      <c r="I229" s="1959" t="str">
        <f>IF($I$228="","","Date")</f>
        <v>Date</v>
      </c>
      <c r="J229" s="1960" t="str">
        <f>IF($I$228="","","Time")</f>
        <v>Time</v>
      </c>
      <c r="K229" s="1959" t="str">
        <f>IF($K$228="","","Date")</f>
        <v/>
      </c>
      <c r="L229" s="1960" t="str">
        <f>IF($K$228="","","Time")</f>
        <v/>
      </c>
      <c r="M229" s="1959" t="str">
        <f>IF($M$228="","","Date")</f>
        <v/>
      </c>
      <c r="N229" s="1960" t="str">
        <f>IF($M$228="","","Time")</f>
        <v/>
      </c>
      <c r="O229" s="1959" t="str">
        <f>IF($O$228="","","Date")</f>
        <v/>
      </c>
      <c r="P229" s="1960" t="str">
        <f>IF($O$228="","","Time")</f>
        <v/>
      </c>
      <c r="Q229" s="1959" t="str">
        <f>IF($Q$228="","","Date")</f>
        <v/>
      </c>
      <c r="R229" s="1960" t="str">
        <f>IF($Q$228="","","Time")</f>
        <v/>
      </c>
      <c r="W229" s="1911">
        <v>1</v>
      </c>
      <c r="X229" s="1911">
        <v>2</v>
      </c>
      <c r="Y229" s="1911">
        <v>3</v>
      </c>
      <c r="Z229" s="1911">
        <v>4</v>
      </c>
      <c r="AA229" s="1911">
        <v>5</v>
      </c>
      <c r="AB229" s="1911">
        <v>6</v>
      </c>
      <c r="AC229" s="1911">
        <v>7</v>
      </c>
      <c r="AD229" s="1911">
        <v>8</v>
      </c>
      <c r="AE229" s="1911">
        <v>9</v>
      </c>
      <c r="AF229" s="1911">
        <v>10</v>
      </c>
      <c r="AG229" s="1911">
        <v>11</v>
      </c>
      <c r="AH229" s="1911">
        <v>12</v>
      </c>
    </row>
    <row r="230" spans="1:34" ht="15" customHeight="1">
      <c r="A230" s="1982" t="s">
        <v>284</v>
      </c>
      <c r="C230" s="2638" t="s">
        <v>199</v>
      </c>
      <c r="D230" s="2639"/>
      <c r="E230" s="2639"/>
      <c r="F230" s="2640"/>
      <c r="G230" s="1956">
        <f t="shared" ref="G230:G239" si="13">IF(ISERROR(MATCH(W$18,$W$19:$AB$19,0)),"",INDEX($W$230:$AH$243,,MATCH(W$18,$W$19:$AB$19,0)*2-1))</f>
        <v>44792</v>
      </c>
      <c r="H230" s="1933">
        <f t="shared" ref="H230:H239" si="14">IF(ISERROR(MATCH(W$18,$W$19:$AB$19,0)),"",INDEX($W$230:$AH$243,,MATCH(W$18,$W$19:$AB$19,0)*2))</f>
        <v>0.22569444444444445</v>
      </c>
      <c r="I230" s="1956">
        <f t="shared" ref="I230:I239" si="15">IF(ISERROR(MATCH(X$18,$W$19:$AB$19,0)),"",INDEX($W$230:$AH$243,,MATCH(X$18,$W$19:$AB$19,0)*2-1))</f>
        <v>44792</v>
      </c>
      <c r="J230" s="1933">
        <f t="shared" ref="J230:J239" si="16">IF(ISERROR(MATCH(X$18,$W$19:$AB$19,0)),"",INDEX($W$230:$AH$243,,MATCH(X$18,$W$19:$AB$19,0)*2))</f>
        <v>0.22569444444444445</v>
      </c>
      <c r="K230" s="1956" t="str">
        <f t="shared" ref="K230:K239" si="17">IF(ISERROR(MATCH(Y$18,$W$19:$AB$19,0)),"",INDEX($W$230:$AH$243,,MATCH(Y$18,$W$19:$AB$19,0)*2-1))</f>
        <v/>
      </c>
      <c r="L230" s="1933" t="str">
        <f t="shared" ref="L230:L239" si="18">IF(ISERROR(MATCH(Y$18,$W$19:$AB$19,0)),"",INDEX($W$230:$AH$243,,MATCH(Y$18,$W$19:$AB$19,0)*2))</f>
        <v/>
      </c>
      <c r="M230" s="1956" t="str">
        <f t="shared" ref="M230:M239" si="19">IF(ISERROR(MATCH(Z$18,$W$19:$AB$19,0)),"",INDEX($W$230:$AH$243,,MATCH(Z$18,$W$19:$AB$19,0)*2-1))</f>
        <v/>
      </c>
      <c r="N230" s="1933" t="str">
        <f t="shared" ref="N230:N239" si="20">IF(ISERROR(MATCH(Z$18,$W$19:$AB$19,0)),"",INDEX($W$230:$AH$243,,MATCH(Z$18,$W$19:$AB$19,0)*2))</f>
        <v/>
      </c>
      <c r="O230" s="1956" t="str">
        <f t="shared" ref="O230:O239" si="21">IF(ISERROR(MATCH(AA$18,$W$19:$AB$19,0)),"",INDEX($W$230:$AH$243,,MATCH(AA$18,$W$19:$AB$19,0)*2-1))</f>
        <v/>
      </c>
      <c r="P230" s="1933" t="str">
        <f t="shared" ref="P230:P239" si="22">IF(ISERROR(MATCH(AA$18,$W$19:$AB$19,0)),"",INDEX($W$230:$AH$243,,MATCH(AA$18,$W$19:$AB$19,0)*2))</f>
        <v/>
      </c>
      <c r="Q230" s="1956" t="str">
        <f t="shared" ref="Q230:Q239" si="23">IF(ISERROR(MATCH(AB$18,$W$19:$AB$19,0)),"",INDEX($W$230:$AH$243,,MATCH(AB$18,$W$19:$AB$19,0)*2-1))</f>
        <v/>
      </c>
      <c r="R230" s="1933" t="str">
        <f t="shared" ref="R230:R239" si="24">IF(ISERROR(MATCH(AB$18,$W$19:$AB$19,0)),"",INDEX($W$230:$AH$243,,MATCH(AB$18,$W$19:$AB$19,0)*2))</f>
        <v/>
      </c>
      <c r="W230" s="1911" t="str">
        <f t="shared" ref="W230:AH239" si="25">IF(ISERROR(MATCH($C230,LOGACTIV,0)),"",IF(INDEX(LOGMAIN,MATCH($C230,LOGACTIV,0),W$229)=0,"",INDEX(LOGMAIN,MATCH($C230,LOGACTIV,0),W$229)))</f>
        <v/>
      </c>
      <c r="X230" s="1911" t="str">
        <f t="shared" si="25"/>
        <v/>
      </c>
      <c r="Y230" s="1911">
        <f t="shared" si="25"/>
        <v>44792</v>
      </c>
      <c r="Z230" s="1911">
        <f t="shared" si="25"/>
        <v>0.22569444444444445</v>
      </c>
      <c r="AA230" s="1911" t="str">
        <f t="shared" si="25"/>
        <v/>
      </c>
      <c r="AB230" s="1911" t="str">
        <f t="shared" si="25"/>
        <v/>
      </c>
      <c r="AC230" s="1911" t="str">
        <f t="shared" si="25"/>
        <v/>
      </c>
      <c r="AD230" s="1911" t="str">
        <f t="shared" si="25"/>
        <v/>
      </c>
      <c r="AE230" s="1911" t="str">
        <f t="shared" si="25"/>
        <v/>
      </c>
      <c r="AF230" s="1911" t="str">
        <f t="shared" si="25"/>
        <v/>
      </c>
      <c r="AG230" s="1911">
        <f t="shared" si="25"/>
        <v>44792</v>
      </c>
      <c r="AH230" s="1911">
        <f t="shared" si="25"/>
        <v>0.22569444444444445</v>
      </c>
    </row>
    <row r="231" spans="1:34" ht="15" customHeight="1">
      <c r="A231" s="1982" t="s">
        <v>284</v>
      </c>
      <c r="C231" s="2641" t="s">
        <v>990</v>
      </c>
      <c r="D231" s="2642"/>
      <c r="E231" s="2642"/>
      <c r="F231" s="2643"/>
      <c r="G231" s="1957">
        <f t="shared" si="13"/>
        <v>44792</v>
      </c>
      <c r="H231" s="1934">
        <f t="shared" si="14"/>
        <v>0.27430555555555552</v>
      </c>
      <c r="I231" s="1957">
        <f t="shared" si="15"/>
        <v>44792</v>
      </c>
      <c r="J231" s="1934">
        <f t="shared" si="16"/>
        <v>0.27430555555555552</v>
      </c>
      <c r="K231" s="1957" t="str">
        <f t="shared" si="17"/>
        <v/>
      </c>
      <c r="L231" s="1934" t="str">
        <f t="shared" si="18"/>
        <v/>
      </c>
      <c r="M231" s="1957" t="str">
        <f t="shared" si="19"/>
        <v/>
      </c>
      <c r="N231" s="1934" t="str">
        <f t="shared" si="20"/>
        <v/>
      </c>
      <c r="O231" s="1957" t="str">
        <f t="shared" si="21"/>
        <v/>
      </c>
      <c r="P231" s="1934" t="str">
        <f t="shared" si="22"/>
        <v/>
      </c>
      <c r="Q231" s="1957" t="str">
        <f t="shared" si="23"/>
        <v/>
      </c>
      <c r="R231" s="1934" t="str">
        <f t="shared" si="24"/>
        <v/>
      </c>
      <c r="W231" s="1911" t="str">
        <f t="shared" si="25"/>
        <v/>
      </c>
      <c r="X231" s="1911" t="str">
        <f t="shared" si="25"/>
        <v/>
      </c>
      <c r="Y231" s="1911">
        <f t="shared" si="25"/>
        <v>44792</v>
      </c>
      <c r="Z231" s="1911">
        <f t="shared" si="25"/>
        <v>0.27430555555555552</v>
      </c>
      <c r="AA231" s="1911" t="str">
        <f t="shared" si="25"/>
        <v/>
      </c>
      <c r="AB231" s="1911" t="str">
        <f t="shared" si="25"/>
        <v/>
      </c>
      <c r="AC231" s="1911" t="str">
        <f t="shared" si="25"/>
        <v/>
      </c>
      <c r="AD231" s="1911" t="str">
        <f t="shared" si="25"/>
        <v/>
      </c>
      <c r="AE231" s="1911" t="str">
        <f t="shared" si="25"/>
        <v/>
      </c>
      <c r="AF231" s="1911" t="str">
        <f t="shared" si="25"/>
        <v/>
      </c>
      <c r="AG231" s="1911">
        <f t="shared" si="25"/>
        <v>44792</v>
      </c>
      <c r="AH231" s="1911">
        <f t="shared" si="25"/>
        <v>0.27430555555555552</v>
      </c>
    </row>
    <row r="232" spans="1:34" ht="15" customHeight="1">
      <c r="A232" s="1982" t="s">
        <v>284</v>
      </c>
      <c r="C232" s="2641" t="s">
        <v>198</v>
      </c>
      <c r="D232" s="2642"/>
      <c r="E232" s="2642"/>
      <c r="F232" s="2643"/>
      <c r="G232" s="1957">
        <f t="shared" si="13"/>
        <v>44792</v>
      </c>
      <c r="H232" s="1934">
        <f t="shared" si="14"/>
        <v>0.33333333333333331</v>
      </c>
      <c r="I232" s="1957">
        <f t="shared" si="15"/>
        <v>44792</v>
      </c>
      <c r="J232" s="1934">
        <f t="shared" si="16"/>
        <v>0.27430555555555552</v>
      </c>
      <c r="K232" s="1957" t="str">
        <f t="shared" si="17"/>
        <v/>
      </c>
      <c r="L232" s="1934" t="str">
        <f t="shared" si="18"/>
        <v/>
      </c>
      <c r="M232" s="1957" t="str">
        <f t="shared" si="19"/>
        <v/>
      </c>
      <c r="N232" s="1934" t="str">
        <f t="shared" si="20"/>
        <v/>
      </c>
      <c r="O232" s="1957" t="str">
        <f t="shared" si="21"/>
        <v/>
      </c>
      <c r="P232" s="1934" t="str">
        <f t="shared" si="22"/>
        <v/>
      </c>
      <c r="Q232" s="1957" t="str">
        <f t="shared" si="23"/>
        <v/>
      </c>
      <c r="R232" s="1934" t="str">
        <f t="shared" si="24"/>
        <v/>
      </c>
      <c r="W232" s="1911" t="str">
        <f t="shared" si="25"/>
        <v/>
      </c>
      <c r="X232" s="1911" t="str">
        <f t="shared" si="25"/>
        <v/>
      </c>
      <c r="Y232" s="1911">
        <f t="shared" si="25"/>
        <v>44792</v>
      </c>
      <c r="Z232" s="1911">
        <f t="shared" si="25"/>
        <v>0.33333333333333331</v>
      </c>
      <c r="AA232" s="1911" t="str">
        <f t="shared" si="25"/>
        <v/>
      </c>
      <c r="AB232" s="1911" t="str">
        <f t="shared" si="25"/>
        <v/>
      </c>
      <c r="AC232" s="1911" t="str">
        <f t="shared" si="25"/>
        <v/>
      </c>
      <c r="AD232" s="1911" t="str">
        <f t="shared" si="25"/>
        <v/>
      </c>
      <c r="AE232" s="1911" t="str">
        <f t="shared" si="25"/>
        <v/>
      </c>
      <c r="AF232" s="1911" t="str">
        <f t="shared" si="25"/>
        <v/>
      </c>
      <c r="AG232" s="1911">
        <f t="shared" si="25"/>
        <v>44792</v>
      </c>
      <c r="AH232" s="1911">
        <f t="shared" si="25"/>
        <v>0.27430555555555552</v>
      </c>
    </row>
    <row r="233" spans="1:34" ht="15" customHeight="1">
      <c r="A233" s="1982" t="s">
        <v>284</v>
      </c>
      <c r="C233" s="2641" t="s">
        <v>197</v>
      </c>
      <c r="D233" s="2642"/>
      <c r="E233" s="2642"/>
      <c r="F233" s="2643"/>
      <c r="G233" s="1957">
        <f t="shared" si="13"/>
        <v>44792</v>
      </c>
      <c r="H233" s="1934">
        <f t="shared" si="14"/>
        <v>0.33333333333333331</v>
      </c>
      <c r="I233" s="1957">
        <f t="shared" si="15"/>
        <v>44792</v>
      </c>
      <c r="J233" s="1934">
        <f t="shared" si="16"/>
        <v>0.2951388888888889</v>
      </c>
      <c r="K233" s="1957" t="str">
        <f t="shared" si="17"/>
        <v/>
      </c>
      <c r="L233" s="1934" t="str">
        <f t="shared" si="18"/>
        <v/>
      </c>
      <c r="M233" s="1957" t="str">
        <f t="shared" si="19"/>
        <v/>
      </c>
      <c r="N233" s="1934" t="str">
        <f t="shared" si="20"/>
        <v/>
      </c>
      <c r="O233" s="1957" t="str">
        <f t="shared" si="21"/>
        <v/>
      </c>
      <c r="P233" s="1934" t="str">
        <f t="shared" si="22"/>
        <v/>
      </c>
      <c r="Q233" s="1957" t="str">
        <f t="shared" si="23"/>
        <v/>
      </c>
      <c r="R233" s="1934" t="str">
        <f t="shared" si="24"/>
        <v/>
      </c>
      <c r="W233" s="1911" t="str">
        <f t="shared" si="25"/>
        <v/>
      </c>
      <c r="X233" s="1911" t="str">
        <f t="shared" si="25"/>
        <v/>
      </c>
      <c r="Y233" s="1911">
        <f t="shared" si="25"/>
        <v>44792</v>
      </c>
      <c r="Z233" s="1911">
        <f t="shared" si="25"/>
        <v>0.33333333333333331</v>
      </c>
      <c r="AA233" s="1911" t="str">
        <f t="shared" si="25"/>
        <v/>
      </c>
      <c r="AB233" s="1911" t="str">
        <f t="shared" si="25"/>
        <v/>
      </c>
      <c r="AC233" s="1911" t="str">
        <f t="shared" si="25"/>
        <v/>
      </c>
      <c r="AD233" s="1911" t="str">
        <f t="shared" si="25"/>
        <v/>
      </c>
      <c r="AE233" s="1911" t="str">
        <f t="shared" si="25"/>
        <v/>
      </c>
      <c r="AF233" s="1911" t="str">
        <f t="shared" si="25"/>
        <v/>
      </c>
      <c r="AG233" s="1911">
        <f t="shared" si="25"/>
        <v>44792</v>
      </c>
      <c r="AH233" s="1911">
        <f t="shared" si="25"/>
        <v>0.2951388888888889</v>
      </c>
    </row>
    <row r="234" spans="1:34" ht="15" customHeight="1">
      <c r="A234" s="1982" t="s">
        <v>284</v>
      </c>
      <c r="C234" s="2641" t="s">
        <v>196</v>
      </c>
      <c r="D234" s="2642"/>
      <c r="E234" s="2642"/>
      <c r="F234" s="2643"/>
      <c r="G234" s="1957">
        <f t="shared" si="13"/>
        <v>44792</v>
      </c>
      <c r="H234" s="1934">
        <f t="shared" si="14"/>
        <v>0.3923611111111111</v>
      </c>
      <c r="I234" s="1957">
        <f t="shared" si="15"/>
        <v>44792</v>
      </c>
      <c r="J234" s="1934">
        <f t="shared" si="16"/>
        <v>0.31944444444444448</v>
      </c>
      <c r="K234" s="1957" t="str">
        <f t="shared" si="17"/>
        <v/>
      </c>
      <c r="L234" s="1934" t="str">
        <f t="shared" si="18"/>
        <v/>
      </c>
      <c r="M234" s="1957" t="str">
        <f t="shared" si="19"/>
        <v/>
      </c>
      <c r="N234" s="1934" t="str">
        <f t="shared" si="20"/>
        <v/>
      </c>
      <c r="O234" s="1957" t="str">
        <f t="shared" si="21"/>
        <v/>
      </c>
      <c r="P234" s="1934" t="str">
        <f t="shared" si="22"/>
        <v/>
      </c>
      <c r="Q234" s="1957" t="str">
        <f t="shared" si="23"/>
        <v/>
      </c>
      <c r="R234" s="1934" t="str">
        <f t="shared" si="24"/>
        <v/>
      </c>
      <c r="W234" s="1911" t="str">
        <f t="shared" si="25"/>
        <v/>
      </c>
      <c r="X234" s="1911" t="str">
        <f t="shared" si="25"/>
        <v/>
      </c>
      <c r="Y234" s="1911">
        <f t="shared" si="25"/>
        <v>44792</v>
      </c>
      <c r="Z234" s="1911">
        <f t="shared" si="25"/>
        <v>0.3923611111111111</v>
      </c>
      <c r="AA234" s="1911" t="str">
        <f t="shared" si="25"/>
        <v/>
      </c>
      <c r="AB234" s="1911" t="str">
        <f t="shared" si="25"/>
        <v/>
      </c>
      <c r="AC234" s="1911" t="str">
        <f t="shared" si="25"/>
        <v/>
      </c>
      <c r="AD234" s="1911" t="str">
        <f t="shared" si="25"/>
        <v/>
      </c>
      <c r="AE234" s="1911" t="str">
        <f t="shared" si="25"/>
        <v/>
      </c>
      <c r="AF234" s="1911" t="str">
        <f t="shared" si="25"/>
        <v/>
      </c>
      <c r="AG234" s="1911">
        <f t="shared" si="25"/>
        <v>44792</v>
      </c>
      <c r="AH234" s="1911">
        <f t="shared" si="25"/>
        <v>0.31944444444444448</v>
      </c>
    </row>
    <row r="235" spans="1:34" ht="15" customHeight="1">
      <c r="A235" s="1982" t="s">
        <v>284</v>
      </c>
      <c r="C235" s="2641" t="s">
        <v>191</v>
      </c>
      <c r="D235" s="2642"/>
      <c r="E235" s="2642"/>
      <c r="F235" s="2643"/>
      <c r="G235" s="1957">
        <f t="shared" si="13"/>
        <v>44792</v>
      </c>
      <c r="H235" s="1934">
        <f t="shared" si="14"/>
        <v>0.40972222222222227</v>
      </c>
      <c r="I235" s="1957">
        <f t="shared" si="15"/>
        <v>44792</v>
      </c>
      <c r="J235" s="1934">
        <f t="shared" si="16"/>
        <v>0.3298611111111111</v>
      </c>
      <c r="K235" s="1957" t="str">
        <f t="shared" si="17"/>
        <v/>
      </c>
      <c r="L235" s="1934" t="str">
        <f t="shared" si="18"/>
        <v/>
      </c>
      <c r="M235" s="1957" t="str">
        <f t="shared" si="19"/>
        <v/>
      </c>
      <c r="N235" s="1934" t="str">
        <f t="shared" si="20"/>
        <v/>
      </c>
      <c r="O235" s="1957" t="str">
        <f t="shared" si="21"/>
        <v/>
      </c>
      <c r="P235" s="1934" t="str">
        <f t="shared" si="22"/>
        <v/>
      </c>
      <c r="Q235" s="1957" t="str">
        <f t="shared" si="23"/>
        <v/>
      </c>
      <c r="R235" s="1934" t="str">
        <f t="shared" si="24"/>
        <v/>
      </c>
      <c r="W235" s="1911" t="str">
        <f t="shared" si="25"/>
        <v/>
      </c>
      <c r="X235" s="1911" t="str">
        <f t="shared" si="25"/>
        <v/>
      </c>
      <c r="Y235" s="1911">
        <f t="shared" si="25"/>
        <v>44792</v>
      </c>
      <c r="Z235" s="1911">
        <f t="shared" si="25"/>
        <v>0.40972222222222227</v>
      </c>
      <c r="AA235" s="1911" t="str">
        <f t="shared" si="25"/>
        <v/>
      </c>
      <c r="AB235" s="1911" t="str">
        <f t="shared" si="25"/>
        <v/>
      </c>
      <c r="AC235" s="1911" t="str">
        <f t="shared" si="25"/>
        <v/>
      </c>
      <c r="AD235" s="1911" t="str">
        <f t="shared" si="25"/>
        <v/>
      </c>
      <c r="AE235" s="1911" t="str">
        <f t="shared" si="25"/>
        <v/>
      </c>
      <c r="AF235" s="1911" t="str">
        <f t="shared" si="25"/>
        <v/>
      </c>
      <c r="AG235" s="1911">
        <f t="shared" si="25"/>
        <v>44792</v>
      </c>
      <c r="AH235" s="1911">
        <f t="shared" si="25"/>
        <v>0.3298611111111111</v>
      </c>
    </row>
    <row r="236" spans="1:34" ht="15" customHeight="1">
      <c r="A236" s="1982" t="s">
        <v>284</v>
      </c>
      <c r="C236" s="2641" t="s">
        <v>190</v>
      </c>
      <c r="D236" s="2642"/>
      <c r="E236" s="2642"/>
      <c r="F236" s="2643"/>
      <c r="G236" s="1957">
        <f t="shared" si="13"/>
        <v>44792</v>
      </c>
      <c r="H236" s="1934">
        <f t="shared" si="14"/>
        <v>0.41666666666666669</v>
      </c>
      <c r="I236" s="1957">
        <f t="shared" si="15"/>
        <v>44792</v>
      </c>
      <c r="J236" s="1934">
        <f t="shared" si="16"/>
        <v>0.41666666666666669</v>
      </c>
      <c r="K236" s="1957" t="str">
        <f t="shared" si="17"/>
        <v/>
      </c>
      <c r="L236" s="1934" t="str">
        <f t="shared" si="18"/>
        <v/>
      </c>
      <c r="M236" s="1957" t="str">
        <f t="shared" si="19"/>
        <v/>
      </c>
      <c r="N236" s="1934" t="str">
        <f t="shared" si="20"/>
        <v/>
      </c>
      <c r="O236" s="1957" t="str">
        <f t="shared" si="21"/>
        <v/>
      </c>
      <c r="P236" s="1934" t="str">
        <f t="shared" si="22"/>
        <v/>
      </c>
      <c r="Q236" s="1957" t="str">
        <f t="shared" si="23"/>
        <v/>
      </c>
      <c r="R236" s="1934" t="str">
        <f t="shared" si="24"/>
        <v/>
      </c>
      <c r="W236" s="1911" t="str">
        <f t="shared" si="25"/>
        <v/>
      </c>
      <c r="X236" s="1911" t="str">
        <f t="shared" si="25"/>
        <v/>
      </c>
      <c r="Y236" s="1911">
        <f t="shared" si="25"/>
        <v>44792</v>
      </c>
      <c r="Z236" s="1911">
        <f t="shared" si="25"/>
        <v>0.41666666666666669</v>
      </c>
      <c r="AA236" s="1911" t="str">
        <f t="shared" si="25"/>
        <v/>
      </c>
      <c r="AB236" s="1911" t="str">
        <f t="shared" si="25"/>
        <v/>
      </c>
      <c r="AC236" s="1911" t="str">
        <f t="shared" si="25"/>
        <v/>
      </c>
      <c r="AD236" s="1911" t="str">
        <f t="shared" si="25"/>
        <v/>
      </c>
      <c r="AE236" s="1911" t="str">
        <f t="shared" si="25"/>
        <v/>
      </c>
      <c r="AF236" s="1911" t="str">
        <f t="shared" si="25"/>
        <v/>
      </c>
      <c r="AG236" s="1911">
        <f t="shared" si="25"/>
        <v>44792</v>
      </c>
      <c r="AH236" s="1911">
        <f t="shared" si="25"/>
        <v>0.41666666666666669</v>
      </c>
    </row>
    <row r="237" spans="1:34" ht="15" customHeight="1">
      <c r="A237" s="1982" t="s">
        <v>284</v>
      </c>
      <c r="C237" s="2641"/>
      <c r="D237" s="2642"/>
      <c r="E237" s="2642"/>
      <c r="F237" s="2643"/>
      <c r="G237" s="1957" t="str">
        <f t="shared" si="13"/>
        <v/>
      </c>
      <c r="H237" s="1934" t="str">
        <f t="shared" si="14"/>
        <v/>
      </c>
      <c r="I237" s="1957" t="str">
        <f t="shared" si="15"/>
        <v/>
      </c>
      <c r="J237" s="1934" t="str">
        <f t="shared" si="16"/>
        <v/>
      </c>
      <c r="K237" s="1957" t="str">
        <f t="shared" si="17"/>
        <v/>
      </c>
      <c r="L237" s="1934" t="str">
        <f t="shared" si="18"/>
        <v/>
      </c>
      <c r="M237" s="1957" t="str">
        <f t="shared" si="19"/>
        <v/>
      </c>
      <c r="N237" s="1934" t="str">
        <f t="shared" si="20"/>
        <v/>
      </c>
      <c r="O237" s="1957" t="str">
        <f t="shared" si="21"/>
        <v/>
      </c>
      <c r="P237" s="1934" t="str">
        <f t="shared" si="22"/>
        <v/>
      </c>
      <c r="Q237" s="1957" t="str">
        <f t="shared" si="23"/>
        <v/>
      </c>
      <c r="R237" s="1934" t="str">
        <f t="shared" si="24"/>
        <v/>
      </c>
      <c r="W237" s="1911" t="str">
        <f t="shared" si="25"/>
        <v/>
      </c>
      <c r="X237" s="1911" t="str">
        <f t="shared" si="25"/>
        <v/>
      </c>
      <c r="Y237" s="1911" t="str">
        <f t="shared" si="25"/>
        <v/>
      </c>
      <c r="Z237" s="1911" t="str">
        <f t="shared" si="25"/>
        <v/>
      </c>
      <c r="AA237" s="1911" t="str">
        <f t="shared" si="25"/>
        <v/>
      </c>
      <c r="AB237" s="1911" t="str">
        <f t="shared" si="25"/>
        <v/>
      </c>
      <c r="AC237" s="1911" t="str">
        <f t="shared" si="25"/>
        <v/>
      </c>
      <c r="AD237" s="1911" t="str">
        <f t="shared" si="25"/>
        <v/>
      </c>
      <c r="AE237" s="1911" t="str">
        <f t="shared" si="25"/>
        <v/>
      </c>
      <c r="AF237" s="1911" t="str">
        <f t="shared" si="25"/>
        <v/>
      </c>
      <c r="AG237" s="1911" t="str">
        <f t="shared" si="25"/>
        <v/>
      </c>
      <c r="AH237" s="1911" t="str">
        <f t="shared" si="25"/>
        <v/>
      </c>
    </row>
    <row r="238" spans="1:34" ht="15" hidden="1" customHeight="1">
      <c r="A238" s="1983" t="str">
        <f>IF(C237=0,"N","Y")</f>
        <v>N</v>
      </c>
      <c r="C238" s="2641"/>
      <c r="D238" s="2642"/>
      <c r="E238" s="2642"/>
      <c r="F238" s="2643"/>
      <c r="G238" s="1957" t="str">
        <f t="shared" si="13"/>
        <v/>
      </c>
      <c r="H238" s="1934" t="str">
        <f t="shared" si="14"/>
        <v/>
      </c>
      <c r="I238" s="1957" t="str">
        <f t="shared" si="15"/>
        <v/>
      </c>
      <c r="J238" s="1934" t="str">
        <f t="shared" si="16"/>
        <v/>
      </c>
      <c r="K238" s="1957" t="str">
        <f t="shared" si="17"/>
        <v/>
      </c>
      <c r="L238" s="1934" t="str">
        <f t="shared" si="18"/>
        <v/>
      </c>
      <c r="M238" s="1957" t="str">
        <f t="shared" si="19"/>
        <v/>
      </c>
      <c r="N238" s="1934" t="str">
        <f t="shared" si="20"/>
        <v/>
      </c>
      <c r="O238" s="1957" t="str">
        <f t="shared" si="21"/>
        <v/>
      </c>
      <c r="P238" s="1934" t="str">
        <f t="shared" si="22"/>
        <v/>
      </c>
      <c r="Q238" s="1957" t="str">
        <f t="shared" si="23"/>
        <v/>
      </c>
      <c r="R238" s="1934" t="str">
        <f t="shared" si="24"/>
        <v/>
      </c>
      <c r="W238" s="1911" t="str">
        <f t="shared" si="25"/>
        <v/>
      </c>
      <c r="X238" s="1911" t="str">
        <f t="shared" si="25"/>
        <v/>
      </c>
      <c r="Y238" s="1911" t="str">
        <f t="shared" si="25"/>
        <v/>
      </c>
      <c r="Z238" s="1911" t="str">
        <f t="shared" si="25"/>
        <v/>
      </c>
      <c r="AA238" s="1911" t="str">
        <f t="shared" si="25"/>
        <v/>
      </c>
      <c r="AB238" s="1911" t="str">
        <f t="shared" si="25"/>
        <v/>
      </c>
      <c r="AC238" s="1911" t="str">
        <f t="shared" si="25"/>
        <v/>
      </c>
      <c r="AD238" s="1911" t="str">
        <f t="shared" si="25"/>
        <v/>
      </c>
      <c r="AE238" s="1911" t="str">
        <f t="shared" si="25"/>
        <v/>
      </c>
      <c r="AF238" s="1911" t="str">
        <f t="shared" si="25"/>
        <v/>
      </c>
      <c r="AG238" s="1911" t="str">
        <f t="shared" si="25"/>
        <v/>
      </c>
      <c r="AH238" s="1911" t="str">
        <f t="shared" si="25"/>
        <v/>
      </c>
    </row>
    <row r="239" spans="1:34" ht="15" hidden="1" customHeight="1">
      <c r="A239" s="1983" t="str">
        <f>IF(C238=0,"N","Y")</f>
        <v>N</v>
      </c>
      <c r="C239" s="2758"/>
      <c r="D239" s="2759"/>
      <c r="E239" s="2759"/>
      <c r="F239" s="2760"/>
      <c r="G239" s="1958" t="str">
        <f t="shared" si="13"/>
        <v/>
      </c>
      <c r="H239" s="1935" t="str">
        <f t="shared" si="14"/>
        <v/>
      </c>
      <c r="I239" s="1958" t="str">
        <f t="shared" si="15"/>
        <v/>
      </c>
      <c r="J239" s="1935" t="str">
        <f t="shared" si="16"/>
        <v/>
      </c>
      <c r="K239" s="1958" t="str">
        <f t="shared" si="17"/>
        <v/>
      </c>
      <c r="L239" s="1935" t="str">
        <f t="shared" si="18"/>
        <v/>
      </c>
      <c r="M239" s="1958" t="str">
        <f t="shared" si="19"/>
        <v/>
      </c>
      <c r="N239" s="1935" t="str">
        <f t="shared" si="20"/>
        <v/>
      </c>
      <c r="O239" s="1958" t="str">
        <f t="shared" si="21"/>
        <v/>
      </c>
      <c r="P239" s="1935" t="str">
        <f t="shared" si="22"/>
        <v/>
      </c>
      <c r="Q239" s="1958" t="str">
        <f t="shared" si="23"/>
        <v/>
      </c>
      <c r="R239" s="1935" t="str">
        <f t="shared" si="24"/>
        <v/>
      </c>
      <c r="W239" s="1911" t="str">
        <f t="shared" si="25"/>
        <v/>
      </c>
      <c r="X239" s="1911" t="str">
        <f t="shared" si="25"/>
        <v/>
      </c>
      <c r="Y239" s="1911" t="str">
        <f t="shared" si="25"/>
        <v/>
      </c>
      <c r="Z239" s="1911" t="str">
        <f t="shared" si="25"/>
        <v/>
      </c>
      <c r="AA239" s="1911" t="str">
        <f t="shared" si="25"/>
        <v/>
      </c>
      <c r="AB239" s="1911" t="str">
        <f t="shared" si="25"/>
        <v/>
      </c>
      <c r="AC239" s="1911" t="str">
        <f t="shared" si="25"/>
        <v/>
      </c>
      <c r="AD239" s="1911" t="str">
        <f t="shared" si="25"/>
        <v/>
      </c>
      <c r="AE239" s="1911" t="str">
        <f t="shared" si="25"/>
        <v/>
      </c>
      <c r="AF239" s="1911" t="str">
        <f t="shared" si="25"/>
        <v/>
      </c>
      <c r="AG239" s="1911" t="str">
        <f t="shared" si="25"/>
        <v/>
      </c>
      <c r="AH239" s="1911" t="str">
        <f t="shared" si="25"/>
        <v/>
      </c>
    </row>
    <row r="240" spans="1:34" ht="15" customHeight="1">
      <c r="A240" s="1982" t="s">
        <v>284</v>
      </c>
      <c r="C240" s="2752"/>
      <c r="D240" s="2753"/>
      <c r="E240" s="2753"/>
      <c r="F240" s="2754"/>
      <c r="G240" s="1999" t="str">
        <f>IF($G$228="","","Hours")</f>
        <v>Hours</v>
      </c>
      <c r="H240" s="2000" t="str">
        <f>IF($G$228="","","hh:mm")</f>
        <v>hh:mm</v>
      </c>
      <c r="I240" s="1999" t="str">
        <f>IF($I$228="","","Hours")</f>
        <v>Hours</v>
      </c>
      <c r="J240" s="2000" t="str">
        <f>IF($I$228="","","hh:mm")</f>
        <v>hh:mm</v>
      </c>
      <c r="K240" s="1999" t="str">
        <f>IF($K$228="","","Hours")</f>
        <v/>
      </c>
      <c r="L240" s="2000" t="str">
        <f>IF($K$228="","","hh:mm")</f>
        <v/>
      </c>
      <c r="M240" s="1999" t="str">
        <f>IF($M$228="","","Hours")</f>
        <v/>
      </c>
      <c r="N240" s="2000" t="str">
        <f>IF($M$228="","","hh:mm")</f>
        <v/>
      </c>
      <c r="O240" s="1999" t="str">
        <f>IF($O$228="","","Hours")</f>
        <v/>
      </c>
      <c r="P240" s="2000" t="str">
        <f>IF($O$228="","","hh:mm")</f>
        <v/>
      </c>
      <c r="Q240" s="1999" t="str">
        <f>IF($Q$228="","","Hours")</f>
        <v/>
      </c>
      <c r="R240" s="2000" t="str">
        <f>IF($Q$228="","","hh:mm")</f>
        <v/>
      </c>
      <c r="W240" s="1967"/>
      <c r="X240" s="1967"/>
      <c r="Y240" s="1967"/>
      <c r="Z240" s="1967"/>
      <c r="AA240" s="1967"/>
      <c r="AB240" s="1967"/>
      <c r="AC240" s="1967"/>
      <c r="AD240" s="1967"/>
      <c r="AE240" s="1967"/>
      <c r="AF240" s="1967"/>
      <c r="AG240" s="1967"/>
      <c r="AH240" s="1967"/>
    </row>
    <row r="241" spans="1:34" ht="15" customHeight="1">
      <c r="A241" s="1982" t="s">
        <v>284</v>
      </c>
      <c r="C241" s="2743" t="s">
        <v>662</v>
      </c>
      <c r="D241" s="2744"/>
      <c r="E241" s="2744"/>
      <c r="F241" s="2745"/>
      <c r="G241" s="1964">
        <f>IF(ISERROR(MATCH(W$18,$W$19:$AB$19,0)),"",INDEX($W$230:$AH$243,,MATCH(W$18,$W$19:$AB$19,0)*2-1))</f>
        <v>1.416666666627862</v>
      </c>
      <c r="H241" s="1933">
        <f>IF(ISERROR(MATCH(W$18,$W$19:$AB$19,0)),"",INDEX($W$230:$AH$243,,MATCH(W$18,$W$19:$AB$19,0)*2))</f>
        <v>5.9027777776160917E-2</v>
      </c>
      <c r="I241" s="1964">
        <f>IF(ISERROR(MATCH(X$18,$W$19:$AB$19,0)),"",INDEX($W$230:$AH$243,,MATCH(X$18,$W$19:$AB$19,0)*2-1))</f>
        <v>0.58333333335273574</v>
      </c>
      <c r="J241" s="1933">
        <f>IF(ISERROR(MATCH(X$18,$W$19:$AB$19,0)),"",INDEX($W$230:$AH$243,,MATCH(X$18,$W$19:$AB$19,0)*2))</f>
        <v>2.4305555556363989E-2</v>
      </c>
      <c r="K241" s="1964" t="str">
        <f>IF(ISERROR(MATCH(Y$18,$W$19:$AB$19,0)),"",INDEX($W$230:$AH$243,,MATCH(Y$18,$W$19:$AB$19,0)*2-1))</f>
        <v/>
      </c>
      <c r="L241" s="1933" t="str">
        <f>IF(ISERROR(MATCH(Y$18,$W$19:$AB$19,0)),"",INDEX($W$230:$AH$243,,MATCH(Y$18,$W$19:$AB$19,0)*2))</f>
        <v/>
      </c>
      <c r="M241" s="1964" t="str">
        <f>IF(ISERROR(MATCH(Z$18,$W$19:$AB$19,0)),"",INDEX($W$230:$AH$243,,MATCH(Z$18,$W$19:$AB$19,0)*2-1))</f>
        <v/>
      </c>
      <c r="N241" s="1933" t="str">
        <f>IF(ISERROR(MATCH(Z$18,$W$19:$AB$19,0)),"",INDEX($W$230:$AH$243,,MATCH(Z$18,$W$19:$AB$19,0)*2))</f>
        <v/>
      </c>
      <c r="O241" s="1964" t="str">
        <f>IF(ISERROR(MATCH(AA$18,$W$19:$AB$19,0)),"",INDEX($W$230:$AH$243,,MATCH(AA$18,$W$19:$AB$19,0)*2-1))</f>
        <v/>
      </c>
      <c r="P241" s="1933" t="str">
        <f>IF(ISERROR(MATCH(AA$18,$W$19:$AB$19,0)),"",INDEX($W$230:$AH$243,,MATCH(AA$18,$W$19:$AB$19,0)*2))</f>
        <v/>
      </c>
      <c r="Q241" s="1964" t="str">
        <f>IF(ISERROR(MATCH(AB$18,$W$19:$AB$19,0)),"",INDEX($W$230:$AH$243,,MATCH(AB$18,$W$19:$AB$19,0)*2-1))</f>
        <v/>
      </c>
      <c r="R241" s="1933" t="str">
        <f>IF(ISERROR(MATCH(AB$18,$W$19:$AB$19,0)),"",INDEX($W$230:$AH$243,,MATCH(AB$18,$W$19:$AB$19,0)*2))</f>
        <v/>
      </c>
      <c r="W241" s="1911" t="str">
        <f>'Time Log'!M80</f>
        <v/>
      </c>
      <c r="X241" s="1911" t="str">
        <f>'Time Log'!L80</f>
        <v/>
      </c>
      <c r="Y241" s="1911">
        <f>'Time Log'!M91</f>
        <v>1.416666666627862</v>
      </c>
      <c r="Z241" s="1911">
        <f>'Time Log'!L91</f>
        <v>5.9027777776160917E-2</v>
      </c>
      <c r="AA241" s="1911" t="str">
        <f>'Time Log'!M102</f>
        <v/>
      </c>
      <c r="AB241" s="1911" t="str">
        <f>'Time Log'!L102</f>
        <v/>
      </c>
      <c r="AC241" s="1911" t="str">
        <f>'Time Log'!M113</f>
        <v/>
      </c>
      <c r="AD241" s="1911" t="str">
        <f>'Time Log'!L113</f>
        <v/>
      </c>
      <c r="AE241" s="1911" t="str">
        <f>'Time Log'!M124</f>
        <v/>
      </c>
      <c r="AF241" s="1911" t="str">
        <f>'Time Log'!L124</f>
        <v/>
      </c>
      <c r="AG241" s="1911">
        <f>'Time Log'!M135</f>
        <v>0.58333333335273574</v>
      </c>
      <c r="AH241" s="1911">
        <f>'Time Log'!L135</f>
        <v>2.4305555556363989E-2</v>
      </c>
    </row>
    <row r="242" spans="1:34" ht="15" customHeight="1">
      <c r="A242" s="1982" t="s">
        <v>284</v>
      </c>
      <c r="C242" s="2746" t="s">
        <v>1353</v>
      </c>
      <c r="D242" s="2747"/>
      <c r="E242" s="2747"/>
      <c r="F242" s="2748"/>
      <c r="G242" s="1965">
        <f>IF(ISERROR(MATCH(W$18,$W$19:$AB$19,0)),"",INDEX($W$230:$AH$243,,MATCH(W$18,$W$19:$AB$19,0)*2-1))</f>
        <v>1.416666666627862</v>
      </c>
      <c r="H242" s="1934">
        <f>IF(ISERROR(MATCH(W$18,$W$19:$AB$19,0)),"",INDEX($W$230:$AH$243,,MATCH(W$18,$W$19:$AB$19,0)*2))</f>
        <v>5.9027777776160917E-2</v>
      </c>
      <c r="I242" s="1965">
        <f>IF(ISERROR(MATCH(X$18,$W$19:$AB$19,0)),"",INDEX($W$230:$AH$243,,MATCH(X$18,$W$19:$AB$19,0)*2-1))</f>
        <v>0.58333333335273574</v>
      </c>
      <c r="J242" s="1934">
        <f>IF(ISERROR(MATCH(X$18,$W$19:$AB$19,0)),"",INDEX($W$230:$AH$243,,MATCH(X$18,$W$19:$AB$19,0)*2))</f>
        <v>2.4305555556363989E-2</v>
      </c>
      <c r="K242" s="1965" t="str">
        <f>IF(ISERROR(MATCH(Y$18,$W$19:$AB$19,0)),"",INDEX($W$230:$AH$243,,MATCH(Y$18,$W$19:$AB$19,0)*2-1))</f>
        <v/>
      </c>
      <c r="L242" s="1934" t="str">
        <f>IF(ISERROR(MATCH(Y$18,$W$19:$AB$19,0)),"",INDEX($W$230:$AH$243,,MATCH(Y$18,$W$19:$AB$19,0)*2))</f>
        <v/>
      </c>
      <c r="M242" s="1965" t="str">
        <f>IF(ISERROR(MATCH(Z$18,$W$19:$AB$19,0)),"",INDEX($W$230:$AH$243,,MATCH(Z$18,$W$19:$AB$19,0)*2-1))</f>
        <v/>
      </c>
      <c r="N242" s="1934" t="str">
        <f>IF(ISERROR(MATCH(Z$18,$W$19:$AB$19,0)),"",INDEX($W$230:$AH$243,,MATCH(Z$18,$W$19:$AB$19,0)*2))</f>
        <v/>
      </c>
      <c r="O242" s="1965" t="str">
        <f>IF(ISERROR(MATCH(AA$18,$W$19:$AB$19,0)),"",INDEX($W$230:$AH$243,,MATCH(AA$18,$W$19:$AB$19,0)*2-1))</f>
        <v/>
      </c>
      <c r="P242" s="1934" t="str">
        <f>IF(ISERROR(MATCH(AA$18,$W$19:$AB$19,0)),"",INDEX($W$230:$AH$243,,MATCH(AA$18,$W$19:$AB$19,0)*2))</f>
        <v/>
      </c>
      <c r="Q242" s="1965" t="str">
        <f>IF(ISERROR(MATCH(AB$18,$W$19:$AB$19,0)),"",INDEX($W$230:$AH$243,,MATCH(AB$18,$W$19:$AB$19,0)*2-1))</f>
        <v/>
      </c>
      <c r="R242" s="1934" t="str">
        <f>IF(ISERROR(MATCH(AB$18,$W$19:$AB$19,0)),"",INDEX($W$230:$AH$243,,MATCH(AB$18,$W$19:$AB$19,0)*2))</f>
        <v/>
      </c>
      <c r="W242" s="1911" t="str">
        <f>'Time Log'!M86</f>
        <v/>
      </c>
      <c r="X242" s="1911" t="str">
        <f>'Time Log'!L86</f>
        <v/>
      </c>
      <c r="Y242" s="1911">
        <f>'Time Log'!M97</f>
        <v>1.416666666627862</v>
      </c>
      <c r="Z242" s="1911">
        <f>'Time Log'!L97</f>
        <v>5.9027777776160917E-2</v>
      </c>
      <c r="AA242" s="1911" t="str">
        <f>'Time Log'!M108</f>
        <v/>
      </c>
      <c r="AB242" s="1911" t="str">
        <f>'Time Log'!L108</f>
        <v/>
      </c>
      <c r="AC242" s="1911" t="str">
        <f>'Time Log'!M119</f>
        <v/>
      </c>
      <c r="AD242" s="1911" t="str">
        <f>'Time Log'!L119</f>
        <v/>
      </c>
      <c r="AE242" s="1911" t="str">
        <f>'Time Log'!M130</f>
        <v/>
      </c>
      <c r="AF242" s="1911" t="str">
        <f>'Time Log'!L130</f>
        <v/>
      </c>
      <c r="AG242" s="1911">
        <f>'Time Log'!M141</f>
        <v>0.58333333335273574</v>
      </c>
      <c r="AH242" s="1911">
        <f>'Time Log'!L141</f>
        <v>2.4305555556363989E-2</v>
      </c>
    </row>
    <row r="243" spans="1:34" ht="15" customHeight="1">
      <c r="A243" s="1982" t="s">
        <v>284</v>
      </c>
      <c r="C243" s="2749" t="s">
        <v>1354</v>
      </c>
      <c r="D243" s="2750"/>
      <c r="E243" s="2750"/>
      <c r="F243" s="2751"/>
      <c r="G243" s="1966">
        <f>IF(ISERROR(MATCH(W$18,$W$19:$AB$19,0)),"",INDEX($W$230:$AH$243,,MATCH(W$18,$W$19:$AB$19,0)*2-1))</f>
        <v>0</v>
      </c>
      <c r="H243" s="1935">
        <f>IF(ISERROR(MATCH(W$18,$W$19:$AB$19,0)),"",INDEX($W$230:$AH$243,,MATCH(W$18,$W$19:$AB$19,0)*2))</f>
        <v>0</v>
      </c>
      <c r="I243" s="1966">
        <f>IF(ISERROR(MATCH(X$18,$W$19:$AB$19,0)),"",INDEX($W$230:$AH$243,,MATCH(X$18,$W$19:$AB$19,0)*2-1))</f>
        <v>0</v>
      </c>
      <c r="J243" s="1935">
        <f>IF(ISERROR(MATCH(X$18,$W$19:$AB$19,0)),"",INDEX($W$230:$AH$243,,MATCH(X$18,$W$19:$AB$19,0)*2))</f>
        <v>0</v>
      </c>
      <c r="K243" s="1966" t="str">
        <f>IF(ISERROR(MATCH(Y$18,$W$19:$AB$19,0)),"",INDEX($W$230:$AH$243,,MATCH(Y$18,$W$19:$AB$19,0)*2-1))</f>
        <v/>
      </c>
      <c r="L243" s="1935" t="str">
        <f>IF(ISERROR(MATCH(Y$18,$W$19:$AB$19,0)),"",INDEX($W$230:$AH$243,,MATCH(Y$18,$W$19:$AB$19,0)*2))</f>
        <v/>
      </c>
      <c r="M243" s="1966" t="str">
        <f>IF(ISERROR(MATCH(Z$18,$W$19:$AB$19,0)),"",INDEX($W$230:$AH$243,,MATCH(Z$18,$W$19:$AB$19,0)*2-1))</f>
        <v/>
      </c>
      <c r="N243" s="1935" t="str">
        <f>IF(ISERROR(MATCH(Z$18,$W$19:$AB$19,0)),"",INDEX($W$230:$AH$243,,MATCH(Z$18,$W$19:$AB$19,0)*2))</f>
        <v/>
      </c>
      <c r="O243" s="1966" t="str">
        <f>IF(ISERROR(MATCH(AA$18,$W$19:$AB$19,0)),"",INDEX($W$230:$AH$243,,MATCH(AA$18,$W$19:$AB$19,0)*2-1))</f>
        <v/>
      </c>
      <c r="P243" s="1935" t="str">
        <f>IF(ISERROR(MATCH(AA$18,$W$19:$AB$19,0)),"",INDEX($W$230:$AH$243,,MATCH(AA$18,$W$19:$AB$19,0)*2))</f>
        <v/>
      </c>
      <c r="Q243" s="1966" t="str">
        <f>IF(ISERROR(MATCH(AB$18,$W$19:$AB$19,0)),"",INDEX($W$230:$AH$243,,MATCH(AB$18,$W$19:$AB$19,0)*2-1))</f>
        <v/>
      </c>
      <c r="R243" s="1935" t="str">
        <f>IF(ISERROR(MATCH(AB$18,$W$19:$AB$19,0)),"",INDEX($W$230:$AH$243,,MATCH(AB$18,$W$19:$AB$19,0)*2))</f>
        <v/>
      </c>
      <c r="W243" s="1911">
        <f>'Time Log'!M$87</f>
        <v>0</v>
      </c>
      <c r="X243" s="1911">
        <f>'Time Log'!L$87</f>
        <v>0</v>
      </c>
      <c r="Y243" s="1911">
        <f>'Time Log'!M$98</f>
        <v>0</v>
      </c>
      <c r="Z243" s="1911">
        <f>'Time Log'!L$98</f>
        <v>0</v>
      </c>
      <c r="AA243" s="1911">
        <f>'Time Log'!M$109</f>
        <v>0</v>
      </c>
      <c r="AB243" s="1911">
        <f>'Time Log'!L$109</f>
        <v>0</v>
      </c>
      <c r="AC243" s="1911">
        <f>'Time Log'!M$120</f>
        <v>0</v>
      </c>
      <c r="AD243" s="1911">
        <f>'Time Log'!L$120</f>
        <v>0</v>
      </c>
      <c r="AE243" s="1911">
        <f>'Time Log'!M$131</f>
        <v>0</v>
      </c>
      <c r="AF243" s="1911">
        <f>'Time Log'!L$131</f>
        <v>0</v>
      </c>
      <c r="AG243" s="1911">
        <f>'Time Log'!M$142</f>
        <v>0</v>
      </c>
      <c r="AH243" s="1911">
        <f>'Time Log'!L$142</f>
        <v>0</v>
      </c>
    </row>
    <row r="244" spans="1:34" s="1972" customFormat="1" ht="8.25">
      <c r="A244" s="1984" t="s">
        <v>284</v>
      </c>
      <c r="C244" s="1947"/>
      <c r="D244" s="1947"/>
      <c r="E244" s="1947"/>
      <c r="F244" s="1947"/>
      <c r="G244" s="1947"/>
      <c r="H244" s="1947"/>
      <c r="I244" s="1948"/>
      <c r="J244" s="1949"/>
      <c r="K244" s="1949"/>
      <c r="L244" s="1949"/>
      <c r="M244" s="1943"/>
      <c r="N244" s="1949"/>
      <c r="O244" s="1949"/>
      <c r="P244" s="1949"/>
      <c r="S244" s="1949"/>
      <c r="T244" s="1949"/>
    </row>
    <row r="245" spans="1:34" ht="15" customHeight="1">
      <c r="A245" s="13" t="s">
        <v>284</v>
      </c>
      <c r="C245" s="1931" t="s">
        <v>1309</v>
      </c>
      <c r="D245" s="1931"/>
      <c r="E245" s="1916"/>
      <c r="F245" s="1916"/>
      <c r="G245" s="1916"/>
      <c r="H245" s="1916"/>
      <c r="I245" s="1916"/>
      <c r="J245" s="1927"/>
      <c r="K245" s="1927"/>
      <c r="L245" s="1927"/>
      <c r="M245" s="1927"/>
      <c r="N245" s="1927"/>
      <c r="O245" s="1927"/>
      <c r="P245" s="1927"/>
      <c r="Q245" s="1927"/>
      <c r="R245" s="1927"/>
      <c r="S245" s="1916"/>
    </row>
    <row r="246" spans="1:34" ht="15" hidden="1" customHeight="1">
      <c r="A246" s="1913" t="str">
        <f>IF(SUM($W$247:$AG$247)=0,"Y","N")</f>
        <v>Y</v>
      </c>
      <c r="C246" s="2764" t="str">
        <f>IF(SUM($W$247:$AG$247)=0,"There were no stoppages during this bunkering operation.","")</f>
        <v>There were no stoppages during this bunkering operation.</v>
      </c>
      <c r="D246" s="2764"/>
      <c r="E246" s="2764"/>
      <c r="F246" s="2764"/>
      <c r="G246" s="2764"/>
      <c r="H246" s="2764"/>
      <c r="I246" s="2764"/>
      <c r="J246" s="2764"/>
      <c r="K246" s="2764"/>
      <c r="L246" s="2764"/>
      <c r="M246" s="2764"/>
      <c r="N246" s="2764"/>
      <c r="O246" s="2764"/>
      <c r="P246" s="2764"/>
      <c r="Q246" s="2764"/>
      <c r="R246" s="2764"/>
      <c r="S246" s="1916"/>
    </row>
    <row r="247" spans="1:34" ht="15" customHeight="1">
      <c r="A247" s="1913" t="str">
        <f>IF(SUM($W$247:$AG$247)=0,"N","Y")</f>
        <v>N</v>
      </c>
      <c r="C247" s="2755" t="s">
        <v>1355</v>
      </c>
      <c r="D247" s="2755"/>
      <c r="E247" s="2755"/>
      <c r="F247" s="2755"/>
      <c r="G247" s="2756">
        <f>IF(ISERROR(MATCH(W$18,$W$19:$AB$19,0)),"",INDEX($W$247:$AH$247,,MATCH(W$18,$W$19:$AB$19,0)*2-1))</f>
        <v>0</v>
      </c>
      <c r="H247" s="2756"/>
      <c r="I247" s="2756">
        <f>IF(ISERROR(MATCH(X$18,$W$19:$AB$19,0)),"",INDEX($W$247:$AH$247,,MATCH(X$18,$W$19:$AB$19,0)*2-1))</f>
        <v>0</v>
      </c>
      <c r="J247" s="2756"/>
      <c r="K247" s="2756" t="str">
        <f>IF(ISERROR(MATCH(Y$18,$W$19:$AB$19,0)),"",INDEX($W$247:$AH$247,,MATCH(Y$18,$W$19:$AB$19,0)*2-1))</f>
        <v/>
      </c>
      <c r="L247" s="2756"/>
      <c r="M247" s="2756" t="str">
        <f>IF(ISERROR(MATCH(Z$18,$W$19:$AB$19,0)),"",INDEX($W$247:$AH$247,,MATCH(Z$18,$W$19:$AB$19,0)*2-1))</f>
        <v/>
      </c>
      <c r="N247" s="2756"/>
      <c r="O247" s="2756" t="str">
        <f>IF(ISERROR(MATCH(AA$18,$W$19:$AB$19,0)),"",INDEX($W$247:$AH$247,,MATCH(AA$18,$W$19:$AB$19,0)*2-1))</f>
        <v/>
      </c>
      <c r="P247" s="2756"/>
      <c r="Q247" s="2756" t="str">
        <f>IF(ISERROR(MATCH(AB$18,$W$19:$AB$19,0)),"",INDEX($W$247:$AH$247,,MATCH(AB$18,$W$19:$AB$19,0)*2-1))</f>
        <v/>
      </c>
      <c r="R247" s="2756"/>
      <c r="S247" s="1916"/>
      <c r="W247" s="2762">
        <f>LEFT(RIGHT('Time Log'!$J$87,3),1)-0</f>
        <v>0</v>
      </c>
      <c r="X247" s="2763"/>
      <c r="Y247" s="2762">
        <f>LEFT(RIGHT('Time Log'!$J$98,3),1)-0</f>
        <v>0</v>
      </c>
      <c r="Z247" s="2763"/>
      <c r="AA247" s="2762">
        <f>LEFT(RIGHT('Time Log'!$J$109,3),1)-0</f>
        <v>0</v>
      </c>
      <c r="AB247" s="2763"/>
      <c r="AC247" s="2762">
        <f>LEFT(RIGHT('Time Log'!$J$120,3),1)-0</f>
        <v>0</v>
      </c>
      <c r="AD247" s="2763"/>
      <c r="AE247" s="2762">
        <f>LEFT(RIGHT('Time Log'!$J$131,3),1)-0</f>
        <v>0</v>
      </c>
      <c r="AF247" s="2763"/>
      <c r="AG247" s="2762">
        <f>LEFT(RIGHT('Time Log'!$J$142,3),1)-0</f>
        <v>0</v>
      </c>
      <c r="AH247" s="2763"/>
    </row>
    <row r="248" spans="1:34" s="1972" customFormat="1" ht="8.25">
      <c r="A248" s="1972" t="s">
        <v>284</v>
      </c>
      <c r="Z248" s="2004" t="s">
        <v>1387</v>
      </c>
      <c r="AA248" s="2004" t="s">
        <v>1388</v>
      </c>
      <c r="AB248" s="2004" t="s">
        <v>1173</v>
      </c>
    </row>
    <row r="249" spans="1:34" ht="15" customHeight="1">
      <c r="A249" s="13" t="s">
        <v>284</v>
      </c>
      <c r="C249" s="1931" t="s">
        <v>1310</v>
      </c>
      <c r="D249" s="1931"/>
      <c r="E249" s="1916"/>
      <c r="F249" s="1916"/>
      <c r="G249" s="1916"/>
      <c r="H249" s="1916"/>
      <c r="I249" s="1916"/>
      <c r="J249" s="1927"/>
      <c r="K249" s="1927"/>
      <c r="L249" s="1927"/>
      <c r="M249" s="1927"/>
      <c r="N249" s="1927"/>
      <c r="O249" s="1927"/>
      <c r="P249" s="1927"/>
      <c r="Q249" s="1927"/>
      <c r="R249" s="1927"/>
      <c r="S249" s="1916"/>
      <c r="Z249" s="1996" t="s">
        <v>1387</v>
      </c>
      <c r="AA249" s="1996"/>
      <c r="AB249" s="1996"/>
    </row>
    <row r="250" spans="1:34" ht="15" customHeight="1">
      <c r="A250" s="13" t="s">
        <v>284</v>
      </c>
      <c r="C250" s="1988" t="s">
        <v>1323</v>
      </c>
      <c r="D250" s="2765" t="s">
        <v>1356</v>
      </c>
      <c r="E250" s="2765"/>
      <c r="F250" s="2765"/>
      <c r="G250" s="2765"/>
      <c r="H250" s="2765"/>
      <c r="I250" s="2765"/>
      <c r="J250" s="2765"/>
      <c r="K250" s="2765"/>
      <c r="L250" s="2765"/>
      <c r="M250" s="2765"/>
      <c r="N250" s="2765"/>
      <c r="O250" s="2765"/>
      <c r="P250" s="2765"/>
      <c r="Q250" s="2765"/>
      <c r="R250" s="2765"/>
      <c r="Z250" s="1911" t="str">
        <f t="shared" ref="Z250:Z255" si="26">IF(K254=0,"",K254)</f>
        <v>S/no.MD 2226-16</v>
      </c>
      <c r="AA250" s="1911" t="str">
        <f t="array" ref="AA250">INDEX($Z$250:$Z$273,MATCH(0,COUNTIF($AA$249:$AA249,$Z$250:$Z$273),0))</f>
        <v>S/no.MD 2226-16</v>
      </c>
      <c r="AB250" s="1911" t="str">
        <f>IF(ISERROR(AA250),"",AA250)</f>
        <v>S/no.MD 2226-16</v>
      </c>
    </row>
    <row r="251" spans="1:34" ht="15" customHeight="1">
      <c r="A251" s="13" t="s">
        <v>284</v>
      </c>
      <c r="C251" s="1988" t="s">
        <v>1324</v>
      </c>
      <c r="D251" s="2765" t="s">
        <v>1357</v>
      </c>
      <c r="E251" s="2765"/>
      <c r="F251" s="2765"/>
      <c r="G251" s="2765"/>
      <c r="H251" s="2765"/>
      <c r="I251" s="2765"/>
      <c r="J251" s="2765"/>
      <c r="K251" s="2765"/>
      <c r="L251" s="2765"/>
      <c r="M251" s="2765"/>
      <c r="N251" s="2765"/>
      <c r="O251" s="2765"/>
      <c r="P251" s="2765"/>
      <c r="Q251" s="2765"/>
      <c r="R251" s="2765"/>
      <c r="Z251" s="1911" t="str">
        <f t="shared" si="26"/>
        <v>S/no. 903692</v>
      </c>
      <c r="AA251" s="1911" t="str">
        <f t="array" ref="AA251">INDEX($Z$250:$Z$273,MATCH(0,COUNTIF($AA$249:$AA250,$Z$250:$Z$273),0))</f>
        <v>S/no. 903692</v>
      </c>
      <c r="AB251" s="1911" t="str">
        <f t="shared" ref="AB251:AB273" si="27">IF(ISERROR(AA251),"",AA251)</f>
        <v>S/no. 903692</v>
      </c>
    </row>
    <row r="252" spans="1:34" ht="28.5" customHeight="1">
      <c r="A252" s="1914" t="s">
        <v>284</v>
      </c>
      <c r="C252" s="1989" t="s">
        <v>1325</v>
      </c>
      <c r="D252" s="2766" t="s">
        <v>1358</v>
      </c>
      <c r="E252" s="2766"/>
      <c r="F252" s="2766"/>
      <c r="G252" s="2766"/>
      <c r="H252" s="2766"/>
      <c r="I252" s="2766"/>
      <c r="J252" s="2766"/>
      <c r="K252" s="2766"/>
      <c r="L252" s="2766"/>
      <c r="M252" s="2766"/>
      <c r="N252" s="2766"/>
      <c r="O252" s="2766"/>
      <c r="P252" s="2766"/>
      <c r="Q252" s="2766"/>
      <c r="R252" s="2766"/>
      <c r="Z252" s="1911" t="str">
        <f t="shared" si="26"/>
        <v/>
      </c>
      <c r="AA252" s="1911" t="e">
        <f t="array" ref="AA252">INDEX($Z$250:$Z$273,MATCH(0,COUNTIF($AA$249:$AA251,$Z$250:$Z$273),0))</f>
        <v>#N/A</v>
      </c>
      <c r="AB252" s="1911" t="str">
        <f t="shared" si="27"/>
        <v/>
      </c>
    </row>
    <row r="253" spans="1:34" ht="15" customHeight="1">
      <c r="A253" s="13" t="s">
        <v>284</v>
      </c>
      <c r="C253" s="1993" t="s">
        <v>1326</v>
      </c>
      <c r="D253" s="2773" t="s">
        <v>1359</v>
      </c>
      <c r="E253" s="2773"/>
      <c r="F253" s="2773"/>
      <c r="G253" s="2774"/>
      <c r="H253" s="2774"/>
      <c r="I253" s="2774"/>
      <c r="J253" s="2774"/>
      <c r="K253" s="2774"/>
      <c r="L253" s="2774"/>
      <c r="M253" s="2774"/>
      <c r="N253" s="2774"/>
      <c r="O253" s="2774"/>
      <c r="P253" s="2774"/>
      <c r="Q253" s="2774"/>
      <c r="R253" s="2774"/>
      <c r="Z253" s="1911" t="str">
        <f t="shared" si="26"/>
        <v/>
      </c>
      <c r="AA253" s="1911" t="e">
        <f t="array" ref="AA253">INDEX($Z$250:$Z$273,MATCH(0,COUNTIF($AA$249:$AA252,$Z$250:$Z$273),0))</f>
        <v>#N/A</v>
      </c>
      <c r="AB253" s="1911" t="str">
        <f t="shared" si="27"/>
        <v/>
      </c>
    </row>
    <row r="254" spans="1:34" ht="15" customHeight="1">
      <c r="A254" s="1913" t="str">
        <f>IF(C254="","N","Y")</f>
        <v>Y</v>
      </c>
      <c r="C254" s="2686" t="str">
        <f>IF(G$227="","",G$227&amp;" ("&amp;G$228&amp;"):")</f>
        <v>M/T YALÇIN 2 (LSFO):</v>
      </c>
      <c r="D254" s="2686"/>
      <c r="E254" s="2686"/>
      <c r="F254" s="2686"/>
      <c r="G254" s="2769" t="s">
        <v>1360</v>
      </c>
      <c r="H254" s="2768"/>
      <c r="I254" s="2767" t="s">
        <v>1364</v>
      </c>
      <c r="J254" s="2768"/>
      <c r="K254" s="2770" t="s">
        <v>1369</v>
      </c>
      <c r="L254" s="2771"/>
      <c r="M254" s="2769" t="s">
        <v>1360</v>
      </c>
      <c r="N254" s="2768"/>
      <c r="O254" s="2767" t="s">
        <v>1364</v>
      </c>
      <c r="P254" s="2768"/>
      <c r="Q254" s="2770" t="s">
        <v>1369</v>
      </c>
      <c r="R254" s="2771"/>
      <c r="W254" s="1997"/>
      <c r="X254" s="1911"/>
      <c r="Z254" s="1911" t="str">
        <f t="shared" si="26"/>
        <v/>
      </c>
      <c r="AA254" s="1911" t="e">
        <f t="array" ref="AA254">INDEX($Z$250:$Z$273,MATCH(0,COUNTIF($AA$249:$AA253,$Z$250:$Z$273),0))</f>
        <v>#N/A</v>
      </c>
      <c r="AB254" s="1911" t="str">
        <f t="shared" si="27"/>
        <v/>
      </c>
    </row>
    <row r="255" spans="1:34" ht="15" customHeight="1">
      <c r="A255" s="1913" t="str">
        <f t="shared" ref="A255:A259" si="28">IF(C255="","N","Y")</f>
        <v>Y</v>
      </c>
      <c r="C255" s="2686" t="str">
        <f>IF(I$227="","",I$227&amp;" ("&amp;I$228&amp;"):")</f>
        <v>M/T YALÇIN 2 (LSMGO):</v>
      </c>
      <c r="D255" s="2686"/>
      <c r="E255" s="2686"/>
      <c r="F255" s="2686"/>
      <c r="G255" s="2769" t="s">
        <v>1360</v>
      </c>
      <c r="H255" s="2768"/>
      <c r="I255" s="2767" t="s">
        <v>1365</v>
      </c>
      <c r="J255" s="2768"/>
      <c r="K255" s="2770" t="s">
        <v>1370</v>
      </c>
      <c r="L255" s="2771"/>
      <c r="M255" s="2769" t="s">
        <v>1360</v>
      </c>
      <c r="N255" s="2768"/>
      <c r="O255" s="2767" t="s">
        <v>1364</v>
      </c>
      <c r="P255" s="2768"/>
      <c r="Q255" s="2770" t="s">
        <v>1370</v>
      </c>
      <c r="R255" s="2771"/>
      <c r="W255" s="1997" t="s">
        <v>1360</v>
      </c>
      <c r="X255" s="1911" t="s">
        <v>1364</v>
      </c>
      <c r="Z255" s="1911" t="str">
        <f t="shared" si="26"/>
        <v/>
      </c>
      <c r="AA255" s="1911" t="e">
        <f t="array" ref="AA255">INDEX($Z$250:$Z$273,MATCH(0,COUNTIF($AA$249:$AA254,$Z$250:$Z$273),0))</f>
        <v>#N/A</v>
      </c>
      <c r="AB255" s="1911" t="str">
        <f t="shared" si="27"/>
        <v/>
      </c>
    </row>
    <row r="256" spans="1:34" ht="15" hidden="1" customHeight="1">
      <c r="A256" s="1913" t="str">
        <f t="shared" si="28"/>
        <v>N</v>
      </c>
      <c r="C256" s="2686" t="str">
        <f>IF(K$227="","",K$227&amp;" ("&amp;K$228&amp;"):")</f>
        <v/>
      </c>
      <c r="D256" s="2686"/>
      <c r="E256" s="2686"/>
      <c r="F256" s="2686"/>
      <c r="G256" s="2769"/>
      <c r="H256" s="2768"/>
      <c r="I256" s="2767"/>
      <c r="J256" s="2768"/>
      <c r="K256" s="2770"/>
      <c r="L256" s="2771"/>
      <c r="M256" s="2769"/>
      <c r="N256" s="2768"/>
      <c r="O256" s="2767"/>
      <c r="P256" s="2768"/>
      <c r="Q256" s="2770"/>
      <c r="R256" s="2771"/>
      <c r="W256" s="1997" t="s">
        <v>1362</v>
      </c>
      <c r="X256" s="1911" t="s">
        <v>1365</v>
      </c>
      <c r="Z256" s="1911" t="str">
        <f t="shared" ref="Z256:Z261" si="29">IF(Q254=0,"",Q254)</f>
        <v>S/no.MD 2226-16</v>
      </c>
      <c r="AA256" s="1911" t="e">
        <f t="array" ref="AA256">INDEX($Z$250:$Z$273,MATCH(0,COUNTIF($AA$249:$AA255,$Z$250:$Z$273),0))</f>
        <v>#N/A</v>
      </c>
      <c r="AB256" s="1911" t="str">
        <f t="shared" si="27"/>
        <v/>
      </c>
    </row>
    <row r="257" spans="1:28" ht="15" hidden="1" customHeight="1">
      <c r="A257" s="1913" t="str">
        <f t="shared" si="28"/>
        <v>N</v>
      </c>
      <c r="C257" s="2686" t="str">
        <f>IF(M$227="","",M$227&amp;" ("&amp;M$228&amp;"):")</f>
        <v/>
      </c>
      <c r="D257" s="2686"/>
      <c r="E257" s="2686"/>
      <c r="F257" s="2686"/>
      <c r="G257" s="2769"/>
      <c r="H257" s="2768"/>
      <c r="I257" s="2767"/>
      <c r="J257" s="2768"/>
      <c r="K257" s="2770"/>
      <c r="L257" s="2771"/>
      <c r="M257" s="2769"/>
      <c r="N257" s="2768"/>
      <c r="O257" s="2767"/>
      <c r="P257" s="2768"/>
      <c r="Q257" s="2770"/>
      <c r="R257" s="2771"/>
      <c r="W257" s="1997" t="s">
        <v>1363</v>
      </c>
      <c r="X257" s="1911" t="s">
        <v>1368</v>
      </c>
      <c r="Z257" s="1911" t="str">
        <f t="shared" si="29"/>
        <v>S/no. 903692</v>
      </c>
      <c r="AA257" s="1911" t="e">
        <f t="array" ref="AA257">INDEX($Z$250:$Z$273,MATCH(0,COUNTIF($AA$249:$AA256,$Z$250:$Z$273),0))</f>
        <v>#N/A</v>
      </c>
      <c r="AB257" s="1911" t="str">
        <f t="shared" si="27"/>
        <v/>
      </c>
    </row>
    <row r="258" spans="1:28" ht="15" hidden="1" customHeight="1">
      <c r="A258" s="1913" t="str">
        <f t="shared" si="28"/>
        <v>N</v>
      </c>
      <c r="C258" s="2686" t="str">
        <f>IF(O$227="","",O$227&amp;" ("&amp;O$228&amp;"):")</f>
        <v/>
      </c>
      <c r="D258" s="2686"/>
      <c r="E258" s="2686"/>
      <c r="F258" s="2686"/>
      <c r="G258" s="2769"/>
      <c r="H258" s="2768"/>
      <c r="I258" s="2767"/>
      <c r="J258" s="2768"/>
      <c r="K258" s="2770"/>
      <c r="L258" s="2771"/>
      <c r="M258" s="2769"/>
      <c r="N258" s="2768"/>
      <c r="O258" s="2767"/>
      <c r="P258" s="2768"/>
      <c r="Q258" s="2770"/>
      <c r="R258" s="2771"/>
      <c r="W258" s="1997" t="s">
        <v>6</v>
      </c>
      <c r="X258" s="1911" t="s">
        <v>1367</v>
      </c>
      <c r="Z258" s="1911" t="str">
        <f t="shared" si="29"/>
        <v/>
      </c>
      <c r="AA258" s="1911" t="e">
        <f t="array" ref="AA258">INDEX($Z$250:$Z$273,MATCH(0,COUNTIF($AA$249:$AA257,$Z$250:$Z$273),0))</f>
        <v>#N/A</v>
      </c>
      <c r="AB258" s="1911" t="str">
        <f t="shared" si="27"/>
        <v/>
      </c>
    </row>
    <row r="259" spans="1:28" ht="15" hidden="1" customHeight="1">
      <c r="A259" s="1913" t="str">
        <f t="shared" si="28"/>
        <v>N</v>
      </c>
      <c r="C259" s="2686" t="str">
        <f>IF(Q$227="","",Q$227&amp;" ("&amp;Q$228&amp;"):")</f>
        <v/>
      </c>
      <c r="D259" s="2686"/>
      <c r="E259" s="2686"/>
      <c r="F259" s="2686"/>
      <c r="G259" s="2769"/>
      <c r="H259" s="2768"/>
      <c r="I259" s="2767"/>
      <c r="J259" s="2768"/>
      <c r="K259" s="2770"/>
      <c r="L259" s="2771"/>
      <c r="M259" s="2769"/>
      <c r="N259" s="2768"/>
      <c r="O259" s="2767"/>
      <c r="P259" s="2768"/>
      <c r="Q259" s="2770"/>
      <c r="R259" s="2771"/>
      <c r="X259" s="1911" t="s">
        <v>1366</v>
      </c>
      <c r="Z259" s="1911" t="str">
        <f t="shared" si="29"/>
        <v/>
      </c>
      <c r="AA259" s="1911" t="e">
        <f t="array" ref="AA259">INDEX($Z$250:$Z$273,MATCH(0,COUNTIF($AA$249:$AA258,$Z$250:$Z$273),0))</f>
        <v>#N/A</v>
      </c>
      <c r="AB259" s="1911" t="str">
        <f t="shared" si="27"/>
        <v/>
      </c>
    </row>
    <row r="260" spans="1:28" s="2012" customFormat="1" ht="6">
      <c r="A260" s="2012" t="s">
        <v>284</v>
      </c>
      <c r="C260" s="2011"/>
      <c r="D260" s="2011"/>
      <c r="E260" s="2011"/>
      <c r="F260" s="2011"/>
      <c r="G260" s="2011"/>
      <c r="H260" s="2011"/>
      <c r="I260" s="2011"/>
      <c r="J260" s="2011"/>
      <c r="K260" s="2011"/>
      <c r="L260" s="2011"/>
      <c r="M260" s="2011"/>
      <c r="N260" s="2011"/>
      <c r="O260" s="2011"/>
      <c r="P260" s="2011"/>
      <c r="Q260" s="2011"/>
      <c r="R260" s="2011"/>
      <c r="X260" s="2013" t="s">
        <v>6</v>
      </c>
      <c r="Z260" s="2013" t="str">
        <f t="shared" si="29"/>
        <v/>
      </c>
      <c r="AA260" s="2013" t="e">
        <f t="array" ref="AA260">INDEX($Z$250:$Z$273,MATCH(0,COUNTIF($AA$249:$AA259,$Z$250:$Z$273),0))</f>
        <v>#N/A</v>
      </c>
      <c r="AB260" s="2013" t="str">
        <f t="shared" si="27"/>
        <v/>
      </c>
    </row>
    <row r="261" spans="1:28" ht="15" customHeight="1">
      <c r="A261" s="13" t="s">
        <v>284</v>
      </c>
      <c r="B261" s="1987" t="b">
        <v>1</v>
      </c>
      <c r="C261" s="1990" t="s">
        <v>1327</v>
      </c>
      <c r="D261" s="2685" t="s">
        <v>1361</v>
      </c>
      <c r="E261" s="2685"/>
      <c r="F261" s="2685"/>
      <c r="G261" s="2772"/>
      <c r="H261" s="2772"/>
      <c r="I261" s="2772"/>
      <c r="J261" s="2772"/>
      <c r="K261" s="2772"/>
      <c r="L261" s="2772"/>
      <c r="M261" s="2772"/>
      <c r="N261" s="2772"/>
      <c r="O261" s="2772"/>
      <c r="P261" s="2772"/>
      <c r="Q261" s="2772"/>
      <c r="R261" s="2772"/>
      <c r="S261" s="1994"/>
      <c r="Z261" s="1911" t="str">
        <f t="shared" si="29"/>
        <v/>
      </c>
      <c r="AA261" s="1911" t="e">
        <f t="array" ref="AA261">INDEX($Z$250:$Z$273,MATCH(0,COUNTIF($AA$249:$AA260,$Z$250:$Z$273),0))</f>
        <v>#N/A</v>
      </c>
      <c r="AB261" s="1911" t="str">
        <f t="shared" si="27"/>
        <v/>
      </c>
    </row>
    <row r="262" spans="1:28" ht="15" customHeight="1">
      <c r="A262" s="13" t="s">
        <v>284</v>
      </c>
      <c r="C262" s="2686" t="str">
        <f>IF($B$261=TRUE,"",C254)</f>
        <v/>
      </c>
      <c r="D262" s="2686"/>
      <c r="E262" s="2686"/>
      <c r="F262" s="2686"/>
      <c r="G262" s="2769" t="s">
        <v>1360</v>
      </c>
      <c r="H262" s="2768"/>
      <c r="I262" s="2767" t="s">
        <v>1364</v>
      </c>
      <c r="J262" s="2768"/>
      <c r="K262" s="2770" t="s">
        <v>1369</v>
      </c>
      <c r="L262" s="2771"/>
      <c r="M262" s="2769" t="s">
        <v>1360</v>
      </c>
      <c r="N262" s="2768"/>
      <c r="O262" s="2767" t="s">
        <v>1364</v>
      </c>
      <c r="P262" s="2768"/>
      <c r="Q262" s="2770" t="s">
        <v>1369</v>
      </c>
      <c r="R262" s="2771"/>
      <c r="Z262" s="1911" t="str">
        <f>IF(K262=0,"",K262)</f>
        <v>S/no.MD 2226-16</v>
      </c>
      <c r="AA262" s="1911" t="e">
        <f t="array" ref="AA262">INDEX($Z$250:$Z$273,MATCH(0,COUNTIF($AA$249:$AA261,$Z$250:$Z$273),0))</f>
        <v>#N/A</v>
      </c>
      <c r="AB262" s="1911" t="str">
        <f t="shared" si="27"/>
        <v/>
      </c>
    </row>
    <row r="263" spans="1:28" ht="15" hidden="1" customHeight="1">
      <c r="A263" s="1913" t="str">
        <f t="shared" ref="A263:A267" si="30">IF(C263="","N","Y")</f>
        <v>N</v>
      </c>
      <c r="C263" s="2686" t="str">
        <f t="shared" ref="C263:C267" si="31">IF($B$261=TRUE,"",C255)</f>
        <v/>
      </c>
      <c r="D263" s="2686"/>
      <c r="E263" s="2686"/>
      <c r="F263" s="2686"/>
      <c r="G263" s="2769" t="s">
        <v>1360</v>
      </c>
      <c r="H263" s="2768"/>
      <c r="I263" s="2767" t="s">
        <v>1364</v>
      </c>
      <c r="J263" s="2768"/>
      <c r="K263" s="2770" t="s">
        <v>1369</v>
      </c>
      <c r="L263" s="2771"/>
      <c r="M263" s="2769" t="s">
        <v>1360</v>
      </c>
      <c r="N263" s="2768"/>
      <c r="O263" s="2767" t="s">
        <v>1364</v>
      </c>
      <c r="P263" s="2768"/>
      <c r="Q263" s="2770" t="s">
        <v>1369</v>
      </c>
      <c r="R263" s="2771"/>
      <c r="Z263" s="1911" t="str">
        <f t="shared" ref="Z263:Z267" si="32">IF(K263=0,"",K263)</f>
        <v>S/no.MD 2226-16</v>
      </c>
      <c r="AA263" s="1911" t="e">
        <f t="array" ref="AA263">INDEX($Z$250:$Z$273,MATCH(0,COUNTIF($AA$249:$AA262,$Z$250:$Z$273),0))</f>
        <v>#N/A</v>
      </c>
      <c r="AB263" s="1911" t="str">
        <f t="shared" si="27"/>
        <v/>
      </c>
    </row>
    <row r="264" spans="1:28" ht="15" hidden="1" customHeight="1">
      <c r="A264" s="1913" t="str">
        <f t="shared" si="30"/>
        <v>N</v>
      </c>
      <c r="C264" s="2686" t="str">
        <f t="shared" si="31"/>
        <v/>
      </c>
      <c r="D264" s="2686"/>
      <c r="E264" s="2686"/>
      <c r="F264" s="2686"/>
      <c r="G264" s="2769"/>
      <c r="H264" s="2768"/>
      <c r="I264" s="2767"/>
      <c r="J264" s="2768"/>
      <c r="K264" s="2770"/>
      <c r="L264" s="2771"/>
      <c r="M264" s="2769"/>
      <c r="N264" s="2768"/>
      <c r="O264" s="2767"/>
      <c r="P264" s="2768"/>
      <c r="Q264" s="2770"/>
      <c r="R264" s="2771"/>
      <c r="Z264" s="1911" t="str">
        <f t="shared" si="32"/>
        <v/>
      </c>
      <c r="AA264" s="1911" t="e">
        <f t="array" ref="AA264">INDEX($Z$250:$Z$273,MATCH(0,COUNTIF($AA$249:$AA263,$Z$250:$Z$273),0))</f>
        <v>#N/A</v>
      </c>
      <c r="AB264" s="1911" t="str">
        <f t="shared" si="27"/>
        <v/>
      </c>
    </row>
    <row r="265" spans="1:28" ht="15" hidden="1" customHeight="1">
      <c r="A265" s="1913" t="str">
        <f t="shared" si="30"/>
        <v>N</v>
      </c>
      <c r="C265" s="2686" t="str">
        <f t="shared" si="31"/>
        <v/>
      </c>
      <c r="D265" s="2686"/>
      <c r="E265" s="2686"/>
      <c r="F265" s="2686"/>
      <c r="G265" s="2769"/>
      <c r="H265" s="2768"/>
      <c r="I265" s="2767"/>
      <c r="J265" s="2768"/>
      <c r="K265" s="2770"/>
      <c r="L265" s="2771"/>
      <c r="M265" s="2769"/>
      <c r="N265" s="2768"/>
      <c r="O265" s="2767"/>
      <c r="P265" s="2768"/>
      <c r="Q265" s="2770"/>
      <c r="R265" s="2771"/>
      <c r="Z265" s="1911" t="str">
        <f t="shared" si="32"/>
        <v/>
      </c>
      <c r="AA265" s="1911" t="e">
        <f t="array" ref="AA265">INDEX($Z$250:$Z$273,MATCH(0,COUNTIF($AA$249:$AA264,$Z$250:$Z$273),0))</f>
        <v>#N/A</v>
      </c>
      <c r="AB265" s="1911" t="str">
        <f t="shared" si="27"/>
        <v/>
      </c>
    </row>
    <row r="266" spans="1:28" ht="15" hidden="1" customHeight="1">
      <c r="A266" s="1913" t="str">
        <f t="shared" si="30"/>
        <v>N</v>
      </c>
      <c r="C266" s="2686" t="str">
        <f t="shared" si="31"/>
        <v/>
      </c>
      <c r="D266" s="2686"/>
      <c r="E266" s="2686"/>
      <c r="F266" s="2686"/>
      <c r="G266" s="2769"/>
      <c r="H266" s="2768"/>
      <c r="I266" s="2767"/>
      <c r="J266" s="2768"/>
      <c r="K266" s="2770"/>
      <c r="L266" s="2771"/>
      <c r="M266" s="2769"/>
      <c r="N266" s="2768"/>
      <c r="O266" s="2767"/>
      <c r="P266" s="2768"/>
      <c r="Q266" s="2770"/>
      <c r="R266" s="2771"/>
      <c r="Z266" s="1911" t="str">
        <f t="shared" si="32"/>
        <v/>
      </c>
      <c r="AA266" s="1911" t="e">
        <f t="array" ref="AA266">INDEX($Z$250:$Z$273,MATCH(0,COUNTIF($AA$249:$AA265,$Z$250:$Z$273),0))</f>
        <v>#N/A</v>
      </c>
      <c r="AB266" s="1911" t="str">
        <f t="shared" si="27"/>
        <v/>
      </c>
    </row>
    <row r="267" spans="1:28" ht="15" hidden="1" customHeight="1">
      <c r="A267" s="1913" t="str">
        <f t="shared" si="30"/>
        <v>N</v>
      </c>
      <c r="C267" s="2686" t="str">
        <f t="shared" si="31"/>
        <v/>
      </c>
      <c r="D267" s="2686"/>
      <c r="E267" s="2686"/>
      <c r="F267" s="2686"/>
      <c r="G267" s="2769"/>
      <c r="H267" s="2768"/>
      <c r="I267" s="2767"/>
      <c r="J267" s="2768"/>
      <c r="K267" s="2770"/>
      <c r="L267" s="2771"/>
      <c r="M267" s="2769"/>
      <c r="N267" s="2768"/>
      <c r="O267" s="2767"/>
      <c r="P267" s="2768"/>
      <c r="Q267" s="2770"/>
      <c r="R267" s="2771"/>
      <c r="Z267" s="1911" t="str">
        <f t="shared" si="32"/>
        <v/>
      </c>
      <c r="AA267" s="1911" t="e">
        <f t="array" ref="AA267">INDEX($Z$250:$Z$273,MATCH(0,COUNTIF($AA$249:$AA266,$Z$250:$Z$273),0))</f>
        <v>#N/A</v>
      </c>
      <c r="AB267" s="1911" t="str">
        <f t="shared" si="27"/>
        <v/>
      </c>
    </row>
    <row r="268" spans="1:28" s="1972" customFormat="1" ht="8.25">
      <c r="A268" s="1972" t="s">
        <v>284</v>
      </c>
      <c r="Z268" s="1995" t="str">
        <f t="shared" ref="Z268:Z273" si="33">IF(Q262=0,"",Q262)</f>
        <v>S/no.MD 2226-16</v>
      </c>
      <c r="AA268" s="1995" t="e">
        <f t="array" ref="AA268">INDEX($Z$250:$Z$273,MATCH(0,COUNTIF($AA$249:$AA267,$Z$250:$Z$273),0))</f>
        <v>#N/A</v>
      </c>
      <c r="AB268" s="1995" t="str">
        <f t="shared" si="27"/>
        <v/>
      </c>
    </row>
    <row r="269" spans="1:28" ht="15" customHeight="1">
      <c r="A269" s="13" t="s">
        <v>284</v>
      </c>
      <c r="C269" s="1932" t="s">
        <v>1311</v>
      </c>
      <c r="D269" s="1932"/>
      <c r="Z269" s="1911" t="str">
        <f t="shared" si="33"/>
        <v>S/no.MD 2226-16</v>
      </c>
      <c r="AA269" s="1911" t="e">
        <f t="array" ref="AA269">INDEX($Z$250:$Z$273,MATCH(0,COUNTIF($AA$249:$AA268,$Z$250:$Z$273),0))</f>
        <v>#N/A</v>
      </c>
      <c r="AB269" s="1911" t="str">
        <f t="shared" si="27"/>
        <v/>
      </c>
    </row>
    <row r="270" spans="1:28" ht="15" customHeight="1">
      <c r="A270" s="13" t="s">
        <v>284</v>
      </c>
      <c r="C270" s="1992" t="s">
        <v>1323</v>
      </c>
      <c r="D270" s="2005" t="s">
        <v>1331</v>
      </c>
      <c r="E270" s="2005"/>
      <c r="F270" s="2005"/>
      <c r="G270" s="2005"/>
      <c r="H270" s="2005"/>
      <c r="I270" s="2005"/>
      <c r="J270" s="2005"/>
      <c r="K270" s="1992" t="s">
        <v>1328</v>
      </c>
      <c r="L270" s="2005" t="s">
        <v>1336</v>
      </c>
      <c r="M270" s="2005"/>
      <c r="N270" s="2005"/>
      <c r="O270" s="2005"/>
      <c r="P270" s="2005"/>
      <c r="Q270" s="2005"/>
      <c r="R270" s="2005"/>
      <c r="Z270" s="1911" t="str">
        <f t="shared" si="33"/>
        <v/>
      </c>
      <c r="AA270" s="1911" t="e">
        <f t="array" ref="AA270">INDEX($Z$250:$Z$273,MATCH(0,COUNTIF($AA$249:$AA269,$Z$250:$Z$273),0))</f>
        <v>#N/A</v>
      </c>
      <c r="AB270" s="1911" t="str">
        <f t="shared" si="27"/>
        <v/>
      </c>
    </row>
    <row r="271" spans="1:28" ht="15" customHeight="1">
      <c r="A271" s="13" t="s">
        <v>284</v>
      </c>
      <c r="C271" s="1992" t="s">
        <v>1324</v>
      </c>
      <c r="D271" s="2005" t="s">
        <v>1332</v>
      </c>
      <c r="E271" s="2005"/>
      <c r="F271" s="2005"/>
      <c r="G271" s="2005"/>
      <c r="H271" s="2005"/>
      <c r="I271" s="2005"/>
      <c r="J271" s="2005"/>
      <c r="K271" s="1992" t="s">
        <v>1329</v>
      </c>
      <c r="L271" s="2005" t="s">
        <v>1337</v>
      </c>
      <c r="M271" s="2005"/>
      <c r="N271" s="2005"/>
      <c r="O271" s="2005"/>
      <c r="P271" s="2005"/>
      <c r="Q271" s="2005"/>
      <c r="R271" s="2005"/>
      <c r="Z271" s="1911" t="str">
        <f t="shared" si="33"/>
        <v/>
      </c>
      <c r="AA271" s="1911" t="e">
        <f t="array" ref="AA271">INDEX($Z$250:$Z$273,MATCH(0,COUNTIF($AA$249:$AA270,$Z$250:$Z$273),0))</f>
        <v>#N/A</v>
      </c>
      <c r="AB271" s="1911" t="str">
        <f t="shared" si="27"/>
        <v/>
      </c>
    </row>
    <row r="272" spans="1:28" ht="15" customHeight="1">
      <c r="A272" s="13" t="s">
        <v>284</v>
      </c>
      <c r="C272" s="1992" t="s">
        <v>1325</v>
      </c>
      <c r="D272" s="2005" t="s">
        <v>1333</v>
      </c>
      <c r="E272" s="2005"/>
      <c r="F272" s="2005"/>
      <c r="G272" s="2005"/>
      <c r="H272" s="2005"/>
      <c r="I272" s="2005"/>
      <c r="J272" s="2005"/>
      <c r="K272" s="1992" t="s">
        <v>1330</v>
      </c>
      <c r="L272" s="2005" t="s">
        <v>1338</v>
      </c>
      <c r="M272" s="2005"/>
      <c r="N272" s="2005"/>
      <c r="O272" s="2005"/>
      <c r="P272" s="2005"/>
      <c r="Q272" s="2005"/>
      <c r="R272" s="2005"/>
      <c r="Z272" s="1911" t="str">
        <f t="shared" si="33"/>
        <v/>
      </c>
      <c r="AA272" s="1911" t="e">
        <f t="array" ref="AA272">INDEX($Z$250:$Z$273,MATCH(0,COUNTIF($AA$249:$AA271,$Z$250:$Z$273),0))</f>
        <v>#N/A</v>
      </c>
      <c r="AB272" s="1911" t="str">
        <f t="shared" si="27"/>
        <v/>
      </c>
    </row>
    <row r="273" spans="1:28" ht="15" customHeight="1">
      <c r="A273" s="13" t="s">
        <v>284</v>
      </c>
      <c r="C273" s="1992" t="s">
        <v>1326</v>
      </c>
      <c r="D273" s="2005" t="s">
        <v>1334</v>
      </c>
      <c r="E273" s="2005"/>
      <c r="F273" s="2005"/>
      <c r="G273" s="2005"/>
      <c r="H273" s="2005"/>
      <c r="I273" s="2005"/>
      <c r="J273" s="2005"/>
      <c r="K273" s="1992" t="s">
        <v>1389</v>
      </c>
      <c r="L273" s="2005"/>
      <c r="M273" s="2005"/>
      <c r="N273" s="2005"/>
      <c r="O273" s="2005"/>
      <c r="P273" s="2005"/>
      <c r="Q273" s="2005"/>
      <c r="R273" s="2005"/>
      <c r="Z273" s="1911" t="str">
        <f t="shared" si="33"/>
        <v/>
      </c>
      <c r="AA273" s="1911" t="e">
        <f t="array" ref="AA273">INDEX($Z$250:$Z$273,MATCH(0,COUNTIF($AA$249:$AA272,$Z$250:$Z$273),0))</f>
        <v>#N/A</v>
      </c>
      <c r="AB273" s="1911" t="str">
        <f t="shared" si="27"/>
        <v/>
      </c>
    </row>
    <row r="274" spans="1:28" ht="15" customHeight="1">
      <c r="A274" s="13" t="s">
        <v>284</v>
      </c>
      <c r="C274" s="1992" t="s">
        <v>1327</v>
      </c>
      <c r="D274" s="2005" t="s">
        <v>1335</v>
      </c>
      <c r="E274" s="2005"/>
      <c r="F274" s="2005"/>
      <c r="G274" s="2005"/>
      <c r="H274" s="2005"/>
      <c r="I274" s="2005"/>
      <c r="J274" s="2005"/>
      <c r="K274" s="1992" t="s">
        <v>1390</v>
      </c>
      <c r="L274" s="2005"/>
      <c r="M274" s="2005"/>
      <c r="N274" s="2005"/>
      <c r="O274" s="2005"/>
      <c r="P274" s="2005"/>
      <c r="Q274" s="2005"/>
      <c r="R274" s="2005"/>
    </row>
    <row r="275" spans="1:28" ht="15" customHeight="1">
      <c r="A275" s="13" t="s">
        <v>284</v>
      </c>
      <c r="C275" s="523"/>
      <c r="D275" s="523"/>
    </row>
    <row r="276" spans="1:28" ht="28.5" customHeight="1">
      <c r="A276" s="1914" t="s">
        <v>284</v>
      </c>
      <c r="C276" s="1991" t="s">
        <v>1382</v>
      </c>
      <c r="D276" s="2787" t="s">
        <v>1379</v>
      </c>
      <c r="E276" s="2787"/>
      <c r="F276" s="2787"/>
      <c r="G276" s="2787"/>
      <c r="H276" s="2787"/>
      <c r="I276" s="2787"/>
      <c r="J276" s="2787"/>
      <c r="K276" s="2787"/>
      <c r="L276" s="2787"/>
      <c r="M276" s="2787"/>
      <c r="N276" s="2787"/>
      <c r="O276" s="2787"/>
      <c r="P276" s="2787"/>
      <c r="Q276" s="2787"/>
      <c r="R276" s="2787"/>
    </row>
    <row r="277" spans="1:28" ht="15" customHeight="1">
      <c r="A277" s="13" t="s">
        <v>284</v>
      </c>
      <c r="C277" s="1991" t="s">
        <v>1383</v>
      </c>
      <c r="D277" s="2787" t="s">
        <v>1386</v>
      </c>
      <c r="E277" s="2787"/>
      <c r="F277" s="2787"/>
      <c r="G277" s="2787"/>
      <c r="H277" s="2787"/>
      <c r="I277" s="2787"/>
      <c r="J277" s="2787"/>
      <c r="K277" s="2787"/>
      <c r="L277" s="2787"/>
      <c r="M277" s="2787"/>
      <c r="N277" s="2787"/>
      <c r="O277" s="2787"/>
      <c r="P277" s="2787"/>
      <c r="Q277" s="2787"/>
      <c r="R277" s="2787"/>
    </row>
    <row r="278" spans="1:28" ht="15" customHeight="1">
      <c r="A278" s="13" t="s">
        <v>284</v>
      </c>
      <c r="C278" s="1991" t="s">
        <v>1384</v>
      </c>
      <c r="D278" s="2787" t="s">
        <v>1380</v>
      </c>
      <c r="E278" s="2787"/>
      <c r="F278" s="2787"/>
      <c r="G278" s="2787"/>
      <c r="H278" s="2787"/>
      <c r="I278" s="2787"/>
      <c r="J278" s="2787"/>
      <c r="K278" s="2787"/>
      <c r="L278" s="2787"/>
      <c r="M278" s="2787"/>
      <c r="N278" s="2787"/>
      <c r="O278" s="2787"/>
      <c r="P278" s="2787"/>
      <c r="Q278" s="2787"/>
      <c r="R278" s="2787"/>
    </row>
    <row r="279" spans="1:28" ht="12.95" customHeight="1">
      <c r="A279" s="13" t="s">
        <v>284</v>
      </c>
      <c r="C279" s="1991" t="s">
        <v>1385</v>
      </c>
      <c r="D279" s="2787" t="s">
        <v>1381</v>
      </c>
      <c r="E279" s="2787"/>
      <c r="F279" s="2787"/>
      <c r="G279" s="2787"/>
      <c r="H279" s="2787"/>
      <c r="I279" s="2787"/>
      <c r="J279" s="2787"/>
      <c r="K279" s="2787"/>
      <c r="L279" s="2787"/>
      <c r="M279" s="2787"/>
      <c r="N279" s="2787"/>
      <c r="O279" s="2787"/>
      <c r="P279" s="2787"/>
      <c r="Q279" s="2787"/>
      <c r="R279" s="2787"/>
    </row>
    <row r="280" spans="1:28" ht="15">
      <c r="A280" s="13" t="s">
        <v>284</v>
      </c>
      <c r="C280" s="1907"/>
      <c r="D280" s="1907"/>
      <c r="E280" s="1907"/>
      <c r="F280" s="1907"/>
      <c r="G280" s="1907"/>
      <c r="H280" s="1907"/>
      <c r="I280" s="1907"/>
      <c r="J280" s="1907"/>
      <c r="K280" s="1907"/>
      <c r="L280" s="1907"/>
      <c r="M280" s="1907"/>
      <c r="N280" s="1907"/>
      <c r="O280" s="1907"/>
      <c r="P280" s="1907"/>
      <c r="Q280" s="1907"/>
      <c r="R280" s="1907"/>
    </row>
    <row r="281" spans="1:28" ht="15">
      <c r="A281" s="13" t="s">
        <v>284</v>
      </c>
      <c r="C281" s="1907"/>
      <c r="D281" s="1907"/>
      <c r="E281" s="1907"/>
      <c r="F281" s="1907"/>
      <c r="G281" s="1907"/>
      <c r="H281" s="1907"/>
      <c r="I281" s="1907"/>
      <c r="J281" s="1907"/>
      <c r="K281" s="1907"/>
      <c r="L281" s="1907"/>
      <c r="M281" s="1907"/>
      <c r="N281" s="1907"/>
      <c r="O281" s="1907"/>
      <c r="P281" s="1907"/>
      <c r="Q281" s="1907"/>
      <c r="R281" s="1907"/>
    </row>
    <row r="282" spans="1:28" ht="14.45" customHeight="1">
      <c r="A282" s="13" t="s">
        <v>284</v>
      </c>
      <c r="C282" s="1907"/>
      <c r="D282" s="1907"/>
      <c r="E282" s="1907"/>
      <c r="F282" s="1907"/>
      <c r="G282" s="1907"/>
      <c r="H282" s="1907"/>
      <c r="I282" s="1907"/>
      <c r="J282" s="1907"/>
      <c r="K282" s="1907"/>
      <c r="L282" s="1907"/>
      <c r="M282" s="1907"/>
      <c r="N282" s="1907"/>
      <c r="Q282" s="1915"/>
      <c r="R282" s="1915"/>
    </row>
    <row r="283" spans="1:28" ht="15">
      <c r="A283" s="13" t="s">
        <v>284</v>
      </c>
      <c r="C283" s="1907"/>
      <c r="D283" s="1907"/>
      <c r="E283" s="1907"/>
      <c r="F283" s="1907"/>
      <c r="G283" s="1907"/>
      <c r="H283" s="1907"/>
      <c r="I283" s="1907"/>
      <c r="J283" s="1907"/>
      <c r="K283" s="1907"/>
      <c r="L283" s="1907"/>
      <c r="M283" s="1907"/>
      <c r="N283" s="2683" t="s">
        <v>1198</v>
      </c>
      <c r="O283" s="2683"/>
      <c r="P283" s="2683"/>
      <c r="Q283" s="2683"/>
      <c r="R283" s="2683"/>
    </row>
    <row r="284" spans="1:28" ht="15" customHeight="1">
      <c r="A284" s="13" t="s">
        <v>284</v>
      </c>
      <c r="C284" s="1907"/>
      <c r="D284" s="1907"/>
      <c r="E284" s="1907"/>
      <c r="F284" s="1907"/>
      <c r="G284" s="1907"/>
      <c r="H284" s="1907"/>
      <c r="I284" s="1907"/>
      <c r="J284" s="1907"/>
      <c r="K284" s="1907"/>
      <c r="L284" s="1907"/>
      <c r="M284" s="1907"/>
      <c r="N284" s="2684" t="s">
        <v>1350</v>
      </c>
      <c r="O284" s="2684"/>
      <c r="P284" s="2684"/>
      <c r="Q284" s="2684"/>
      <c r="R284" s="2684"/>
    </row>
    <row r="285" spans="1:28" ht="6.95" customHeight="1">
      <c r="A285" s="13" t="s">
        <v>284</v>
      </c>
    </row>
    <row r="286" spans="1:28" ht="12.6" customHeight="1">
      <c r="A286" s="13" t="s">
        <v>284</v>
      </c>
      <c r="C286" s="2680"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D286" s="2681"/>
      <c r="E286" s="2681"/>
      <c r="F286" s="2681"/>
      <c r="G286" s="2681"/>
      <c r="H286" s="2681"/>
      <c r="I286" s="2681"/>
      <c r="J286" s="2681"/>
      <c r="K286" s="2681"/>
      <c r="L286" s="2681"/>
      <c r="M286" s="2681"/>
      <c r="N286" s="2681"/>
      <c r="O286" s="2681"/>
      <c r="P286" s="1974"/>
      <c r="Q286" s="2418"/>
      <c r="R286" s="2419"/>
    </row>
    <row r="287" spans="1:28" ht="12.6" customHeight="1">
      <c r="A287" s="13" t="s">
        <v>284</v>
      </c>
      <c r="C287" s="2405"/>
      <c r="D287" s="2406"/>
      <c r="E287" s="2406"/>
      <c r="F287" s="2406"/>
      <c r="G287" s="2406"/>
      <c r="H287" s="2406"/>
      <c r="I287" s="2406"/>
      <c r="J287" s="2406"/>
      <c r="K287" s="2406"/>
      <c r="L287" s="2406"/>
      <c r="M287" s="2406"/>
      <c r="N287" s="2406"/>
      <c r="O287" s="2406"/>
      <c r="P287" s="1971"/>
      <c r="Q287" s="2420"/>
      <c r="R287" s="2421"/>
    </row>
    <row r="288" spans="1:28" ht="12.6" customHeight="1">
      <c r="A288" s="13" t="s">
        <v>284</v>
      </c>
      <c r="C288" s="2405"/>
      <c r="D288" s="2406"/>
      <c r="E288" s="2406"/>
      <c r="F288" s="2406"/>
      <c r="G288" s="2406"/>
      <c r="H288" s="2406"/>
      <c r="I288" s="2406"/>
      <c r="J288" s="2406"/>
      <c r="K288" s="2406"/>
      <c r="L288" s="2406"/>
      <c r="M288" s="2406"/>
      <c r="N288" s="2406"/>
      <c r="O288" s="2406"/>
      <c r="P288" s="1971"/>
      <c r="Q288" s="2420"/>
      <c r="R288" s="2421"/>
    </row>
    <row r="289" spans="1:18" ht="12.6" customHeight="1">
      <c r="A289" s="13" t="s">
        <v>284</v>
      </c>
      <c r="C289" s="2407"/>
      <c r="D289" s="2682"/>
      <c r="E289" s="2682"/>
      <c r="F289" s="2682"/>
      <c r="G289" s="2682"/>
      <c r="H289" s="2682"/>
      <c r="I289" s="2682"/>
      <c r="J289" s="2682"/>
      <c r="K289" s="2682"/>
      <c r="L289" s="2682"/>
      <c r="M289" s="2682"/>
      <c r="N289" s="2682"/>
      <c r="O289" s="2682"/>
      <c r="P289" s="1975"/>
      <c r="Q289" s="2422"/>
      <c r="R289" s="2423"/>
    </row>
    <row r="290" spans="1:18" s="1950" customFormat="1" ht="1.5" customHeight="1">
      <c r="A290" s="1950" t="s">
        <v>284</v>
      </c>
    </row>
  </sheetData>
  <sheetProtection algorithmName="SHA-512" hashValue="n104MPBYjz6hz19nkIsJm/WApmeVfGMK3uLP1rUSBuXZq+ZMktKvaZ7PIrpOkTBSSUcCtEa8RtNezcwoSbEaLg==" saltValue="IlBHswPuNkbpWTvxNaVk0A==" spinCount="100000" sheet="1" objects="1" scenarios="1" autoFilter="0"/>
  <autoFilter ref="A10:A290" xr:uid="{00000000-0009-0000-0000-000010000000}">
    <filterColumn colId="0">
      <filters>
        <filter val="Y"/>
      </filters>
    </filterColumn>
  </autoFilter>
  <mergeCells count="454">
    <mergeCell ref="D279:R279"/>
    <mergeCell ref="E201:J201"/>
    <mergeCell ref="L201:Q201"/>
    <mergeCell ref="E204:J215"/>
    <mergeCell ref="L204:Q215"/>
    <mergeCell ref="E216:J216"/>
    <mergeCell ref="L216:Q216"/>
    <mergeCell ref="D276:R276"/>
    <mergeCell ref="D277:R277"/>
    <mergeCell ref="D278:R278"/>
    <mergeCell ref="O266:P266"/>
    <mergeCell ref="Q266:R266"/>
    <mergeCell ref="C263:F263"/>
    <mergeCell ref="C264:F264"/>
    <mergeCell ref="C265:F265"/>
    <mergeCell ref="C266:F266"/>
    <mergeCell ref="C267:F267"/>
    <mergeCell ref="G265:H265"/>
    <mergeCell ref="I265:J265"/>
    <mergeCell ref="K265:L265"/>
    <mergeCell ref="M265:N265"/>
    <mergeCell ref="O265:P265"/>
    <mergeCell ref="Q265:R265"/>
    <mergeCell ref="I261:J261"/>
    <mergeCell ref="E159:J170"/>
    <mergeCell ref="L159:Q170"/>
    <mergeCell ref="E171:J171"/>
    <mergeCell ref="L171:Q171"/>
    <mergeCell ref="E174:J185"/>
    <mergeCell ref="L174:Q185"/>
    <mergeCell ref="E186:J186"/>
    <mergeCell ref="L186:Q186"/>
    <mergeCell ref="E189:J200"/>
    <mergeCell ref="L189:Q200"/>
    <mergeCell ref="E144:J155"/>
    <mergeCell ref="L144:Q155"/>
    <mergeCell ref="E156:J156"/>
    <mergeCell ref="L156:Q156"/>
    <mergeCell ref="D60:J60"/>
    <mergeCell ref="D123:J123"/>
    <mergeCell ref="D124:J124"/>
    <mergeCell ref="D125:J125"/>
    <mergeCell ref="D110:J110"/>
    <mergeCell ref="D111:J111"/>
    <mergeCell ref="D112:J112"/>
    <mergeCell ref="D121:J121"/>
    <mergeCell ref="K121:L121"/>
    <mergeCell ref="K122:L122"/>
    <mergeCell ref="K123:L123"/>
    <mergeCell ref="K124:L124"/>
    <mergeCell ref="K125:L125"/>
    <mergeCell ref="D116:J116"/>
    <mergeCell ref="K116:L116"/>
    <mergeCell ref="D117:J117"/>
    <mergeCell ref="D106:J106"/>
    <mergeCell ref="K106:L106"/>
    <mergeCell ref="D107:J107"/>
    <mergeCell ref="K107:L107"/>
    <mergeCell ref="T114:U114"/>
    <mergeCell ref="T101:U101"/>
    <mergeCell ref="T88:U88"/>
    <mergeCell ref="T75:U75"/>
    <mergeCell ref="T62:U62"/>
    <mergeCell ref="T49:U49"/>
    <mergeCell ref="L141:Q141"/>
    <mergeCell ref="E141:J141"/>
    <mergeCell ref="L129:Q140"/>
    <mergeCell ref="E129:J140"/>
    <mergeCell ref="D118:J118"/>
    <mergeCell ref="K118:L118"/>
    <mergeCell ref="D119:J119"/>
    <mergeCell ref="K119:L119"/>
    <mergeCell ref="D120:J120"/>
    <mergeCell ref="K120:L120"/>
    <mergeCell ref="K109:L109"/>
    <mergeCell ref="K110:L110"/>
    <mergeCell ref="K111:L111"/>
    <mergeCell ref="K112:L112"/>
    <mergeCell ref="D115:J115"/>
    <mergeCell ref="K115:L115"/>
    <mergeCell ref="D105:J105"/>
    <mergeCell ref="K105:L105"/>
    <mergeCell ref="K97:L97"/>
    <mergeCell ref="K98:L98"/>
    <mergeCell ref="D108:J108"/>
    <mergeCell ref="K108:L108"/>
    <mergeCell ref="K117:L117"/>
    <mergeCell ref="K99:L99"/>
    <mergeCell ref="D102:J102"/>
    <mergeCell ref="K102:L102"/>
    <mergeCell ref="D103:J103"/>
    <mergeCell ref="K103:L103"/>
    <mergeCell ref="D97:J97"/>
    <mergeCell ref="D98:J98"/>
    <mergeCell ref="D99:J99"/>
    <mergeCell ref="D104:J104"/>
    <mergeCell ref="K104:L104"/>
    <mergeCell ref="D92:J92"/>
    <mergeCell ref="K92:L92"/>
    <mergeCell ref="D93:J93"/>
    <mergeCell ref="K93:L93"/>
    <mergeCell ref="D94:J94"/>
    <mergeCell ref="K94:L94"/>
    <mergeCell ref="D95:J95"/>
    <mergeCell ref="K95:L95"/>
    <mergeCell ref="K96:L96"/>
    <mergeCell ref="K85:L85"/>
    <mergeCell ref="K86:L86"/>
    <mergeCell ref="D89:J89"/>
    <mergeCell ref="K89:L89"/>
    <mergeCell ref="D90:J90"/>
    <mergeCell ref="K90:L90"/>
    <mergeCell ref="D91:J91"/>
    <mergeCell ref="K91:L91"/>
    <mergeCell ref="D85:J85"/>
    <mergeCell ref="D86:J86"/>
    <mergeCell ref="D80:J80"/>
    <mergeCell ref="K80:L80"/>
    <mergeCell ref="D81:J81"/>
    <mergeCell ref="K81:L81"/>
    <mergeCell ref="D82:J82"/>
    <mergeCell ref="K82:L82"/>
    <mergeCell ref="K83:L83"/>
    <mergeCell ref="K84:L84"/>
    <mergeCell ref="D84:J84"/>
    <mergeCell ref="D72:J72"/>
    <mergeCell ref="K73:L73"/>
    <mergeCell ref="D76:J76"/>
    <mergeCell ref="K76:L76"/>
    <mergeCell ref="D77:J77"/>
    <mergeCell ref="K77:L77"/>
    <mergeCell ref="D78:J78"/>
    <mergeCell ref="K78:L78"/>
    <mergeCell ref="D79:J79"/>
    <mergeCell ref="K79:L79"/>
    <mergeCell ref="D73:J73"/>
    <mergeCell ref="Q262:R262"/>
    <mergeCell ref="G261:H261"/>
    <mergeCell ref="K59:L59"/>
    <mergeCell ref="D50:J50"/>
    <mergeCell ref="D51:J51"/>
    <mergeCell ref="D52:J52"/>
    <mergeCell ref="D53:J53"/>
    <mergeCell ref="D54:J54"/>
    <mergeCell ref="D55:J55"/>
    <mergeCell ref="D56:J56"/>
    <mergeCell ref="D58:J58"/>
    <mergeCell ref="D59:J59"/>
    <mergeCell ref="K50:L50"/>
    <mergeCell ref="K51:L51"/>
    <mergeCell ref="K52:L52"/>
    <mergeCell ref="K53:L53"/>
    <mergeCell ref="K54:L54"/>
    <mergeCell ref="K55:L55"/>
    <mergeCell ref="K56:L56"/>
    <mergeCell ref="K57:L57"/>
    <mergeCell ref="K58:L58"/>
    <mergeCell ref="D63:J63"/>
    <mergeCell ref="K63:L63"/>
    <mergeCell ref="D64:J64"/>
    <mergeCell ref="O261:P261"/>
    <mergeCell ref="Q261:R261"/>
    <mergeCell ref="O267:P267"/>
    <mergeCell ref="K254:L254"/>
    <mergeCell ref="K255:L255"/>
    <mergeCell ref="K256:L256"/>
    <mergeCell ref="K267:L267"/>
    <mergeCell ref="M267:N267"/>
    <mergeCell ref="K60:L60"/>
    <mergeCell ref="O263:P263"/>
    <mergeCell ref="Q263:R263"/>
    <mergeCell ref="K264:L264"/>
    <mergeCell ref="M264:N264"/>
    <mergeCell ref="O264:P264"/>
    <mergeCell ref="Q264:R264"/>
    <mergeCell ref="O258:P258"/>
    <mergeCell ref="Q258:R258"/>
    <mergeCell ref="K259:L259"/>
    <mergeCell ref="M259:N259"/>
    <mergeCell ref="O259:P259"/>
    <mergeCell ref="Q259:R259"/>
    <mergeCell ref="K262:L262"/>
    <mergeCell ref="M262:N262"/>
    <mergeCell ref="O262:P262"/>
    <mergeCell ref="D253:F253"/>
    <mergeCell ref="Q254:R254"/>
    <mergeCell ref="Q255:R255"/>
    <mergeCell ref="Q256:R256"/>
    <mergeCell ref="Q267:R267"/>
    <mergeCell ref="G253:H253"/>
    <mergeCell ref="I253:J253"/>
    <mergeCell ref="K253:L253"/>
    <mergeCell ref="M253:N253"/>
    <mergeCell ref="O253:P253"/>
    <mergeCell ref="Q253:R253"/>
    <mergeCell ref="G257:H257"/>
    <mergeCell ref="I257:J257"/>
    <mergeCell ref="K257:L257"/>
    <mergeCell ref="M257:N257"/>
    <mergeCell ref="O257:P257"/>
    <mergeCell ref="Q257:R257"/>
    <mergeCell ref="G258:H258"/>
    <mergeCell ref="G254:H254"/>
    <mergeCell ref="G267:H267"/>
    <mergeCell ref="I254:J254"/>
    <mergeCell ref="M254:N254"/>
    <mergeCell ref="M255:N255"/>
    <mergeCell ref="M256:N256"/>
    <mergeCell ref="I267:J267"/>
    <mergeCell ref="I258:J258"/>
    <mergeCell ref="K258:L258"/>
    <mergeCell ref="M258:N258"/>
    <mergeCell ref="G263:H263"/>
    <mergeCell ref="I263:J263"/>
    <mergeCell ref="K263:L263"/>
    <mergeCell ref="M263:N263"/>
    <mergeCell ref="G266:H266"/>
    <mergeCell ref="I266:J266"/>
    <mergeCell ref="K266:L266"/>
    <mergeCell ref="M266:N266"/>
    <mergeCell ref="K261:L261"/>
    <mergeCell ref="M261:N261"/>
    <mergeCell ref="G264:H264"/>
    <mergeCell ref="I264:J264"/>
    <mergeCell ref="G259:H259"/>
    <mergeCell ref="I259:J259"/>
    <mergeCell ref="G262:H262"/>
    <mergeCell ref="I262:J262"/>
    <mergeCell ref="AG247:AH247"/>
    <mergeCell ref="C246:R246"/>
    <mergeCell ref="D250:R250"/>
    <mergeCell ref="D251:R251"/>
    <mergeCell ref="D252:R252"/>
    <mergeCell ref="O254:P254"/>
    <mergeCell ref="O255:P255"/>
    <mergeCell ref="O256:P256"/>
    <mergeCell ref="C254:F254"/>
    <mergeCell ref="C255:F255"/>
    <mergeCell ref="C256:F256"/>
    <mergeCell ref="K247:L247"/>
    <mergeCell ref="M247:N247"/>
    <mergeCell ref="O247:P247"/>
    <mergeCell ref="Q247:R247"/>
    <mergeCell ref="W247:X247"/>
    <mergeCell ref="Y247:Z247"/>
    <mergeCell ref="AA247:AB247"/>
    <mergeCell ref="AC247:AD247"/>
    <mergeCell ref="AE247:AF247"/>
    <mergeCell ref="G255:H255"/>
    <mergeCell ref="G256:H256"/>
    <mergeCell ref="I255:J255"/>
    <mergeCell ref="I256:J256"/>
    <mergeCell ref="C229:F229"/>
    <mergeCell ref="C241:F241"/>
    <mergeCell ref="C242:F242"/>
    <mergeCell ref="C243:F243"/>
    <mergeCell ref="C240:F240"/>
    <mergeCell ref="C247:F247"/>
    <mergeCell ref="G247:H247"/>
    <mergeCell ref="I247:J247"/>
    <mergeCell ref="G218:H218"/>
    <mergeCell ref="I218:J218"/>
    <mergeCell ref="G228:H228"/>
    <mergeCell ref="I228:J228"/>
    <mergeCell ref="C231:F231"/>
    <mergeCell ref="C232:F232"/>
    <mergeCell ref="C233:F233"/>
    <mergeCell ref="C234:F234"/>
    <mergeCell ref="C235:F235"/>
    <mergeCell ref="C239:F239"/>
    <mergeCell ref="C236:F236"/>
    <mergeCell ref="C237:F237"/>
    <mergeCell ref="C238:F238"/>
    <mergeCell ref="C218:F218"/>
    <mergeCell ref="K228:L228"/>
    <mergeCell ref="M228:N228"/>
    <mergeCell ref="O228:P228"/>
    <mergeCell ref="Q228:R228"/>
    <mergeCell ref="C228:F228"/>
    <mergeCell ref="C224:F224"/>
    <mergeCell ref="G224:H224"/>
    <mergeCell ref="I224:J224"/>
    <mergeCell ref="G219:H219"/>
    <mergeCell ref="G220:H220"/>
    <mergeCell ref="G221:H221"/>
    <mergeCell ref="G222:H222"/>
    <mergeCell ref="G223:H223"/>
    <mergeCell ref="G225:H225"/>
    <mergeCell ref="I219:J219"/>
    <mergeCell ref="I220:J220"/>
    <mergeCell ref="I221:J221"/>
    <mergeCell ref="I222:J222"/>
    <mergeCell ref="I223:J223"/>
    <mergeCell ref="I225:J225"/>
    <mergeCell ref="C220:F220"/>
    <mergeCell ref="C221:F221"/>
    <mergeCell ref="C227:F227"/>
    <mergeCell ref="G227:H227"/>
    <mergeCell ref="G23:J23"/>
    <mergeCell ref="G24:J24"/>
    <mergeCell ref="G26:J26"/>
    <mergeCell ref="G27:J27"/>
    <mergeCell ref="G28:J28"/>
    <mergeCell ref="G29:J29"/>
    <mergeCell ref="C21:F21"/>
    <mergeCell ref="C22:F22"/>
    <mergeCell ref="C23:F23"/>
    <mergeCell ref="C24:F24"/>
    <mergeCell ref="C25:F25"/>
    <mergeCell ref="C26:F26"/>
    <mergeCell ref="C27:F27"/>
    <mergeCell ref="C28:F28"/>
    <mergeCell ref="C29:F29"/>
    <mergeCell ref="Q32:R32"/>
    <mergeCell ref="Q33:R33"/>
    <mergeCell ref="Q34:R34"/>
    <mergeCell ref="Q35:R35"/>
    <mergeCell ref="Q36:R36"/>
    <mergeCell ref="Q37:R37"/>
    <mergeCell ref="Q38:R38"/>
    <mergeCell ref="M227:N227"/>
    <mergeCell ref="O227:P227"/>
    <mergeCell ref="Q227:R227"/>
    <mergeCell ref="M32:N32"/>
    <mergeCell ref="M33:N33"/>
    <mergeCell ref="M34:N34"/>
    <mergeCell ref="M35:N35"/>
    <mergeCell ref="M36:N36"/>
    <mergeCell ref="M37:N37"/>
    <mergeCell ref="M38:N38"/>
    <mergeCell ref="O32:P32"/>
    <mergeCell ref="O33:P33"/>
    <mergeCell ref="O34:P34"/>
    <mergeCell ref="O35:P35"/>
    <mergeCell ref="O36:P36"/>
    <mergeCell ref="O37:P37"/>
    <mergeCell ref="M42:N42"/>
    <mergeCell ref="G32:H32"/>
    <mergeCell ref="G33:H33"/>
    <mergeCell ref="G34:H34"/>
    <mergeCell ref="G35:H35"/>
    <mergeCell ref="G36:H36"/>
    <mergeCell ref="G37:H37"/>
    <mergeCell ref="G38:H38"/>
    <mergeCell ref="D34:F34"/>
    <mergeCell ref="D35:F35"/>
    <mergeCell ref="D36:F36"/>
    <mergeCell ref="D37:F37"/>
    <mergeCell ref="M43:N43"/>
    <mergeCell ref="M44:N44"/>
    <mergeCell ref="M45:N45"/>
    <mergeCell ref="K41:L41"/>
    <mergeCell ref="K227:L227"/>
    <mergeCell ref="D43:F43"/>
    <mergeCell ref="D44:F44"/>
    <mergeCell ref="D45:F45"/>
    <mergeCell ref="K64:L64"/>
    <mergeCell ref="D65:J65"/>
    <mergeCell ref="K65:L65"/>
    <mergeCell ref="D66:J66"/>
    <mergeCell ref="K66:L66"/>
    <mergeCell ref="D67:J67"/>
    <mergeCell ref="K67:L67"/>
    <mergeCell ref="D68:J68"/>
    <mergeCell ref="K68:L68"/>
    <mergeCell ref="D69:J69"/>
    <mergeCell ref="K69:L69"/>
    <mergeCell ref="K70:L70"/>
    <mergeCell ref="K71:L71"/>
    <mergeCell ref="K72:L72"/>
    <mergeCell ref="D71:J71"/>
    <mergeCell ref="K43:L43"/>
    <mergeCell ref="Q41:R41"/>
    <mergeCell ref="Q42:R42"/>
    <mergeCell ref="Q43:R43"/>
    <mergeCell ref="Q44:R44"/>
    <mergeCell ref="Q45:R45"/>
    <mergeCell ref="O41:P41"/>
    <mergeCell ref="O42:P42"/>
    <mergeCell ref="O43:P43"/>
    <mergeCell ref="O44:P44"/>
    <mergeCell ref="O45:P45"/>
    <mergeCell ref="M41:N41"/>
    <mergeCell ref="K44:L44"/>
    <mergeCell ref="K45:L45"/>
    <mergeCell ref="I41:J41"/>
    <mergeCell ref="I42:J42"/>
    <mergeCell ref="I43:J43"/>
    <mergeCell ref="C286:O289"/>
    <mergeCell ref="N283:R283"/>
    <mergeCell ref="N284:R284"/>
    <mergeCell ref="C41:C42"/>
    <mergeCell ref="C230:F230"/>
    <mergeCell ref="I44:J44"/>
    <mergeCell ref="D261:F261"/>
    <mergeCell ref="C257:F257"/>
    <mergeCell ref="C258:F258"/>
    <mergeCell ref="C259:F259"/>
    <mergeCell ref="C262:F262"/>
    <mergeCell ref="I45:J45"/>
    <mergeCell ref="G41:H41"/>
    <mergeCell ref="G42:H42"/>
    <mergeCell ref="G43:H43"/>
    <mergeCell ref="G44:H44"/>
    <mergeCell ref="G45:H45"/>
    <mergeCell ref="I227:J227"/>
    <mergeCell ref="K28:N28"/>
    <mergeCell ref="K21:N21"/>
    <mergeCell ref="K22:N22"/>
    <mergeCell ref="D32:F33"/>
    <mergeCell ref="K42:L42"/>
    <mergeCell ref="D38:F38"/>
    <mergeCell ref="D41:F42"/>
    <mergeCell ref="O38:P38"/>
    <mergeCell ref="I32:J32"/>
    <mergeCell ref="I33:J33"/>
    <mergeCell ref="I34:J34"/>
    <mergeCell ref="I35:J35"/>
    <mergeCell ref="I36:J36"/>
    <mergeCell ref="I37:J37"/>
    <mergeCell ref="I38:J38"/>
    <mergeCell ref="K32:L32"/>
    <mergeCell ref="K33:L33"/>
    <mergeCell ref="K34:L34"/>
    <mergeCell ref="K35:L35"/>
    <mergeCell ref="K36:L36"/>
    <mergeCell ref="K37:L37"/>
    <mergeCell ref="K38:L38"/>
    <mergeCell ref="G21:J21"/>
    <mergeCell ref="G22:J22"/>
    <mergeCell ref="Q286:R289"/>
    <mergeCell ref="C12:E12"/>
    <mergeCell ref="Q12:R12"/>
    <mergeCell ref="C18:R19"/>
    <mergeCell ref="C16:R17"/>
    <mergeCell ref="C219:F219"/>
    <mergeCell ref="C222:F222"/>
    <mergeCell ref="C223:F223"/>
    <mergeCell ref="C225:F225"/>
    <mergeCell ref="C14:R14"/>
    <mergeCell ref="O21:R21"/>
    <mergeCell ref="O22:R22"/>
    <mergeCell ref="O23:R23"/>
    <mergeCell ref="O24:R24"/>
    <mergeCell ref="K26:N26"/>
    <mergeCell ref="O26:R26"/>
    <mergeCell ref="K23:N23"/>
    <mergeCell ref="K24:N24"/>
    <mergeCell ref="C32:C33"/>
    <mergeCell ref="O28:R28"/>
    <mergeCell ref="K29:N29"/>
    <mergeCell ref="O29:R29"/>
    <mergeCell ref="K27:N27"/>
    <mergeCell ref="O27:R27"/>
  </mergeCells>
  <conditionalFormatting sqref="U115:U116 U119:U120 U124">
    <cfRule type="expression" dxfId="48" priority="20">
      <formula>PGUIDE6="Y"</formula>
    </cfRule>
  </conditionalFormatting>
  <conditionalFormatting sqref="U102:U103 U106:U107 U111">
    <cfRule type="expression" dxfId="47" priority="14">
      <formula>PGUIDE5="Y"</formula>
    </cfRule>
  </conditionalFormatting>
  <conditionalFormatting sqref="U89:U90 U93:U94 U98">
    <cfRule type="expression" dxfId="46" priority="13">
      <formula>PGUIDE4="Y"</formula>
    </cfRule>
  </conditionalFormatting>
  <conditionalFormatting sqref="U76:U77 U80:U81 U85">
    <cfRule type="expression" dxfId="45" priority="12">
      <formula>PGUIDE3="Y"</formula>
    </cfRule>
  </conditionalFormatting>
  <conditionalFormatting sqref="U63:U64 U67:U68 U72">
    <cfRule type="expression" dxfId="44" priority="11">
      <formula>PGUIDE2="Y"</formula>
    </cfRule>
  </conditionalFormatting>
  <conditionalFormatting sqref="U50:U51 U54:U55 U59">
    <cfRule type="expression" dxfId="43" priority="10">
      <formula>PGUIDE1="Y"</formula>
    </cfRule>
  </conditionalFormatting>
  <conditionalFormatting sqref="G21:R24 G26:R29">
    <cfRule type="expression" dxfId="42" priority="9">
      <formula>G21=""</formula>
    </cfRule>
  </conditionalFormatting>
  <conditionalFormatting sqref="G32:R38">
    <cfRule type="expression" dxfId="41" priority="8">
      <formula>G$32=""</formula>
    </cfRule>
  </conditionalFormatting>
  <conditionalFormatting sqref="G41:R45">
    <cfRule type="expression" dxfId="40" priority="1">
      <formula>AND(G$41="",I$41="")</formula>
    </cfRule>
    <cfRule type="expression" dxfId="39" priority="7">
      <formula>G$41=""</formula>
    </cfRule>
  </conditionalFormatting>
  <conditionalFormatting sqref="I227:J243 I247:J247">
    <cfRule type="expression" dxfId="38" priority="6">
      <formula>$I$227=""</formula>
    </cfRule>
  </conditionalFormatting>
  <conditionalFormatting sqref="K227:L243 K247:L247">
    <cfRule type="expression" dxfId="37" priority="5">
      <formula>$K$227=""</formula>
    </cfRule>
  </conditionalFormatting>
  <conditionalFormatting sqref="M227:N243 M247:N247">
    <cfRule type="expression" dxfId="36" priority="4">
      <formula>$M$227=""</formula>
    </cfRule>
  </conditionalFormatting>
  <conditionalFormatting sqref="O227:P243 O247:P247">
    <cfRule type="expression" dxfId="35" priority="3">
      <formula>$O$227=""</formula>
    </cfRule>
  </conditionalFormatting>
  <conditionalFormatting sqref="Q227:R243 Q247:R247">
    <cfRule type="expression" dxfId="34" priority="2">
      <formula>$Q$227=""</formula>
    </cfRule>
  </conditionalFormatting>
  <dataValidations count="3">
    <dataValidation type="list" allowBlank="1" sqref="K254:L259 Q254:R259 K262:L267 Q262:R267" xr:uid="{00000000-0002-0000-1000-000000000000}">
      <formula1>UNIQUE_SN</formula1>
    </dataValidation>
    <dataValidation type="list" allowBlank="1" sqref="G254:H259 M254:N259 G262:H267 M262:N267" xr:uid="{00000000-0002-0000-1000-000001000000}">
      <formula1>FINALWHO</formula1>
    </dataValidation>
    <dataValidation type="list" allowBlank="1" sqref="I254:J259 O254:P259 I262:J267 O262:P267" xr:uid="{00000000-0002-0000-1000-000002000000}">
      <formula1>FINALWHAT</formula1>
    </dataValidation>
  </dataValidations>
  <printOptions horizontalCentered="1"/>
  <pageMargins left="0.3" right="0.3" top="0.2" bottom="0.3" header="0.3" footer="0.1"/>
  <pageSetup paperSize="9" scale="80" fitToHeight="0" orientation="portrait" cellComments="atEnd" r:id="rId1"/>
  <headerFooter scaleWithDoc="0">
    <oddFooter>&amp;L&amp;8BunkerManager, v1.12&amp;C&amp;8by AMS-Marine | www.ams-marine.com&amp;R&amp;8RefNo: BD/2015/00926 SG</oddFooter>
  </headerFooter>
  <rowBreaks count="2" manualBreakCount="2">
    <brk id="126" min="2" max="17" man="1"/>
    <brk id="217" min="2" max="17" man="1"/>
  </rowBreaks>
  <colBreaks count="1" manualBreakCount="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0703" r:id="rId4" name="Check Box 31">
              <controlPr defaultSize="0" print="0" autoFill="0" autoLine="0" autoPict="0" macro="[0]!REFRESHFILTER1">
                <anchor moveWithCells="1">
                  <from>
                    <xdr:col>5</xdr:col>
                    <xdr:colOff>390525</xdr:colOff>
                    <xdr:row>259</xdr:row>
                    <xdr:rowOff>28575</xdr:rowOff>
                  </from>
                  <to>
                    <xdr:col>11</xdr:col>
                    <xdr:colOff>209550</xdr:colOff>
                    <xdr:row>261</xdr:row>
                    <xdr:rowOff>9525</xdr:rowOff>
                  </to>
                </anchor>
              </controlPr>
            </control>
          </mc:Choice>
        </mc:AlternateContent>
        <mc:AlternateContent xmlns:mc="http://schemas.openxmlformats.org/markup-compatibility/2006">
          <mc:Choice Requires="x14">
            <control shapeId="540718" r:id="rId5" name="List Box 46">
              <controlPr defaultSize="0" print="0" autoLine="0" autoPict="0" macro="[0]!FLOWPHOTOS">
                <anchor moveWithCells="1">
                  <from>
                    <xdr:col>16</xdr:col>
                    <xdr:colOff>28575</xdr:colOff>
                    <xdr:row>8</xdr:row>
                    <xdr:rowOff>38100</xdr:rowOff>
                  </from>
                  <to>
                    <xdr:col>17</xdr:col>
                    <xdr:colOff>428625</xdr:colOff>
                    <xdr:row>10</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errorTitle="Activity" error="This Activity is not in the predefined list. Please use with caution." promptTitle="Activity" prompt="Choose Activity from list or edit yours." xr:uid="{00000000-0002-0000-1000-000003000000}">
          <x14:formula1>
            <xm:f>'STANDARD SETT'!$E$6:$E$65</xm:f>
          </x14:formula1>
          <xm:sqref>C219:D224 C230:D239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15">
    <tabColor rgb="FF002060"/>
    <pageSetUpPr fitToPage="1"/>
  </sheetPr>
  <dimension ref="A1:V29"/>
  <sheetViews>
    <sheetView showGridLines="0" showRowColHeaders="0" topLeftCell="F8" zoomScaleNormal="100" zoomScaleSheetLayoutView="100" workbookViewId="0">
      <pane ySplit="9" topLeftCell="A17" activePane="bottomLeft" state="frozen"/>
      <selection activeCell="F8" sqref="F8"/>
      <selection pane="bottomLeft" activeCell="H18" sqref="H18"/>
    </sheetView>
  </sheetViews>
  <sheetFormatPr defaultColWidth="0" defaultRowHeight="15" zeroHeight="1"/>
  <cols>
    <col min="1" max="1" width="5.375" style="1238" hidden="1" customWidth="1"/>
    <col min="2" max="5" width="3.125" style="1238" hidden="1" customWidth="1"/>
    <col min="6" max="6" width="7.625" style="1238" customWidth="1"/>
    <col min="7" max="7" width="16.125" style="1238" customWidth="1"/>
    <col min="8" max="19" width="7.625" style="1238" customWidth="1"/>
    <col min="20" max="20" width="0.25" style="1238" customWidth="1"/>
    <col min="21" max="22" width="0" style="1238" hidden="1" customWidth="1"/>
    <col min="23" max="16384" width="9" style="1238" hidden="1"/>
  </cols>
  <sheetData>
    <row r="1" spans="1:19" hidden="1">
      <c r="A1" s="1238">
        <f>IF(AND(BARGESEL&gt;1,BARGECALC=1),SUM(A17:A22),0)</f>
        <v>0</v>
      </c>
      <c r="G1" s="1250" t="s">
        <v>685</v>
      </c>
      <c r="H1" s="1239" t="str">
        <f>'Cover Page'!I88</f>
        <v>HSFO</v>
      </c>
      <c r="I1" s="1239" t="str">
        <f>'Cover Page'!I88</f>
        <v>HSFO</v>
      </c>
      <c r="J1" s="1239" t="str">
        <f>'Cover Page'!J88</f>
        <v>LSFO</v>
      </c>
      <c r="K1" s="1239" t="str">
        <f>'Cover Page'!J88</f>
        <v>LSFO</v>
      </c>
      <c r="L1" s="1239" t="str">
        <f>'Cover Page'!K88</f>
        <v>MDO</v>
      </c>
      <c r="M1" s="1239" t="str">
        <f>'Cover Page'!K88</f>
        <v>MDO</v>
      </c>
      <c r="N1" s="1239" t="str">
        <f>'Cover Page'!L88</f>
        <v>LSMDO</v>
      </c>
      <c r="O1" s="1239" t="str">
        <f>'Cover Page'!L88</f>
        <v>LSMDO</v>
      </c>
      <c r="P1" s="1239" t="str">
        <f>'Cover Page'!M88</f>
        <v>MGO</v>
      </c>
      <c r="Q1" s="1239" t="str">
        <f>'Cover Page'!M88</f>
        <v>MGO</v>
      </c>
      <c r="R1" s="1239" t="str">
        <f>'Cover Page'!N88</f>
        <v>LSMGO</v>
      </c>
      <c r="S1" s="1239" t="str">
        <f>'Cover Page'!N88</f>
        <v>LSMGO</v>
      </c>
    </row>
    <row r="2" spans="1:19" hidden="1">
      <c r="G2" s="1250" t="s">
        <v>1081</v>
      </c>
      <c r="H2" s="1239" t="str">
        <f>'Cover Page'!I90</f>
        <v>Barge 2</v>
      </c>
      <c r="I2" s="1239" t="str">
        <f>'Cover Page'!I90</f>
        <v>Barge 2</v>
      </c>
      <c r="J2" s="1239">
        <f>'Cover Page'!J90</f>
        <v>0</v>
      </c>
      <c r="K2" s="1239">
        <f>'Cover Page'!J90</f>
        <v>0</v>
      </c>
      <c r="L2" s="1239">
        <f>'Cover Page'!K90</f>
        <v>0</v>
      </c>
      <c r="M2" s="1239">
        <f>'Cover Page'!K90</f>
        <v>0</v>
      </c>
      <c r="N2" s="1239">
        <f>'Cover Page'!L90</f>
        <v>0</v>
      </c>
      <c r="O2" s="1239">
        <f>'Cover Page'!L90</f>
        <v>0</v>
      </c>
      <c r="P2" s="1239">
        <f>'Cover Page'!M90</f>
        <v>0</v>
      </c>
      <c r="Q2" s="1239">
        <f>'Cover Page'!M90</f>
        <v>0</v>
      </c>
      <c r="R2" s="1239" t="str">
        <f>'Cover Page'!N90</f>
        <v>Barge 1</v>
      </c>
      <c r="S2" s="1239" t="str">
        <f>'Cover Page'!N90</f>
        <v>Barge 1</v>
      </c>
    </row>
    <row r="3" spans="1:19" hidden="1">
      <c r="G3" s="1250" t="s">
        <v>1082</v>
      </c>
      <c r="H3" s="1239" t="str">
        <f>'Cover Page'!I89</f>
        <v/>
      </c>
      <c r="I3" s="1239" t="str">
        <f>'Cover Page'!I89</f>
        <v/>
      </c>
      <c r="J3" s="1239" t="str">
        <f>'Cover Page'!J89</f>
        <v>M/T YALÇIN 2</v>
      </c>
      <c r="K3" s="1239" t="str">
        <f>'Cover Page'!J89</f>
        <v>M/T YALÇIN 2</v>
      </c>
      <c r="L3" s="1239" t="str">
        <f>'Cover Page'!K89</f>
        <v/>
      </c>
      <c r="M3" s="1239" t="str">
        <f>'Cover Page'!K89</f>
        <v/>
      </c>
      <c r="N3" s="1239" t="str">
        <f>'Cover Page'!L89</f>
        <v/>
      </c>
      <c r="O3" s="1239" t="str">
        <f>'Cover Page'!L89</f>
        <v/>
      </c>
      <c r="P3" s="1239" t="str">
        <f>'Cover Page'!M89</f>
        <v/>
      </c>
      <c r="Q3" s="1239" t="str">
        <f>'Cover Page'!M89</f>
        <v/>
      </c>
      <c r="R3" s="1239" t="str">
        <f>'Cover Page'!N89</f>
        <v>M/T YALÇIN 2</v>
      </c>
      <c r="S3" s="1239" t="str">
        <f>'Cover Page'!N89</f>
        <v>M/T YALÇIN 2</v>
      </c>
    </row>
    <row r="4" spans="1:19" hidden="1">
      <c r="G4" s="1242" t="str">
        <f>'Cover Page'!AA3</f>
        <v>Tank Meas.</v>
      </c>
      <c r="H4" s="1239" t="str">
        <f>'Cover Page'!I91</f>
        <v>Flow (Air)</v>
      </c>
      <c r="I4" s="1239" t="str">
        <f>'Cover Page'!I91</f>
        <v>Flow (Air)</v>
      </c>
      <c r="J4" s="1239">
        <f>'Cover Page'!J91</f>
        <v>0</v>
      </c>
      <c r="K4" s="1239">
        <f>'Cover Page'!J91</f>
        <v>0</v>
      </c>
      <c r="L4" s="1239">
        <f>'Cover Page'!K91</f>
        <v>0</v>
      </c>
      <c r="M4" s="1239">
        <f>'Cover Page'!K91</f>
        <v>0</v>
      </c>
      <c r="N4" s="1239">
        <f>'Cover Page'!L91</f>
        <v>0</v>
      </c>
      <c r="O4" s="1239">
        <f>'Cover Page'!L91</f>
        <v>0</v>
      </c>
      <c r="P4" s="1239">
        <f>'Cover Page'!M91</f>
        <v>0</v>
      </c>
      <c r="Q4" s="1239">
        <f>'Cover Page'!M91</f>
        <v>0</v>
      </c>
      <c r="R4" s="1239" t="str">
        <f>'Cover Page'!N91</f>
        <v>Flow (Vac)</v>
      </c>
      <c r="S4" s="1239" t="str">
        <f>'Cover Page'!N91</f>
        <v>Flow (Vac)</v>
      </c>
    </row>
    <row r="8" spans="1:19" ht="18.75">
      <c r="L8" s="1241" t="s">
        <v>1160</v>
      </c>
    </row>
    <row r="9" spans="1:19" ht="18.75">
      <c r="H9" s="1240"/>
      <c r="L9" s="1241" t="s">
        <v>1161</v>
      </c>
    </row>
    <row r="10" spans="1:19" ht="18.75">
      <c r="H10" s="1240"/>
      <c r="L10" s="1241"/>
    </row>
    <row r="11" spans="1:19">
      <c r="H11" s="1240"/>
    </row>
    <row r="12" spans="1:19" ht="15" customHeight="1">
      <c r="F12" s="1334"/>
      <c r="G12" s="1335"/>
      <c r="H12" s="2792" t="str">
        <f>H1</f>
        <v>HSFO</v>
      </c>
      <c r="I12" s="2792"/>
      <c r="J12" s="2792" t="str">
        <f t="shared" ref="J12" si="0">J1</f>
        <v>LSFO</v>
      </c>
      <c r="K12" s="2792"/>
      <c r="L12" s="2792" t="str">
        <f t="shared" ref="L12" si="1">L1</f>
        <v>MDO</v>
      </c>
      <c r="M12" s="2792"/>
      <c r="N12" s="2792" t="str">
        <f t="shared" ref="N12" si="2">N1</f>
        <v>LSMDO</v>
      </c>
      <c r="O12" s="2792"/>
      <c r="P12" s="2792" t="str">
        <f t="shared" ref="P12" si="3">P1</f>
        <v>MGO</v>
      </c>
      <c r="Q12" s="2792"/>
      <c r="R12" s="2792" t="str">
        <f t="shared" ref="R12" si="4">R1</f>
        <v>LSMGO</v>
      </c>
      <c r="S12" s="2792"/>
    </row>
    <row r="13" spans="1:19">
      <c r="F13" s="1336"/>
      <c r="G13" s="1337"/>
      <c r="H13" s="2788" t="s">
        <v>1103</v>
      </c>
      <c r="I13" s="2789"/>
      <c r="J13" s="2788" t="s">
        <v>1103</v>
      </c>
      <c r="K13" s="2789"/>
      <c r="L13" s="2788" t="s">
        <v>1103</v>
      </c>
      <c r="M13" s="2789"/>
      <c r="N13" s="2788" t="s">
        <v>1103</v>
      </c>
      <c r="O13" s="2789"/>
      <c r="P13" s="2788" t="s">
        <v>1103</v>
      </c>
      <c r="Q13" s="2789"/>
      <c r="R13" s="2788" t="s">
        <v>1103</v>
      </c>
      <c r="S13" s="2789"/>
    </row>
    <row r="14" spans="1:19">
      <c r="F14" s="1336"/>
      <c r="G14" s="1337"/>
      <c r="H14" s="2790" t="s">
        <v>1104</v>
      </c>
      <c r="I14" s="2791"/>
      <c r="J14" s="2790" t="s">
        <v>1104</v>
      </c>
      <c r="K14" s="2791"/>
      <c r="L14" s="2790" t="s">
        <v>1104</v>
      </c>
      <c r="M14" s="2791"/>
      <c r="N14" s="2790" t="s">
        <v>1104</v>
      </c>
      <c r="O14" s="2791"/>
      <c r="P14" s="2790" t="s">
        <v>1104</v>
      </c>
      <c r="Q14" s="2791"/>
      <c r="R14" s="2790" t="s">
        <v>1104</v>
      </c>
      <c r="S14" s="2791"/>
    </row>
    <row r="15" spans="1:19">
      <c r="F15" s="2793" t="s">
        <v>1082</v>
      </c>
      <c r="G15" s="2793"/>
      <c r="H15" s="1251" t="s">
        <v>510</v>
      </c>
      <c r="I15" s="1252" t="s">
        <v>508</v>
      </c>
      <c r="J15" s="1251" t="s">
        <v>510</v>
      </c>
      <c r="K15" s="1252" t="s">
        <v>508</v>
      </c>
      <c r="L15" s="1251" t="s">
        <v>510</v>
      </c>
      <c r="M15" s="1252" t="s">
        <v>508</v>
      </c>
      <c r="N15" s="1251" t="s">
        <v>510</v>
      </c>
      <c r="O15" s="1252" t="s">
        <v>508</v>
      </c>
      <c r="P15" s="1251" t="s">
        <v>510</v>
      </c>
      <c r="Q15" s="1252" t="s">
        <v>508</v>
      </c>
      <c r="R15" s="1251" t="s">
        <v>510</v>
      </c>
      <c r="S15" s="1252" t="s">
        <v>508</v>
      </c>
    </row>
    <row r="16" spans="1:19">
      <c r="B16" s="1238" t="s">
        <v>1118</v>
      </c>
      <c r="C16" s="1238" t="s">
        <v>510</v>
      </c>
      <c r="D16" s="1238" t="s">
        <v>508</v>
      </c>
      <c r="F16" s="2793"/>
      <c r="G16" s="2793"/>
      <c r="H16" s="1253" t="str">
        <f>IF(H4=0,"","("&amp;H4&amp;")")</f>
        <v>(Flow (Air))</v>
      </c>
      <c r="I16" s="1254" t="str">
        <f>IF(I2=0,"","(Tank Meas.)")</f>
        <v>(Tank Meas.)</v>
      </c>
      <c r="J16" s="1253" t="str">
        <f>IF(J4=0,"","("&amp;J4&amp;")")</f>
        <v/>
      </c>
      <c r="K16" s="1254" t="str">
        <f>IF(K2=0,"","(Tank Meas.)")</f>
        <v/>
      </c>
      <c r="L16" s="1253" t="str">
        <f>IF(L4=0,"","("&amp;L4&amp;")")</f>
        <v/>
      </c>
      <c r="M16" s="1254" t="str">
        <f>IF(M2=0,"","(Tank Meas.)")</f>
        <v/>
      </c>
      <c r="N16" s="1253" t="str">
        <f>IF(N4=0,"","("&amp;N4&amp;")")</f>
        <v/>
      </c>
      <c r="O16" s="1254" t="str">
        <f>IF(O2=0,"","(Tank Meas.)")</f>
        <v/>
      </c>
      <c r="P16" s="1253" t="str">
        <f>IF(P4=0,"","("&amp;P4&amp;")")</f>
        <v/>
      </c>
      <c r="Q16" s="1254" t="str">
        <f>IF(Q2=0,"","(Tank Meas.)")</f>
        <v/>
      </c>
      <c r="R16" s="1253" t="str">
        <f>IF(R4=0,"","("&amp;R4&amp;")")</f>
        <v>(Flow (Vac))</v>
      </c>
      <c r="S16" s="1254" t="str">
        <f>IF(S2=0,"","(Tank Meas.)")</f>
        <v>(Tank Meas.)</v>
      </c>
    </row>
    <row r="17" spans="1:19" ht="22.5" customHeight="1">
      <c r="A17" s="1242">
        <v>0</v>
      </c>
      <c r="B17" s="1242">
        <v>0</v>
      </c>
      <c r="C17" s="1242">
        <v>0</v>
      </c>
      <c r="D17" s="1242">
        <v>0</v>
      </c>
      <c r="F17" s="1243" t="str">
        <f>MAIN!BC2</f>
        <v>Barge 1</v>
      </c>
      <c r="G17" s="1245" t="str">
        <f>MAIN!BD2</f>
        <v>M/T YALÇIN 2</v>
      </c>
      <c r="H17" s="1246" t="str">
        <f>IF(H$2=$F17,'Preliminary Report'!$G32,"")</f>
        <v/>
      </c>
      <c r="I17" s="1247" t="str">
        <f>IF(I$2=$F17,'Preliminary Report'!$H32,"")</f>
        <v/>
      </c>
      <c r="J17" s="1246" t="str">
        <f>IF(J$2=$F17,'Preliminary Report'!$G37,"")</f>
        <v/>
      </c>
      <c r="K17" s="1247" t="str">
        <f>IF(K$2=$F17,'Preliminary Report'!$H37,"")</f>
        <v/>
      </c>
      <c r="L17" s="1246" t="str">
        <f>IF(L$2=$F17,'Preliminary Report'!$G42,"")</f>
        <v/>
      </c>
      <c r="M17" s="1247" t="str">
        <f>IF(M$2=$F17,'Preliminary Report'!$H42,"")</f>
        <v/>
      </c>
      <c r="N17" s="1246" t="str">
        <f>IF(N$2=$F17,'Preliminary Report'!$G47,"")</f>
        <v/>
      </c>
      <c r="O17" s="1247" t="str">
        <f>IF(O$2=$F17,'Preliminary Report'!$H47,"")</f>
        <v/>
      </c>
      <c r="P17" s="1246" t="str">
        <f>IF(P$2=$F17,'Preliminary Report'!$G52,"")</f>
        <v/>
      </c>
      <c r="Q17" s="1247" t="str">
        <f>IF(Q$2=$F17,'Preliminary Report'!$H52,"")</f>
        <v/>
      </c>
      <c r="R17" s="1246">
        <f>IF(R$2=$F17,'Preliminary Report'!$G57,"")</f>
        <v>40.209000000000003</v>
      </c>
      <c r="S17" s="1247">
        <f>IF(S$2=$F17,'Preliminary Report'!$H57,"")</f>
        <v>40.061999999999998</v>
      </c>
    </row>
    <row r="18" spans="1:19" ht="22.5" customHeight="1">
      <c r="A18" s="1242">
        <f t="shared" ref="A18" si="5">B18-C18-D18</f>
        <v>0</v>
      </c>
      <c r="B18" s="1242">
        <f>SUMPRODUCT(($H$2:$S$2=$F18)*($H$15:$S$15="BARGE"))+SUMPRODUCT(($H$2:$S$2=$F18)*($H$15:$S$15="VESSEL"))</f>
        <v>0</v>
      </c>
      <c r="C18" s="1242">
        <f>SUMPRODUCT(($H$2:$S$2=$F18)*($H$15:$S$15="BARGE")*($H18:$S18&gt;0))</f>
        <v>0</v>
      </c>
      <c r="D18" s="1242">
        <f t="shared" ref="D18:D22" si="6">SUMPRODUCT(($H$2:$S$2=$F18)*($H$15:$S$15="VESSEL")*($H18:$S18&gt;0))</f>
        <v>0</v>
      </c>
      <c r="F18" s="1243" t="str">
        <f>MAIN!BC3</f>
        <v/>
      </c>
      <c r="G18" s="1244" t="str">
        <f>MAIN!BD3</f>
        <v/>
      </c>
      <c r="H18" s="1248">
        <v>1000</v>
      </c>
      <c r="I18" s="1249">
        <v>1002</v>
      </c>
      <c r="J18" s="1248"/>
      <c r="K18" s="1249"/>
      <c r="L18" s="1248"/>
      <c r="M18" s="1249"/>
      <c r="N18" s="1248"/>
      <c r="O18" s="1249"/>
      <c r="P18" s="1248"/>
      <c r="Q18" s="1249"/>
      <c r="R18" s="1248"/>
      <c r="S18" s="1249"/>
    </row>
    <row r="19" spans="1:19" ht="22.5" customHeight="1">
      <c r="A19" s="1242">
        <f>B19-C19-D19</f>
        <v>0</v>
      </c>
      <c r="B19" s="1242">
        <f t="shared" ref="B19:B22" si="7">SUMPRODUCT(($H$2:$S$2=$F19)*($H$15:$S$15="BARGE"))+SUMPRODUCT(($H$2:$S$2=$F19)*($H$15:$S$15="VESSEL"))</f>
        <v>0</v>
      </c>
      <c r="C19" s="1242">
        <f t="shared" ref="C19:C22" si="8">SUMPRODUCT(($H$2:$S$2=$F19)*($H$15:$S$15="BARGE")*($H19:$S19&gt;0))</f>
        <v>0</v>
      </c>
      <c r="D19" s="1242">
        <f t="shared" si="6"/>
        <v>0</v>
      </c>
      <c r="F19" s="1243" t="str">
        <f>MAIN!BC4</f>
        <v/>
      </c>
      <c r="G19" s="1244" t="str">
        <f>MAIN!BD4</f>
        <v/>
      </c>
      <c r="H19" s="1248"/>
      <c r="I19" s="1249"/>
      <c r="J19" s="1248"/>
      <c r="K19" s="1249"/>
      <c r="L19" s="1248"/>
      <c r="M19" s="1249"/>
      <c r="N19" s="1248"/>
      <c r="O19" s="1249"/>
      <c r="P19" s="1248"/>
      <c r="Q19" s="1249"/>
      <c r="R19" s="1248"/>
      <c r="S19" s="1249"/>
    </row>
    <row r="20" spans="1:19" ht="22.5" customHeight="1">
      <c r="A20" s="1242">
        <f t="shared" ref="A20:A22" si="9">B20-C20-D20</f>
        <v>0</v>
      </c>
      <c r="B20" s="1242">
        <f t="shared" si="7"/>
        <v>0</v>
      </c>
      <c r="C20" s="1242">
        <f t="shared" si="8"/>
        <v>0</v>
      </c>
      <c r="D20" s="1242">
        <f t="shared" si="6"/>
        <v>0</v>
      </c>
      <c r="F20" s="1243" t="str">
        <f>MAIN!BC5</f>
        <v/>
      </c>
      <c r="G20" s="1244" t="str">
        <f>MAIN!BD5</f>
        <v/>
      </c>
      <c r="H20" s="1248"/>
      <c r="I20" s="1249"/>
      <c r="J20" s="1248"/>
      <c r="K20" s="1249"/>
      <c r="L20" s="1248"/>
      <c r="M20" s="1249"/>
      <c r="N20" s="1248"/>
      <c r="O20" s="1249"/>
      <c r="P20" s="1248"/>
      <c r="Q20" s="1249"/>
      <c r="R20" s="1248"/>
      <c r="S20" s="1249"/>
    </row>
    <row r="21" spans="1:19" ht="22.5" customHeight="1">
      <c r="A21" s="1242">
        <f t="shared" si="9"/>
        <v>0</v>
      </c>
      <c r="B21" s="1242">
        <f t="shared" si="7"/>
        <v>0</v>
      </c>
      <c r="C21" s="1242">
        <f t="shared" si="8"/>
        <v>0</v>
      </c>
      <c r="D21" s="1242">
        <f t="shared" si="6"/>
        <v>0</v>
      </c>
      <c r="F21" s="1243" t="str">
        <f>MAIN!BC6</f>
        <v/>
      </c>
      <c r="G21" s="1244" t="str">
        <f>MAIN!BD6</f>
        <v/>
      </c>
      <c r="H21" s="1248"/>
      <c r="I21" s="1249"/>
      <c r="J21" s="1248"/>
      <c r="K21" s="1249"/>
      <c r="L21" s="1248"/>
      <c r="M21" s="1249"/>
      <c r="N21" s="1248"/>
      <c r="O21" s="1249"/>
      <c r="P21" s="1248"/>
      <c r="Q21" s="1249"/>
      <c r="R21" s="1248"/>
      <c r="S21" s="1249"/>
    </row>
    <row r="22" spans="1:19" ht="22.5" customHeight="1">
      <c r="A22" s="1242">
        <f t="shared" si="9"/>
        <v>0</v>
      </c>
      <c r="B22" s="1242">
        <f t="shared" si="7"/>
        <v>0</v>
      </c>
      <c r="C22" s="1242">
        <f t="shared" si="8"/>
        <v>0</v>
      </c>
      <c r="D22" s="1242">
        <f t="shared" si="6"/>
        <v>0</v>
      </c>
      <c r="F22" s="1243" t="str">
        <f>MAIN!BC7</f>
        <v/>
      </c>
      <c r="G22" s="1244" t="str">
        <f>MAIN!BD7</f>
        <v/>
      </c>
      <c r="H22" s="1248"/>
      <c r="I22" s="1249"/>
      <c r="J22" s="1248"/>
      <c r="K22" s="1249"/>
      <c r="L22" s="1248"/>
      <c r="M22" s="1249"/>
      <c r="N22" s="1248"/>
      <c r="O22" s="1249"/>
      <c r="P22" s="1248"/>
      <c r="Q22" s="1249"/>
      <c r="R22" s="1248"/>
      <c r="S22" s="1249"/>
    </row>
    <row r="23" spans="1:19"/>
    <row r="24" spans="1:19">
      <c r="G24" s="1238" t="s">
        <v>1106</v>
      </c>
    </row>
    <row r="25" spans="1:19">
      <c r="G25" s="1240" t="s">
        <v>1119</v>
      </c>
      <c r="H25" s="1240"/>
    </row>
    <row r="26" spans="1:19">
      <c r="G26" s="1240" t="s">
        <v>1171</v>
      </c>
      <c r="H26" s="1240"/>
    </row>
    <row r="27" spans="1:19">
      <c r="G27" s="1240" t="s">
        <v>1172</v>
      </c>
      <c r="H27" s="1240"/>
    </row>
    <row r="28" spans="1:19">
      <c r="G28" s="1240" t="s">
        <v>1105</v>
      </c>
      <c r="H28" s="1240"/>
    </row>
    <row r="29" spans="1:19" ht="2.25" customHeight="1"/>
  </sheetData>
  <sheetProtection password="CCD7" sheet="1" objects="1" scenarios="1" autoFilter="0"/>
  <mergeCells count="19">
    <mergeCell ref="H12:I12"/>
    <mergeCell ref="H13:I13"/>
    <mergeCell ref="J12:K12"/>
    <mergeCell ref="L12:M12"/>
    <mergeCell ref="F15:G16"/>
    <mergeCell ref="J13:K13"/>
    <mergeCell ref="L13:M13"/>
    <mergeCell ref="H14:I14"/>
    <mergeCell ref="J14:K14"/>
    <mergeCell ref="L14:M14"/>
    <mergeCell ref="R13:S13"/>
    <mergeCell ref="N14:O14"/>
    <mergeCell ref="P14:Q14"/>
    <mergeCell ref="R14:S14"/>
    <mergeCell ref="P12:Q12"/>
    <mergeCell ref="R12:S12"/>
    <mergeCell ref="N12:O12"/>
    <mergeCell ref="N13:O13"/>
    <mergeCell ref="P13:Q13"/>
  </mergeCells>
  <conditionalFormatting sqref="H18:S22">
    <cfRule type="expression" dxfId="33" priority="1">
      <formula>AND(OR($F18="",H$2&lt;&gt;$F18),H18&gt;0)</formula>
    </cfRule>
    <cfRule type="expression" dxfId="32" priority="2">
      <formula>OR($F18="",H$2&lt;&gt;$F18)</formula>
    </cfRule>
    <cfRule type="expression" dxfId="31" priority="3">
      <formula>AND(H$2=$F18,H18=0)</formula>
    </cfRule>
  </conditionalFormatting>
  <dataValidations count="1">
    <dataValidation type="decimal" allowBlank="1" showInputMessage="1" showErrorMessage="1" errorTitle="Numbers" error="This is not a valid Number!" sqref="H18:S22" xr:uid="{00000000-0002-0000-1100-000000000000}">
      <formula1>-10000</formula1>
      <formula2>100000</formula2>
    </dataValidation>
  </dataValidations>
  <printOptions horizontalCentered="1"/>
  <pageMargins left="0.3" right="0.3" top="0.2" bottom="0.3" header="0.3" footer="0"/>
  <pageSetup paperSize="9" scale="80" orientation="portrait" blackAndWhite="1" r:id="rId1"/>
  <headerFooter>
    <oddFooter>&amp;L&amp;8BunkerManager, v1.00&amp;C&amp;8AMS-Marine Software_x000D_www.ams-marine.com&amp;R&amp;8SN: 20151209-002210</oddFooter>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22" filterMode="1">
    <tabColor rgb="FF7030A0"/>
    <pageSetUpPr fitToPage="1"/>
  </sheetPr>
  <dimension ref="A1:CT387"/>
  <sheetViews>
    <sheetView showGridLines="0" showRowColHeaders="0" topLeftCell="C8" zoomScaleNormal="100" zoomScaleSheetLayoutView="100" workbookViewId="0">
      <pane ySplit="11" topLeftCell="A19" activePane="bottomLeft" state="frozen"/>
      <selection pane="bottomLeft" activeCell="J136" sqref="J136"/>
    </sheetView>
  </sheetViews>
  <sheetFormatPr defaultColWidth="0" defaultRowHeight="15" zeroHeight="1"/>
  <cols>
    <col min="1" max="2" width="4.375" style="641" hidden="1" customWidth="1"/>
    <col min="3" max="3" width="13.375" style="641" customWidth="1"/>
    <col min="4" max="8" width="7.875" style="641" customWidth="1"/>
    <col min="9" max="9" width="4.5" style="641" customWidth="1"/>
    <col min="10" max="10" width="8.75" style="641" customWidth="1"/>
    <col min="11" max="12" width="5.875" style="641" customWidth="1"/>
    <col min="13" max="13" width="7.125" style="641" customWidth="1"/>
    <col min="14" max="14" width="6.25" style="641" customWidth="1"/>
    <col min="15" max="15" width="7.875" style="641" customWidth="1"/>
    <col min="16" max="16" width="7.625" style="641" customWidth="1"/>
    <col min="17" max="18" width="9.125" style="641" customWidth="1"/>
    <col min="19" max="19" width="8.375" style="641" customWidth="1"/>
    <col min="20" max="20" width="9.125" style="641" customWidth="1"/>
    <col min="21" max="21" width="0.375" style="641" customWidth="1"/>
    <col min="22" max="35" width="9" style="641" hidden="1" customWidth="1"/>
    <col min="36" max="36" width="11.125" style="641" hidden="1" customWidth="1"/>
    <col min="37" max="37" width="10.125" style="641" hidden="1" customWidth="1"/>
    <col min="38" max="40" width="9" style="641" hidden="1" customWidth="1"/>
    <col min="41" max="41" width="11.75" style="641" hidden="1" customWidth="1"/>
    <col min="42" max="42" width="11.875" style="641" hidden="1" customWidth="1"/>
    <col min="43" max="43" width="11" style="641" hidden="1" customWidth="1"/>
    <col min="44" max="44" width="10.625" style="641" hidden="1" customWidth="1"/>
    <col min="45" max="45" width="9.75" style="641" hidden="1" customWidth="1"/>
    <col min="46" max="46" width="11.375" style="641" hidden="1" customWidth="1"/>
    <col min="47" max="47" width="10.125" style="641" hidden="1" customWidth="1"/>
    <col min="48" max="48" width="9.75" style="641" hidden="1" customWidth="1"/>
    <col min="49" max="49" width="23.25" style="641" hidden="1" customWidth="1"/>
    <col min="50" max="50" width="11.375" style="641" hidden="1" customWidth="1"/>
    <col min="51" max="51" width="11" style="641" hidden="1" customWidth="1"/>
    <col min="52" max="81" width="9" style="641" hidden="1" customWidth="1"/>
    <col min="82" max="82" width="10.125" style="641" hidden="1" customWidth="1"/>
    <col min="83" max="84" width="9" style="641" hidden="1" customWidth="1"/>
    <col min="85" max="85" width="9.625" style="641" hidden="1" customWidth="1"/>
    <col min="86" max="86" width="10.875" style="641" hidden="1" customWidth="1"/>
    <col min="87" max="87" width="11.875" style="641" hidden="1" customWidth="1"/>
    <col min="88" max="88" width="11" style="641" hidden="1" customWidth="1"/>
    <col min="89" max="89" width="6.75" style="641" hidden="1" customWidth="1"/>
    <col min="90" max="91" width="9.75" style="641" hidden="1" customWidth="1"/>
    <col min="92" max="92" width="10.125" style="641" hidden="1" customWidth="1"/>
    <col min="93" max="93" width="9.25" style="641" hidden="1" customWidth="1"/>
    <col min="94" max="94" width="23.25" style="641" hidden="1" customWidth="1"/>
    <col min="95" max="95" width="9.25" style="641" hidden="1" customWidth="1"/>
    <col min="96" max="97" width="11" style="641" hidden="1" customWidth="1"/>
    <col min="98" max="98" width="6.625" style="641" hidden="1" customWidth="1"/>
    <col min="99" max="16384" width="8.625" style="641" hidden="1"/>
  </cols>
  <sheetData>
    <row r="1" spans="3:28" hidden="1">
      <c r="C1" s="825" t="s">
        <v>643</v>
      </c>
      <c r="D1" s="825" t="s">
        <v>627</v>
      </c>
      <c r="E1" s="825" t="s">
        <v>628</v>
      </c>
      <c r="F1" s="825" t="s">
        <v>629</v>
      </c>
      <c r="G1" s="826" t="s">
        <v>630</v>
      </c>
      <c r="H1" s="826"/>
      <c r="I1" s="826" t="s">
        <v>631</v>
      </c>
      <c r="J1" s="827" t="s">
        <v>632</v>
      </c>
      <c r="K1" s="827" t="s">
        <v>633</v>
      </c>
      <c r="L1" s="827" t="s">
        <v>634</v>
      </c>
      <c r="M1" s="827" t="s">
        <v>635</v>
      </c>
      <c r="N1" s="827" t="s">
        <v>636</v>
      </c>
      <c r="O1" s="827" t="s">
        <v>637</v>
      </c>
      <c r="P1" s="827" t="s">
        <v>638</v>
      </c>
      <c r="Q1" s="827" t="s">
        <v>639</v>
      </c>
      <c r="R1" s="827" t="s">
        <v>640</v>
      </c>
      <c r="S1" s="828" t="s">
        <v>641</v>
      </c>
      <c r="T1" s="828" t="s">
        <v>642</v>
      </c>
      <c r="X1" s="641">
        <v>1</v>
      </c>
      <c r="Y1" s="641">
        <v>1</v>
      </c>
      <c r="Z1" s="158">
        <v>3</v>
      </c>
      <c r="AA1" s="158">
        <v>1</v>
      </c>
      <c r="AB1" s="158">
        <v>1</v>
      </c>
    </row>
    <row r="2" spans="3:28">
      <c r="Z2" s="642" t="str">
        <f>'STANDARD SETT'!H15</f>
        <v>All Grades</v>
      </c>
      <c r="AA2" s="642" t="s">
        <v>310</v>
      </c>
      <c r="AB2" s="643" t="s">
        <v>33</v>
      </c>
    </row>
    <row r="3" spans="3:28">
      <c r="Z3" s="642" t="str">
        <f>'STANDARD SETT'!K15</f>
        <v>Residuals</v>
      </c>
      <c r="AA3" s="642" t="s">
        <v>311</v>
      </c>
      <c r="AB3" s="643" t="s">
        <v>329</v>
      </c>
    </row>
    <row r="4" spans="3:28" ht="18">
      <c r="T4" s="644" t="str">
        <f>COMPANY1</f>
        <v>Petro Inspect International</v>
      </c>
      <c r="Z4" s="642" t="str">
        <f>'STANDARD SETT'!L15</f>
        <v>Distillates</v>
      </c>
    </row>
    <row r="5" spans="3:28" ht="12.75" customHeight="1">
      <c r="T5" s="645" t="str">
        <f>COMPANY2</f>
        <v>ops@petro-inspect.com</v>
      </c>
    </row>
    <row r="6" spans="3:28" ht="12.75" customHeight="1">
      <c r="T6" s="645" t="str">
        <f>COMPANY3</f>
        <v/>
      </c>
    </row>
    <row r="7" spans="3:28" ht="12.75" customHeight="1">
      <c r="T7" s="645" t="str">
        <f>COMPANY4</f>
        <v/>
      </c>
    </row>
    <row r="8" spans="3:28" ht="3" customHeight="1" thickBot="1">
      <c r="C8" s="646"/>
      <c r="D8" s="646"/>
      <c r="E8" s="646"/>
      <c r="F8" s="646"/>
      <c r="G8" s="646"/>
      <c r="H8" s="646"/>
      <c r="I8" s="646"/>
      <c r="J8" s="646"/>
      <c r="K8" s="646"/>
      <c r="L8" s="646"/>
      <c r="M8" s="646"/>
      <c r="N8" s="646"/>
      <c r="O8" s="646"/>
      <c r="P8" s="646"/>
      <c r="Q8" s="646"/>
      <c r="R8" s="646"/>
      <c r="S8" s="646"/>
      <c r="T8" s="647"/>
    </row>
    <row r="9" spans="3:28" ht="15.75" hidden="1">
      <c r="C9" s="2816"/>
      <c r="D9" s="2816"/>
      <c r="E9" s="2817"/>
    </row>
    <row r="10" spans="3:28" ht="4.5" customHeight="1"/>
    <row r="11" spans="3:28">
      <c r="C11" s="772" t="s">
        <v>9</v>
      </c>
      <c r="D11" s="2821" t="str">
        <f>VESSEL</f>
        <v>MV PESSADA</v>
      </c>
      <c r="E11" s="2821"/>
      <c r="F11" s="2821"/>
      <c r="R11" s="458" t="s">
        <v>178</v>
      </c>
      <c r="S11" s="459" t="s">
        <v>1182</v>
      </c>
      <c r="T11" s="460" t="s">
        <v>1173</v>
      </c>
      <c r="V11" s="1151">
        <f>IF($AB$1=FONESEL,1,IF($AB$1=2,FFEET,1/FFEET))</f>
        <v>1</v>
      </c>
    </row>
    <row r="12" spans="3:28" ht="15" customHeight="1">
      <c r="C12" s="773" t="s">
        <v>607</v>
      </c>
      <c r="D12" s="2822" t="str">
        <f>MYBARGENAME</f>
        <v>M/T YALÇIN 2</v>
      </c>
      <c r="E12" s="2822"/>
      <c r="F12" s="2822"/>
      <c r="I12" s="2794" t="str">
        <f>"VESSEL BQS REPORT"&amp;IF(GRADECHNO=2," (Residuals)",IF(GRADECHNO=3," (Distillates)",""))</f>
        <v>VESSEL BQS REPORT (Distillates)</v>
      </c>
      <c r="J12" s="2794"/>
      <c r="K12" s="2794"/>
      <c r="L12" s="2794"/>
      <c r="M12" s="2794"/>
      <c r="N12" s="2794"/>
      <c r="O12" s="2794"/>
      <c r="R12" s="774" t="s">
        <v>47</v>
      </c>
      <c r="S12" s="457">
        <f>'Vessel Gauging Data'!N18</f>
        <v>12</v>
      </c>
      <c r="T12" s="454">
        <f>'Vessel Gauging Data'!O18</f>
        <v>12.1</v>
      </c>
      <c r="V12" s="648" t="s">
        <v>396</v>
      </c>
      <c r="W12" s="642" t="s">
        <v>32</v>
      </c>
      <c r="X12" s="648" t="s">
        <v>394</v>
      </c>
      <c r="Y12" s="1505"/>
    </row>
    <row r="13" spans="3:28" ht="15" customHeight="1">
      <c r="C13" s="773" t="s">
        <v>44</v>
      </c>
      <c r="D13" s="2823">
        <f>DATESURVC</f>
        <v>44792</v>
      </c>
      <c r="E13" s="2823"/>
      <c r="F13" s="2823"/>
      <c r="I13" s="2794"/>
      <c r="J13" s="2794"/>
      <c r="K13" s="2794"/>
      <c r="L13" s="2794"/>
      <c r="M13" s="2794"/>
      <c r="N13" s="2794"/>
      <c r="O13" s="2794"/>
      <c r="R13" s="775" t="s">
        <v>45</v>
      </c>
      <c r="S13" s="455">
        <f>'Vessel Gauging Data'!N19</f>
        <v>12</v>
      </c>
      <c r="T13" s="452">
        <f>'Vessel Gauging Data'!O19</f>
        <v>12.1</v>
      </c>
      <c r="V13" s="648" t="s">
        <v>397</v>
      </c>
      <c r="W13" s="642" t="s">
        <v>292</v>
      </c>
      <c r="X13" s="648" t="s">
        <v>395</v>
      </c>
      <c r="Y13" s="1505"/>
    </row>
    <row r="14" spans="3:28">
      <c r="C14" s="2813" t="s">
        <v>608</v>
      </c>
      <c r="D14" s="2795" t="str">
        <f>IF(ISERROR(VSLRCVD_GROUP),"N/A",VSLRCVD_GROUP)</f>
        <v>LSMGO</v>
      </c>
      <c r="E14" s="2795"/>
      <c r="F14" s="2795"/>
      <c r="R14" s="775" t="s">
        <v>43</v>
      </c>
      <c r="S14" s="455">
        <f>S13-S12</f>
        <v>0</v>
      </c>
      <c r="T14" s="452">
        <f>T13-T12</f>
        <v>0</v>
      </c>
    </row>
    <row r="15" spans="3:28" ht="15" customHeight="1">
      <c r="C15" s="2814"/>
      <c r="D15" s="2796"/>
      <c r="E15" s="2796"/>
      <c r="F15" s="2796"/>
      <c r="I15" s="649"/>
      <c r="J15" s="649"/>
      <c r="K15" s="650"/>
      <c r="L15" s="650"/>
      <c r="M15" s="651"/>
      <c r="N15" s="652"/>
      <c r="O15" s="653"/>
      <c r="R15" s="776" t="s">
        <v>41</v>
      </c>
      <c r="S15" s="456">
        <f>'Vessel Gauging Data'!N21</f>
        <v>1</v>
      </c>
      <c r="T15" s="453">
        <f>'Vessel Gauging Data'!O21</f>
        <v>1</v>
      </c>
    </row>
    <row r="16" spans="3:28" ht="4.5" customHeight="1">
      <c r="I16" s="649"/>
      <c r="J16" s="649"/>
      <c r="K16" s="650"/>
      <c r="L16" s="650"/>
      <c r="M16" s="651"/>
      <c r="N16" s="652"/>
      <c r="O16" s="653"/>
      <c r="P16" s="653"/>
    </row>
    <row r="17" spans="1:57" ht="50.1" customHeight="1">
      <c r="A17" s="654" t="s">
        <v>284</v>
      </c>
      <c r="C17" s="448" t="s">
        <v>173</v>
      </c>
      <c r="D17" s="193" t="s">
        <v>172</v>
      </c>
      <c r="E17" s="194" t="s">
        <v>171</v>
      </c>
      <c r="F17" s="193" t="s">
        <v>39</v>
      </c>
      <c r="G17" s="193" t="str">
        <f>'Vessel Gauging Data'!H24</f>
        <v>Observed Ullage Sounding Gauge</v>
      </c>
      <c r="H17" s="193" t="str">
        <f>'Vessel Gauging Data'!I24</f>
        <v>Corrected Ullage Sounding Gauge</v>
      </c>
      <c r="I17" s="449" t="s">
        <v>37</v>
      </c>
      <c r="J17" s="2227" t="s">
        <v>1229</v>
      </c>
      <c r="K17" s="450" t="s">
        <v>170</v>
      </c>
      <c r="L17" s="450" t="s">
        <v>169</v>
      </c>
      <c r="M17" s="193" t="str">
        <f>INDEX($V$12:$W$13,$AA$1,1)</f>
        <v>Density
 @ 15°C</v>
      </c>
      <c r="N17" s="193" t="s">
        <v>36</v>
      </c>
      <c r="O17" s="193" t="s">
        <v>400</v>
      </c>
      <c r="P17" s="314" t="s">
        <v>168</v>
      </c>
      <c r="Q17" s="193" t="str">
        <f>INDEX(X12:X13,AA1,1)</f>
        <v>G.S.V.
 @ 15° C</v>
      </c>
      <c r="R17" s="193" t="s">
        <v>35</v>
      </c>
      <c r="S17" s="193" t="s">
        <v>167</v>
      </c>
      <c r="T17" s="451" t="s">
        <v>34</v>
      </c>
      <c r="V17" s="1153" t="s">
        <v>171</v>
      </c>
      <c r="W17" s="1153" t="s">
        <v>39</v>
      </c>
      <c r="X17" s="1153" t="str">
        <f>G17</f>
        <v>Observed Ullage Sounding Gauge</v>
      </c>
      <c r="Y17" s="1153" t="str">
        <f>H17</f>
        <v>Corrected Ullage Sounding Gauge</v>
      </c>
      <c r="Z17" s="1153" t="s">
        <v>36</v>
      </c>
      <c r="AB17" s="655" t="s">
        <v>389</v>
      </c>
      <c r="AC17" s="655" t="s">
        <v>330</v>
      </c>
      <c r="AE17" s="641" t="s">
        <v>390</v>
      </c>
      <c r="AF17" s="641" t="s">
        <v>390</v>
      </c>
      <c r="AH17" s="656" t="s">
        <v>387</v>
      </c>
      <c r="AI17" s="656"/>
      <c r="AJ17" s="656"/>
      <c r="AK17" s="656"/>
      <c r="AL17" s="656"/>
      <c r="AM17" s="657" t="s">
        <v>349</v>
      </c>
      <c r="AN17" s="657" t="s">
        <v>348</v>
      </c>
      <c r="AO17" s="657" t="s">
        <v>347</v>
      </c>
      <c r="AP17" s="657" t="s">
        <v>346</v>
      </c>
      <c r="AQ17" s="656"/>
      <c r="AR17" s="657" t="s">
        <v>386</v>
      </c>
      <c r="AS17" s="656"/>
      <c r="AT17" s="656"/>
      <c r="AU17" s="656"/>
      <c r="AV17" s="656" t="s">
        <v>345</v>
      </c>
      <c r="AW17" s="656"/>
      <c r="AX17" s="656"/>
      <c r="AY17" s="657" t="s">
        <v>625</v>
      </c>
      <c r="AZ17" s="656"/>
      <c r="BB17" s="1151" t="s">
        <v>37</v>
      </c>
      <c r="BC17" s="1152" t="s">
        <v>352</v>
      </c>
      <c r="BD17" s="1151" t="s">
        <v>170</v>
      </c>
      <c r="BE17" s="1151" t="s">
        <v>169</v>
      </c>
    </row>
    <row r="18" spans="1:57" ht="15" customHeight="1">
      <c r="A18" s="654" t="s">
        <v>284</v>
      </c>
      <c r="C18" s="475"/>
      <c r="D18" s="476"/>
      <c r="E18" s="477" t="str">
        <f>INDEX($AB$2:$AB$3,$AB$1,1)</f>
        <v>m</v>
      </c>
      <c r="F18" s="478" t="str">
        <f>INDEX($AB$2:$AB$3,$AB$1,1)</f>
        <v>m</v>
      </c>
      <c r="G18" s="478" t="str">
        <f>INDEX($AB$2:$AB$3,$AB$1,1)</f>
        <v>m</v>
      </c>
      <c r="H18" s="478" t="str">
        <f>INDEX($AB$2:$AB$3,$AB$1,1)</f>
        <v>m</v>
      </c>
      <c r="I18" s="478"/>
      <c r="J18" s="478" t="str">
        <f>IF($AA1=1,"m3","Bbls")</f>
        <v>m3</v>
      </c>
      <c r="K18" s="478" t="str">
        <f>IF(AB1=1,"cm","in")</f>
        <v>cm</v>
      </c>
      <c r="L18" s="478" t="str">
        <f>IF($AA1=1,"m3","Bbls")</f>
        <v>m3</v>
      </c>
      <c r="M18" s="478" t="str">
        <f>INDEX($V$12:$W$13,$AA$1,2)</f>
        <v>kg/L</v>
      </c>
      <c r="N18" s="478" t="str">
        <f>IF(AA1=1,"° C","° F")</f>
        <v>° C</v>
      </c>
      <c r="O18" s="478" t="str">
        <f>IF($AA1=1,"m3","Bbls")</f>
        <v>m3</v>
      </c>
      <c r="P18" s="478" t="str">
        <f>IF(AA1=1,"Table 54B","Table 6B")</f>
        <v>Table 54B</v>
      </c>
      <c r="Q18" s="478" t="str">
        <f>IF($AA1=1,"m3","Bbls")</f>
        <v>m3</v>
      </c>
      <c r="R18" s="478" t="s">
        <v>31</v>
      </c>
      <c r="S18" s="478" t="str">
        <f>IF(AA1=1,"Table 56D","Table 13")</f>
        <v>Table 56D</v>
      </c>
      <c r="T18" s="479" t="s">
        <v>31</v>
      </c>
      <c r="V18" s="1154" t="str">
        <f>'Vessel Gauging Data'!E26</f>
        <v>4</v>
      </c>
      <c r="W18" s="1154" t="str">
        <f>'Vessel Gauging Data'!F26</f>
        <v>5</v>
      </c>
      <c r="X18" s="1154" t="str">
        <f>'Vessel Gauging Data'!H26</f>
        <v>7</v>
      </c>
      <c r="Y18" s="1154" t="str">
        <f>'Vessel Gauging Data'!I26</f>
        <v>8</v>
      </c>
      <c r="Z18" s="1154" t="str">
        <f>'Vessel Gauging Data'!K26</f>
        <v>10</v>
      </c>
      <c r="AH18" s="660" t="s">
        <v>343</v>
      </c>
      <c r="AI18" s="660" t="s">
        <v>292</v>
      </c>
      <c r="AJ18" s="660" t="s">
        <v>342</v>
      </c>
      <c r="AK18" s="660" t="s">
        <v>341</v>
      </c>
      <c r="AL18" s="660" t="s">
        <v>340</v>
      </c>
      <c r="AM18" s="660" t="s">
        <v>334</v>
      </c>
      <c r="AN18" s="660" t="s">
        <v>333</v>
      </c>
      <c r="AO18" s="660" t="s">
        <v>339</v>
      </c>
      <c r="AP18" s="660" t="s">
        <v>338</v>
      </c>
      <c r="AQ18" s="660" t="s">
        <v>337</v>
      </c>
      <c r="AR18" s="660" t="s">
        <v>334</v>
      </c>
      <c r="AS18" s="660" t="s">
        <v>333</v>
      </c>
      <c r="AT18" s="660" t="s">
        <v>336</v>
      </c>
      <c r="AU18" s="660" t="s">
        <v>335</v>
      </c>
      <c r="AV18" s="660" t="s">
        <v>334</v>
      </c>
      <c r="AW18" s="660" t="s">
        <v>333</v>
      </c>
      <c r="AX18" s="660" t="s">
        <v>332</v>
      </c>
      <c r="AY18" s="660" t="s">
        <v>331</v>
      </c>
      <c r="AZ18" s="660" t="s">
        <v>388</v>
      </c>
      <c r="BB18" s="1151">
        <f>'Vessel Gauging Data'!G26</f>
        <v>6</v>
      </c>
      <c r="BC18" s="1154" t="str">
        <f>'Vessel Gauging Data'!J26</f>
        <v>9</v>
      </c>
      <c r="BD18" s="1154" t="str">
        <f>'Vessel Gauging Data'!M26</f>
        <v>12</v>
      </c>
      <c r="BE18" s="1154" t="str">
        <f>'Vessel Gauging Data'!N26</f>
        <v>13</v>
      </c>
    </row>
    <row r="19" spans="1:57" s="658" customFormat="1" ht="18.75">
      <c r="A19" s="658" t="s">
        <v>284</v>
      </c>
      <c r="C19" s="692" t="s">
        <v>165</v>
      </c>
      <c r="D19" s="693"/>
      <c r="E19" s="693"/>
      <c r="F19" s="693"/>
      <c r="G19" s="693"/>
      <c r="H19" s="693"/>
      <c r="I19" s="693"/>
      <c r="J19" s="693"/>
      <c r="K19" s="693"/>
      <c r="L19" s="693"/>
      <c r="M19" s="693"/>
      <c r="N19" s="693"/>
      <c r="O19" s="693"/>
      <c r="P19" s="693"/>
      <c r="Q19" s="693"/>
      <c r="R19" s="693"/>
      <c r="S19" s="693"/>
      <c r="T19" s="694"/>
      <c r="X19" s="641"/>
      <c r="Y19" s="641"/>
      <c r="AE19" s="641"/>
      <c r="AF19" s="641"/>
      <c r="AH19" s="656"/>
      <c r="AI19" s="656"/>
      <c r="AJ19" s="656"/>
      <c r="AK19" s="656"/>
      <c r="AL19" s="656"/>
      <c r="AM19" s="657"/>
      <c r="AN19" s="657"/>
      <c r="AO19" s="657"/>
      <c r="AP19" s="657"/>
      <c r="AQ19" s="656"/>
      <c r="AR19" s="657"/>
      <c r="AS19" s="656"/>
      <c r="AT19" s="656"/>
      <c r="AU19" s="656"/>
      <c r="AV19" s="656"/>
      <c r="AW19" s="656"/>
      <c r="AX19" s="656"/>
      <c r="AY19" s="657"/>
      <c r="AZ19" s="656"/>
    </row>
    <row r="20" spans="1:57" s="803" customFormat="1" ht="5.25">
      <c r="A20" s="799" t="s">
        <v>284</v>
      </c>
      <c r="B20" s="799"/>
      <c r="AC20" s="804"/>
      <c r="AD20" s="804"/>
      <c r="AF20" s="805"/>
      <c r="AG20" s="805"/>
      <c r="AH20" s="806"/>
      <c r="AI20" s="807"/>
      <c r="AJ20" s="807"/>
      <c r="AK20" s="807"/>
      <c r="AL20" s="807"/>
      <c r="AM20" s="808"/>
      <c r="AN20" s="809"/>
      <c r="AO20" s="807"/>
      <c r="AP20" s="810"/>
      <c r="AQ20" s="810"/>
      <c r="AR20" s="811"/>
      <c r="AS20" s="810"/>
      <c r="AT20" s="812"/>
      <c r="AU20" s="810"/>
      <c r="AV20" s="810"/>
      <c r="AW20" s="807"/>
      <c r="AX20" s="813"/>
      <c r="AZ20" s="805"/>
      <c r="BA20" s="805"/>
      <c r="BB20" s="805"/>
      <c r="BC20" s="805"/>
    </row>
    <row r="21" spans="1:57" ht="15.75" hidden="1">
      <c r="A21" s="641" t="str">
        <f>A22</f>
        <v>N</v>
      </c>
      <c r="B21" s="641">
        <v>1</v>
      </c>
      <c r="C21" s="2797" t="s">
        <v>163</v>
      </c>
      <c r="D21" s="2798"/>
      <c r="E21" s="2799" t="str">
        <f>'Preliminary Report'!E1</f>
        <v>HSFO</v>
      </c>
      <c r="F21" s="2800"/>
      <c r="G21" s="2800"/>
      <c r="H21" s="2800"/>
      <c r="I21" s="2801"/>
      <c r="J21" s="700"/>
      <c r="K21" s="699"/>
      <c r="L21" s="700"/>
      <c r="M21" s="699"/>
      <c r="N21" s="699"/>
      <c r="O21" s="700"/>
      <c r="P21" s="699"/>
      <c r="Q21" s="700"/>
      <c r="R21" s="701"/>
      <c r="S21" s="699"/>
      <c r="T21" s="701"/>
    </row>
    <row r="22" spans="1:57" hidden="1">
      <c r="A22" s="641" t="str">
        <f t="shared" ref="A22:A41" si="0">IF(C22="","N",IF(ISERROR(MATCH($E$21,IF($Z$1=1,GRADESLIST,IF($Z$1=2,RESIDUALS,DISTILLATES)),0)),"N","Y"))</f>
        <v>N</v>
      </c>
      <c r="B22" s="641">
        <f>COUNTIFS('Vessel Gauging Data'!$C$27:$C$56,$E$21,'Vessel Gauging Data'!$D$27:$D$56,NOMY)</f>
        <v>0</v>
      </c>
      <c r="C22" s="622" t="str">
        <f t="array" ref="C22">IF(OR($E$21="",SUMPRODUCT(('Vessel Gauging Data'!$C$27:$C$56=$E$21)*('Vessel Gauging Data'!$D$27:$D$56=NOMY))&lt;ROWS($C$22:$C22)),"",INDEX('Vessel Gauging Data'!$B$27:$B$56,SMALL(IF(('Vessel Gauging Data'!$C$27:$C$56=$E$21)+('Vessel Gauging Data'!$D$27:$D$56=NOMY)=2,ROW('Vessel Gauging Data'!$B$27:$B$56)-ROW('Vessel Gauging Data'!$C$26)),ROW()-ROW(C$21))))</f>
        <v/>
      </c>
      <c r="D22" s="623" t="str">
        <f>IF(OR($C22="",$C22=0),"",INDEX('Vessel Gauging Data'!$B$26:$V$56,MATCH($C22,'Vessel Gauging Data'!$B$27:$B$56,0)+1,2))</f>
        <v/>
      </c>
      <c r="E22" s="1018" t="str">
        <f t="shared" ref="E22:E41" si="1">IF(ISERROR(V22),"",IF(OR($C22="",$C22=0),"",IF(ISTEXT(V22),V22,IF($AB$1=1,V22*UNITOR_1,INT(V22*UNITOR_1)&amp;"'-"&amp;TRIM(TEXT(ROUND(MOD(V22*UNITOR_1,1)*12,1),"# ???/???"))&amp;""""))))</f>
        <v/>
      </c>
      <c r="F22" s="1018" t="str">
        <f t="shared" ref="F22:F41" si="2">IF(ISERROR(W22),"",IF(OR($C22="",$C22=0),"",IF(ISTEXT(W22),W22,IF($AB$1=1,W22*UNITOR_1,INT(W22*UNITOR_1)&amp;"'-"&amp;TRIM(TEXT(ROUND(MOD(W22*UNITOR_1,1)*12,1),"# ???/???"))&amp;""""))))</f>
        <v/>
      </c>
      <c r="G22" s="1018" t="str">
        <f t="shared" ref="G22:H41" si="3">IF(ISERROR(X22),"",IF(OR($C22="",$C22=0),"",IF(ISTEXT(X22),X22,IF($AB$1=1,X22*UNITOR_1,INT(X22*UNITOR_1)&amp;"'-"&amp;TRIM(TEXT(ROUND(MOD(X22*UNITOR_1,1)*12,1),"# ???/???"))&amp;""""))))</f>
        <v/>
      </c>
      <c r="H22" s="1018" t="str">
        <f t="shared" si="3"/>
        <v/>
      </c>
      <c r="I22" s="623" t="str">
        <f t="shared" ref="I22:I41" si="4">IF(ISERROR($BB22),"",IF(OR($C22="",$C22=0,$BB22=0),"",$BB22))</f>
        <v/>
      </c>
      <c r="J22" s="1018" t="str">
        <f t="shared" ref="J22:J41" si="5">IF(ISERROR($BC22),"",IF(OR($C22="",$C22=0,$BC22=""),"",IF(ISTEXT($BC22),$BC22,$BC22*IF($AA$1=B1SEL,1,IF($AA$1=2,FBBLS,1/FBBLS)))))</f>
        <v/>
      </c>
      <c r="K22" s="625" t="str">
        <f t="shared" ref="K22:K41" si="6">IF(ISERROR($BD22),"",IF(OR($C22="",$C22=0,$BD22=""),0,IF(ISTEXT($BD22),$BD22,$BD22*IF($AB$1=W1SEL,1,IF($AB$1=2,FINCH,1/FINCH)))))</f>
        <v/>
      </c>
      <c r="L22" s="624" t="str">
        <f t="shared" ref="L22:L41" si="7">IF(ISERROR($BE22),"",IF(OR($C22="",$C22=0,$BE22=""),0,IF(ISTEXT($BE22),$BE22,$BE22*IF($AA$1=B1SEL,1,IF($AA$1=2,FBBLS,1/FBBLS)))))</f>
        <v/>
      </c>
      <c r="M22" s="1124" t="str">
        <f>IF(OR($C22="",$C22=0),"",INDEX(API1DENST,MATCH($C22,'Vessel Gauging Data'!$B$27:$B$56,0),$AA$1))</f>
        <v/>
      </c>
      <c r="N22" s="624" t="str">
        <f t="shared" ref="N22:N41" si="8">IF(ISERROR(Z22),"",IF(OR($C22="",$C22=0,Z22=""),"",IF(ISTEXT(Z22),Z22,IF($AA$1=T1SEL,Z22,IF($AA$1=2,(Z22*9/5)+32,(Z22-32)*5/9)))))</f>
        <v/>
      </c>
      <c r="O22" s="1018" t="str">
        <f t="shared" ref="O22:O41" si="9">IF(OR(J22="",L22=""),"",IF(ISTEXT(J22),"N/A",IF(ISTEXT(L22),J22,J22-L22)))</f>
        <v/>
      </c>
      <c r="P22" s="1124" t="str">
        <f t="shared" ref="P22:P41" si="10">IF(OR(M22="",N22=""),"",IF(OR(ISTEXT(M22),ISTEXT(N22)),"N/A",IF($AA$1=1,ROUND(EXP(-AF22*(N22-15)*(1+0.8*AF22*(N22-15))),5),AZ22)))</f>
        <v/>
      </c>
      <c r="Q22" s="1018" t="str">
        <f t="shared" ref="Q22:Q41" si="11">IF(OR(M22="",N22=""),"",IF(OR(ISTEXT(M22),ISTEXT(N22)),"N/A",ROUND(O22*P22,3)))</f>
        <v/>
      </c>
      <c r="R22" s="626" t="str">
        <f t="shared" ref="R22:R41" si="12">IF(M22="","",IF($AA$1=1,IF(ISTEXT(Q22),"N/A",ROUND(Q22*M22,3)),IF(ISTEXT(T22),"N/A",ROUND(T22*AC22,3))))</f>
        <v/>
      </c>
      <c r="S22" s="1124" t="str">
        <f t="shared" ref="S22:S41" si="13">IF(M22="","",IF($AA$1=1,ROUND(M22-0.0011,5),ROUND((1.00122697*(141.5/(M22+131.5))-1.22269727*10^-3)*8.32823*42/2204.62,5+2)))</f>
        <v/>
      </c>
      <c r="T22" s="627" t="str">
        <f t="shared" ref="T22:T41" si="14">IF(OR(M22="",N22=""),"",IF(ISTEXT(Q22),"N/A",IF($AA$1=1,ROUND((Q22*(M22-0.0011)),3),ROUND(Q22*S22,3))))</f>
        <v/>
      </c>
      <c r="V22" s="642" t="e">
        <f>INDEX('Vessel Gauging Data'!$B$26:$V$56,MATCH($C22,'Vessel Gauging Data'!$B$26:$B$56,0),$V$18)</f>
        <v>#N/A</v>
      </c>
      <c r="W22" s="642" t="e">
        <f>INDEX('Vessel Gauging Data'!$B$26:$V$56,MATCH($C22,'Vessel Gauging Data'!$B$26:$B$56,0),$W$18)</f>
        <v>#N/A</v>
      </c>
      <c r="X22" s="642" t="e">
        <f>INDEX('Vessel Gauging Data'!$B$26:$V$56,MATCH($C22,'Vessel Gauging Data'!$B$26:$B$56,0),$X$18)</f>
        <v>#N/A</v>
      </c>
      <c r="Y22" s="642" t="e">
        <f>INDEX('Vessel Gauging Data'!$B$26:$V$56,MATCH($C22,'Vessel Gauging Data'!$B$26:$B$56,0),$Y$18)</f>
        <v>#N/A</v>
      </c>
      <c r="Z22" s="642" t="e">
        <f>INDEX('Vessel Gauging Data'!$B$26:$V$56,MATCH($C22,'Vessel Gauging Data'!$B$26:$B$56,0),$Z$18)</f>
        <v>#N/A</v>
      </c>
      <c r="AB22" s="642" t="e">
        <f>INDEX(API1DENST,MATCH($C22,'Vessel Gauging Data'!$B$27:$B$56,0),1)</f>
        <v>#N/A</v>
      </c>
      <c r="AC22" s="642" t="e">
        <f>((INT((AB22/(1.0001506*AB22-0.0012202))*10000)+0.5)/10000)</f>
        <v>#N/A</v>
      </c>
      <c r="AE22" s="661" t="e">
        <f>ROUND(+M22/2*1000,0)*2</f>
        <v>#VALUE!</v>
      </c>
      <c r="AF22" s="661" t="e">
        <f>ROUND(186.9696/(AE22*AE22)+(0.4862/AE22),8)</f>
        <v>#VALUE!</v>
      </c>
      <c r="AH22" s="662" t="str">
        <f t="shared" ref="AH22:AH55" si="15">N22</f>
        <v/>
      </c>
      <c r="AI22" s="662" t="str">
        <f t="shared" ref="AI22:AI55" si="16">M22</f>
        <v/>
      </c>
      <c r="AJ22" s="663">
        <f>IF(AND(AI22&gt;=0,AI22&lt;=37),103.872,IF(AND(AI22&gt;=48,AI22&lt;=52),-0.0018684,IF(AND(AI22&gt;=37.1,AI22&lt;=47.9),330.301,IF(AND(AI22&gt;=52.1),192.4571))))</f>
        <v>192.4571</v>
      </c>
      <c r="AK22" s="660">
        <f>IF(AND(AI22&gt;=0,AI22&lt;=37),0.2701,IF(AND(AI22&gt;=48,AJ22&lt;=52),1489.067,IF(AND(AI22&gt;=37.1,AI22&lt;=47.9),0,IF(AI22&gt;=52.1,0.2438))))</f>
        <v>0.24379999999999999</v>
      </c>
      <c r="AL22" s="660" t="e">
        <f>ROUND(141360.198/(AI22+131.5),2)</f>
        <v>#VALUE!</v>
      </c>
      <c r="AM22" s="664" t="e">
        <f>TRUNC(AJ22/AL22,8)</f>
        <v>#VALUE!</v>
      </c>
      <c r="AN22" s="664" t="e">
        <f>TRUNC(AM22/AL22,10)</f>
        <v>#VALUE!</v>
      </c>
      <c r="AO22" s="665" t="e">
        <f>TRUNC(AK22/AL22,10)</f>
        <v>#VALUE!</v>
      </c>
      <c r="AP22" s="666" t="e">
        <f>IF(AND(AI22&gt;=48,AI22&lt;=52),ROUND(AW22+AJ22,7),ROUND(AN22+AO22,7))</f>
        <v>#VALUE!</v>
      </c>
      <c r="AQ22" s="660" t="e">
        <f>AH22-60</f>
        <v>#VALUE!</v>
      </c>
      <c r="AR22" s="667" t="e">
        <f>TRUNC(AP22*AQ22,8)</f>
        <v>#VALUE!</v>
      </c>
      <c r="AS22" s="667" t="e">
        <f>TRUNC(0.8*AR22,8)</f>
        <v>#VALUE!</v>
      </c>
      <c r="AT22" s="668" t="e">
        <f>TRUNC(0.8*AP22^2*AQ22^2,8)</f>
        <v>#VALUE!</v>
      </c>
      <c r="AU22" s="667" t="e">
        <f>-AR22-AT22</f>
        <v>#VALUE!</v>
      </c>
      <c r="AV22" s="669" t="e">
        <f>TRUNC(AK22/AL22,5)</f>
        <v>#VALUE!</v>
      </c>
      <c r="AW22" s="667" t="e">
        <f>ROUND(AV22/AL22,8)</f>
        <v>#VALUE!</v>
      </c>
      <c r="AX22" s="667" t="e">
        <f>ROUND(AW22+AJ22,8)</f>
        <v>#VALUE!</v>
      </c>
      <c r="AY22" s="660" t="e">
        <f>IF(AND(AI22&gt;=48,AI22&lt;=52),AX22,AP22)</f>
        <v>#VALUE!</v>
      </c>
      <c r="AZ22" s="670" t="e">
        <f>ROUND(EXP(AU22),5)</f>
        <v>#VALUE!</v>
      </c>
      <c r="BB22" s="662" t="e">
        <f>INDEX('Vessel Gauging Data'!$B$26:$V$56,MATCH($C22,'Vessel Gauging Data'!$B$26:$B$56,0),$BB$18)</f>
        <v>#N/A</v>
      </c>
      <c r="BC22" s="662" t="e">
        <f>INDEX('Vessel Gauging Data'!$B$26:$V$56,MATCH($C22,'Vessel Gauging Data'!$B$26:$B$56,0),$BC$18)</f>
        <v>#N/A</v>
      </c>
      <c r="BD22" s="662" t="e">
        <f>INDEX('Vessel Gauging Data'!$B$26:$V$56,MATCH($C22,'Vessel Gauging Data'!$B$26:$B$56,0),$BD$18)</f>
        <v>#N/A</v>
      </c>
      <c r="BE22" s="662" t="e">
        <f>INDEX('Vessel Gauging Data'!$B$26:$V$56,MATCH($C22,'Vessel Gauging Data'!$B$26:$B$56,0),$BE$18)</f>
        <v>#N/A</v>
      </c>
    </row>
    <row r="23" spans="1:57" hidden="1">
      <c r="A23" s="641" t="str">
        <f t="shared" si="0"/>
        <v>N</v>
      </c>
      <c r="C23" s="235" t="str">
        <f t="array" ref="C23">IF(OR($E$21="",SUMPRODUCT(('Vessel Gauging Data'!$C$27:$C$56=$E$21)*('Vessel Gauging Data'!$D$27:$D$56=NOMY))&lt;ROWS($C$22:$C23)),"",INDEX('Vessel Gauging Data'!$B$27:$B$56,SMALL(IF(('Vessel Gauging Data'!$C$27:$C$56=$E$21)+('Vessel Gauging Data'!$D$27:$D$56=NOMY)=2,ROW('Vessel Gauging Data'!$B$27:$B$56)-ROW('Vessel Gauging Data'!$C$26)),ROW()-ROW(C$21))))</f>
        <v/>
      </c>
      <c r="D23" s="211" t="str">
        <f>IF(OR($C23="",$C23=0),"",INDEX('Vessel Gauging Data'!$B$26:$V$56,MATCH($C23,'Vessel Gauging Data'!$B$27:$B$56,0)+1,2))</f>
        <v/>
      </c>
      <c r="E23" s="1016" t="str">
        <f t="shared" si="1"/>
        <v/>
      </c>
      <c r="F23" s="1016" t="str">
        <f t="shared" si="2"/>
        <v/>
      </c>
      <c r="G23" s="1016" t="str">
        <f t="shared" si="3"/>
        <v/>
      </c>
      <c r="H23" s="1016" t="str">
        <f t="shared" si="3"/>
        <v/>
      </c>
      <c r="I23" s="211" t="str">
        <f t="shared" si="4"/>
        <v/>
      </c>
      <c r="J23" s="1016" t="str">
        <f t="shared" si="5"/>
        <v/>
      </c>
      <c r="K23" s="213" t="str">
        <f t="shared" si="6"/>
        <v/>
      </c>
      <c r="L23" s="212" t="str">
        <f t="shared" si="7"/>
        <v/>
      </c>
      <c r="M23" s="1125" t="str">
        <f>IF(OR($C23="",$C23=0),"",INDEX(API1DENST,MATCH($C23,'Vessel Gauging Data'!$B$27:$B$56,0),$AA$1))</f>
        <v/>
      </c>
      <c r="N23" s="212" t="str">
        <f t="shared" si="8"/>
        <v/>
      </c>
      <c r="O23" s="1016" t="str">
        <f t="shared" si="9"/>
        <v/>
      </c>
      <c r="P23" s="1125" t="str">
        <f t="shared" si="10"/>
        <v/>
      </c>
      <c r="Q23" s="1016" t="str">
        <f t="shared" si="11"/>
        <v/>
      </c>
      <c r="R23" s="214" t="str">
        <f t="shared" si="12"/>
        <v/>
      </c>
      <c r="S23" s="1125" t="str">
        <f t="shared" si="13"/>
        <v/>
      </c>
      <c r="T23" s="236" t="str">
        <f t="shared" si="14"/>
        <v/>
      </c>
      <c r="V23" s="642" t="e">
        <f>INDEX('Vessel Gauging Data'!$B$26:$V$56,MATCH($C23,'Vessel Gauging Data'!$B$26:$B$56,0),$V$18)</f>
        <v>#N/A</v>
      </c>
      <c r="W23" s="642" t="e">
        <f>INDEX('Vessel Gauging Data'!$B$26:$V$56,MATCH($C23,'Vessel Gauging Data'!$B$26:$B$56,0),$W$18)</f>
        <v>#N/A</v>
      </c>
      <c r="X23" s="642" t="e">
        <f>INDEX('Vessel Gauging Data'!$B$26:$V$56,MATCH($C23,'Vessel Gauging Data'!$B$26:$B$56,0),$X$18)</f>
        <v>#N/A</v>
      </c>
      <c r="Y23" s="642" t="e">
        <f>INDEX('Vessel Gauging Data'!$B$26:$V$56,MATCH($C23,'Vessel Gauging Data'!$B$26:$B$56,0),$Y$18)</f>
        <v>#N/A</v>
      </c>
      <c r="Z23" s="642" t="e">
        <f>INDEX('Vessel Gauging Data'!$B$26:$V$56,MATCH($C23,'Vessel Gauging Data'!$B$26:$B$56,0),$Z$18)</f>
        <v>#N/A</v>
      </c>
      <c r="AB23" s="642" t="e">
        <f>INDEX(API1DENST,MATCH($C23,'Vessel Gauging Data'!$B$27:$B$56,0),1)</f>
        <v>#N/A</v>
      </c>
      <c r="AC23" s="642" t="e">
        <f t="shared" ref="AC23:AC92" si="17">((INT((AB23/(1.0001506*AB23-0.0012202))*10000)+0.5)/10000)</f>
        <v>#N/A</v>
      </c>
      <c r="AE23" s="661" t="e">
        <f t="shared" ref="AE23:AE92" si="18">ROUND(+M23/2*1000,0)*2</f>
        <v>#VALUE!</v>
      </c>
      <c r="AF23" s="661" t="e">
        <f t="shared" ref="AF23:AF92" si="19">ROUND(186.9696/(AE23*AE23)+(0.4862/AE23),8)</f>
        <v>#VALUE!</v>
      </c>
      <c r="AH23" s="662" t="str">
        <f t="shared" si="15"/>
        <v/>
      </c>
      <c r="AI23" s="662" t="str">
        <f t="shared" si="16"/>
        <v/>
      </c>
      <c r="AJ23" s="663">
        <f t="shared" ref="AJ23:AJ92" si="20">IF(AND(AI23&gt;=0,AI23&lt;=37),103.872,IF(AND(AI23&gt;=48,AI23&lt;=52),-0.0018684,IF(AND(AI23&gt;=37.1,AI23&lt;=47.9),330.301,IF(AND(AI23&gt;=52.1),192.4571))))</f>
        <v>192.4571</v>
      </c>
      <c r="AK23" s="660">
        <f t="shared" ref="AK23:AK92" si="21">IF(AND(AI23&gt;=0,AI23&lt;=37),0.2701,IF(AND(AI23&gt;=48,AJ23&lt;=52),1489.067,IF(AND(AI23&gt;=37.1,AI23&lt;=47.9),0,IF(AI23&gt;=52.1,0.2438))))</f>
        <v>0.24379999999999999</v>
      </c>
      <c r="AL23" s="660" t="e">
        <f t="shared" ref="AL23:AL92" si="22">ROUND(141360.198/(AI23+131.5),2)</f>
        <v>#VALUE!</v>
      </c>
      <c r="AM23" s="664" t="e">
        <f t="shared" ref="AM23:AM92" si="23">TRUNC(AJ23/AL23,8)</f>
        <v>#VALUE!</v>
      </c>
      <c r="AN23" s="664" t="e">
        <f t="shared" ref="AN23:AN92" si="24">TRUNC(AM23/AL23,10)</f>
        <v>#VALUE!</v>
      </c>
      <c r="AO23" s="665" t="e">
        <f t="shared" ref="AO23:AO92" si="25">TRUNC(AK23/AL23,10)</f>
        <v>#VALUE!</v>
      </c>
      <c r="AP23" s="666" t="e">
        <f t="shared" ref="AP23:AP92" si="26">IF(AND(AI23&gt;=48,AI23&lt;=52),ROUND(AW23+AJ23,7),ROUND(AN23+AO23,7))</f>
        <v>#VALUE!</v>
      </c>
      <c r="AQ23" s="660" t="e">
        <f t="shared" ref="AQ23:AQ92" si="27">AH23-60</f>
        <v>#VALUE!</v>
      </c>
      <c r="AR23" s="667" t="e">
        <f t="shared" ref="AR23:AR92" si="28">TRUNC(AP23*AQ23,8)</f>
        <v>#VALUE!</v>
      </c>
      <c r="AS23" s="667" t="e">
        <f t="shared" ref="AS23:AS92" si="29">TRUNC(0.8*AR23,8)</f>
        <v>#VALUE!</v>
      </c>
      <c r="AT23" s="668" t="e">
        <f t="shared" ref="AT23:AT92" si="30">TRUNC(0.8*AP23^2*AQ23^2,8)</f>
        <v>#VALUE!</v>
      </c>
      <c r="AU23" s="667" t="e">
        <f t="shared" ref="AU23:AU92" si="31">-AR23-AT23</f>
        <v>#VALUE!</v>
      </c>
      <c r="AV23" s="669" t="e">
        <f t="shared" ref="AV23:AV92" si="32">TRUNC(AK23/AL23,5)</f>
        <v>#VALUE!</v>
      </c>
      <c r="AW23" s="667" t="e">
        <f t="shared" ref="AW23:AW92" si="33">ROUND(AV23/AL23,8)</f>
        <v>#VALUE!</v>
      </c>
      <c r="AX23" s="667" t="e">
        <f t="shared" ref="AX23:AX92" si="34">ROUND(AW23+AJ23,8)</f>
        <v>#VALUE!</v>
      </c>
      <c r="AY23" s="660" t="e">
        <f t="shared" ref="AY23:AY92" si="35">IF(AND(AI23&gt;=48,AI23&lt;=52),AX23,AP23)</f>
        <v>#VALUE!</v>
      </c>
      <c r="AZ23" s="670" t="e">
        <f t="shared" ref="AZ23:AZ92" si="36">ROUND(EXP(AU23),5)</f>
        <v>#VALUE!</v>
      </c>
      <c r="BB23" s="662" t="e">
        <f>INDEX('Vessel Gauging Data'!$B$26:$V$56,MATCH($C23,'Vessel Gauging Data'!$B$26:$B$56,0),$BB$18)</f>
        <v>#N/A</v>
      </c>
      <c r="BC23" s="662" t="e">
        <f>INDEX('Vessel Gauging Data'!$B$26:$V$56,MATCH($C23,'Vessel Gauging Data'!$B$26:$B$56,0),$BC$18)</f>
        <v>#N/A</v>
      </c>
      <c r="BD23" s="662" t="e">
        <f>INDEX('Vessel Gauging Data'!$B$26:$V$56,MATCH($C23,'Vessel Gauging Data'!$B$26:$B$56,0),$BD$18)</f>
        <v>#N/A</v>
      </c>
      <c r="BE23" s="662" t="e">
        <f>INDEX('Vessel Gauging Data'!$B$26:$V$56,MATCH($C23,'Vessel Gauging Data'!$B$26:$B$56,0),$BE$18)</f>
        <v>#N/A</v>
      </c>
    </row>
    <row r="24" spans="1:57" hidden="1">
      <c r="A24" s="641" t="str">
        <f t="shared" si="0"/>
        <v>N</v>
      </c>
      <c r="C24" s="235" t="str">
        <f t="array" ref="C24">IF(OR($E$21="",SUMPRODUCT(('Vessel Gauging Data'!$C$27:$C$56=$E$21)*('Vessel Gauging Data'!$D$27:$D$56=NOMY))&lt;ROWS($C$22:$C24)),"",INDEX('Vessel Gauging Data'!$B$27:$B$56,SMALL(IF(('Vessel Gauging Data'!$C$27:$C$56=$E$21)+('Vessel Gauging Data'!$D$27:$D$56=NOMY)=2,ROW('Vessel Gauging Data'!$B$27:$B$56)-ROW('Vessel Gauging Data'!$C$26)),ROW()-ROW(C$21))))</f>
        <v/>
      </c>
      <c r="D24" s="211" t="str">
        <f>IF(OR($C24="",$C24=0),"",INDEX('Vessel Gauging Data'!$B$26:$V$56,MATCH($C24,'Vessel Gauging Data'!$B$27:$B$56,0)+1,2))</f>
        <v/>
      </c>
      <c r="E24" s="1016" t="str">
        <f t="shared" si="1"/>
        <v/>
      </c>
      <c r="F24" s="1016" t="str">
        <f t="shared" si="2"/>
        <v/>
      </c>
      <c r="G24" s="1016" t="str">
        <f t="shared" si="3"/>
        <v/>
      </c>
      <c r="H24" s="1016" t="str">
        <f t="shared" si="3"/>
        <v/>
      </c>
      <c r="I24" s="211" t="str">
        <f t="shared" si="4"/>
        <v/>
      </c>
      <c r="J24" s="1016" t="str">
        <f t="shared" si="5"/>
        <v/>
      </c>
      <c r="K24" s="213" t="str">
        <f t="shared" si="6"/>
        <v/>
      </c>
      <c r="L24" s="212" t="str">
        <f t="shared" si="7"/>
        <v/>
      </c>
      <c r="M24" s="1125" t="str">
        <f>IF(OR($C24="",$C24=0),"",INDEX(API1DENST,MATCH($C24,'Vessel Gauging Data'!$B$27:$B$56,0),$AA$1))</f>
        <v/>
      </c>
      <c r="N24" s="212" t="str">
        <f t="shared" si="8"/>
        <v/>
      </c>
      <c r="O24" s="1016" t="str">
        <f t="shared" si="9"/>
        <v/>
      </c>
      <c r="P24" s="1125" t="str">
        <f t="shared" si="10"/>
        <v/>
      </c>
      <c r="Q24" s="1016" t="str">
        <f t="shared" si="11"/>
        <v/>
      </c>
      <c r="R24" s="214" t="str">
        <f t="shared" si="12"/>
        <v/>
      </c>
      <c r="S24" s="1125" t="str">
        <f t="shared" si="13"/>
        <v/>
      </c>
      <c r="T24" s="236" t="str">
        <f t="shared" si="14"/>
        <v/>
      </c>
      <c r="V24" s="642" t="e">
        <f>INDEX('Vessel Gauging Data'!$B$26:$V$56,MATCH($C24,'Vessel Gauging Data'!$B$26:$B$56,0),$V$18)</f>
        <v>#N/A</v>
      </c>
      <c r="W24" s="642" t="e">
        <f>INDEX('Vessel Gauging Data'!$B$26:$V$56,MATCH($C24,'Vessel Gauging Data'!$B$26:$B$56,0),$W$18)</f>
        <v>#N/A</v>
      </c>
      <c r="X24" s="642" t="e">
        <f>INDEX('Vessel Gauging Data'!$B$26:$V$56,MATCH($C24,'Vessel Gauging Data'!$B$26:$B$56,0),$X$18)</f>
        <v>#N/A</v>
      </c>
      <c r="Y24" s="642" t="e">
        <f>INDEX('Vessel Gauging Data'!$B$26:$V$56,MATCH($C24,'Vessel Gauging Data'!$B$26:$B$56,0),$Y$18)</f>
        <v>#N/A</v>
      </c>
      <c r="Z24" s="642" t="e">
        <f>INDEX('Vessel Gauging Data'!$B$26:$V$56,MATCH($C24,'Vessel Gauging Data'!$B$26:$B$56,0),$Z$18)</f>
        <v>#N/A</v>
      </c>
      <c r="AB24" s="642" t="e">
        <f>INDEX(API1DENST,MATCH($C24,'Vessel Gauging Data'!$B$27:$B$56,0),1)</f>
        <v>#N/A</v>
      </c>
      <c r="AC24" s="642" t="e">
        <f t="shared" si="17"/>
        <v>#N/A</v>
      </c>
      <c r="AE24" s="661" t="e">
        <f t="shared" si="18"/>
        <v>#VALUE!</v>
      </c>
      <c r="AF24" s="661" t="e">
        <f t="shared" si="19"/>
        <v>#VALUE!</v>
      </c>
      <c r="AH24" s="662" t="str">
        <f t="shared" si="15"/>
        <v/>
      </c>
      <c r="AI24" s="662" t="str">
        <f t="shared" si="16"/>
        <v/>
      </c>
      <c r="AJ24" s="663">
        <f t="shared" si="20"/>
        <v>192.4571</v>
      </c>
      <c r="AK24" s="660">
        <f t="shared" si="21"/>
        <v>0.24379999999999999</v>
      </c>
      <c r="AL24" s="660" t="e">
        <f t="shared" si="22"/>
        <v>#VALUE!</v>
      </c>
      <c r="AM24" s="664" t="e">
        <f t="shared" si="23"/>
        <v>#VALUE!</v>
      </c>
      <c r="AN24" s="664" t="e">
        <f t="shared" si="24"/>
        <v>#VALUE!</v>
      </c>
      <c r="AO24" s="665" t="e">
        <f t="shared" si="25"/>
        <v>#VALUE!</v>
      </c>
      <c r="AP24" s="666" t="e">
        <f t="shared" si="26"/>
        <v>#VALUE!</v>
      </c>
      <c r="AQ24" s="660" t="e">
        <f t="shared" si="27"/>
        <v>#VALUE!</v>
      </c>
      <c r="AR24" s="667" t="e">
        <f t="shared" si="28"/>
        <v>#VALUE!</v>
      </c>
      <c r="AS24" s="667" t="e">
        <f t="shared" si="29"/>
        <v>#VALUE!</v>
      </c>
      <c r="AT24" s="668" t="e">
        <f t="shared" si="30"/>
        <v>#VALUE!</v>
      </c>
      <c r="AU24" s="667" t="e">
        <f t="shared" si="31"/>
        <v>#VALUE!</v>
      </c>
      <c r="AV24" s="669" t="e">
        <f t="shared" si="32"/>
        <v>#VALUE!</v>
      </c>
      <c r="AW24" s="667" t="e">
        <f t="shared" si="33"/>
        <v>#VALUE!</v>
      </c>
      <c r="AX24" s="667" t="e">
        <f t="shared" si="34"/>
        <v>#VALUE!</v>
      </c>
      <c r="AY24" s="660" t="e">
        <f t="shared" si="35"/>
        <v>#VALUE!</v>
      </c>
      <c r="AZ24" s="670" t="e">
        <f t="shared" si="36"/>
        <v>#VALUE!</v>
      </c>
      <c r="BB24" s="662" t="e">
        <f>INDEX('Vessel Gauging Data'!$B$26:$V$56,MATCH($C24,'Vessel Gauging Data'!$B$26:$B$56,0),$BB$18)</f>
        <v>#N/A</v>
      </c>
      <c r="BC24" s="662" t="e">
        <f>INDEX('Vessel Gauging Data'!$B$26:$V$56,MATCH($C24,'Vessel Gauging Data'!$B$26:$B$56,0),$BC$18)</f>
        <v>#N/A</v>
      </c>
      <c r="BD24" s="662" t="e">
        <f>INDEX('Vessel Gauging Data'!$B$26:$V$56,MATCH($C24,'Vessel Gauging Data'!$B$26:$B$56,0),$BD$18)</f>
        <v>#N/A</v>
      </c>
      <c r="BE24" s="662" t="e">
        <f>INDEX('Vessel Gauging Data'!$B$26:$V$56,MATCH($C24,'Vessel Gauging Data'!$B$26:$B$56,0),$BE$18)</f>
        <v>#N/A</v>
      </c>
    </row>
    <row r="25" spans="1:57" hidden="1">
      <c r="A25" s="641" t="str">
        <f t="shared" si="0"/>
        <v>N</v>
      </c>
      <c r="C25" s="235" t="str">
        <f t="array" ref="C25">IF(OR($E$21="",SUMPRODUCT(('Vessel Gauging Data'!$C$27:$C$56=$E$21)*('Vessel Gauging Data'!$D$27:$D$56=NOMY))&lt;ROWS($C$22:$C25)),"",INDEX('Vessel Gauging Data'!$B$27:$B$56,SMALL(IF(('Vessel Gauging Data'!$C$27:$C$56=$E$21)+('Vessel Gauging Data'!$D$27:$D$56=NOMY)=2,ROW('Vessel Gauging Data'!$B$27:$B$56)-ROW('Vessel Gauging Data'!$C$26)),ROW()-ROW(C$21))))</f>
        <v/>
      </c>
      <c r="D25" s="211" t="str">
        <f>IF(OR($C25="",$C25=0),"",INDEX('Vessel Gauging Data'!$B$26:$V$56,MATCH($C25,'Vessel Gauging Data'!$B$27:$B$56,0)+1,2))</f>
        <v/>
      </c>
      <c r="E25" s="1016" t="str">
        <f t="shared" si="1"/>
        <v/>
      </c>
      <c r="F25" s="1016" t="str">
        <f t="shared" si="2"/>
        <v/>
      </c>
      <c r="G25" s="1016" t="str">
        <f t="shared" si="3"/>
        <v/>
      </c>
      <c r="H25" s="1016" t="str">
        <f t="shared" si="3"/>
        <v/>
      </c>
      <c r="I25" s="211" t="str">
        <f t="shared" si="4"/>
        <v/>
      </c>
      <c r="J25" s="1016" t="str">
        <f t="shared" si="5"/>
        <v/>
      </c>
      <c r="K25" s="213" t="str">
        <f t="shared" si="6"/>
        <v/>
      </c>
      <c r="L25" s="212" t="str">
        <f t="shared" si="7"/>
        <v/>
      </c>
      <c r="M25" s="1125" t="str">
        <f>IF(OR($C25="",$C25=0),"",INDEX(API1DENST,MATCH($C25,'Vessel Gauging Data'!$B$27:$B$56,0),$AA$1))</f>
        <v/>
      </c>
      <c r="N25" s="212" t="str">
        <f t="shared" si="8"/>
        <v/>
      </c>
      <c r="O25" s="1016" t="str">
        <f t="shared" si="9"/>
        <v/>
      </c>
      <c r="P25" s="1125" t="str">
        <f t="shared" si="10"/>
        <v/>
      </c>
      <c r="Q25" s="1016" t="str">
        <f t="shared" si="11"/>
        <v/>
      </c>
      <c r="R25" s="214" t="str">
        <f t="shared" si="12"/>
        <v/>
      </c>
      <c r="S25" s="1125" t="str">
        <f t="shared" si="13"/>
        <v/>
      </c>
      <c r="T25" s="236" t="str">
        <f t="shared" si="14"/>
        <v/>
      </c>
      <c r="V25" s="642" t="e">
        <f>INDEX('Vessel Gauging Data'!$B$26:$V$56,MATCH($C25,'Vessel Gauging Data'!$B$26:$B$56,0),$V$18)</f>
        <v>#N/A</v>
      </c>
      <c r="W25" s="642" t="e">
        <f>INDEX('Vessel Gauging Data'!$B$26:$V$56,MATCH($C25,'Vessel Gauging Data'!$B$26:$B$56,0),$W$18)</f>
        <v>#N/A</v>
      </c>
      <c r="X25" s="642" t="e">
        <f>INDEX('Vessel Gauging Data'!$B$26:$V$56,MATCH($C25,'Vessel Gauging Data'!$B$26:$B$56,0),$X$18)</f>
        <v>#N/A</v>
      </c>
      <c r="Y25" s="642" t="e">
        <f>INDEX('Vessel Gauging Data'!$B$26:$V$56,MATCH($C25,'Vessel Gauging Data'!$B$26:$B$56,0),$Y$18)</f>
        <v>#N/A</v>
      </c>
      <c r="Z25" s="642" t="e">
        <f>INDEX('Vessel Gauging Data'!$B$26:$V$56,MATCH($C25,'Vessel Gauging Data'!$B$26:$B$56,0),$Z$18)</f>
        <v>#N/A</v>
      </c>
      <c r="AB25" s="642" t="e">
        <f>INDEX(API1DENST,MATCH($C25,'Vessel Gauging Data'!$B$27:$B$56,0),1)</f>
        <v>#N/A</v>
      </c>
      <c r="AC25" s="642" t="e">
        <f t="shared" si="17"/>
        <v>#N/A</v>
      </c>
      <c r="AE25" s="661" t="e">
        <f t="shared" si="18"/>
        <v>#VALUE!</v>
      </c>
      <c r="AF25" s="661" t="e">
        <f t="shared" si="19"/>
        <v>#VALUE!</v>
      </c>
      <c r="AH25" s="662" t="str">
        <f t="shared" si="15"/>
        <v/>
      </c>
      <c r="AI25" s="662" t="str">
        <f t="shared" si="16"/>
        <v/>
      </c>
      <c r="AJ25" s="663">
        <f t="shared" si="20"/>
        <v>192.4571</v>
      </c>
      <c r="AK25" s="660">
        <f t="shared" si="21"/>
        <v>0.24379999999999999</v>
      </c>
      <c r="AL25" s="660" t="e">
        <f t="shared" si="22"/>
        <v>#VALUE!</v>
      </c>
      <c r="AM25" s="664" t="e">
        <f t="shared" si="23"/>
        <v>#VALUE!</v>
      </c>
      <c r="AN25" s="664" t="e">
        <f t="shared" si="24"/>
        <v>#VALUE!</v>
      </c>
      <c r="AO25" s="665" t="e">
        <f t="shared" si="25"/>
        <v>#VALUE!</v>
      </c>
      <c r="AP25" s="666" t="e">
        <f t="shared" si="26"/>
        <v>#VALUE!</v>
      </c>
      <c r="AQ25" s="660" t="e">
        <f t="shared" si="27"/>
        <v>#VALUE!</v>
      </c>
      <c r="AR25" s="667" t="e">
        <f t="shared" si="28"/>
        <v>#VALUE!</v>
      </c>
      <c r="AS25" s="667" t="e">
        <f t="shared" si="29"/>
        <v>#VALUE!</v>
      </c>
      <c r="AT25" s="668" t="e">
        <f t="shared" si="30"/>
        <v>#VALUE!</v>
      </c>
      <c r="AU25" s="667" t="e">
        <f t="shared" si="31"/>
        <v>#VALUE!</v>
      </c>
      <c r="AV25" s="669" t="e">
        <f t="shared" si="32"/>
        <v>#VALUE!</v>
      </c>
      <c r="AW25" s="667" t="e">
        <f t="shared" si="33"/>
        <v>#VALUE!</v>
      </c>
      <c r="AX25" s="667" t="e">
        <f t="shared" si="34"/>
        <v>#VALUE!</v>
      </c>
      <c r="AY25" s="660" t="e">
        <f t="shared" si="35"/>
        <v>#VALUE!</v>
      </c>
      <c r="AZ25" s="670" t="e">
        <f t="shared" si="36"/>
        <v>#VALUE!</v>
      </c>
      <c r="BB25" s="662" t="e">
        <f>INDEX('Vessel Gauging Data'!$B$26:$V$56,MATCH($C25,'Vessel Gauging Data'!$B$26:$B$56,0),$BB$18)</f>
        <v>#N/A</v>
      </c>
      <c r="BC25" s="662" t="e">
        <f>INDEX('Vessel Gauging Data'!$B$26:$V$56,MATCH($C25,'Vessel Gauging Data'!$B$26:$B$56,0),$BC$18)</f>
        <v>#N/A</v>
      </c>
      <c r="BD25" s="662" t="e">
        <f>INDEX('Vessel Gauging Data'!$B$26:$V$56,MATCH($C25,'Vessel Gauging Data'!$B$26:$B$56,0),$BD$18)</f>
        <v>#N/A</v>
      </c>
      <c r="BE25" s="662" t="e">
        <f>INDEX('Vessel Gauging Data'!$B$26:$V$56,MATCH($C25,'Vessel Gauging Data'!$B$26:$B$56,0),$BE$18)</f>
        <v>#N/A</v>
      </c>
    </row>
    <row r="26" spans="1:57" hidden="1">
      <c r="A26" s="641" t="str">
        <f t="shared" si="0"/>
        <v>N</v>
      </c>
      <c r="C26" s="235" t="str">
        <f t="array" ref="C26">IF(OR($E$21="",SUMPRODUCT(('Vessel Gauging Data'!$C$27:$C$56=$E$21)*('Vessel Gauging Data'!$D$27:$D$56=NOMY))&lt;ROWS($C$22:$C26)),"",INDEX('Vessel Gauging Data'!$B$27:$B$56,SMALL(IF(('Vessel Gauging Data'!$C$27:$C$56=$E$21)+('Vessel Gauging Data'!$D$27:$D$56=NOMY)=2,ROW('Vessel Gauging Data'!$B$27:$B$56)-ROW('Vessel Gauging Data'!$C$26)),ROW()-ROW(C$21))))</f>
        <v/>
      </c>
      <c r="D26" s="211" t="str">
        <f>IF(OR($C26="",$C26=0),"",INDEX('Vessel Gauging Data'!$B$26:$V$56,MATCH($C26,'Vessel Gauging Data'!$B$27:$B$56,0)+1,2))</f>
        <v/>
      </c>
      <c r="E26" s="1016" t="str">
        <f t="shared" si="1"/>
        <v/>
      </c>
      <c r="F26" s="1016" t="str">
        <f t="shared" si="2"/>
        <v/>
      </c>
      <c r="G26" s="1016" t="str">
        <f t="shared" si="3"/>
        <v/>
      </c>
      <c r="H26" s="1016" t="str">
        <f t="shared" si="3"/>
        <v/>
      </c>
      <c r="I26" s="211" t="str">
        <f t="shared" si="4"/>
        <v/>
      </c>
      <c r="J26" s="1016" t="str">
        <f t="shared" si="5"/>
        <v/>
      </c>
      <c r="K26" s="213" t="str">
        <f t="shared" si="6"/>
        <v/>
      </c>
      <c r="L26" s="212" t="str">
        <f t="shared" si="7"/>
        <v/>
      </c>
      <c r="M26" s="1125" t="str">
        <f>IF(OR($C26="",$C26=0),"",INDEX(API1DENST,MATCH($C26,'Vessel Gauging Data'!$B$27:$B$56,0),$AA$1))</f>
        <v/>
      </c>
      <c r="N26" s="212" t="str">
        <f t="shared" si="8"/>
        <v/>
      </c>
      <c r="O26" s="1016" t="str">
        <f t="shared" si="9"/>
        <v/>
      </c>
      <c r="P26" s="1125" t="str">
        <f t="shared" si="10"/>
        <v/>
      </c>
      <c r="Q26" s="1016" t="str">
        <f t="shared" si="11"/>
        <v/>
      </c>
      <c r="R26" s="214" t="str">
        <f t="shared" si="12"/>
        <v/>
      </c>
      <c r="S26" s="1125" t="str">
        <f t="shared" si="13"/>
        <v/>
      </c>
      <c r="T26" s="236" t="str">
        <f t="shared" si="14"/>
        <v/>
      </c>
      <c r="V26" s="642" t="e">
        <f>INDEX('Vessel Gauging Data'!$B$26:$V$56,MATCH($C26,'Vessel Gauging Data'!$B$26:$B$56,0),$V$18)</f>
        <v>#N/A</v>
      </c>
      <c r="W26" s="642" t="e">
        <f>INDEX('Vessel Gauging Data'!$B$26:$V$56,MATCH($C26,'Vessel Gauging Data'!$B$26:$B$56,0),$W$18)</f>
        <v>#N/A</v>
      </c>
      <c r="X26" s="642" t="e">
        <f>INDEX('Vessel Gauging Data'!$B$26:$V$56,MATCH($C26,'Vessel Gauging Data'!$B$26:$B$56,0),$X$18)</f>
        <v>#N/A</v>
      </c>
      <c r="Y26" s="642" t="e">
        <f>INDEX('Vessel Gauging Data'!$B$26:$V$56,MATCH($C26,'Vessel Gauging Data'!$B$26:$B$56,0),$Y$18)</f>
        <v>#N/A</v>
      </c>
      <c r="Z26" s="642" t="e">
        <f>INDEX('Vessel Gauging Data'!$B$26:$V$56,MATCH($C26,'Vessel Gauging Data'!$B$26:$B$56,0),$Z$18)</f>
        <v>#N/A</v>
      </c>
      <c r="AB26" s="642" t="e">
        <f>INDEX(API1DENST,MATCH($C26,'Vessel Gauging Data'!$B$27:$B$56,0),1)</f>
        <v>#N/A</v>
      </c>
      <c r="AC26" s="642" t="e">
        <f t="shared" si="17"/>
        <v>#N/A</v>
      </c>
      <c r="AE26" s="661" t="e">
        <f t="shared" si="18"/>
        <v>#VALUE!</v>
      </c>
      <c r="AF26" s="661" t="e">
        <f t="shared" si="19"/>
        <v>#VALUE!</v>
      </c>
      <c r="AH26" s="662" t="str">
        <f t="shared" si="15"/>
        <v/>
      </c>
      <c r="AI26" s="662" t="str">
        <f t="shared" si="16"/>
        <v/>
      </c>
      <c r="AJ26" s="663">
        <f t="shared" si="20"/>
        <v>192.4571</v>
      </c>
      <c r="AK26" s="660">
        <f t="shared" si="21"/>
        <v>0.24379999999999999</v>
      </c>
      <c r="AL26" s="660" t="e">
        <f t="shared" si="22"/>
        <v>#VALUE!</v>
      </c>
      <c r="AM26" s="664" t="e">
        <f t="shared" si="23"/>
        <v>#VALUE!</v>
      </c>
      <c r="AN26" s="664" t="e">
        <f t="shared" si="24"/>
        <v>#VALUE!</v>
      </c>
      <c r="AO26" s="665" t="e">
        <f t="shared" si="25"/>
        <v>#VALUE!</v>
      </c>
      <c r="AP26" s="666" t="e">
        <f t="shared" si="26"/>
        <v>#VALUE!</v>
      </c>
      <c r="AQ26" s="660" t="e">
        <f t="shared" si="27"/>
        <v>#VALUE!</v>
      </c>
      <c r="AR26" s="667" t="e">
        <f t="shared" si="28"/>
        <v>#VALUE!</v>
      </c>
      <c r="AS26" s="667" t="e">
        <f t="shared" si="29"/>
        <v>#VALUE!</v>
      </c>
      <c r="AT26" s="668" t="e">
        <f t="shared" si="30"/>
        <v>#VALUE!</v>
      </c>
      <c r="AU26" s="667" t="e">
        <f t="shared" si="31"/>
        <v>#VALUE!</v>
      </c>
      <c r="AV26" s="669" t="e">
        <f t="shared" si="32"/>
        <v>#VALUE!</v>
      </c>
      <c r="AW26" s="667" t="e">
        <f t="shared" si="33"/>
        <v>#VALUE!</v>
      </c>
      <c r="AX26" s="667" t="e">
        <f t="shared" si="34"/>
        <v>#VALUE!</v>
      </c>
      <c r="AY26" s="660" t="e">
        <f t="shared" si="35"/>
        <v>#VALUE!</v>
      </c>
      <c r="AZ26" s="670" t="e">
        <f t="shared" si="36"/>
        <v>#VALUE!</v>
      </c>
      <c r="BB26" s="662" t="e">
        <f>INDEX('Vessel Gauging Data'!$B$26:$V$56,MATCH($C26,'Vessel Gauging Data'!$B$26:$B$56,0),$BB$18)</f>
        <v>#N/A</v>
      </c>
      <c r="BC26" s="662" t="e">
        <f>INDEX('Vessel Gauging Data'!$B$26:$V$56,MATCH($C26,'Vessel Gauging Data'!$B$26:$B$56,0),$BC$18)</f>
        <v>#N/A</v>
      </c>
      <c r="BD26" s="662" t="e">
        <f>INDEX('Vessel Gauging Data'!$B$26:$V$56,MATCH($C26,'Vessel Gauging Data'!$B$26:$B$56,0),$BD$18)</f>
        <v>#N/A</v>
      </c>
      <c r="BE26" s="662" t="e">
        <f>INDEX('Vessel Gauging Data'!$B$26:$V$56,MATCH($C26,'Vessel Gauging Data'!$B$26:$B$56,0),$BE$18)</f>
        <v>#N/A</v>
      </c>
    </row>
    <row r="27" spans="1:57" hidden="1">
      <c r="A27" s="641" t="str">
        <f t="shared" si="0"/>
        <v>N</v>
      </c>
      <c r="C27" s="235" t="str">
        <f t="array" ref="C27">IF(OR($E$21="",SUMPRODUCT(('Vessel Gauging Data'!$C$27:$C$56=$E$21)*('Vessel Gauging Data'!$D$27:$D$56=NOMY))&lt;ROWS($C$22:$C27)),"",INDEX('Vessel Gauging Data'!$B$27:$B$56,SMALL(IF(('Vessel Gauging Data'!$C$27:$C$56=$E$21)+('Vessel Gauging Data'!$D$27:$D$56=NOMY)=2,ROW('Vessel Gauging Data'!$B$27:$B$56)-ROW('Vessel Gauging Data'!$C$26)),ROW()-ROW(C$21))))</f>
        <v/>
      </c>
      <c r="D27" s="211" t="str">
        <f>IF(OR($C27="",$C27=0),"",INDEX('Vessel Gauging Data'!$B$26:$V$56,MATCH($C27,'Vessel Gauging Data'!$B$27:$B$56,0)+1,2))</f>
        <v/>
      </c>
      <c r="E27" s="1016" t="str">
        <f t="shared" si="1"/>
        <v/>
      </c>
      <c r="F27" s="1016" t="str">
        <f t="shared" si="2"/>
        <v/>
      </c>
      <c r="G27" s="1016" t="str">
        <f t="shared" si="3"/>
        <v/>
      </c>
      <c r="H27" s="1016" t="str">
        <f t="shared" si="3"/>
        <v/>
      </c>
      <c r="I27" s="211" t="str">
        <f t="shared" si="4"/>
        <v/>
      </c>
      <c r="J27" s="1016" t="str">
        <f t="shared" si="5"/>
        <v/>
      </c>
      <c r="K27" s="213" t="str">
        <f t="shared" si="6"/>
        <v/>
      </c>
      <c r="L27" s="212" t="str">
        <f t="shared" si="7"/>
        <v/>
      </c>
      <c r="M27" s="1125" t="str">
        <f>IF(OR($C27="",$C27=0),"",INDEX(API1DENST,MATCH($C27,'Vessel Gauging Data'!$B$27:$B$56,0),$AA$1))</f>
        <v/>
      </c>
      <c r="N27" s="212" t="str">
        <f t="shared" si="8"/>
        <v/>
      </c>
      <c r="O27" s="1016" t="str">
        <f t="shared" si="9"/>
        <v/>
      </c>
      <c r="P27" s="1125" t="str">
        <f t="shared" si="10"/>
        <v/>
      </c>
      <c r="Q27" s="1016" t="str">
        <f t="shared" si="11"/>
        <v/>
      </c>
      <c r="R27" s="214" t="str">
        <f t="shared" si="12"/>
        <v/>
      </c>
      <c r="S27" s="1125" t="str">
        <f t="shared" si="13"/>
        <v/>
      </c>
      <c r="T27" s="236" t="str">
        <f t="shared" si="14"/>
        <v/>
      </c>
      <c r="V27" s="642" t="e">
        <f>INDEX('Vessel Gauging Data'!$B$26:$V$56,MATCH($C27,'Vessel Gauging Data'!$B$26:$B$56,0),$V$18)</f>
        <v>#N/A</v>
      </c>
      <c r="W27" s="642" t="e">
        <f>INDEX('Vessel Gauging Data'!$B$26:$V$56,MATCH($C27,'Vessel Gauging Data'!$B$26:$B$56,0),$W$18)</f>
        <v>#N/A</v>
      </c>
      <c r="X27" s="642" t="e">
        <f>INDEX('Vessel Gauging Data'!$B$26:$V$56,MATCH($C27,'Vessel Gauging Data'!$B$26:$B$56,0),$X$18)</f>
        <v>#N/A</v>
      </c>
      <c r="Y27" s="642" t="e">
        <f>INDEX('Vessel Gauging Data'!$B$26:$V$56,MATCH($C27,'Vessel Gauging Data'!$B$26:$B$56,0),$Y$18)</f>
        <v>#N/A</v>
      </c>
      <c r="Z27" s="642" t="e">
        <f>INDEX('Vessel Gauging Data'!$B$26:$V$56,MATCH($C27,'Vessel Gauging Data'!$B$26:$B$56,0),$Z$18)</f>
        <v>#N/A</v>
      </c>
      <c r="AB27" s="642" t="e">
        <f>INDEX(API1DENST,MATCH($C27,'Vessel Gauging Data'!$B$27:$B$56,0),1)</f>
        <v>#N/A</v>
      </c>
      <c r="AC27" s="642" t="e">
        <f t="shared" si="17"/>
        <v>#N/A</v>
      </c>
      <c r="AE27" s="661" t="e">
        <f t="shared" si="18"/>
        <v>#VALUE!</v>
      </c>
      <c r="AF27" s="661" t="e">
        <f t="shared" si="19"/>
        <v>#VALUE!</v>
      </c>
      <c r="AH27" s="662" t="str">
        <f t="shared" si="15"/>
        <v/>
      </c>
      <c r="AI27" s="662" t="str">
        <f t="shared" si="16"/>
        <v/>
      </c>
      <c r="AJ27" s="663">
        <f t="shared" si="20"/>
        <v>192.4571</v>
      </c>
      <c r="AK27" s="660">
        <f t="shared" si="21"/>
        <v>0.24379999999999999</v>
      </c>
      <c r="AL27" s="660" t="e">
        <f t="shared" si="22"/>
        <v>#VALUE!</v>
      </c>
      <c r="AM27" s="664" t="e">
        <f t="shared" si="23"/>
        <v>#VALUE!</v>
      </c>
      <c r="AN27" s="664" t="e">
        <f t="shared" si="24"/>
        <v>#VALUE!</v>
      </c>
      <c r="AO27" s="665" t="e">
        <f t="shared" si="25"/>
        <v>#VALUE!</v>
      </c>
      <c r="AP27" s="666" t="e">
        <f t="shared" si="26"/>
        <v>#VALUE!</v>
      </c>
      <c r="AQ27" s="660" t="e">
        <f t="shared" si="27"/>
        <v>#VALUE!</v>
      </c>
      <c r="AR27" s="667" t="e">
        <f t="shared" si="28"/>
        <v>#VALUE!</v>
      </c>
      <c r="AS27" s="667" t="e">
        <f t="shared" si="29"/>
        <v>#VALUE!</v>
      </c>
      <c r="AT27" s="668" t="e">
        <f t="shared" si="30"/>
        <v>#VALUE!</v>
      </c>
      <c r="AU27" s="667" t="e">
        <f t="shared" si="31"/>
        <v>#VALUE!</v>
      </c>
      <c r="AV27" s="669" t="e">
        <f t="shared" si="32"/>
        <v>#VALUE!</v>
      </c>
      <c r="AW27" s="667" t="e">
        <f t="shared" si="33"/>
        <v>#VALUE!</v>
      </c>
      <c r="AX27" s="667" t="e">
        <f t="shared" si="34"/>
        <v>#VALUE!</v>
      </c>
      <c r="AY27" s="660" t="e">
        <f t="shared" si="35"/>
        <v>#VALUE!</v>
      </c>
      <c r="AZ27" s="670" t="e">
        <f t="shared" si="36"/>
        <v>#VALUE!</v>
      </c>
      <c r="BB27" s="662" t="e">
        <f>INDEX('Vessel Gauging Data'!$B$26:$V$56,MATCH($C27,'Vessel Gauging Data'!$B$26:$B$56,0),$BB$18)</f>
        <v>#N/A</v>
      </c>
      <c r="BC27" s="662" t="e">
        <f>INDEX('Vessel Gauging Data'!$B$26:$V$56,MATCH($C27,'Vessel Gauging Data'!$B$26:$B$56,0),$BC$18)</f>
        <v>#N/A</v>
      </c>
      <c r="BD27" s="662" t="e">
        <f>INDEX('Vessel Gauging Data'!$B$26:$V$56,MATCH($C27,'Vessel Gauging Data'!$B$26:$B$56,0),$BD$18)</f>
        <v>#N/A</v>
      </c>
      <c r="BE27" s="662" t="e">
        <f>INDEX('Vessel Gauging Data'!$B$26:$V$56,MATCH($C27,'Vessel Gauging Data'!$B$26:$B$56,0),$BE$18)</f>
        <v>#N/A</v>
      </c>
    </row>
    <row r="28" spans="1:57" hidden="1">
      <c r="A28" s="641" t="str">
        <f t="shared" si="0"/>
        <v>N</v>
      </c>
      <c r="C28" s="235" t="str">
        <f t="array" ref="C28">IF(OR($E$21="",SUMPRODUCT(('Vessel Gauging Data'!$C$27:$C$56=$E$21)*('Vessel Gauging Data'!$D$27:$D$56=NOMY))&lt;ROWS($C$22:$C28)),"",INDEX('Vessel Gauging Data'!$B$27:$B$56,SMALL(IF(('Vessel Gauging Data'!$C$27:$C$56=$E$21)+('Vessel Gauging Data'!$D$27:$D$56=NOMY)=2,ROW('Vessel Gauging Data'!$B$27:$B$56)-ROW('Vessel Gauging Data'!$C$26)),ROW()-ROW(C$21))))</f>
        <v/>
      </c>
      <c r="D28" s="211" t="str">
        <f>IF(OR($C28="",$C28=0),"",INDEX('Vessel Gauging Data'!$B$26:$V$56,MATCH($C28,'Vessel Gauging Data'!$B$27:$B$56,0)+1,2))</f>
        <v/>
      </c>
      <c r="E28" s="1016" t="str">
        <f t="shared" si="1"/>
        <v/>
      </c>
      <c r="F28" s="1016" t="str">
        <f t="shared" si="2"/>
        <v/>
      </c>
      <c r="G28" s="1016" t="str">
        <f t="shared" si="3"/>
        <v/>
      </c>
      <c r="H28" s="1016" t="str">
        <f t="shared" si="3"/>
        <v/>
      </c>
      <c r="I28" s="211" t="str">
        <f t="shared" si="4"/>
        <v/>
      </c>
      <c r="J28" s="1016" t="str">
        <f t="shared" si="5"/>
        <v/>
      </c>
      <c r="K28" s="213" t="str">
        <f t="shared" si="6"/>
        <v/>
      </c>
      <c r="L28" s="212" t="str">
        <f t="shared" si="7"/>
        <v/>
      </c>
      <c r="M28" s="1125" t="str">
        <f>IF(OR($C28="",$C28=0),"",INDEX(API1DENST,MATCH($C28,'Vessel Gauging Data'!$B$27:$B$56,0),$AA$1))</f>
        <v/>
      </c>
      <c r="N28" s="212" t="str">
        <f t="shared" si="8"/>
        <v/>
      </c>
      <c r="O28" s="1016" t="str">
        <f t="shared" si="9"/>
        <v/>
      </c>
      <c r="P28" s="1125" t="str">
        <f t="shared" si="10"/>
        <v/>
      </c>
      <c r="Q28" s="1016" t="str">
        <f t="shared" si="11"/>
        <v/>
      </c>
      <c r="R28" s="214" t="str">
        <f t="shared" si="12"/>
        <v/>
      </c>
      <c r="S28" s="1125" t="str">
        <f t="shared" si="13"/>
        <v/>
      </c>
      <c r="T28" s="236" t="str">
        <f t="shared" si="14"/>
        <v/>
      </c>
      <c r="V28" s="642" t="e">
        <f>INDEX('Vessel Gauging Data'!$B$26:$V$56,MATCH($C28,'Vessel Gauging Data'!$B$26:$B$56,0),$V$18)</f>
        <v>#N/A</v>
      </c>
      <c r="W28" s="642" t="e">
        <f>INDEX('Vessel Gauging Data'!$B$26:$V$56,MATCH($C28,'Vessel Gauging Data'!$B$26:$B$56,0),$W$18)</f>
        <v>#N/A</v>
      </c>
      <c r="X28" s="642" t="e">
        <f>INDEX('Vessel Gauging Data'!$B$26:$V$56,MATCH($C28,'Vessel Gauging Data'!$B$26:$B$56,0),$X$18)</f>
        <v>#N/A</v>
      </c>
      <c r="Y28" s="642" t="e">
        <f>INDEX('Vessel Gauging Data'!$B$26:$V$56,MATCH($C28,'Vessel Gauging Data'!$B$26:$B$56,0),$Y$18)</f>
        <v>#N/A</v>
      </c>
      <c r="Z28" s="642" t="e">
        <f>INDEX('Vessel Gauging Data'!$B$26:$V$56,MATCH($C28,'Vessel Gauging Data'!$B$26:$B$56,0),$Z$18)</f>
        <v>#N/A</v>
      </c>
      <c r="AB28" s="642" t="e">
        <f>INDEX(API1DENST,MATCH($C28,'Vessel Gauging Data'!$B$27:$B$56,0),1)</f>
        <v>#N/A</v>
      </c>
      <c r="AC28" s="642" t="e">
        <f t="shared" si="17"/>
        <v>#N/A</v>
      </c>
      <c r="AE28" s="661" t="e">
        <f t="shared" si="18"/>
        <v>#VALUE!</v>
      </c>
      <c r="AF28" s="661" t="e">
        <f t="shared" si="19"/>
        <v>#VALUE!</v>
      </c>
      <c r="AH28" s="662" t="str">
        <f t="shared" si="15"/>
        <v/>
      </c>
      <c r="AI28" s="662" t="str">
        <f t="shared" si="16"/>
        <v/>
      </c>
      <c r="AJ28" s="663">
        <f t="shared" si="20"/>
        <v>192.4571</v>
      </c>
      <c r="AK28" s="660">
        <f t="shared" si="21"/>
        <v>0.24379999999999999</v>
      </c>
      <c r="AL28" s="660" t="e">
        <f t="shared" si="22"/>
        <v>#VALUE!</v>
      </c>
      <c r="AM28" s="664" t="e">
        <f t="shared" si="23"/>
        <v>#VALUE!</v>
      </c>
      <c r="AN28" s="664" t="e">
        <f t="shared" si="24"/>
        <v>#VALUE!</v>
      </c>
      <c r="AO28" s="665" t="e">
        <f t="shared" si="25"/>
        <v>#VALUE!</v>
      </c>
      <c r="AP28" s="666" t="e">
        <f t="shared" si="26"/>
        <v>#VALUE!</v>
      </c>
      <c r="AQ28" s="660" t="e">
        <f t="shared" si="27"/>
        <v>#VALUE!</v>
      </c>
      <c r="AR28" s="667" t="e">
        <f t="shared" si="28"/>
        <v>#VALUE!</v>
      </c>
      <c r="AS28" s="667" t="e">
        <f t="shared" si="29"/>
        <v>#VALUE!</v>
      </c>
      <c r="AT28" s="668" t="e">
        <f t="shared" si="30"/>
        <v>#VALUE!</v>
      </c>
      <c r="AU28" s="667" t="e">
        <f t="shared" si="31"/>
        <v>#VALUE!</v>
      </c>
      <c r="AV28" s="669" t="e">
        <f t="shared" si="32"/>
        <v>#VALUE!</v>
      </c>
      <c r="AW28" s="667" t="e">
        <f t="shared" si="33"/>
        <v>#VALUE!</v>
      </c>
      <c r="AX28" s="667" t="e">
        <f t="shared" si="34"/>
        <v>#VALUE!</v>
      </c>
      <c r="AY28" s="660" t="e">
        <f t="shared" si="35"/>
        <v>#VALUE!</v>
      </c>
      <c r="AZ28" s="670" t="e">
        <f t="shared" si="36"/>
        <v>#VALUE!</v>
      </c>
      <c r="BB28" s="662" t="e">
        <f>INDEX('Vessel Gauging Data'!$B$26:$V$56,MATCH($C28,'Vessel Gauging Data'!$B$26:$B$56,0),$BB$18)</f>
        <v>#N/A</v>
      </c>
      <c r="BC28" s="662" t="e">
        <f>INDEX('Vessel Gauging Data'!$B$26:$V$56,MATCH($C28,'Vessel Gauging Data'!$B$26:$B$56,0),$BC$18)</f>
        <v>#N/A</v>
      </c>
      <c r="BD28" s="662" t="e">
        <f>INDEX('Vessel Gauging Data'!$B$26:$V$56,MATCH($C28,'Vessel Gauging Data'!$B$26:$B$56,0),$BD$18)</f>
        <v>#N/A</v>
      </c>
      <c r="BE28" s="662" t="e">
        <f>INDEX('Vessel Gauging Data'!$B$26:$V$56,MATCH($C28,'Vessel Gauging Data'!$B$26:$B$56,0),$BE$18)</f>
        <v>#N/A</v>
      </c>
    </row>
    <row r="29" spans="1:57" hidden="1">
      <c r="A29" s="641" t="str">
        <f t="shared" si="0"/>
        <v>N</v>
      </c>
      <c r="C29" s="235" t="str">
        <f t="array" ref="C29">IF(OR($E$21="",SUMPRODUCT(('Vessel Gauging Data'!$C$27:$C$56=$E$21)*('Vessel Gauging Data'!$D$27:$D$56=NOMY))&lt;ROWS($C$22:$C29)),"",INDEX('Vessel Gauging Data'!$B$27:$B$56,SMALL(IF(('Vessel Gauging Data'!$C$27:$C$56=$E$21)+('Vessel Gauging Data'!$D$27:$D$56=NOMY)=2,ROW('Vessel Gauging Data'!$B$27:$B$56)-ROW('Vessel Gauging Data'!$C$26)),ROW()-ROW(C$21))))</f>
        <v/>
      </c>
      <c r="D29" s="211" t="str">
        <f>IF(OR($C29="",$C29=0),"",INDEX('Vessel Gauging Data'!$B$26:$V$56,MATCH($C29,'Vessel Gauging Data'!$B$27:$B$56,0)+1,2))</f>
        <v/>
      </c>
      <c r="E29" s="1016" t="str">
        <f t="shared" si="1"/>
        <v/>
      </c>
      <c r="F29" s="1016" t="str">
        <f t="shared" si="2"/>
        <v/>
      </c>
      <c r="G29" s="1016" t="str">
        <f t="shared" si="3"/>
        <v/>
      </c>
      <c r="H29" s="1016" t="str">
        <f t="shared" si="3"/>
        <v/>
      </c>
      <c r="I29" s="211" t="str">
        <f t="shared" si="4"/>
        <v/>
      </c>
      <c r="J29" s="1016" t="str">
        <f t="shared" si="5"/>
        <v/>
      </c>
      <c r="K29" s="213" t="str">
        <f t="shared" si="6"/>
        <v/>
      </c>
      <c r="L29" s="212" t="str">
        <f t="shared" si="7"/>
        <v/>
      </c>
      <c r="M29" s="1125" t="str">
        <f>IF(OR($C29="",$C29=0),"",INDEX(API1DENST,MATCH($C29,'Vessel Gauging Data'!$B$27:$B$56,0),$AA$1))</f>
        <v/>
      </c>
      <c r="N29" s="212" t="str">
        <f t="shared" si="8"/>
        <v/>
      </c>
      <c r="O29" s="1016" t="str">
        <f t="shared" si="9"/>
        <v/>
      </c>
      <c r="P29" s="1125" t="str">
        <f t="shared" si="10"/>
        <v/>
      </c>
      <c r="Q29" s="1016" t="str">
        <f t="shared" si="11"/>
        <v/>
      </c>
      <c r="R29" s="214" t="str">
        <f t="shared" si="12"/>
        <v/>
      </c>
      <c r="S29" s="1125" t="str">
        <f t="shared" si="13"/>
        <v/>
      </c>
      <c r="T29" s="236" t="str">
        <f t="shared" si="14"/>
        <v/>
      </c>
      <c r="V29" s="642" t="e">
        <f>INDEX('Vessel Gauging Data'!$B$26:$V$56,MATCH($C29,'Vessel Gauging Data'!$B$26:$B$56,0),$V$18)</f>
        <v>#N/A</v>
      </c>
      <c r="W29" s="642" t="e">
        <f>INDEX('Vessel Gauging Data'!$B$26:$V$56,MATCH($C29,'Vessel Gauging Data'!$B$26:$B$56,0),$W$18)</f>
        <v>#N/A</v>
      </c>
      <c r="X29" s="642" t="e">
        <f>INDEX('Vessel Gauging Data'!$B$26:$V$56,MATCH($C29,'Vessel Gauging Data'!$B$26:$B$56,0),$X$18)</f>
        <v>#N/A</v>
      </c>
      <c r="Y29" s="642" t="e">
        <f>INDEX('Vessel Gauging Data'!$B$26:$V$56,MATCH($C29,'Vessel Gauging Data'!$B$26:$B$56,0),$Y$18)</f>
        <v>#N/A</v>
      </c>
      <c r="Z29" s="642" t="e">
        <f>INDEX('Vessel Gauging Data'!$B$26:$V$56,MATCH($C29,'Vessel Gauging Data'!$B$26:$B$56,0),$Z$18)</f>
        <v>#N/A</v>
      </c>
      <c r="AB29" s="642" t="e">
        <f>INDEX(API1DENST,MATCH($C29,'Vessel Gauging Data'!$B$27:$B$56,0),1)</f>
        <v>#N/A</v>
      </c>
      <c r="AC29" s="642" t="e">
        <f t="shared" si="17"/>
        <v>#N/A</v>
      </c>
      <c r="AE29" s="661" t="e">
        <f t="shared" si="18"/>
        <v>#VALUE!</v>
      </c>
      <c r="AF29" s="661" t="e">
        <f t="shared" si="19"/>
        <v>#VALUE!</v>
      </c>
      <c r="AH29" s="662" t="str">
        <f t="shared" si="15"/>
        <v/>
      </c>
      <c r="AI29" s="662" t="str">
        <f t="shared" si="16"/>
        <v/>
      </c>
      <c r="AJ29" s="663">
        <f t="shared" si="20"/>
        <v>192.4571</v>
      </c>
      <c r="AK29" s="660">
        <f t="shared" si="21"/>
        <v>0.24379999999999999</v>
      </c>
      <c r="AL29" s="660" t="e">
        <f t="shared" si="22"/>
        <v>#VALUE!</v>
      </c>
      <c r="AM29" s="664" t="e">
        <f t="shared" si="23"/>
        <v>#VALUE!</v>
      </c>
      <c r="AN29" s="664" t="e">
        <f t="shared" si="24"/>
        <v>#VALUE!</v>
      </c>
      <c r="AO29" s="665" t="e">
        <f t="shared" si="25"/>
        <v>#VALUE!</v>
      </c>
      <c r="AP29" s="666" t="e">
        <f t="shared" si="26"/>
        <v>#VALUE!</v>
      </c>
      <c r="AQ29" s="660" t="e">
        <f t="shared" si="27"/>
        <v>#VALUE!</v>
      </c>
      <c r="AR29" s="667" t="e">
        <f t="shared" si="28"/>
        <v>#VALUE!</v>
      </c>
      <c r="AS29" s="667" t="e">
        <f t="shared" si="29"/>
        <v>#VALUE!</v>
      </c>
      <c r="AT29" s="668" t="e">
        <f t="shared" si="30"/>
        <v>#VALUE!</v>
      </c>
      <c r="AU29" s="667" t="e">
        <f t="shared" si="31"/>
        <v>#VALUE!</v>
      </c>
      <c r="AV29" s="669" t="e">
        <f t="shared" si="32"/>
        <v>#VALUE!</v>
      </c>
      <c r="AW29" s="667" t="e">
        <f t="shared" si="33"/>
        <v>#VALUE!</v>
      </c>
      <c r="AX29" s="667" t="e">
        <f t="shared" si="34"/>
        <v>#VALUE!</v>
      </c>
      <c r="AY29" s="660" t="e">
        <f t="shared" si="35"/>
        <v>#VALUE!</v>
      </c>
      <c r="AZ29" s="670" t="e">
        <f t="shared" si="36"/>
        <v>#VALUE!</v>
      </c>
      <c r="BB29" s="662" t="e">
        <f>INDEX('Vessel Gauging Data'!$B$26:$V$56,MATCH($C29,'Vessel Gauging Data'!$B$26:$B$56,0),$BB$18)</f>
        <v>#N/A</v>
      </c>
      <c r="BC29" s="662" t="e">
        <f>INDEX('Vessel Gauging Data'!$B$26:$V$56,MATCH($C29,'Vessel Gauging Data'!$B$26:$B$56,0),$BC$18)</f>
        <v>#N/A</v>
      </c>
      <c r="BD29" s="662" t="e">
        <f>INDEX('Vessel Gauging Data'!$B$26:$V$56,MATCH($C29,'Vessel Gauging Data'!$B$26:$B$56,0),$BD$18)</f>
        <v>#N/A</v>
      </c>
      <c r="BE29" s="662" t="e">
        <f>INDEX('Vessel Gauging Data'!$B$26:$V$56,MATCH($C29,'Vessel Gauging Data'!$B$26:$B$56,0),$BE$18)</f>
        <v>#N/A</v>
      </c>
    </row>
    <row r="30" spans="1:57" hidden="1">
      <c r="A30" s="641" t="str">
        <f t="shared" si="0"/>
        <v>N</v>
      </c>
      <c r="C30" s="235" t="str">
        <f t="array" ref="C30">IF(OR($E$21="",SUMPRODUCT(('Vessel Gauging Data'!$C$27:$C$56=$E$21)*('Vessel Gauging Data'!$D$27:$D$56=NOMY))&lt;ROWS($C$22:$C30)),"",INDEX('Vessel Gauging Data'!$B$27:$B$56,SMALL(IF(('Vessel Gauging Data'!$C$27:$C$56=$E$21)+('Vessel Gauging Data'!$D$27:$D$56=NOMY)=2,ROW('Vessel Gauging Data'!$B$27:$B$56)-ROW('Vessel Gauging Data'!$C$26)),ROW()-ROW(C$21))))</f>
        <v/>
      </c>
      <c r="D30" s="211" t="str">
        <f>IF(OR($C30="",$C30=0),"",INDEX('Vessel Gauging Data'!$B$26:$V$56,MATCH($C30,'Vessel Gauging Data'!$B$27:$B$56,0)+1,2))</f>
        <v/>
      </c>
      <c r="E30" s="1016" t="str">
        <f t="shared" si="1"/>
        <v/>
      </c>
      <c r="F30" s="1016" t="str">
        <f t="shared" si="2"/>
        <v/>
      </c>
      <c r="G30" s="1016" t="str">
        <f t="shared" si="3"/>
        <v/>
      </c>
      <c r="H30" s="1016" t="str">
        <f t="shared" si="3"/>
        <v/>
      </c>
      <c r="I30" s="211" t="str">
        <f t="shared" si="4"/>
        <v/>
      </c>
      <c r="J30" s="1016" t="str">
        <f t="shared" si="5"/>
        <v/>
      </c>
      <c r="K30" s="213" t="str">
        <f t="shared" si="6"/>
        <v/>
      </c>
      <c r="L30" s="212" t="str">
        <f t="shared" si="7"/>
        <v/>
      </c>
      <c r="M30" s="1125" t="str">
        <f>IF(OR($C30="",$C30=0),"",INDEX(API1DENST,MATCH($C30,'Vessel Gauging Data'!$B$27:$B$56,0),$AA$1))</f>
        <v/>
      </c>
      <c r="N30" s="212" t="str">
        <f t="shared" si="8"/>
        <v/>
      </c>
      <c r="O30" s="1016" t="str">
        <f t="shared" si="9"/>
        <v/>
      </c>
      <c r="P30" s="1125" t="str">
        <f t="shared" si="10"/>
        <v/>
      </c>
      <c r="Q30" s="1016" t="str">
        <f t="shared" si="11"/>
        <v/>
      </c>
      <c r="R30" s="214" t="str">
        <f t="shared" si="12"/>
        <v/>
      </c>
      <c r="S30" s="1125" t="str">
        <f t="shared" si="13"/>
        <v/>
      </c>
      <c r="T30" s="236" t="str">
        <f t="shared" si="14"/>
        <v/>
      </c>
      <c r="V30" s="642" t="e">
        <f>INDEX('Vessel Gauging Data'!$B$26:$V$56,MATCH($C30,'Vessel Gauging Data'!$B$26:$B$56,0),$V$18)</f>
        <v>#N/A</v>
      </c>
      <c r="W30" s="642" t="e">
        <f>INDEX('Vessel Gauging Data'!$B$26:$V$56,MATCH($C30,'Vessel Gauging Data'!$B$26:$B$56,0),$W$18)</f>
        <v>#N/A</v>
      </c>
      <c r="X30" s="642" t="e">
        <f>INDEX('Vessel Gauging Data'!$B$26:$V$56,MATCH($C30,'Vessel Gauging Data'!$B$26:$B$56,0),$X$18)</f>
        <v>#N/A</v>
      </c>
      <c r="Y30" s="642" t="e">
        <f>INDEX('Vessel Gauging Data'!$B$26:$V$56,MATCH($C30,'Vessel Gauging Data'!$B$26:$B$56,0),$Y$18)</f>
        <v>#N/A</v>
      </c>
      <c r="Z30" s="642" t="e">
        <f>INDEX('Vessel Gauging Data'!$B$26:$V$56,MATCH($C30,'Vessel Gauging Data'!$B$26:$B$56,0),$Z$18)</f>
        <v>#N/A</v>
      </c>
      <c r="AB30" s="642" t="e">
        <f>INDEX(API1DENST,MATCH($C30,'Vessel Gauging Data'!$B$27:$B$56,0),1)</f>
        <v>#N/A</v>
      </c>
      <c r="AC30" s="642" t="e">
        <f t="shared" si="17"/>
        <v>#N/A</v>
      </c>
      <c r="AE30" s="661" t="e">
        <f t="shared" si="18"/>
        <v>#VALUE!</v>
      </c>
      <c r="AF30" s="661" t="e">
        <f t="shared" si="19"/>
        <v>#VALUE!</v>
      </c>
      <c r="AH30" s="662" t="str">
        <f t="shared" si="15"/>
        <v/>
      </c>
      <c r="AI30" s="662" t="str">
        <f t="shared" si="16"/>
        <v/>
      </c>
      <c r="AJ30" s="663">
        <f t="shared" si="20"/>
        <v>192.4571</v>
      </c>
      <c r="AK30" s="660">
        <f t="shared" si="21"/>
        <v>0.24379999999999999</v>
      </c>
      <c r="AL30" s="660" t="e">
        <f t="shared" si="22"/>
        <v>#VALUE!</v>
      </c>
      <c r="AM30" s="664" t="e">
        <f t="shared" si="23"/>
        <v>#VALUE!</v>
      </c>
      <c r="AN30" s="664" t="e">
        <f t="shared" si="24"/>
        <v>#VALUE!</v>
      </c>
      <c r="AO30" s="665" t="e">
        <f t="shared" si="25"/>
        <v>#VALUE!</v>
      </c>
      <c r="AP30" s="666" t="e">
        <f t="shared" si="26"/>
        <v>#VALUE!</v>
      </c>
      <c r="AQ30" s="660" t="e">
        <f t="shared" si="27"/>
        <v>#VALUE!</v>
      </c>
      <c r="AR30" s="667" t="e">
        <f t="shared" si="28"/>
        <v>#VALUE!</v>
      </c>
      <c r="AS30" s="667" t="e">
        <f t="shared" si="29"/>
        <v>#VALUE!</v>
      </c>
      <c r="AT30" s="668" t="e">
        <f t="shared" si="30"/>
        <v>#VALUE!</v>
      </c>
      <c r="AU30" s="667" t="e">
        <f t="shared" si="31"/>
        <v>#VALUE!</v>
      </c>
      <c r="AV30" s="669" t="e">
        <f t="shared" si="32"/>
        <v>#VALUE!</v>
      </c>
      <c r="AW30" s="667" t="e">
        <f t="shared" si="33"/>
        <v>#VALUE!</v>
      </c>
      <c r="AX30" s="667" t="e">
        <f t="shared" si="34"/>
        <v>#VALUE!</v>
      </c>
      <c r="AY30" s="660" t="e">
        <f t="shared" si="35"/>
        <v>#VALUE!</v>
      </c>
      <c r="AZ30" s="670" t="e">
        <f t="shared" si="36"/>
        <v>#VALUE!</v>
      </c>
      <c r="BB30" s="662" t="e">
        <f>INDEX('Vessel Gauging Data'!$B$26:$V$56,MATCH($C30,'Vessel Gauging Data'!$B$26:$B$56,0),$BB$18)</f>
        <v>#N/A</v>
      </c>
      <c r="BC30" s="662" t="e">
        <f>INDEX('Vessel Gauging Data'!$B$26:$V$56,MATCH($C30,'Vessel Gauging Data'!$B$26:$B$56,0),$BC$18)</f>
        <v>#N/A</v>
      </c>
      <c r="BD30" s="662" t="e">
        <f>INDEX('Vessel Gauging Data'!$B$26:$V$56,MATCH($C30,'Vessel Gauging Data'!$B$26:$B$56,0),$BD$18)</f>
        <v>#N/A</v>
      </c>
      <c r="BE30" s="662" t="e">
        <f>INDEX('Vessel Gauging Data'!$B$26:$V$56,MATCH($C30,'Vessel Gauging Data'!$B$26:$B$56,0),$BE$18)</f>
        <v>#N/A</v>
      </c>
    </row>
    <row r="31" spans="1:57" hidden="1">
      <c r="A31" s="641" t="str">
        <f t="shared" si="0"/>
        <v>N</v>
      </c>
      <c r="C31" s="235" t="str">
        <f t="array" ref="C31">IF(OR($E$21="",SUMPRODUCT(('Vessel Gauging Data'!$C$27:$C$56=$E$21)*('Vessel Gauging Data'!$D$27:$D$56=NOMY))&lt;ROWS($C$22:$C31)),"",INDEX('Vessel Gauging Data'!$B$27:$B$56,SMALL(IF(('Vessel Gauging Data'!$C$27:$C$56=$E$21)+('Vessel Gauging Data'!$D$27:$D$56=NOMY)=2,ROW('Vessel Gauging Data'!$B$27:$B$56)-ROW('Vessel Gauging Data'!$C$26)),ROW()-ROW(C$21))))</f>
        <v/>
      </c>
      <c r="D31" s="211" t="str">
        <f>IF(OR($C31="",$C31=0),"",INDEX('Vessel Gauging Data'!$B$26:$V$56,MATCH($C31,'Vessel Gauging Data'!$B$27:$B$56,0)+1,2))</f>
        <v/>
      </c>
      <c r="E31" s="1016" t="str">
        <f t="shared" si="1"/>
        <v/>
      </c>
      <c r="F31" s="1016" t="str">
        <f t="shared" si="2"/>
        <v/>
      </c>
      <c r="G31" s="1016" t="str">
        <f t="shared" si="3"/>
        <v/>
      </c>
      <c r="H31" s="1016" t="str">
        <f t="shared" si="3"/>
        <v/>
      </c>
      <c r="I31" s="211" t="str">
        <f t="shared" si="4"/>
        <v/>
      </c>
      <c r="J31" s="1016" t="str">
        <f t="shared" si="5"/>
        <v/>
      </c>
      <c r="K31" s="213" t="str">
        <f t="shared" si="6"/>
        <v/>
      </c>
      <c r="L31" s="212" t="str">
        <f t="shared" si="7"/>
        <v/>
      </c>
      <c r="M31" s="1125" t="str">
        <f>IF(OR($C31="",$C31=0),"",INDEX(API1DENST,MATCH($C31,'Vessel Gauging Data'!$B$27:$B$56,0),$AA$1))</f>
        <v/>
      </c>
      <c r="N31" s="212" t="str">
        <f t="shared" si="8"/>
        <v/>
      </c>
      <c r="O31" s="1016" t="str">
        <f t="shared" si="9"/>
        <v/>
      </c>
      <c r="P31" s="1125" t="str">
        <f t="shared" si="10"/>
        <v/>
      </c>
      <c r="Q31" s="1016" t="str">
        <f t="shared" si="11"/>
        <v/>
      </c>
      <c r="R31" s="214" t="str">
        <f t="shared" si="12"/>
        <v/>
      </c>
      <c r="S31" s="1125" t="str">
        <f t="shared" si="13"/>
        <v/>
      </c>
      <c r="T31" s="236" t="str">
        <f t="shared" si="14"/>
        <v/>
      </c>
      <c r="V31" s="642" t="e">
        <f>INDEX('Vessel Gauging Data'!$B$26:$V$56,MATCH($C31,'Vessel Gauging Data'!$B$26:$B$56,0),$V$18)</f>
        <v>#N/A</v>
      </c>
      <c r="W31" s="642" t="e">
        <f>INDEX('Vessel Gauging Data'!$B$26:$V$56,MATCH($C31,'Vessel Gauging Data'!$B$26:$B$56,0),$W$18)</f>
        <v>#N/A</v>
      </c>
      <c r="X31" s="642" t="e">
        <f>INDEX('Vessel Gauging Data'!$B$26:$V$56,MATCH($C31,'Vessel Gauging Data'!$B$26:$B$56,0),$X$18)</f>
        <v>#N/A</v>
      </c>
      <c r="Y31" s="642" t="e">
        <f>INDEX('Vessel Gauging Data'!$B$26:$V$56,MATCH($C31,'Vessel Gauging Data'!$B$26:$B$56,0),$Y$18)</f>
        <v>#N/A</v>
      </c>
      <c r="Z31" s="642" t="e">
        <f>INDEX('Vessel Gauging Data'!$B$26:$V$56,MATCH($C31,'Vessel Gauging Data'!$B$26:$B$56,0),$Z$18)</f>
        <v>#N/A</v>
      </c>
      <c r="AB31" s="642" t="e">
        <f>INDEX(API1DENST,MATCH($C31,'Vessel Gauging Data'!$B$27:$B$56,0),1)</f>
        <v>#N/A</v>
      </c>
      <c r="AC31" s="642" t="e">
        <f t="shared" si="17"/>
        <v>#N/A</v>
      </c>
      <c r="AE31" s="661" t="e">
        <f t="shared" si="18"/>
        <v>#VALUE!</v>
      </c>
      <c r="AF31" s="661" t="e">
        <f t="shared" si="19"/>
        <v>#VALUE!</v>
      </c>
      <c r="AH31" s="662" t="str">
        <f t="shared" si="15"/>
        <v/>
      </c>
      <c r="AI31" s="662" t="str">
        <f t="shared" si="16"/>
        <v/>
      </c>
      <c r="AJ31" s="663">
        <f t="shared" si="20"/>
        <v>192.4571</v>
      </c>
      <c r="AK31" s="660">
        <f t="shared" si="21"/>
        <v>0.24379999999999999</v>
      </c>
      <c r="AL31" s="660" t="e">
        <f t="shared" si="22"/>
        <v>#VALUE!</v>
      </c>
      <c r="AM31" s="664" t="e">
        <f t="shared" si="23"/>
        <v>#VALUE!</v>
      </c>
      <c r="AN31" s="664" t="e">
        <f t="shared" si="24"/>
        <v>#VALUE!</v>
      </c>
      <c r="AO31" s="665" t="e">
        <f t="shared" si="25"/>
        <v>#VALUE!</v>
      </c>
      <c r="AP31" s="666" t="e">
        <f t="shared" si="26"/>
        <v>#VALUE!</v>
      </c>
      <c r="AQ31" s="660" t="e">
        <f t="shared" si="27"/>
        <v>#VALUE!</v>
      </c>
      <c r="AR31" s="667" t="e">
        <f t="shared" si="28"/>
        <v>#VALUE!</v>
      </c>
      <c r="AS31" s="667" t="e">
        <f t="shared" si="29"/>
        <v>#VALUE!</v>
      </c>
      <c r="AT31" s="668" t="e">
        <f t="shared" si="30"/>
        <v>#VALUE!</v>
      </c>
      <c r="AU31" s="667" t="e">
        <f t="shared" si="31"/>
        <v>#VALUE!</v>
      </c>
      <c r="AV31" s="669" t="e">
        <f t="shared" si="32"/>
        <v>#VALUE!</v>
      </c>
      <c r="AW31" s="667" t="e">
        <f t="shared" si="33"/>
        <v>#VALUE!</v>
      </c>
      <c r="AX31" s="667" t="e">
        <f t="shared" si="34"/>
        <v>#VALUE!</v>
      </c>
      <c r="AY31" s="660" t="e">
        <f t="shared" si="35"/>
        <v>#VALUE!</v>
      </c>
      <c r="AZ31" s="670" t="e">
        <f t="shared" si="36"/>
        <v>#VALUE!</v>
      </c>
      <c r="BB31" s="662" t="e">
        <f>INDEX('Vessel Gauging Data'!$B$26:$V$56,MATCH($C31,'Vessel Gauging Data'!$B$26:$B$56,0),$BB$18)</f>
        <v>#N/A</v>
      </c>
      <c r="BC31" s="662" t="e">
        <f>INDEX('Vessel Gauging Data'!$B$26:$V$56,MATCH($C31,'Vessel Gauging Data'!$B$26:$B$56,0),$BC$18)</f>
        <v>#N/A</v>
      </c>
      <c r="BD31" s="662" t="e">
        <f>INDEX('Vessel Gauging Data'!$B$26:$V$56,MATCH($C31,'Vessel Gauging Data'!$B$26:$B$56,0),$BD$18)</f>
        <v>#N/A</v>
      </c>
      <c r="BE31" s="662" t="e">
        <f>INDEX('Vessel Gauging Data'!$B$26:$V$56,MATCH($C31,'Vessel Gauging Data'!$B$26:$B$56,0),$BE$18)</f>
        <v>#N/A</v>
      </c>
    </row>
    <row r="32" spans="1:57" hidden="1">
      <c r="A32" s="641" t="str">
        <f t="shared" si="0"/>
        <v>N</v>
      </c>
      <c r="C32" s="235" t="str">
        <f t="array" ref="C32">IF(OR($E$21="",SUMPRODUCT(('Vessel Gauging Data'!$C$27:$C$56=$E$21)*('Vessel Gauging Data'!$D$27:$D$56=NOMY))&lt;ROWS($C$22:$C32)),"",INDEX('Vessel Gauging Data'!$B$27:$B$56,SMALL(IF(('Vessel Gauging Data'!$C$27:$C$56=$E$21)+('Vessel Gauging Data'!$D$27:$D$56=NOMY)=2,ROW('Vessel Gauging Data'!$B$27:$B$56)-ROW('Vessel Gauging Data'!$C$26)),ROW()-ROW(C$21))))</f>
        <v/>
      </c>
      <c r="D32" s="211" t="str">
        <f>IF(OR($C32="",$C32=0),"",INDEX('Vessel Gauging Data'!$B$26:$V$56,MATCH($C32,'Vessel Gauging Data'!$B$27:$B$56,0)+1,2))</f>
        <v/>
      </c>
      <c r="E32" s="1016" t="str">
        <f t="shared" si="1"/>
        <v/>
      </c>
      <c r="F32" s="1016" t="str">
        <f t="shared" si="2"/>
        <v/>
      </c>
      <c r="G32" s="1016" t="str">
        <f t="shared" si="3"/>
        <v/>
      </c>
      <c r="H32" s="1016" t="str">
        <f t="shared" si="3"/>
        <v/>
      </c>
      <c r="I32" s="211" t="str">
        <f t="shared" si="4"/>
        <v/>
      </c>
      <c r="J32" s="1016" t="str">
        <f t="shared" si="5"/>
        <v/>
      </c>
      <c r="K32" s="213" t="str">
        <f t="shared" si="6"/>
        <v/>
      </c>
      <c r="L32" s="212" t="str">
        <f t="shared" si="7"/>
        <v/>
      </c>
      <c r="M32" s="1125" t="str">
        <f>IF(OR($C32="",$C32=0),"",INDEX(API1DENST,MATCH($C32,'Vessel Gauging Data'!$B$27:$B$56,0),$AA$1))</f>
        <v/>
      </c>
      <c r="N32" s="212" t="str">
        <f t="shared" si="8"/>
        <v/>
      </c>
      <c r="O32" s="1016" t="str">
        <f t="shared" si="9"/>
        <v/>
      </c>
      <c r="P32" s="1125" t="str">
        <f t="shared" si="10"/>
        <v/>
      </c>
      <c r="Q32" s="1016" t="str">
        <f t="shared" si="11"/>
        <v/>
      </c>
      <c r="R32" s="214" t="str">
        <f t="shared" si="12"/>
        <v/>
      </c>
      <c r="S32" s="1125" t="str">
        <f t="shared" si="13"/>
        <v/>
      </c>
      <c r="T32" s="236" t="str">
        <f t="shared" si="14"/>
        <v/>
      </c>
      <c r="V32" s="642" t="e">
        <f>INDEX('Vessel Gauging Data'!$B$26:$V$56,MATCH($C32,'Vessel Gauging Data'!$B$26:$B$56,0),$V$18)</f>
        <v>#N/A</v>
      </c>
      <c r="W32" s="642" t="e">
        <f>INDEX('Vessel Gauging Data'!$B$26:$V$56,MATCH($C32,'Vessel Gauging Data'!$B$26:$B$56,0),$W$18)</f>
        <v>#N/A</v>
      </c>
      <c r="X32" s="642" t="e">
        <f>INDEX('Vessel Gauging Data'!$B$26:$V$56,MATCH($C32,'Vessel Gauging Data'!$B$26:$B$56,0),$X$18)</f>
        <v>#N/A</v>
      </c>
      <c r="Y32" s="642" t="e">
        <f>INDEX('Vessel Gauging Data'!$B$26:$V$56,MATCH($C32,'Vessel Gauging Data'!$B$26:$B$56,0),$Y$18)</f>
        <v>#N/A</v>
      </c>
      <c r="Z32" s="642" t="e">
        <f>INDEX('Vessel Gauging Data'!$B$26:$V$56,MATCH($C32,'Vessel Gauging Data'!$B$26:$B$56,0),$Z$18)</f>
        <v>#N/A</v>
      </c>
      <c r="AB32" s="642" t="e">
        <f>INDEX(API1DENST,MATCH($C32,'Vessel Gauging Data'!$B$27:$B$56,0),1)</f>
        <v>#N/A</v>
      </c>
      <c r="AC32" s="642" t="e">
        <f t="shared" si="17"/>
        <v>#N/A</v>
      </c>
      <c r="AE32" s="661" t="e">
        <f t="shared" si="18"/>
        <v>#VALUE!</v>
      </c>
      <c r="AF32" s="661" t="e">
        <f t="shared" si="19"/>
        <v>#VALUE!</v>
      </c>
      <c r="AH32" s="662" t="str">
        <f t="shared" si="15"/>
        <v/>
      </c>
      <c r="AI32" s="662" t="str">
        <f t="shared" si="16"/>
        <v/>
      </c>
      <c r="AJ32" s="663">
        <f t="shared" si="20"/>
        <v>192.4571</v>
      </c>
      <c r="AK32" s="660">
        <f t="shared" si="21"/>
        <v>0.24379999999999999</v>
      </c>
      <c r="AL32" s="660" t="e">
        <f t="shared" si="22"/>
        <v>#VALUE!</v>
      </c>
      <c r="AM32" s="664" t="e">
        <f t="shared" si="23"/>
        <v>#VALUE!</v>
      </c>
      <c r="AN32" s="664" t="e">
        <f t="shared" si="24"/>
        <v>#VALUE!</v>
      </c>
      <c r="AO32" s="665" t="e">
        <f t="shared" si="25"/>
        <v>#VALUE!</v>
      </c>
      <c r="AP32" s="666" t="e">
        <f t="shared" si="26"/>
        <v>#VALUE!</v>
      </c>
      <c r="AQ32" s="660" t="e">
        <f t="shared" si="27"/>
        <v>#VALUE!</v>
      </c>
      <c r="AR32" s="667" t="e">
        <f t="shared" si="28"/>
        <v>#VALUE!</v>
      </c>
      <c r="AS32" s="667" t="e">
        <f t="shared" si="29"/>
        <v>#VALUE!</v>
      </c>
      <c r="AT32" s="668" t="e">
        <f t="shared" si="30"/>
        <v>#VALUE!</v>
      </c>
      <c r="AU32" s="667" t="e">
        <f t="shared" si="31"/>
        <v>#VALUE!</v>
      </c>
      <c r="AV32" s="669" t="e">
        <f t="shared" si="32"/>
        <v>#VALUE!</v>
      </c>
      <c r="AW32" s="667" t="e">
        <f t="shared" si="33"/>
        <v>#VALUE!</v>
      </c>
      <c r="AX32" s="667" t="e">
        <f t="shared" si="34"/>
        <v>#VALUE!</v>
      </c>
      <c r="AY32" s="660" t="e">
        <f t="shared" si="35"/>
        <v>#VALUE!</v>
      </c>
      <c r="AZ32" s="670" t="e">
        <f t="shared" si="36"/>
        <v>#VALUE!</v>
      </c>
      <c r="BB32" s="662" t="e">
        <f>INDEX('Vessel Gauging Data'!$B$26:$V$56,MATCH($C32,'Vessel Gauging Data'!$B$26:$B$56,0),$BB$18)</f>
        <v>#N/A</v>
      </c>
      <c r="BC32" s="662" t="e">
        <f>INDEX('Vessel Gauging Data'!$B$26:$V$56,MATCH($C32,'Vessel Gauging Data'!$B$26:$B$56,0),$BC$18)</f>
        <v>#N/A</v>
      </c>
      <c r="BD32" s="662" t="e">
        <f>INDEX('Vessel Gauging Data'!$B$26:$V$56,MATCH($C32,'Vessel Gauging Data'!$B$26:$B$56,0),$BD$18)</f>
        <v>#N/A</v>
      </c>
      <c r="BE32" s="662" t="e">
        <f>INDEX('Vessel Gauging Data'!$B$26:$V$56,MATCH($C32,'Vessel Gauging Data'!$B$26:$B$56,0),$BE$18)</f>
        <v>#N/A</v>
      </c>
    </row>
    <row r="33" spans="1:57" hidden="1">
      <c r="A33" s="641" t="str">
        <f t="shared" si="0"/>
        <v>N</v>
      </c>
      <c r="C33" s="235" t="str">
        <f t="array" ref="C33">IF(OR($E$21="",SUMPRODUCT(('Vessel Gauging Data'!$C$27:$C$56=$E$21)*('Vessel Gauging Data'!$D$27:$D$56=NOMY))&lt;ROWS($C$22:$C33)),"",INDEX('Vessel Gauging Data'!$B$27:$B$56,SMALL(IF(('Vessel Gauging Data'!$C$27:$C$56=$E$21)+('Vessel Gauging Data'!$D$27:$D$56=NOMY)=2,ROW('Vessel Gauging Data'!$B$27:$B$56)-ROW('Vessel Gauging Data'!$C$26)),ROW()-ROW(C$21))))</f>
        <v/>
      </c>
      <c r="D33" s="211" t="str">
        <f>IF(OR($C33="",$C33=0),"",INDEX('Vessel Gauging Data'!$B$26:$V$56,MATCH($C33,'Vessel Gauging Data'!$B$27:$B$56,0)+1,2))</f>
        <v/>
      </c>
      <c r="E33" s="1016" t="str">
        <f t="shared" si="1"/>
        <v/>
      </c>
      <c r="F33" s="1016" t="str">
        <f t="shared" si="2"/>
        <v/>
      </c>
      <c r="G33" s="1016" t="str">
        <f t="shared" si="3"/>
        <v/>
      </c>
      <c r="H33" s="1016" t="str">
        <f t="shared" si="3"/>
        <v/>
      </c>
      <c r="I33" s="211" t="str">
        <f t="shared" si="4"/>
        <v/>
      </c>
      <c r="J33" s="1016" t="str">
        <f t="shared" si="5"/>
        <v/>
      </c>
      <c r="K33" s="213" t="str">
        <f t="shared" si="6"/>
        <v/>
      </c>
      <c r="L33" s="212" t="str">
        <f t="shared" si="7"/>
        <v/>
      </c>
      <c r="M33" s="1125" t="str">
        <f>IF(OR($C33="",$C33=0),"",INDEX(API1DENST,MATCH($C33,'Vessel Gauging Data'!$B$27:$B$56,0),$AA$1))</f>
        <v/>
      </c>
      <c r="N33" s="212" t="str">
        <f t="shared" si="8"/>
        <v/>
      </c>
      <c r="O33" s="1016" t="str">
        <f t="shared" si="9"/>
        <v/>
      </c>
      <c r="P33" s="1125" t="str">
        <f t="shared" si="10"/>
        <v/>
      </c>
      <c r="Q33" s="1016" t="str">
        <f t="shared" si="11"/>
        <v/>
      </c>
      <c r="R33" s="214" t="str">
        <f t="shared" si="12"/>
        <v/>
      </c>
      <c r="S33" s="1125" t="str">
        <f t="shared" si="13"/>
        <v/>
      </c>
      <c r="T33" s="236" t="str">
        <f t="shared" si="14"/>
        <v/>
      </c>
      <c r="V33" s="642" t="e">
        <f>INDEX('Vessel Gauging Data'!$B$26:$V$56,MATCH($C33,'Vessel Gauging Data'!$B$26:$B$56,0),$V$18)</f>
        <v>#N/A</v>
      </c>
      <c r="W33" s="642" t="e">
        <f>INDEX('Vessel Gauging Data'!$B$26:$V$56,MATCH($C33,'Vessel Gauging Data'!$B$26:$B$56,0),$W$18)</f>
        <v>#N/A</v>
      </c>
      <c r="X33" s="642" t="e">
        <f>INDEX('Vessel Gauging Data'!$B$26:$V$56,MATCH($C33,'Vessel Gauging Data'!$B$26:$B$56,0),$X$18)</f>
        <v>#N/A</v>
      </c>
      <c r="Y33" s="642" t="e">
        <f>INDEX('Vessel Gauging Data'!$B$26:$V$56,MATCH($C33,'Vessel Gauging Data'!$B$26:$B$56,0),$Y$18)</f>
        <v>#N/A</v>
      </c>
      <c r="Z33" s="642" t="e">
        <f>INDEX('Vessel Gauging Data'!$B$26:$V$56,MATCH($C33,'Vessel Gauging Data'!$B$26:$B$56,0),$Z$18)</f>
        <v>#N/A</v>
      </c>
      <c r="AB33" s="642" t="e">
        <f>INDEX(API1DENST,MATCH($C33,'Vessel Gauging Data'!$B$27:$B$56,0),1)</f>
        <v>#N/A</v>
      </c>
      <c r="AC33" s="642" t="e">
        <f t="shared" si="17"/>
        <v>#N/A</v>
      </c>
      <c r="AE33" s="661" t="e">
        <f t="shared" si="18"/>
        <v>#VALUE!</v>
      </c>
      <c r="AF33" s="661" t="e">
        <f t="shared" si="19"/>
        <v>#VALUE!</v>
      </c>
      <c r="AH33" s="662" t="str">
        <f t="shared" si="15"/>
        <v/>
      </c>
      <c r="AI33" s="662" t="str">
        <f t="shared" si="16"/>
        <v/>
      </c>
      <c r="AJ33" s="663">
        <f t="shared" si="20"/>
        <v>192.4571</v>
      </c>
      <c r="AK33" s="660">
        <f t="shared" si="21"/>
        <v>0.24379999999999999</v>
      </c>
      <c r="AL33" s="660" t="e">
        <f t="shared" si="22"/>
        <v>#VALUE!</v>
      </c>
      <c r="AM33" s="664" t="e">
        <f t="shared" si="23"/>
        <v>#VALUE!</v>
      </c>
      <c r="AN33" s="664" t="e">
        <f t="shared" si="24"/>
        <v>#VALUE!</v>
      </c>
      <c r="AO33" s="665" t="e">
        <f t="shared" si="25"/>
        <v>#VALUE!</v>
      </c>
      <c r="AP33" s="666" t="e">
        <f t="shared" si="26"/>
        <v>#VALUE!</v>
      </c>
      <c r="AQ33" s="660" t="e">
        <f t="shared" si="27"/>
        <v>#VALUE!</v>
      </c>
      <c r="AR33" s="667" t="e">
        <f t="shared" si="28"/>
        <v>#VALUE!</v>
      </c>
      <c r="AS33" s="667" t="e">
        <f t="shared" si="29"/>
        <v>#VALUE!</v>
      </c>
      <c r="AT33" s="668" t="e">
        <f t="shared" si="30"/>
        <v>#VALUE!</v>
      </c>
      <c r="AU33" s="667" t="e">
        <f t="shared" si="31"/>
        <v>#VALUE!</v>
      </c>
      <c r="AV33" s="669" t="e">
        <f t="shared" si="32"/>
        <v>#VALUE!</v>
      </c>
      <c r="AW33" s="667" t="e">
        <f t="shared" si="33"/>
        <v>#VALUE!</v>
      </c>
      <c r="AX33" s="667" t="e">
        <f t="shared" si="34"/>
        <v>#VALUE!</v>
      </c>
      <c r="AY33" s="660" t="e">
        <f t="shared" si="35"/>
        <v>#VALUE!</v>
      </c>
      <c r="AZ33" s="670" t="e">
        <f t="shared" si="36"/>
        <v>#VALUE!</v>
      </c>
      <c r="BB33" s="662" t="e">
        <f>INDEX('Vessel Gauging Data'!$B$26:$V$56,MATCH($C33,'Vessel Gauging Data'!$B$26:$B$56,0),$BB$18)</f>
        <v>#N/A</v>
      </c>
      <c r="BC33" s="662" t="e">
        <f>INDEX('Vessel Gauging Data'!$B$26:$V$56,MATCH($C33,'Vessel Gauging Data'!$B$26:$B$56,0),$BC$18)</f>
        <v>#N/A</v>
      </c>
      <c r="BD33" s="662" t="e">
        <f>INDEX('Vessel Gauging Data'!$B$26:$V$56,MATCH($C33,'Vessel Gauging Data'!$B$26:$B$56,0),$BD$18)</f>
        <v>#N/A</v>
      </c>
      <c r="BE33" s="662" t="e">
        <f>INDEX('Vessel Gauging Data'!$B$26:$V$56,MATCH($C33,'Vessel Gauging Data'!$B$26:$B$56,0),$BE$18)</f>
        <v>#N/A</v>
      </c>
    </row>
    <row r="34" spans="1:57" hidden="1">
      <c r="A34" s="641" t="str">
        <f t="shared" si="0"/>
        <v>N</v>
      </c>
      <c r="C34" s="235" t="str">
        <f t="array" ref="C34">IF(OR($E$21="",SUMPRODUCT(('Vessel Gauging Data'!$C$27:$C$56=$E$21)*('Vessel Gauging Data'!$D$27:$D$56=NOMY))&lt;ROWS($C$22:$C34)),"",INDEX('Vessel Gauging Data'!$B$27:$B$56,SMALL(IF(('Vessel Gauging Data'!$C$27:$C$56=$E$21)+('Vessel Gauging Data'!$D$27:$D$56=NOMY)=2,ROW('Vessel Gauging Data'!$B$27:$B$56)-ROW('Vessel Gauging Data'!$C$26)),ROW()-ROW(C$21))))</f>
        <v/>
      </c>
      <c r="D34" s="211" t="str">
        <f>IF(OR($C34="",$C34=0),"",INDEX('Vessel Gauging Data'!$B$26:$V$56,MATCH($C34,'Vessel Gauging Data'!$B$27:$B$56,0)+1,2))</f>
        <v/>
      </c>
      <c r="E34" s="1016" t="str">
        <f t="shared" si="1"/>
        <v/>
      </c>
      <c r="F34" s="1016" t="str">
        <f t="shared" si="2"/>
        <v/>
      </c>
      <c r="G34" s="1016" t="str">
        <f t="shared" si="3"/>
        <v/>
      </c>
      <c r="H34" s="1016" t="str">
        <f t="shared" si="3"/>
        <v/>
      </c>
      <c r="I34" s="211" t="str">
        <f t="shared" si="4"/>
        <v/>
      </c>
      <c r="J34" s="1016" t="str">
        <f t="shared" si="5"/>
        <v/>
      </c>
      <c r="K34" s="213" t="str">
        <f t="shared" si="6"/>
        <v/>
      </c>
      <c r="L34" s="212" t="str">
        <f t="shared" si="7"/>
        <v/>
      </c>
      <c r="M34" s="1125" t="str">
        <f>IF(OR($C34="",$C34=0),"",INDEX(API1DENST,MATCH($C34,'Vessel Gauging Data'!$B$27:$B$56,0),$AA$1))</f>
        <v/>
      </c>
      <c r="N34" s="212" t="str">
        <f t="shared" si="8"/>
        <v/>
      </c>
      <c r="O34" s="1016" t="str">
        <f t="shared" si="9"/>
        <v/>
      </c>
      <c r="P34" s="1125" t="str">
        <f t="shared" si="10"/>
        <v/>
      </c>
      <c r="Q34" s="1016" t="str">
        <f t="shared" si="11"/>
        <v/>
      </c>
      <c r="R34" s="214" t="str">
        <f t="shared" si="12"/>
        <v/>
      </c>
      <c r="S34" s="1125" t="str">
        <f t="shared" si="13"/>
        <v/>
      </c>
      <c r="T34" s="236" t="str">
        <f t="shared" si="14"/>
        <v/>
      </c>
      <c r="V34" s="642" t="e">
        <f>INDEX('Vessel Gauging Data'!$B$26:$V$56,MATCH($C34,'Vessel Gauging Data'!$B$26:$B$56,0),$V$18)</f>
        <v>#N/A</v>
      </c>
      <c r="W34" s="642" t="e">
        <f>INDEX('Vessel Gauging Data'!$B$26:$V$56,MATCH($C34,'Vessel Gauging Data'!$B$26:$B$56,0),$W$18)</f>
        <v>#N/A</v>
      </c>
      <c r="X34" s="642" t="e">
        <f>INDEX('Vessel Gauging Data'!$B$26:$V$56,MATCH($C34,'Vessel Gauging Data'!$B$26:$B$56,0),$X$18)</f>
        <v>#N/A</v>
      </c>
      <c r="Y34" s="642" t="e">
        <f>INDEX('Vessel Gauging Data'!$B$26:$V$56,MATCH($C34,'Vessel Gauging Data'!$B$26:$B$56,0),$Y$18)</f>
        <v>#N/A</v>
      </c>
      <c r="Z34" s="642" t="e">
        <f>INDEX('Vessel Gauging Data'!$B$26:$V$56,MATCH($C34,'Vessel Gauging Data'!$B$26:$B$56,0),$Z$18)</f>
        <v>#N/A</v>
      </c>
      <c r="AB34" s="642" t="e">
        <f>INDEX(API1DENST,MATCH($C34,'Vessel Gauging Data'!$B$27:$B$56,0),1)</f>
        <v>#N/A</v>
      </c>
      <c r="AC34" s="642" t="e">
        <f t="shared" si="17"/>
        <v>#N/A</v>
      </c>
      <c r="AE34" s="661" t="e">
        <f t="shared" si="18"/>
        <v>#VALUE!</v>
      </c>
      <c r="AF34" s="661" t="e">
        <f t="shared" si="19"/>
        <v>#VALUE!</v>
      </c>
      <c r="AH34" s="662" t="str">
        <f t="shared" si="15"/>
        <v/>
      </c>
      <c r="AI34" s="662" t="str">
        <f t="shared" si="16"/>
        <v/>
      </c>
      <c r="AJ34" s="663">
        <f t="shared" si="20"/>
        <v>192.4571</v>
      </c>
      <c r="AK34" s="660">
        <f t="shared" si="21"/>
        <v>0.24379999999999999</v>
      </c>
      <c r="AL34" s="660" t="e">
        <f t="shared" si="22"/>
        <v>#VALUE!</v>
      </c>
      <c r="AM34" s="664" t="e">
        <f t="shared" si="23"/>
        <v>#VALUE!</v>
      </c>
      <c r="AN34" s="664" t="e">
        <f t="shared" si="24"/>
        <v>#VALUE!</v>
      </c>
      <c r="AO34" s="665" t="e">
        <f t="shared" si="25"/>
        <v>#VALUE!</v>
      </c>
      <c r="AP34" s="666" t="e">
        <f t="shared" si="26"/>
        <v>#VALUE!</v>
      </c>
      <c r="AQ34" s="660" t="e">
        <f t="shared" si="27"/>
        <v>#VALUE!</v>
      </c>
      <c r="AR34" s="667" t="e">
        <f t="shared" si="28"/>
        <v>#VALUE!</v>
      </c>
      <c r="AS34" s="667" t="e">
        <f t="shared" si="29"/>
        <v>#VALUE!</v>
      </c>
      <c r="AT34" s="668" t="e">
        <f t="shared" si="30"/>
        <v>#VALUE!</v>
      </c>
      <c r="AU34" s="667" t="e">
        <f t="shared" si="31"/>
        <v>#VALUE!</v>
      </c>
      <c r="AV34" s="669" t="e">
        <f t="shared" si="32"/>
        <v>#VALUE!</v>
      </c>
      <c r="AW34" s="667" t="e">
        <f t="shared" si="33"/>
        <v>#VALUE!</v>
      </c>
      <c r="AX34" s="667" t="e">
        <f t="shared" si="34"/>
        <v>#VALUE!</v>
      </c>
      <c r="AY34" s="660" t="e">
        <f t="shared" si="35"/>
        <v>#VALUE!</v>
      </c>
      <c r="AZ34" s="670" t="e">
        <f t="shared" si="36"/>
        <v>#VALUE!</v>
      </c>
      <c r="BB34" s="662" t="e">
        <f>INDEX('Vessel Gauging Data'!$B$26:$V$56,MATCH($C34,'Vessel Gauging Data'!$B$26:$B$56,0),$BB$18)</f>
        <v>#N/A</v>
      </c>
      <c r="BC34" s="662" t="e">
        <f>INDEX('Vessel Gauging Data'!$B$26:$V$56,MATCH($C34,'Vessel Gauging Data'!$B$26:$B$56,0),$BC$18)</f>
        <v>#N/A</v>
      </c>
      <c r="BD34" s="662" t="e">
        <f>INDEX('Vessel Gauging Data'!$B$26:$V$56,MATCH($C34,'Vessel Gauging Data'!$B$26:$B$56,0),$BD$18)</f>
        <v>#N/A</v>
      </c>
      <c r="BE34" s="662" t="e">
        <f>INDEX('Vessel Gauging Data'!$B$26:$V$56,MATCH($C34,'Vessel Gauging Data'!$B$26:$B$56,0),$BE$18)</f>
        <v>#N/A</v>
      </c>
    </row>
    <row r="35" spans="1:57" hidden="1">
      <c r="A35" s="641" t="str">
        <f t="shared" si="0"/>
        <v>N</v>
      </c>
      <c r="C35" s="235" t="str">
        <f t="array" ref="C35">IF(OR($E$21="",SUMPRODUCT(('Vessel Gauging Data'!$C$27:$C$56=$E$21)*('Vessel Gauging Data'!$D$27:$D$56=NOMY))&lt;ROWS($C$22:$C35)),"",INDEX('Vessel Gauging Data'!$B$27:$B$56,SMALL(IF(('Vessel Gauging Data'!$C$27:$C$56=$E$21)+('Vessel Gauging Data'!$D$27:$D$56=NOMY)=2,ROW('Vessel Gauging Data'!$B$27:$B$56)-ROW('Vessel Gauging Data'!$C$26)),ROW()-ROW(C$21))))</f>
        <v/>
      </c>
      <c r="D35" s="211" t="str">
        <f>IF(OR($C35="",$C35=0),"",INDEX('Vessel Gauging Data'!$B$26:$V$56,MATCH($C35,'Vessel Gauging Data'!$B$27:$B$56,0)+1,2))</f>
        <v/>
      </c>
      <c r="E35" s="1016" t="str">
        <f t="shared" si="1"/>
        <v/>
      </c>
      <c r="F35" s="1016" t="str">
        <f t="shared" si="2"/>
        <v/>
      </c>
      <c r="G35" s="1016" t="str">
        <f t="shared" si="3"/>
        <v/>
      </c>
      <c r="H35" s="1016" t="str">
        <f t="shared" si="3"/>
        <v/>
      </c>
      <c r="I35" s="211" t="str">
        <f t="shared" si="4"/>
        <v/>
      </c>
      <c r="J35" s="1016" t="str">
        <f t="shared" si="5"/>
        <v/>
      </c>
      <c r="K35" s="213" t="str">
        <f t="shared" si="6"/>
        <v/>
      </c>
      <c r="L35" s="212" t="str">
        <f t="shared" si="7"/>
        <v/>
      </c>
      <c r="M35" s="1125" t="str">
        <f>IF(OR($C35="",$C35=0),"",INDEX(API1DENST,MATCH($C35,'Vessel Gauging Data'!$B$27:$B$56,0),$AA$1))</f>
        <v/>
      </c>
      <c r="N35" s="212" t="str">
        <f t="shared" si="8"/>
        <v/>
      </c>
      <c r="O35" s="1016" t="str">
        <f t="shared" si="9"/>
        <v/>
      </c>
      <c r="P35" s="1125" t="str">
        <f t="shared" si="10"/>
        <v/>
      </c>
      <c r="Q35" s="1016" t="str">
        <f t="shared" si="11"/>
        <v/>
      </c>
      <c r="R35" s="214" t="str">
        <f t="shared" si="12"/>
        <v/>
      </c>
      <c r="S35" s="1125" t="str">
        <f t="shared" si="13"/>
        <v/>
      </c>
      <c r="T35" s="236" t="str">
        <f t="shared" si="14"/>
        <v/>
      </c>
      <c r="V35" s="642" t="e">
        <f>INDEX('Vessel Gauging Data'!$B$26:$V$56,MATCH($C35,'Vessel Gauging Data'!$B$26:$B$56,0),$V$18)</f>
        <v>#N/A</v>
      </c>
      <c r="W35" s="642" t="e">
        <f>INDEX('Vessel Gauging Data'!$B$26:$V$56,MATCH($C35,'Vessel Gauging Data'!$B$26:$B$56,0),$W$18)</f>
        <v>#N/A</v>
      </c>
      <c r="X35" s="642" t="e">
        <f>INDEX('Vessel Gauging Data'!$B$26:$V$56,MATCH($C35,'Vessel Gauging Data'!$B$26:$B$56,0),$X$18)</f>
        <v>#N/A</v>
      </c>
      <c r="Y35" s="642" t="e">
        <f>INDEX('Vessel Gauging Data'!$B$26:$V$56,MATCH($C35,'Vessel Gauging Data'!$B$26:$B$56,0),$Y$18)</f>
        <v>#N/A</v>
      </c>
      <c r="Z35" s="642" t="e">
        <f>INDEX('Vessel Gauging Data'!$B$26:$V$56,MATCH($C35,'Vessel Gauging Data'!$B$26:$B$56,0),$Z$18)</f>
        <v>#N/A</v>
      </c>
      <c r="AB35" s="642" t="e">
        <f>INDEX(API1DENST,MATCH($C35,'Vessel Gauging Data'!$B$27:$B$56,0),1)</f>
        <v>#N/A</v>
      </c>
      <c r="AC35" s="642" t="e">
        <f t="shared" si="17"/>
        <v>#N/A</v>
      </c>
      <c r="AE35" s="661" t="e">
        <f t="shared" si="18"/>
        <v>#VALUE!</v>
      </c>
      <c r="AF35" s="661" t="e">
        <f t="shared" si="19"/>
        <v>#VALUE!</v>
      </c>
      <c r="AH35" s="662" t="str">
        <f t="shared" si="15"/>
        <v/>
      </c>
      <c r="AI35" s="662" t="str">
        <f t="shared" si="16"/>
        <v/>
      </c>
      <c r="AJ35" s="663">
        <f t="shared" si="20"/>
        <v>192.4571</v>
      </c>
      <c r="AK35" s="660">
        <f t="shared" si="21"/>
        <v>0.24379999999999999</v>
      </c>
      <c r="AL35" s="660" t="e">
        <f t="shared" si="22"/>
        <v>#VALUE!</v>
      </c>
      <c r="AM35" s="664" t="e">
        <f t="shared" si="23"/>
        <v>#VALUE!</v>
      </c>
      <c r="AN35" s="664" t="e">
        <f t="shared" si="24"/>
        <v>#VALUE!</v>
      </c>
      <c r="AO35" s="665" t="e">
        <f t="shared" si="25"/>
        <v>#VALUE!</v>
      </c>
      <c r="AP35" s="666" t="e">
        <f t="shared" si="26"/>
        <v>#VALUE!</v>
      </c>
      <c r="AQ35" s="660" t="e">
        <f t="shared" si="27"/>
        <v>#VALUE!</v>
      </c>
      <c r="AR35" s="667" t="e">
        <f t="shared" si="28"/>
        <v>#VALUE!</v>
      </c>
      <c r="AS35" s="667" t="e">
        <f t="shared" si="29"/>
        <v>#VALUE!</v>
      </c>
      <c r="AT35" s="668" t="e">
        <f t="shared" si="30"/>
        <v>#VALUE!</v>
      </c>
      <c r="AU35" s="667" t="e">
        <f t="shared" si="31"/>
        <v>#VALUE!</v>
      </c>
      <c r="AV35" s="669" t="e">
        <f t="shared" si="32"/>
        <v>#VALUE!</v>
      </c>
      <c r="AW35" s="667" t="e">
        <f t="shared" si="33"/>
        <v>#VALUE!</v>
      </c>
      <c r="AX35" s="667" t="e">
        <f t="shared" si="34"/>
        <v>#VALUE!</v>
      </c>
      <c r="AY35" s="660" t="e">
        <f t="shared" si="35"/>
        <v>#VALUE!</v>
      </c>
      <c r="AZ35" s="670" t="e">
        <f t="shared" si="36"/>
        <v>#VALUE!</v>
      </c>
      <c r="BB35" s="662" t="e">
        <f>INDEX('Vessel Gauging Data'!$B$26:$V$56,MATCH($C35,'Vessel Gauging Data'!$B$26:$B$56,0),$BB$18)</f>
        <v>#N/A</v>
      </c>
      <c r="BC35" s="662" t="e">
        <f>INDEX('Vessel Gauging Data'!$B$26:$V$56,MATCH($C35,'Vessel Gauging Data'!$B$26:$B$56,0),$BC$18)</f>
        <v>#N/A</v>
      </c>
      <c r="BD35" s="662" t="e">
        <f>INDEX('Vessel Gauging Data'!$B$26:$V$56,MATCH($C35,'Vessel Gauging Data'!$B$26:$B$56,0),$BD$18)</f>
        <v>#N/A</v>
      </c>
      <c r="BE35" s="662" t="e">
        <f>INDEX('Vessel Gauging Data'!$B$26:$V$56,MATCH($C35,'Vessel Gauging Data'!$B$26:$B$56,0),$BE$18)</f>
        <v>#N/A</v>
      </c>
    </row>
    <row r="36" spans="1:57" hidden="1">
      <c r="A36" s="641" t="str">
        <f t="shared" si="0"/>
        <v>N</v>
      </c>
      <c r="C36" s="235" t="str">
        <f t="array" ref="C36">IF(OR($E$21="",SUMPRODUCT(('Vessel Gauging Data'!$C$27:$C$56=$E$21)*('Vessel Gauging Data'!$D$27:$D$56=NOMY))&lt;ROWS($C$22:$C36)),"",INDEX('Vessel Gauging Data'!$B$27:$B$56,SMALL(IF(('Vessel Gauging Data'!$C$27:$C$56=$E$21)+('Vessel Gauging Data'!$D$27:$D$56=NOMY)=2,ROW('Vessel Gauging Data'!$B$27:$B$56)-ROW('Vessel Gauging Data'!$C$26)),ROW()-ROW(C$21))))</f>
        <v/>
      </c>
      <c r="D36" s="211" t="str">
        <f>IF(OR($C36="",$C36=0),"",INDEX('Vessel Gauging Data'!$B$26:$V$56,MATCH($C36,'Vessel Gauging Data'!$B$27:$B$56,0)+1,2))</f>
        <v/>
      </c>
      <c r="E36" s="1016" t="str">
        <f t="shared" si="1"/>
        <v/>
      </c>
      <c r="F36" s="1016" t="str">
        <f t="shared" si="2"/>
        <v/>
      </c>
      <c r="G36" s="1016" t="str">
        <f t="shared" si="3"/>
        <v/>
      </c>
      <c r="H36" s="1016" t="str">
        <f t="shared" si="3"/>
        <v/>
      </c>
      <c r="I36" s="211" t="str">
        <f t="shared" si="4"/>
        <v/>
      </c>
      <c r="J36" s="1016" t="str">
        <f t="shared" si="5"/>
        <v/>
      </c>
      <c r="K36" s="213" t="str">
        <f t="shared" si="6"/>
        <v/>
      </c>
      <c r="L36" s="212" t="str">
        <f t="shared" si="7"/>
        <v/>
      </c>
      <c r="M36" s="1125" t="str">
        <f>IF(OR($C36="",$C36=0),"",INDEX(API1DENST,MATCH($C36,'Vessel Gauging Data'!$B$27:$B$56,0),$AA$1))</f>
        <v/>
      </c>
      <c r="N36" s="212" t="str">
        <f t="shared" si="8"/>
        <v/>
      </c>
      <c r="O36" s="1016" t="str">
        <f t="shared" si="9"/>
        <v/>
      </c>
      <c r="P36" s="1125" t="str">
        <f t="shared" si="10"/>
        <v/>
      </c>
      <c r="Q36" s="1016" t="str">
        <f t="shared" si="11"/>
        <v/>
      </c>
      <c r="R36" s="214" t="str">
        <f t="shared" si="12"/>
        <v/>
      </c>
      <c r="S36" s="1125" t="str">
        <f t="shared" si="13"/>
        <v/>
      </c>
      <c r="T36" s="236" t="str">
        <f t="shared" si="14"/>
        <v/>
      </c>
      <c r="V36" s="642" t="e">
        <f>INDEX('Vessel Gauging Data'!$B$26:$V$56,MATCH($C36,'Vessel Gauging Data'!$B$26:$B$56,0),$V$18)</f>
        <v>#N/A</v>
      </c>
      <c r="W36" s="642" t="e">
        <f>INDEX('Vessel Gauging Data'!$B$26:$V$56,MATCH($C36,'Vessel Gauging Data'!$B$26:$B$56,0),$W$18)</f>
        <v>#N/A</v>
      </c>
      <c r="X36" s="642" t="e">
        <f>INDEX('Vessel Gauging Data'!$B$26:$V$56,MATCH($C36,'Vessel Gauging Data'!$B$26:$B$56,0),$X$18)</f>
        <v>#N/A</v>
      </c>
      <c r="Y36" s="642" t="e">
        <f>INDEX('Vessel Gauging Data'!$B$26:$V$56,MATCH($C36,'Vessel Gauging Data'!$B$26:$B$56,0),$Y$18)</f>
        <v>#N/A</v>
      </c>
      <c r="Z36" s="642" t="e">
        <f>INDEX('Vessel Gauging Data'!$B$26:$V$56,MATCH($C36,'Vessel Gauging Data'!$B$26:$B$56,0),$Z$18)</f>
        <v>#N/A</v>
      </c>
      <c r="AB36" s="642" t="e">
        <f>INDEX(API1DENST,MATCH($C36,'Vessel Gauging Data'!$B$27:$B$56,0),1)</f>
        <v>#N/A</v>
      </c>
      <c r="AC36" s="642" t="e">
        <f t="shared" si="17"/>
        <v>#N/A</v>
      </c>
      <c r="AE36" s="661" t="e">
        <f t="shared" si="18"/>
        <v>#VALUE!</v>
      </c>
      <c r="AF36" s="661" t="e">
        <f t="shared" si="19"/>
        <v>#VALUE!</v>
      </c>
      <c r="AH36" s="662" t="str">
        <f t="shared" si="15"/>
        <v/>
      </c>
      <c r="AI36" s="662" t="str">
        <f t="shared" si="16"/>
        <v/>
      </c>
      <c r="AJ36" s="663">
        <f t="shared" si="20"/>
        <v>192.4571</v>
      </c>
      <c r="AK36" s="660">
        <f t="shared" si="21"/>
        <v>0.24379999999999999</v>
      </c>
      <c r="AL36" s="660" t="e">
        <f t="shared" si="22"/>
        <v>#VALUE!</v>
      </c>
      <c r="AM36" s="664" t="e">
        <f t="shared" si="23"/>
        <v>#VALUE!</v>
      </c>
      <c r="AN36" s="664" t="e">
        <f t="shared" si="24"/>
        <v>#VALUE!</v>
      </c>
      <c r="AO36" s="665" t="e">
        <f t="shared" si="25"/>
        <v>#VALUE!</v>
      </c>
      <c r="AP36" s="666" t="e">
        <f t="shared" si="26"/>
        <v>#VALUE!</v>
      </c>
      <c r="AQ36" s="660" t="e">
        <f t="shared" si="27"/>
        <v>#VALUE!</v>
      </c>
      <c r="AR36" s="667" t="e">
        <f t="shared" si="28"/>
        <v>#VALUE!</v>
      </c>
      <c r="AS36" s="667" t="e">
        <f t="shared" si="29"/>
        <v>#VALUE!</v>
      </c>
      <c r="AT36" s="668" t="e">
        <f t="shared" si="30"/>
        <v>#VALUE!</v>
      </c>
      <c r="AU36" s="667" t="e">
        <f t="shared" si="31"/>
        <v>#VALUE!</v>
      </c>
      <c r="AV36" s="669" t="e">
        <f t="shared" si="32"/>
        <v>#VALUE!</v>
      </c>
      <c r="AW36" s="667" t="e">
        <f t="shared" si="33"/>
        <v>#VALUE!</v>
      </c>
      <c r="AX36" s="667" t="e">
        <f t="shared" si="34"/>
        <v>#VALUE!</v>
      </c>
      <c r="AY36" s="660" t="e">
        <f t="shared" si="35"/>
        <v>#VALUE!</v>
      </c>
      <c r="AZ36" s="670" t="e">
        <f t="shared" si="36"/>
        <v>#VALUE!</v>
      </c>
      <c r="BB36" s="662" t="e">
        <f>INDEX('Vessel Gauging Data'!$B$26:$V$56,MATCH($C36,'Vessel Gauging Data'!$B$26:$B$56,0),$BB$18)</f>
        <v>#N/A</v>
      </c>
      <c r="BC36" s="662" t="e">
        <f>INDEX('Vessel Gauging Data'!$B$26:$V$56,MATCH($C36,'Vessel Gauging Data'!$B$26:$B$56,0),$BC$18)</f>
        <v>#N/A</v>
      </c>
      <c r="BD36" s="662" t="e">
        <f>INDEX('Vessel Gauging Data'!$B$26:$V$56,MATCH($C36,'Vessel Gauging Data'!$B$26:$B$56,0),$BD$18)</f>
        <v>#N/A</v>
      </c>
      <c r="BE36" s="662" t="e">
        <f>INDEX('Vessel Gauging Data'!$B$26:$V$56,MATCH($C36,'Vessel Gauging Data'!$B$26:$B$56,0),$BE$18)</f>
        <v>#N/A</v>
      </c>
    </row>
    <row r="37" spans="1:57" hidden="1">
      <c r="A37" s="641" t="str">
        <f t="shared" si="0"/>
        <v>N</v>
      </c>
      <c r="C37" s="235" t="str">
        <f t="array" ref="C37">IF(OR($E$21="",SUMPRODUCT(('Vessel Gauging Data'!$C$27:$C$56=$E$21)*('Vessel Gauging Data'!$D$27:$D$56=NOMY))&lt;ROWS($C$22:$C37)),"",INDEX('Vessel Gauging Data'!$B$27:$B$56,SMALL(IF(('Vessel Gauging Data'!$C$27:$C$56=$E$21)+('Vessel Gauging Data'!$D$27:$D$56=NOMY)=2,ROW('Vessel Gauging Data'!$B$27:$B$56)-ROW('Vessel Gauging Data'!$C$26)),ROW()-ROW(C$21))))</f>
        <v/>
      </c>
      <c r="D37" s="211" t="str">
        <f>IF(OR($C37="",$C37=0),"",INDEX('Vessel Gauging Data'!$B$26:$V$56,MATCH($C37,'Vessel Gauging Data'!$B$27:$B$56,0)+1,2))</f>
        <v/>
      </c>
      <c r="E37" s="1016" t="str">
        <f t="shared" si="1"/>
        <v/>
      </c>
      <c r="F37" s="1016" t="str">
        <f t="shared" si="2"/>
        <v/>
      </c>
      <c r="G37" s="1016" t="str">
        <f t="shared" si="3"/>
        <v/>
      </c>
      <c r="H37" s="1016" t="str">
        <f t="shared" si="3"/>
        <v/>
      </c>
      <c r="I37" s="211" t="str">
        <f t="shared" si="4"/>
        <v/>
      </c>
      <c r="J37" s="1016" t="str">
        <f t="shared" si="5"/>
        <v/>
      </c>
      <c r="K37" s="213" t="str">
        <f t="shared" si="6"/>
        <v/>
      </c>
      <c r="L37" s="212" t="str">
        <f t="shared" si="7"/>
        <v/>
      </c>
      <c r="M37" s="1125" t="str">
        <f>IF(OR($C37="",$C37=0),"",INDEX(API1DENST,MATCH($C37,'Vessel Gauging Data'!$B$27:$B$56,0),$AA$1))</f>
        <v/>
      </c>
      <c r="N37" s="212" t="str">
        <f t="shared" si="8"/>
        <v/>
      </c>
      <c r="O37" s="1016" t="str">
        <f t="shared" si="9"/>
        <v/>
      </c>
      <c r="P37" s="1125" t="str">
        <f t="shared" si="10"/>
        <v/>
      </c>
      <c r="Q37" s="1016" t="str">
        <f t="shared" si="11"/>
        <v/>
      </c>
      <c r="R37" s="214" t="str">
        <f t="shared" si="12"/>
        <v/>
      </c>
      <c r="S37" s="1125" t="str">
        <f t="shared" si="13"/>
        <v/>
      </c>
      <c r="T37" s="236" t="str">
        <f t="shared" si="14"/>
        <v/>
      </c>
      <c r="V37" s="642" t="e">
        <f>INDEX('Vessel Gauging Data'!$B$26:$V$56,MATCH($C37,'Vessel Gauging Data'!$B$26:$B$56,0),$V$18)</f>
        <v>#N/A</v>
      </c>
      <c r="W37" s="642" t="e">
        <f>INDEX('Vessel Gauging Data'!$B$26:$V$56,MATCH($C37,'Vessel Gauging Data'!$B$26:$B$56,0),$W$18)</f>
        <v>#N/A</v>
      </c>
      <c r="X37" s="642" t="e">
        <f>INDEX('Vessel Gauging Data'!$B$26:$V$56,MATCH($C37,'Vessel Gauging Data'!$B$26:$B$56,0),$X$18)</f>
        <v>#N/A</v>
      </c>
      <c r="Y37" s="642" t="e">
        <f>INDEX('Vessel Gauging Data'!$B$26:$V$56,MATCH($C37,'Vessel Gauging Data'!$B$26:$B$56,0),$Y$18)</f>
        <v>#N/A</v>
      </c>
      <c r="Z37" s="642" t="e">
        <f>INDEX('Vessel Gauging Data'!$B$26:$V$56,MATCH($C37,'Vessel Gauging Data'!$B$26:$B$56,0),$Z$18)</f>
        <v>#N/A</v>
      </c>
      <c r="AB37" s="642" t="e">
        <f>INDEX(API1DENST,MATCH($C37,'Vessel Gauging Data'!$B$27:$B$56,0),1)</f>
        <v>#N/A</v>
      </c>
      <c r="AC37" s="642" t="e">
        <f t="shared" si="17"/>
        <v>#N/A</v>
      </c>
      <c r="AE37" s="661" t="e">
        <f t="shared" si="18"/>
        <v>#VALUE!</v>
      </c>
      <c r="AF37" s="661" t="e">
        <f t="shared" si="19"/>
        <v>#VALUE!</v>
      </c>
      <c r="AH37" s="662" t="str">
        <f t="shared" si="15"/>
        <v/>
      </c>
      <c r="AI37" s="662" t="str">
        <f t="shared" si="16"/>
        <v/>
      </c>
      <c r="AJ37" s="663">
        <f t="shared" si="20"/>
        <v>192.4571</v>
      </c>
      <c r="AK37" s="660">
        <f t="shared" si="21"/>
        <v>0.24379999999999999</v>
      </c>
      <c r="AL37" s="660" t="e">
        <f t="shared" si="22"/>
        <v>#VALUE!</v>
      </c>
      <c r="AM37" s="664" t="e">
        <f t="shared" si="23"/>
        <v>#VALUE!</v>
      </c>
      <c r="AN37" s="664" t="e">
        <f t="shared" si="24"/>
        <v>#VALUE!</v>
      </c>
      <c r="AO37" s="665" t="e">
        <f t="shared" si="25"/>
        <v>#VALUE!</v>
      </c>
      <c r="AP37" s="666" t="e">
        <f t="shared" si="26"/>
        <v>#VALUE!</v>
      </c>
      <c r="AQ37" s="660" t="e">
        <f t="shared" si="27"/>
        <v>#VALUE!</v>
      </c>
      <c r="AR37" s="667" t="e">
        <f t="shared" si="28"/>
        <v>#VALUE!</v>
      </c>
      <c r="AS37" s="667" t="e">
        <f t="shared" si="29"/>
        <v>#VALUE!</v>
      </c>
      <c r="AT37" s="668" t="e">
        <f t="shared" si="30"/>
        <v>#VALUE!</v>
      </c>
      <c r="AU37" s="667" t="e">
        <f t="shared" si="31"/>
        <v>#VALUE!</v>
      </c>
      <c r="AV37" s="669" t="e">
        <f t="shared" si="32"/>
        <v>#VALUE!</v>
      </c>
      <c r="AW37" s="667" t="e">
        <f t="shared" si="33"/>
        <v>#VALUE!</v>
      </c>
      <c r="AX37" s="667" t="e">
        <f t="shared" si="34"/>
        <v>#VALUE!</v>
      </c>
      <c r="AY37" s="660" t="e">
        <f t="shared" si="35"/>
        <v>#VALUE!</v>
      </c>
      <c r="AZ37" s="670" t="e">
        <f t="shared" si="36"/>
        <v>#VALUE!</v>
      </c>
      <c r="BB37" s="662" t="e">
        <f>INDEX('Vessel Gauging Data'!$B$26:$V$56,MATCH($C37,'Vessel Gauging Data'!$B$26:$B$56,0),$BB$18)</f>
        <v>#N/A</v>
      </c>
      <c r="BC37" s="662" t="e">
        <f>INDEX('Vessel Gauging Data'!$B$26:$V$56,MATCH($C37,'Vessel Gauging Data'!$B$26:$B$56,0),$BC$18)</f>
        <v>#N/A</v>
      </c>
      <c r="BD37" s="662" t="e">
        <f>INDEX('Vessel Gauging Data'!$B$26:$V$56,MATCH($C37,'Vessel Gauging Data'!$B$26:$B$56,0),$BD$18)</f>
        <v>#N/A</v>
      </c>
      <c r="BE37" s="662" t="e">
        <f>INDEX('Vessel Gauging Data'!$B$26:$V$56,MATCH($C37,'Vessel Gauging Data'!$B$26:$B$56,0),$BE$18)</f>
        <v>#N/A</v>
      </c>
    </row>
    <row r="38" spans="1:57" hidden="1">
      <c r="A38" s="641" t="str">
        <f t="shared" si="0"/>
        <v>N</v>
      </c>
      <c r="C38" s="235" t="str">
        <f t="array" ref="C38">IF(OR($E$21="",SUMPRODUCT(('Vessel Gauging Data'!$C$27:$C$56=$E$21)*('Vessel Gauging Data'!$D$27:$D$56=NOMY))&lt;ROWS($C$22:$C38)),"",INDEX('Vessel Gauging Data'!$B$27:$B$56,SMALL(IF(('Vessel Gauging Data'!$C$27:$C$56=$E$21)+('Vessel Gauging Data'!$D$27:$D$56=NOMY)=2,ROW('Vessel Gauging Data'!$B$27:$B$56)-ROW('Vessel Gauging Data'!$C$26)),ROW()-ROW(C$21))))</f>
        <v/>
      </c>
      <c r="D38" s="211" t="str">
        <f>IF(OR($C38="",$C38=0),"",INDEX('Vessel Gauging Data'!$B$26:$V$56,MATCH($C38,'Vessel Gauging Data'!$B$27:$B$56,0)+1,2))</f>
        <v/>
      </c>
      <c r="E38" s="1016" t="str">
        <f t="shared" si="1"/>
        <v/>
      </c>
      <c r="F38" s="1016" t="str">
        <f t="shared" si="2"/>
        <v/>
      </c>
      <c r="G38" s="1016" t="str">
        <f t="shared" si="3"/>
        <v/>
      </c>
      <c r="H38" s="1016" t="str">
        <f t="shared" si="3"/>
        <v/>
      </c>
      <c r="I38" s="211" t="str">
        <f t="shared" si="4"/>
        <v/>
      </c>
      <c r="J38" s="1016" t="str">
        <f t="shared" si="5"/>
        <v/>
      </c>
      <c r="K38" s="213" t="str">
        <f t="shared" si="6"/>
        <v/>
      </c>
      <c r="L38" s="212" t="str">
        <f t="shared" si="7"/>
        <v/>
      </c>
      <c r="M38" s="1125" t="str">
        <f>IF(OR($C38="",$C38=0),"",INDEX(API1DENST,MATCH($C38,'Vessel Gauging Data'!$B$27:$B$56,0),$AA$1))</f>
        <v/>
      </c>
      <c r="N38" s="212" t="str">
        <f t="shared" si="8"/>
        <v/>
      </c>
      <c r="O38" s="1016" t="str">
        <f t="shared" si="9"/>
        <v/>
      </c>
      <c r="P38" s="1125" t="str">
        <f t="shared" si="10"/>
        <v/>
      </c>
      <c r="Q38" s="1016" t="str">
        <f t="shared" si="11"/>
        <v/>
      </c>
      <c r="R38" s="214" t="str">
        <f t="shared" si="12"/>
        <v/>
      </c>
      <c r="S38" s="1125" t="str">
        <f t="shared" si="13"/>
        <v/>
      </c>
      <c r="T38" s="236" t="str">
        <f t="shared" si="14"/>
        <v/>
      </c>
      <c r="V38" s="642" t="e">
        <f>INDEX('Vessel Gauging Data'!$B$26:$V$56,MATCH($C38,'Vessel Gauging Data'!$B$26:$B$56,0),$V$18)</f>
        <v>#N/A</v>
      </c>
      <c r="W38" s="642" t="e">
        <f>INDEX('Vessel Gauging Data'!$B$26:$V$56,MATCH($C38,'Vessel Gauging Data'!$B$26:$B$56,0),$W$18)</f>
        <v>#N/A</v>
      </c>
      <c r="X38" s="642" t="e">
        <f>INDEX('Vessel Gauging Data'!$B$26:$V$56,MATCH($C38,'Vessel Gauging Data'!$B$26:$B$56,0),$X$18)</f>
        <v>#N/A</v>
      </c>
      <c r="Y38" s="642" t="e">
        <f>INDEX('Vessel Gauging Data'!$B$26:$V$56,MATCH($C38,'Vessel Gauging Data'!$B$26:$B$56,0),$Y$18)</f>
        <v>#N/A</v>
      </c>
      <c r="Z38" s="642" t="e">
        <f>INDEX('Vessel Gauging Data'!$B$26:$V$56,MATCH($C38,'Vessel Gauging Data'!$B$26:$B$56,0),$Z$18)</f>
        <v>#N/A</v>
      </c>
      <c r="AB38" s="642" t="e">
        <f>INDEX(API1DENST,MATCH($C38,'Vessel Gauging Data'!$B$27:$B$56,0),1)</f>
        <v>#N/A</v>
      </c>
      <c r="AC38" s="642" t="e">
        <f t="shared" si="17"/>
        <v>#N/A</v>
      </c>
      <c r="AE38" s="661" t="e">
        <f t="shared" si="18"/>
        <v>#VALUE!</v>
      </c>
      <c r="AF38" s="661" t="e">
        <f t="shared" si="19"/>
        <v>#VALUE!</v>
      </c>
      <c r="AH38" s="662" t="str">
        <f t="shared" si="15"/>
        <v/>
      </c>
      <c r="AI38" s="662" t="str">
        <f t="shared" si="16"/>
        <v/>
      </c>
      <c r="AJ38" s="663">
        <f t="shared" si="20"/>
        <v>192.4571</v>
      </c>
      <c r="AK38" s="660">
        <f t="shared" si="21"/>
        <v>0.24379999999999999</v>
      </c>
      <c r="AL38" s="660" t="e">
        <f t="shared" si="22"/>
        <v>#VALUE!</v>
      </c>
      <c r="AM38" s="664" t="e">
        <f t="shared" si="23"/>
        <v>#VALUE!</v>
      </c>
      <c r="AN38" s="664" t="e">
        <f t="shared" si="24"/>
        <v>#VALUE!</v>
      </c>
      <c r="AO38" s="665" t="e">
        <f t="shared" si="25"/>
        <v>#VALUE!</v>
      </c>
      <c r="AP38" s="666" t="e">
        <f t="shared" si="26"/>
        <v>#VALUE!</v>
      </c>
      <c r="AQ38" s="660" t="e">
        <f t="shared" si="27"/>
        <v>#VALUE!</v>
      </c>
      <c r="AR38" s="667" t="e">
        <f t="shared" si="28"/>
        <v>#VALUE!</v>
      </c>
      <c r="AS38" s="667" t="e">
        <f t="shared" si="29"/>
        <v>#VALUE!</v>
      </c>
      <c r="AT38" s="668" t="e">
        <f t="shared" si="30"/>
        <v>#VALUE!</v>
      </c>
      <c r="AU38" s="667" t="e">
        <f t="shared" si="31"/>
        <v>#VALUE!</v>
      </c>
      <c r="AV38" s="669" t="e">
        <f t="shared" si="32"/>
        <v>#VALUE!</v>
      </c>
      <c r="AW38" s="667" t="e">
        <f t="shared" si="33"/>
        <v>#VALUE!</v>
      </c>
      <c r="AX38" s="667" t="e">
        <f t="shared" si="34"/>
        <v>#VALUE!</v>
      </c>
      <c r="AY38" s="660" t="e">
        <f t="shared" si="35"/>
        <v>#VALUE!</v>
      </c>
      <c r="AZ38" s="670" t="e">
        <f t="shared" si="36"/>
        <v>#VALUE!</v>
      </c>
      <c r="BB38" s="662" t="e">
        <f>INDEX('Vessel Gauging Data'!$B$26:$V$56,MATCH($C38,'Vessel Gauging Data'!$B$26:$B$56,0),$BB$18)</f>
        <v>#N/A</v>
      </c>
      <c r="BC38" s="662" t="e">
        <f>INDEX('Vessel Gauging Data'!$B$26:$V$56,MATCH($C38,'Vessel Gauging Data'!$B$26:$B$56,0),$BC$18)</f>
        <v>#N/A</v>
      </c>
      <c r="BD38" s="662" t="e">
        <f>INDEX('Vessel Gauging Data'!$B$26:$V$56,MATCH($C38,'Vessel Gauging Data'!$B$26:$B$56,0),$BD$18)</f>
        <v>#N/A</v>
      </c>
      <c r="BE38" s="662" t="e">
        <f>INDEX('Vessel Gauging Data'!$B$26:$V$56,MATCH($C38,'Vessel Gauging Data'!$B$26:$B$56,0),$BE$18)</f>
        <v>#N/A</v>
      </c>
    </row>
    <row r="39" spans="1:57" hidden="1">
      <c r="A39" s="641" t="str">
        <f t="shared" si="0"/>
        <v>N</v>
      </c>
      <c r="C39" s="235" t="str">
        <f t="array" ref="C39">IF(OR($E$21="",SUMPRODUCT(('Vessel Gauging Data'!$C$27:$C$56=$E$21)*('Vessel Gauging Data'!$D$27:$D$56=NOMY))&lt;ROWS($C$22:$C39)),"",INDEX('Vessel Gauging Data'!$B$27:$B$56,SMALL(IF(('Vessel Gauging Data'!$C$27:$C$56=$E$21)+('Vessel Gauging Data'!$D$27:$D$56=NOMY)=2,ROW('Vessel Gauging Data'!$B$27:$B$56)-ROW('Vessel Gauging Data'!$C$26)),ROW()-ROW(C$21))))</f>
        <v/>
      </c>
      <c r="D39" s="211" t="str">
        <f>IF(OR($C39="",$C39=0),"",INDEX('Vessel Gauging Data'!$B$26:$V$56,MATCH($C39,'Vessel Gauging Data'!$B$27:$B$56,0)+1,2))</f>
        <v/>
      </c>
      <c r="E39" s="1016" t="str">
        <f t="shared" si="1"/>
        <v/>
      </c>
      <c r="F39" s="1016" t="str">
        <f t="shared" si="2"/>
        <v/>
      </c>
      <c r="G39" s="1016" t="str">
        <f t="shared" si="3"/>
        <v/>
      </c>
      <c r="H39" s="1016" t="str">
        <f t="shared" si="3"/>
        <v/>
      </c>
      <c r="I39" s="211" t="str">
        <f t="shared" si="4"/>
        <v/>
      </c>
      <c r="J39" s="1016" t="str">
        <f t="shared" si="5"/>
        <v/>
      </c>
      <c r="K39" s="213" t="str">
        <f t="shared" si="6"/>
        <v/>
      </c>
      <c r="L39" s="212" t="str">
        <f t="shared" si="7"/>
        <v/>
      </c>
      <c r="M39" s="1125" t="str">
        <f>IF(OR($C39="",$C39=0),"",INDEX(API1DENST,MATCH($C39,'Vessel Gauging Data'!$B$27:$B$56,0),$AA$1))</f>
        <v/>
      </c>
      <c r="N39" s="212" t="str">
        <f t="shared" si="8"/>
        <v/>
      </c>
      <c r="O39" s="1016" t="str">
        <f t="shared" si="9"/>
        <v/>
      </c>
      <c r="P39" s="1125" t="str">
        <f t="shared" si="10"/>
        <v/>
      </c>
      <c r="Q39" s="1016" t="str">
        <f t="shared" si="11"/>
        <v/>
      </c>
      <c r="R39" s="214" t="str">
        <f t="shared" si="12"/>
        <v/>
      </c>
      <c r="S39" s="1125" t="str">
        <f t="shared" si="13"/>
        <v/>
      </c>
      <c r="T39" s="236" t="str">
        <f t="shared" si="14"/>
        <v/>
      </c>
      <c r="V39" s="642" t="e">
        <f>INDEX('Vessel Gauging Data'!$B$26:$V$56,MATCH($C39,'Vessel Gauging Data'!$B$26:$B$56,0),$V$18)</f>
        <v>#N/A</v>
      </c>
      <c r="W39" s="642" t="e">
        <f>INDEX('Vessel Gauging Data'!$B$26:$V$56,MATCH($C39,'Vessel Gauging Data'!$B$26:$B$56,0),$W$18)</f>
        <v>#N/A</v>
      </c>
      <c r="X39" s="642" t="e">
        <f>INDEX('Vessel Gauging Data'!$B$26:$V$56,MATCH($C39,'Vessel Gauging Data'!$B$26:$B$56,0),$X$18)</f>
        <v>#N/A</v>
      </c>
      <c r="Y39" s="642" t="e">
        <f>INDEX('Vessel Gauging Data'!$B$26:$V$56,MATCH($C39,'Vessel Gauging Data'!$B$26:$B$56,0),$Y$18)</f>
        <v>#N/A</v>
      </c>
      <c r="Z39" s="642" t="e">
        <f>INDEX('Vessel Gauging Data'!$B$26:$V$56,MATCH($C39,'Vessel Gauging Data'!$B$26:$B$56,0),$Z$18)</f>
        <v>#N/A</v>
      </c>
      <c r="AB39" s="642" t="e">
        <f>INDEX(API1DENST,MATCH($C39,'Vessel Gauging Data'!$B$27:$B$56,0),1)</f>
        <v>#N/A</v>
      </c>
      <c r="AC39" s="642" t="e">
        <f t="shared" si="17"/>
        <v>#N/A</v>
      </c>
      <c r="AE39" s="661" t="e">
        <f t="shared" si="18"/>
        <v>#VALUE!</v>
      </c>
      <c r="AF39" s="661" t="e">
        <f t="shared" si="19"/>
        <v>#VALUE!</v>
      </c>
      <c r="AH39" s="662" t="str">
        <f t="shared" si="15"/>
        <v/>
      </c>
      <c r="AI39" s="662" t="str">
        <f t="shared" si="16"/>
        <v/>
      </c>
      <c r="AJ39" s="663">
        <f t="shared" si="20"/>
        <v>192.4571</v>
      </c>
      <c r="AK39" s="660">
        <f t="shared" si="21"/>
        <v>0.24379999999999999</v>
      </c>
      <c r="AL39" s="660" t="e">
        <f t="shared" si="22"/>
        <v>#VALUE!</v>
      </c>
      <c r="AM39" s="664" t="e">
        <f t="shared" si="23"/>
        <v>#VALUE!</v>
      </c>
      <c r="AN39" s="664" t="e">
        <f t="shared" si="24"/>
        <v>#VALUE!</v>
      </c>
      <c r="AO39" s="665" t="e">
        <f t="shared" si="25"/>
        <v>#VALUE!</v>
      </c>
      <c r="AP39" s="666" t="e">
        <f t="shared" si="26"/>
        <v>#VALUE!</v>
      </c>
      <c r="AQ39" s="660" t="e">
        <f t="shared" si="27"/>
        <v>#VALUE!</v>
      </c>
      <c r="AR39" s="667" t="e">
        <f t="shared" si="28"/>
        <v>#VALUE!</v>
      </c>
      <c r="AS39" s="667" t="e">
        <f t="shared" si="29"/>
        <v>#VALUE!</v>
      </c>
      <c r="AT39" s="668" t="e">
        <f t="shared" si="30"/>
        <v>#VALUE!</v>
      </c>
      <c r="AU39" s="667" t="e">
        <f t="shared" si="31"/>
        <v>#VALUE!</v>
      </c>
      <c r="AV39" s="669" t="e">
        <f t="shared" si="32"/>
        <v>#VALUE!</v>
      </c>
      <c r="AW39" s="667" t="e">
        <f t="shared" si="33"/>
        <v>#VALUE!</v>
      </c>
      <c r="AX39" s="667" t="e">
        <f t="shared" si="34"/>
        <v>#VALUE!</v>
      </c>
      <c r="AY39" s="660" t="e">
        <f t="shared" si="35"/>
        <v>#VALUE!</v>
      </c>
      <c r="AZ39" s="670" t="e">
        <f t="shared" si="36"/>
        <v>#VALUE!</v>
      </c>
      <c r="BB39" s="662" t="e">
        <f>INDEX('Vessel Gauging Data'!$B$26:$V$56,MATCH($C39,'Vessel Gauging Data'!$B$26:$B$56,0),$BB$18)</f>
        <v>#N/A</v>
      </c>
      <c r="BC39" s="662" t="e">
        <f>INDEX('Vessel Gauging Data'!$B$26:$V$56,MATCH($C39,'Vessel Gauging Data'!$B$26:$B$56,0),$BC$18)</f>
        <v>#N/A</v>
      </c>
      <c r="BD39" s="662" t="e">
        <f>INDEX('Vessel Gauging Data'!$B$26:$V$56,MATCH($C39,'Vessel Gauging Data'!$B$26:$B$56,0),$BD$18)</f>
        <v>#N/A</v>
      </c>
      <c r="BE39" s="662" t="e">
        <f>INDEX('Vessel Gauging Data'!$B$26:$V$56,MATCH($C39,'Vessel Gauging Data'!$B$26:$B$56,0),$BE$18)</f>
        <v>#N/A</v>
      </c>
    </row>
    <row r="40" spans="1:57" hidden="1">
      <c r="A40" s="641" t="str">
        <f t="shared" si="0"/>
        <v>N</v>
      </c>
      <c r="C40" s="235" t="str">
        <f t="array" ref="C40">IF(OR($E$21="",SUMPRODUCT(('Vessel Gauging Data'!$C$27:$C$56=$E$21)*('Vessel Gauging Data'!$D$27:$D$56=NOMY))&lt;ROWS($C$22:$C40)),"",INDEX('Vessel Gauging Data'!$B$27:$B$56,SMALL(IF(('Vessel Gauging Data'!$C$27:$C$56=$E$21)+('Vessel Gauging Data'!$D$27:$D$56=NOMY)=2,ROW('Vessel Gauging Data'!$B$27:$B$56)-ROW('Vessel Gauging Data'!$C$26)),ROW()-ROW(C$21))))</f>
        <v/>
      </c>
      <c r="D40" s="211" t="str">
        <f>IF(OR($C40="",$C40=0),"",INDEX('Vessel Gauging Data'!$B$26:$V$56,MATCH($C40,'Vessel Gauging Data'!$B$27:$B$56,0)+1,2))</f>
        <v/>
      </c>
      <c r="E40" s="1016" t="str">
        <f t="shared" si="1"/>
        <v/>
      </c>
      <c r="F40" s="1016" t="str">
        <f t="shared" si="2"/>
        <v/>
      </c>
      <c r="G40" s="1016" t="str">
        <f t="shared" si="3"/>
        <v/>
      </c>
      <c r="H40" s="1016" t="str">
        <f t="shared" si="3"/>
        <v/>
      </c>
      <c r="I40" s="211" t="str">
        <f t="shared" si="4"/>
        <v/>
      </c>
      <c r="J40" s="1016" t="str">
        <f t="shared" si="5"/>
        <v/>
      </c>
      <c r="K40" s="213" t="str">
        <f t="shared" si="6"/>
        <v/>
      </c>
      <c r="L40" s="212" t="str">
        <f t="shared" si="7"/>
        <v/>
      </c>
      <c r="M40" s="1125" t="str">
        <f>IF(OR($C40="",$C40=0),"",INDEX(API1DENST,MATCH($C40,'Vessel Gauging Data'!$B$27:$B$56,0),$AA$1))</f>
        <v/>
      </c>
      <c r="N40" s="212" t="str">
        <f t="shared" si="8"/>
        <v/>
      </c>
      <c r="O40" s="1016" t="str">
        <f t="shared" si="9"/>
        <v/>
      </c>
      <c r="P40" s="1125" t="str">
        <f t="shared" si="10"/>
        <v/>
      </c>
      <c r="Q40" s="1016" t="str">
        <f t="shared" si="11"/>
        <v/>
      </c>
      <c r="R40" s="214" t="str">
        <f t="shared" si="12"/>
        <v/>
      </c>
      <c r="S40" s="1125" t="str">
        <f t="shared" si="13"/>
        <v/>
      </c>
      <c r="T40" s="236" t="str">
        <f t="shared" si="14"/>
        <v/>
      </c>
      <c r="V40" s="642" t="e">
        <f>INDEX('Vessel Gauging Data'!$B$26:$V$56,MATCH($C40,'Vessel Gauging Data'!$B$26:$B$56,0),$V$18)</f>
        <v>#N/A</v>
      </c>
      <c r="W40" s="642" t="e">
        <f>INDEX('Vessel Gauging Data'!$B$26:$V$56,MATCH($C40,'Vessel Gauging Data'!$B$26:$B$56,0),$W$18)</f>
        <v>#N/A</v>
      </c>
      <c r="X40" s="642" t="e">
        <f>INDEX('Vessel Gauging Data'!$B$26:$V$56,MATCH($C40,'Vessel Gauging Data'!$B$26:$B$56,0),$X$18)</f>
        <v>#N/A</v>
      </c>
      <c r="Y40" s="642" t="e">
        <f>INDEX('Vessel Gauging Data'!$B$26:$V$56,MATCH($C40,'Vessel Gauging Data'!$B$26:$B$56,0),$Y$18)</f>
        <v>#N/A</v>
      </c>
      <c r="Z40" s="642" t="e">
        <f>INDEX('Vessel Gauging Data'!$B$26:$V$56,MATCH($C40,'Vessel Gauging Data'!$B$26:$B$56,0),$Z$18)</f>
        <v>#N/A</v>
      </c>
      <c r="AB40" s="642" t="e">
        <f>INDEX(API1DENST,MATCH($C40,'Vessel Gauging Data'!$B$27:$B$56,0),1)</f>
        <v>#N/A</v>
      </c>
      <c r="AC40" s="642" t="e">
        <f t="shared" si="17"/>
        <v>#N/A</v>
      </c>
      <c r="AE40" s="661" t="e">
        <f t="shared" si="18"/>
        <v>#VALUE!</v>
      </c>
      <c r="AF40" s="661" t="e">
        <f t="shared" si="19"/>
        <v>#VALUE!</v>
      </c>
      <c r="AH40" s="662" t="str">
        <f t="shared" si="15"/>
        <v/>
      </c>
      <c r="AI40" s="662" t="str">
        <f t="shared" si="16"/>
        <v/>
      </c>
      <c r="AJ40" s="663">
        <f t="shared" si="20"/>
        <v>192.4571</v>
      </c>
      <c r="AK40" s="660">
        <f t="shared" si="21"/>
        <v>0.24379999999999999</v>
      </c>
      <c r="AL40" s="660" t="e">
        <f t="shared" si="22"/>
        <v>#VALUE!</v>
      </c>
      <c r="AM40" s="664" t="e">
        <f t="shared" si="23"/>
        <v>#VALUE!</v>
      </c>
      <c r="AN40" s="664" t="e">
        <f t="shared" si="24"/>
        <v>#VALUE!</v>
      </c>
      <c r="AO40" s="665" t="e">
        <f t="shared" si="25"/>
        <v>#VALUE!</v>
      </c>
      <c r="AP40" s="666" t="e">
        <f t="shared" si="26"/>
        <v>#VALUE!</v>
      </c>
      <c r="AQ40" s="660" t="e">
        <f t="shared" si="27"/>
        <v>#VALUE!</v>
      </c>
      <c r="AR40" s="667" t="e">
        <f t="shared" si="28"/>
        <v>#VALUE!</v>
      </c>
      <c r="AS40" s="667" t="e">
        <f t="shared" si="29"/>
        <v>#VALUE!</v>
      </c>
      <c r="AT40" s="668" t="e">
        <f t="shared" si="30"/>
        <v>#VALUE!</v>
      </c>
      <c r="AU40" s="667" t="e">
        <f t="shared" si="31"/>
        <v>#VALUE!</v>
      </c>
      <c r="AV40" s="669" t="e">
        <f t="shared" si="32"/>
        <v>#VALUE!</v>
      </c>
      <c r="AW40" s="667" t="e">
        <f t="shared" si="33"/>
        <v>#VALUE!</v>
      </c>
      <c r="AX40" s="667" t="e">
        <f t="shared" si="34"/>
        <v>#VALUE!</v>
      </c>
      <c r="AY40" s="660" t="e">
        <f t="shared" si="35"/>
        <v>#VALUE!</v>
      </c>
      <c r="AZ40" s="670" t="e">
        <f t="shared" si="36"/>
        <v>#VALUE!</v>
      </c>
      <c r="BB40" s="662" t="e">
        <f>INDEX('Vessel Gauging Data'!$B$26:$V$56,MATCH($C40,'Vessel Gauging Data'!$B$26:$B$56,0),$BB$18)</f>
        <v>#N/A</v>
      </c>
      <c r="BC40" s="662" t="e">
        <f>INDEX('Vessel Gauging Data'!$B$26:$V$56,MATCH($C40,'Vessel Gauging Data'!$B$26:$B$56,0),$BC$18)</f>
        <v>#N/A</v>
      </c>
      <c r="BD40" s="662" t="e">
        <f>INDEX('Vessel Gauging Data'!$B$26:$V$56,MATCH($C40,'Vessel Gauging Data'!$B$26:$B$56,0),$BD$18)</f>
        <v>#N/A</v>
      </c>
      <c r="BE40" s="662" t="e">
        <f>INDEX('Vessel Gauging Data'!$B$26:$V$56,MATCH($C40,'Vessel Gauging Data'!$B$26:$B$56,0),$BE$18)</f>
        <v>#N/A</v>
      </c>
    </row>
    <row r="41" spans="1:57" hidden="1">
      <c r="A41" s="641" t="str">
        <f t="shared" si="0"/>
        <v>N</v>
      </c>
      <c r="C41" s="237" t="str">
        <f t="array" ref="C41">IF(OR($E$21="",SUMPRODUCT(('Vessel Gauging Data'!$C$27:$C$56=$E$21)*('Vessel Gauging Data'!$D$27:$D$56=NOMY))&lt;ROWS($C$22:$C41)),"",INDEX('Vessel Gauging Data'!$B$27:$B$56,SMALL(IF(('Vessel Gauging Data'!$C$27:$C$56=$E$21)+('Vessel Gauging Data'!$D$27:$D$56=NOMY)=2,ROW('Vessel Gauging Data'!$B$27:$B$56)-ROW('Vessel Gauging Data'!$C$26)),ROW()-ROW(C$21))))</f>
        <v/>
      </c>
      <c r="D41" s="238" t="str">
        <f>IF(OR($C41="",$C41=0),"",INDEX('Vessel Gauging Data'!$B$26:$V$56,MATCH($C41,'Vessel Gauging Data'!$B$27:$B$56,0)+1,2))</f>
        <v/>
      </c>
      <c r="E41" s="1017" t="str">
        <f t="shared" si="1"/>
        <v/>
      </c>
      <c r="F41" s="1017" t="str">
        <f t="shared" si="2"/>
        <v/>
      </c>
      <c r="G41" s="1017" t="str">
        <f t="shared" si="3"/>
        <v/>
      </c>
      <c r="H41" s="1017" t="str">
        <f t="shared" si="3"/>
        <v/>
      </c>
      <c r="I41" s="238" t="str">
        <f t="shared" si="4"/>
        <v/>
      </c>
      <c r="J41" s="1017" t="str">
        <f t="shared" si="5"/>
        <v/>
      </c>
      <c r="K41" s="240" t="str">
        <f t="shared" si="6"/>
        <v/>
      </c>
      <c r="L41" s="239" t="str">
        <f t="shared" si="7"/>
        <v/>
      </c>
      <c r="M41" s="1126" t="str">
        <f>IF(OR($C41="",$C41=0),"",INDEX(API1DENST,MATCH($C41,'Vessel Gauging Data'!$B$27:$B$56,0),$AA$1))</f>
        <v/>
      </c>
      <c r="N41" s="239" t="str">
        <f t="shared" si="8"/>
        <v/>
      </c>
      <c r="O41" s="1017" t="str">
        <f t="shared" si="9"/>
        <v/>
      </c>
      <c r="P41" s="1126" t="str">
        <f t="shared" si="10"/>
        <v/>
      </c>
      <c r="Q41" s="1017" t="str">
        <f t="shared" si="11"/>
        <v/>
      </c>
      <c r="R41" s="241" t="str">
        <f t="shared" si="12"/>
        <v/>
      </c>
      <c r="S41" s="1126" t="str">
        <f t="shared" si="13"/>
        <v/>
      </c>
      <c r="T41" s="242" t="str">
        <f t="shared" si="14"/>
        <v/>
      </c>
      <c r="V41" s="642" t="e">
        <f>INDEX('Vessel Gauging Data'!$B$26:$V$56,MATCH($C41,'Vessel Gauging Data'!$B$26:$B$56,0),$V$18)</f>
        <v>#N/A</v>
      </c>
      <c r="W41" s="642" t="e">
        <f>INDEX('Vessel Gauging Data'!$B$26:$V$56,MATCH($C41,'Vessel Gauging Data'!$B$26:$B$56,0),$W$18)</f>
        <v>#N/A</v>
      </c>
      <c r="X41" s="642" t="e">
        <f>INDEX('Vessel Gauging Data'!$B$26:$V$56,MATCH($C41,'Vessel Gauging Data'!$B$26:$B$56,0),$X$18)</f>
        <v>#N/A</v>
      </c>
      <c r="Y41" s="642" t="e">
        <f>INDEX('Vessel Gauging Data'!$B$26:$V$56,MATCH($C41,'Vessel Gauging Data'!$B$26:$B$56,0),$Y$18)</f>
        <v>#N/A</v>
      </c>
      <c r="Z41" s="642" t="e">
        <f>INDEX('Vessel Gauging Data'!$B$26:$V$56,MATCH($C41,'Vessel Gauging Data'!$B$26:$B$56,0),$Z$18)</f>
        <v>#N/A</v>
      </c>
      <c r="AB41" s="642" t="e">
        <f>INDEX(API1DENST,MATCH($C41,'Vessel Gauging Data'!$B$27:$B$56,0),1)</f>
        <v>#N/A</v>
      </c>
      <c r="AC41" s="642" t="e">
        <f t="shared" si="17"/>
        <v>#N/A</v>
      </c>
      <c r="AE41" s="661" t="e">
        <f t="shared" si="18"/>
        <v>#VALUE!</v>
      </c>
      <c r="AF41" s="661" t="e">
        <f t="shared" si="19"/>
        <v>#VALUE!</v>
      </c>
      <c r="AH41" s="662" t="str">
        <f t="shared" si="15"/>
        <v/>
      </c>
      <c r="AI41" s="662" t="str">
        <f t="shared" si="16"/>
        <v/>
      </c>
      <c r="AJ41" s="663">
        <f t="shared" si="20"/>
        <v>192.4571</v>
      </c>
      <c r="AK41" s="660">
        <f t="shared" si="21"/>
        <v>0.24379999999999999</v>
      </c>
      <c r="AL41" s="660" t="e">
        <f t="shared" si="22"/>
        <v>#VALUE!</v>
      </c>
      <c r="AM41" s="664" t="e">
        <f t="shared" si="23"/>
        <v>#VALUE!</v>
      </c>
      <c r="AN41" s="664" t="e">
        <f t="shared" si="24"/>
        <v>#VALUE!</v>
      </c>
      <c r="AO41" s="665" t="e">
        <f t="shared" si="25"/>
        <v>#VALUE!</v>
      </c>
      <c r="AP41" s="666" t="e">
        <f t="shared" si="26"/>
        <v>#VALUE!</v>
      </c>
      <c r="AQ41" s="660" t="e">
        <f t="shared" si="27"/>
        <v>#VALUE!</v>
      </c>
      <c r="AR41" s="667" t="e">
        <f t="shared" si="28"/>
        <v>#VALUE!</v>
      </c>
      <c r="AS41" s="667" t="e">
        <f t="shared" si="29"/>
        <v>#VALUE!</v>
      </c>
      <c r="AT41" s="668" t="e">
        <f t="shared" si="30"/>
        <v>#VALUE!</v>
      </c>
      <c r="AU41" s="667" t="e">
        <f t="shared" si="31"/>
        <v>#VALUE!</v>
      </c>
      <c r="AV41" s="669" t="e">
        <f t="shared" si="32"/>
        <v>#VALUE!</v>
      </c>
      <c r="AW41" s="667" t="e">
        <f t="shared" si="33"/>
        <v>#VALUE!</v>
      </c>
      <c r="AX41" s="667" t="e">
        <f t="shared" si="34"/>
        <v>#VALUE!</v>
      </c>
      <c r="AY41" s="660" t="e">
        <f t="shared" si="35"/>
        <v>#VALUE!</v>
      </c>
      <c r="AZ41" s="670" t="e">
        <f t="shared" si="36"/>
        <v>#VALUE!</v>
      </c>
      <c r="BB41" s="662" t="e">
        <f>INDEX('Vessel Gauging Data'!$B$26:$V$56,MATCH($C41,'Vessel Gauging Data'!$B$26:$B$56,0),$BB$18)</f>
        <v>#N/A</v>
      </c>
      <c r="BC41" s="662" t="e">
        <f>INDEX('Vessel Gauging Data'!$B$26:$V$56,MATCH($C41,'Vessel Gauging Data'!$B$26:$B$56,0),$BC$18)</f>
        <v>#N/A</v>
      </c>
      <c r="BD41" s="662" t="e">
        <f>INDEX('Vessel Gauging Data'!$B$26:$V$56,MATCH($C41,'Vessel Gauging Data'!$B$26:$B$56,0),$BD$18)</f>
        <v>#N/A</v>
      </c>
      <c r="BE41" s="662" t="e">
        <f>INDEX('Vessel Gauging Data'!$B$26:$V$56,MATCH($C41,'Vessel Gauging Data'!$B$26:$B$56,0),$BE$18)</f>
        <v>#N/A</v>
      </c>
    </row>
    <row r="42" spans="1:57" hidden="1">
      <c r="A42" s="641" t="str">
        <f>A21</f>
        <v>N</v>
      </c>
      <c r="C42" s="671"/>
      <c r="D42" s="671"/>
      <c r="E42" s="672"/>
      <c r="F42" s="672"/>
      <c r="G42" s="672"/>
      <c r="H42" s="1501"/>
      <c r="I42" s="671"/>
      <c r="J42" s="672"/>
      <c r="K42" s="673"/>
      <c r="L42" s="672"/>
      <c r="M42" s="674"/>
      <c r="N42" s="672"/>
      <c r="O42" s="672"/>
      <c r="P42" s="1127"/>
      <c r="Q42" s="672"/>
      <c r="R42" s="675"/>
      <c r="S42" s="1137" t="s">
        <v>401</v>
      </c>
      <c r="T42" s="619">
        <f>SUM(T22:T41)</f>
        <v>0</v>
      </c>
      <c r="V42" s="719"/>
      <c r="W42" s="719"/>
      <c r="X42" s="719"/>
      <c r="Y42" s="719"/>
      <c r="Z42" s="719"/>
      <c r="AA42" s="676"/>
      <c r="AB42" s="719"/>
      <c r="AC42" s="719"/>
      <c r="AD42" s="676"/>
      <c r="AE42" s="720"/>
      <c r="AF42" s="720"/>
      <c r="AG42" s="676"/>
      <c r="AH42" s="721"/>
      <c r="AI42" s="721"/>
      <c r="AJ42" s="722"/>
      <c r="AK42" s="723"/>
      <c r="AL42" s="723"/>
      <c r="AM42" s="724"/>
      <c r="AN42" s="724"/>
      <c r="AO42" s="725"/>
      <c r="AP42" s="726"/>
      <c r="AQ42" s="723"/>
      <c r="AR42" s="727"/>
      <c r="AS42" s="727"/>
      <c r="AT42" s="728"/>
      <c r="AU42" s="727"/>
      <c r="AV42" s="729"/>
      <c r="AW42" s="727"/>
      <c r="AX42" s="727"/>
      <c r="AY42" s="723"/>
      <c r="AZ42" s="730"/>
      <c r="BA42" s="676"/>
      <c r="BB42" s="721"/>
      <c r="BC42" s="721"/>
      <c r="BD42" s="721"/>
      <c r="BE42" s="721"/>
    </row>
    <row r="43" spans="1:57" s="702" customFormat="1" ht="5.25" hidden="1">
      <c r="A43" s="702" t="str">
        <f>IF(A44="N",A44,IF(COUNTIF($A$21:$A41,"Y")&gt;0,A44,"N"))</f>
        <v>N</v>
      </c>
      <c r="C43" s="704"/>
      <c r="D43" s="704"/>
      <c r="E43" s="704"/>
      <c r="F43" s="704"/>
      <c r="G43" s="704"/>
      <c r="H43" s="704"/>
      <c r="I43" s="704"/>
      <c r="J43" s="705"/>
      <c r="K43" s="705"/>
      <c r="L43" s="705"/>
      <c r="M43" s="705"/>
      <c r="N43" s="705"/>
      <c r="O43" s="705"/>
      <c r="P43" s="1128"/>
      <c r="Q43" s="705"/>
      <c r="R43" s="705"/>
      <c r="S43" s="1136"/>
      <c r="T43" s="706"/>
      <c r="V43" s="707"/>
      <c r="W43" s="707"/>
      <c r="X43" s="707"/>
      <c r="Y43" s="707"/>
      <c r="Z43" s="707"/>
      <c r="AA43" s="707"/>
      <c r="AB43" s="707"/>
      <c r="AC43" s="707"/>
      <c r="AD43" s="707"/>
      <c r="AE43" s="708"/>
      <c r="AF43" s="708"/>
      <c r="AG43" s="707"/>
      <c r="AH43" s="709"/>
      <c r="AI43" s="709"/>
      <c r="AJ43" s="710"/>
      <c r="AK43" s="711"/>
      <c r="AL43" s="711"/>
      <c r="AM43" s="712"/>
      <c r="AN43" s="712"/>
      <c r="AO43" s="713"/>
      <c r="AP43" s="714"/>
      <c r="AQ43" s="711"/>
      <c r="AR43" s="715"/>
      <c r="AS43" s="715"/>
      <c r="AT43" s="716"/>
      <c r="AU43" s="715"/>
      <c r="AV43" s="717"/>
      <c r="AW43" s="715"/>
      <c r="AX43" s="715"/>
      <c r="AY43" s="711"/>
      <c r="AZ43" s="718"/>
      <c r="BA43" s="707"/>
      <c r="BB43" s="709"/>
      <c r="BC43" s="709"/>
      <c r="BD43" s="709"/>
      <c r="BE43" s="709"/>
    </row>
    <row r="44" spans="1:57" ht="15.75" hidden="1">
      <c r="A44" s="641" t="str">
        <f>A45</f>
        <v>N</v>
      </c>
      <c r="B44" s="641">
        <v>2</v>
      </c>
      <c r="C44" s="2797" t="s">
        <v>163</v>
      </c>
      <c r="D44" s="2798"/>
      <c r="E44" s="2799" t="str">
        <f>'Preliminary Report'!F1</f>
        <v>LSFO</v>
      </c>
      <c r="F44" s="2800"/>
      <c r="G44" s="2800"/>
      <c r="H44" s="2800"/>
      <c r="I44" s="2801"/>
      <c r="J44" s="698"/>
      <c r="K44" s="699"/>
      <c r="L44" s="700"/>
      <c r="M44" s="699"/>
      <c r="N44" s="699"/>
      <c r="O44" s="700"/>
      <c r="P44" s="1129"/>
      <c r="Q44" s="700"/>
      <c r="R44" s="701"/>
      <c r="S44" s="1129"/>
      <c r="T44" s="701"/>
      <c r="V44" s="731"/>
      <c r="W44" s="731"/>
      <c r="X44" s="731"/>
      <c r="Y44" s="731"/>
      <c r="Z44" s="731"/>
      <c r="AA44" s="676"/>
      <c r="AB44" s="731"/>
      <c r="AC44" s="731"/>
      <c r="AD44" s="676"/>
      <c r="AE44" s="732"/>
      <c r="AF44" s="732"/>
      <c r="AG44" s="676"/>
      <c r="AH44" s="733"/>
      <c r="AI44" s="733"/>
      <c r="AJ44" s="734"/>
      <c r="AK44" s="735"/>
      <c r="AL44" s="735"/>
      <c r="AM44" s="736"/>
      <c r="AN44" s="736"/>
      <c r="AO44" s="737"/>
      <c r="AP44" s="738"/>
      <c r="AQ44" s="735"/>
      <c r="AR44" s="739"/>
      <c r="AS44" s="739"/>
      <c r="AT44" s="740"/>
      <c r="AU44" s="739"/>
      <c r="AV44" s="741"/>
      <c r="AW44" s="739"/>
      <c r="AX44" s="739"/>
      <c r="AY44" s="735"/>
      <c r="AZ44" s="742"/>
      <c r="BA44" s="676"/>
      <c r="BB44" s="733"/>
      <c r="BC44" s="733"/>
      <c r="BD44" s="733"/>
      <c r="BE44" s="733"/>
    </row>
    <row r="45" spans="1:57" hidden="1">
      <c r="A45" s="641" t="str">
        <f t="shared" ref="A45:A64" si="37">IF(C45="","N",IF(ISERROR(MATCH($E$44,IF($Z$1=1,GRADESLIST,IF($Z$1=2,RESIDUALS,DISTILLATES)),0)),"N","Y"))</f>
        <v>N</v>
      </c>
      <c r="C45" s="622" t="str">
        <f t="array" ref="C45">IF(OR($E$44="",SUMPRODUCT(('Vessel Gauging Data'!$C$27:$C$56=$E$44)*('Vessel Gauging Data'!$D$27:$D$56=NOMY))&lt;ROWS($C$45:$C45)),"",INDEX('Vessel Gauging Data'!$B$27:$B$56,SMALL(IF(('Vessel Gauging Data'!$C$27:$C$56=$E$44)+('Vessel Gauging Data'!$D$27:$D$56=NOMY)=2,ROW('Vessel Gauging Data'!$B$27:$B$56)-ROW('Vessel Gauging Data'!$C$26)),ROW()-ROW(C$44))))</f>
        <v>A FO P</v>
      </c>
      <c r="D45" s="623" t="str">
        <f>IF(OR($C45="",$C45=0),"",INDEX('Vessel Gauging Data'!$B$26:$V$56,MATCH($C45,'Vessel Gauging Data'!$B$27:$B$56,0)+1,2))</f>
        <v>LSFO</v>
      </c>
      <c r="E45" s="1018">
        <f t="shared" ref="E45:E64" si="38">IF(ISERROR(V45),"",IF(OR($C45="",$C45=0),"",IF(ISTEXT(V45),V45,IF($AB$1=1,V45*UNITOR_1,INT(V45*UNITOR_1)&amp;"'-"&amp;TRIM(TEXT(ROUND(MOD(V45*UNITOR_1,1)*12,1),"# ???/???"))&amp;""""))))</f>
        <v>17.43</v>
      </c>
      <c r="F45" s="1018">
        <f t="shared" ref="F45:F64" si="39">IF(ISERROR(W45),"",IF(OR($C45="",$C45=0),"",IF(ISTEXT(W45),W45,IF($AB$1=1,W45*UNITOR_1,INT(W45*UNITOR_1)&amp;"'-"&amp;TRIM(TEXT(ROUND(MOD(W45*UNITOR_1,1)*12,1),"# ???/???"))&amp;""""))))</f>
        <v>17.43</v>
      </c>
      <c r="G45" s="1018">
        <f t="shared" ref="G45:H64" si="40">IF(ISERROR(X45),"",IF(OR($C45="",$C45=0),"",IF(ISTEXT(X45),X45,IF($AB$1=1,X45*UNITOR_1,INT(X45*UNITOR_1)&amp;"'-"&amp;TRIM(TEXT(ROUND(MOD(X45*UNITOR_1,1)*12,1),"# ???/???"))&amp;""""))))</f>
        <v>0</v>
      </c>
      <c r="H45" s="1018">
        <f t="shared" si="40"/>
        <v>0</v>
      </c>
      <c r="I45" s="623" t="str">
        <f t="shared" ref="I45:I64" si="41">IF(ISERROR($BB45),"",IF(OR($C45="",$C45=0,$BB45=0),"",$BB45))</f>
        <v>S</v>
      </c>
      <c r="J45" s="1018">
        <f t="shared" ref="J45:J64" si="42">IF(ISERROR($BC45),"",IF(OR($C45="",$C45=0,$BC45=""),"",IF(ISTEXT($BC45),$BC45,$BC45*IF($AA$1=B1SEL,1,IF($AA$1=2,FBBLS,1/FBBLS)))))</f>
        <v>0.1</v>
      </c>
      <c r="K45" s="625">
        <f t="shared" ref="K45:K64" si="43">IF(ISERROR($BD45),"",IF(OR($C45="",$C45=0,$BD45=""),0,IF(ISTEXT($BD45),$BD45,$BD45*IF($AB$1=W1SEL,1,IF($AB$1=2,FINCH,1/FINCH)))))</f>
        <v>0</v>
      </c>
      <c r="L45" s="624">
        <f t="shared" ref="L45:L64" si="44">IF(ISERROR($BE45),"",IF(OR($C45="",$C45=0,$BE45=""),0,IF(ISTEXT($BE45),$BE45,$BE45*IF($AA$1=B1SEL,1,IF($AA$1=2,FBBLS,1/FBBLS)))))</f>
        <v>0</v>
      </c>
      <c r="M45" s="1124">
        <f>IF(OR($C45="",$C45=0),"",INDEX(API1DENST,MATCH($C45,'Vessel Gauging Data'!$B$27:$B$56,0),$AA$1))</f>
        <v>0.91769999999999996</v>
      </c>
      <c r="N45" s="624">
        <f t="shared" ref="N45:N64" si="45">IF(ISERROR(Z45),"",IF(OR($C45="",$C45=0,Z45=""),"",IF(ISTEXT(Z45),Z45,IF($AA$1=T1SEL,Z45,IF($AA$1=2,(Z45*9/5)+32,(Z45-32)*5/9)))))</f>
        <v>35</v>
      </c>
      <c r="O45" s="1018">
        <f t="shared" ref="O45:O64" si="46">IF(OR(J45="",L45=""),"",IF(ISTEXT(J45),"N/A",IF(ISTEXT(L45),J45,J45-L45)))</f>
        <v>0.1</v>
      </c>
      <c r="P45" s="1124">
        <f t="shared" ref="P45:P64" si="47">IF(OR(M45="",N45=""),"",IF(OR(ISTEXT(M45),ISTEXT(N45)),"N/A",IF($AA$1=1,ROUND(EXP(-AF45*(N45-15)*(1+0.8*AF45*(N45-15))),5),AZ45)))</f>
        <v>0.9849</v>
      </c>
      <c r="Q45" s="1018">
        <f t="shared" ref="Q45:Q64" si="48">IF(OR(M45="",N45=""),"",IF(OR(ISTEXT(M45),ISTEXT(N45)),"N/A",ROUND(O45*P45,3)))</f>
        <v>9.8000000000000004E-2</v>
      </c>
      <c r="R45" s="626">
        <f t="shared" ref="R45:R64" si="49">IF(M45="","",IF($AA$1=1,IF(ISTEXT(Q45),"N/A",ROUND(Q45*M45,3)),IF(ISTEXT(T45),"N/A",ROUND(T45*AC45,3))))</f>
        <v>0.09</v>
      </c>
      <c r="S45" s="1124">
        <f t="shared" ref="S45:S64" si="50">IF(M45="","",IF($AA$1=1,ROUND(M45-0.0011,5),ROUND((1.00122697*(141.5/(M45+131.5))-1.22269727*10^-3)*8.32823*42/2204.62,5+2)))</f>
        <v>0.91659999999999997</v>
      </c>
      <c r="T45" s="627">
        <f t="shared" ref="T45:T64" si="51">IF(OR(M45="",N45=""),"",IF(ISTEXT(Q45),"N/A",IF($AA$1=1,ROUND((Q45*(M45-0.0011)),3),ROUND(Q45*S45,3))))</f>
        <v>0.09</v>
      </c>
      <c r="V45" s="642">
        <f>INDEX('Vessel Gauging Data'!$B$26:$V$56,MATCH($C45,'Vessel Gauging Data'!$B$26:$B$56,0),$V$18)</f>
        <v>17.43</v>
      </c>
      <c r="W45" s="642">
        <f>INDEX('Vessel Gauging Data'!$B$26:$V$56,MATCH($C45,'Vessel Gauging Data'!$B$26:$B$56,0),$W$18)</f>
        <v>17.43</v>
      </c>
      <c r="X45" s="642">
        <f>INDEX('Vessel Gauging Data'!$B$26:$V$56,MATCH($C45,'Vessel Gauging Data'!$B$26:$B$56,0),$X$18)</f>
        <v>0</v>
      </c>
      <c r="Y45" s="642">
        <f>INDEX('Vessel Gauging Data'!$B$26:$V$56,MATCH($C45,'Vessel Gauging Data'!$B$26:$B$56,0),$Y$18)</f>
        <v>0</v>
      </c>
      <c r="Z45" s="642">
        <f>INDEX('Vessel Gauging Data'!$B$26:$V$56,MATCH($C45,'Vessel Gauging Data'!$B$26:$B$56,0),$Z$18)</f>
        <v>35</v>
      </c>
      <c r="AB45" s="642">
        <f>INDEX(API1DENST,MATCH($C45,'Vessel Gauging Data'!$B$27:$B$56,0),1)</f>
        <v>0.91769999999999996</v>
      </c>
      <c r="AC45" s="642">
        <f t="shared" si="17"/>
        <v>1.00115</v>
      </c>
      <c r="AE45" s="661">
        <f t="shared" si="18"/>
        <v>918</v>
      </c>
      <c r="AF45" s="661">
        <f t="shared" si="19"/>
        <v>7.5148999999999995E-4</v>
      </c>
      <c r="AH45" s="662">
        <f t="shared" si="15"/>
        <v>35</v>
      </c>
      <c r="AI45" s="662">
        <f t="shared" si="16"/>
        <v>0.91769999999999996</v>
      </c>
      <c r="AJ45" s="663">
        <f t="shared" si="20"/>
        <v>103.872</v>
      </c>
      <c r="AK45" s="660">
        <f t="shared" si="21"/>
        <v>0.27010000000000001</v>
      </c>
      <c r="AL45" s="660">
        <f t="shared" si="22"/>
        <v>1067.53</v>
      </c>
      <c r="AM45" s="664">
        <f t="shared" si="23"/>
        <v>9.7301239999999997E-2</v>
      </c>
      <c r="AN45" s="664">
        <f t="shared" si="24"/>
        <v>9.1146100000000005E-5</v>
      </c>
      <c r="AO45" s="665">
        <f t="shared" si="25"/>
        <v>2.5301389999999999E-4</v>
      </c>
      <c r="AP45" s="666">
        <f t="shared" si="26"/>
        <v>3.4420000000000002E-4</v>
      </c>
      <c r="AQ45" s="660">
        <f t="shared" si="27"/>
        <v>-25</v>
      </c>
      <c r="AR45" s="667">
        <f t="shared" si="28"/>
        <v>-8.6049999999999998E-3</v>
      </c>
      <c r="AS45" s="667">
        <f t="shared" si="29"/>
        <v>-6.8840000000000004E-3</v>
      </c>
      <c r="AT45" s="668">
        <f t="shared" si="30"/>
        <v>5.923E-5</v>
      </c>
      <c r="AU45" s="667">
        <f t="shared" si="31"/>
        <v>8.5457699999999994E-3</v>
      </c>
      <c r="AV45" s="669">
        <f t="shared" si="32"/>
        <v>2.5000000000000001E-4</v>
      </c>
      <c r="AW45" s="667">
        <f t="shared" si="33"/>
        <v>2.2999999999999999E-7</v>
      </c>
      <c r="AX45" s="667">
        <f t="shared" si="34"/>
        <v>103.87200023</v>
      </c>
      <c r="AY45" s="660">
        <f t="shared" si="35"/>
        <v>3.4420000000000002E-4</v>
      </c>
      <c r="AZ45" s="670">
        <f t="shared" si="36"/>
        <v>1.00858</v>
      </c>
      <c r="BB45" s="662" t="str">
        <f>INDEX('Vessel Gauging Data'!$B$26:$V$56,MATCH($C45,'Vessel Gauging Data'!$B$26:$B$56,0),$BB$18)</f>
        <v>S</v>
      </c>
      <c r="BC45" s="662">
        <f>INDEX('Vessel Gauging Data'!$B$26:$V$56,MATCH($C45,'Vessel Gauging Data'!$B$26:$B$56,0),$BC$18)</f>
        <v>0.1</v>
      </c>
      <c r="BD45" s="662">
        <f>INDEX('Vessel Gauging Data'!$B$26:$V$56,MATCH($C45,'Vessel Gauging Data'!$B$26:$B$56,0),$BD$18)</f>
        <v>0</v>
      </c>
      <c r="BE45" s="662">
        <f>INDEX('Vessel Gauging Data'!$B$26:$V$56,MATCH($C45,'Vessel Gauging Data'!$B$26:$B$56,0),$BE$18)</f>
        <v>0</v>
      </c>
    </row>
    <row r="46" spans="1:57" hidden="1">
      <c r="A46" s="641" t="str">
        <f t="shared" si="37"/>
        <v>N</v>
      </c>
      <c r="C46" s="235" t="str">
        <f t="array" ref="C46">IF(OR($E$44="",SUMPRODUCT(('Vessel Gauging Data'!$C$27:$C$56=$E$44)*('Vessel Gauging Data'!$D$27:$D$56=NOMY))&lt;ROWS($C$45:$C46)),"",INDEX('Vessel Gauging Data'!$B$27:$B$56,SMALL(IF(('Vessel Gauging Data'!$C$27:$C$56=$E$44)+('Vessel Gauging Data'!$D$27:$D$56=NOMY)=2,ROW('Vessel Gauging Data'!$B$27:$B$56)-ROW('Vessel Gauging Data'!$C$26)),ROW()-ROW(C$44))))</f>
        <v/>
      </c>
      <c r="D46" s="211" t="str">
        <f>IF(OR($C46="",$C46=0),"",INDEX('Vessel Gauging Data'!$B$26:$V$56,MATCH($C46,'Vessel Gauging Data'!$B$27:$B$56,0)+1,2))</f>
        <v/>
      </c>
      <c r="E46" s="1016" t="str">
        <f t="shared" si="38"/>
        <v/>
      </c>
      <c r="F46" s="1016" t="str">
        <f t="shared" si="39"/>
        <v/>
      </c>
      <c r="G46" s="1016" t="str">
        <f t="shared" si="40"/>
        <v/>
      </c>
      <c r="H46" s="1016" t="str">
        <f t="shared" si="40"/>
        <v/>
      </c>
      <c r="I46" s="211" t="str">
        <f t="shared" si="41"/>
        <v/>
      </c>
      <c r="J46" s="1016" t="str">
        <f t="shared" si="42"/>
        <v/>
      </c>
      <c r="K46" s="213" t="str">
        <f t="shared" si="43"/>
        <v/>
      </c>
      <c r="L46" s="212" t="str">
        <f t="shared" si="44"/>
        <v/>
      </c>
      <c r="M46" s="1125" t="str">
        <f>IF(OR($C46="",$C46=0),"",INDEX(API1DENST,MATCH($C46,'Vessel Gauging Data'!$B$27:$B$56,0),$AA$1))</f>
        <v/>
      </c>
      <c r="N46" s="212" t="str">
        <f t="shared" si="45"/>
        <v/>
      </c>
      <c r="O46" s="1016" t="str">
        <f t="shared" si="46"/>
        <v/>
      </c>
      <c r="P46" s="1125" t="str">
        <f t="shared" si="47"/>
        <v/>
      </c>
      <c r="Q46" s="1016" t="str">
        <f t="shared" si="48"/>
        <v/>
      </c>
      <c r="R46" s="214" t="str">
        <f t="shared" si="49"/>
        <v/>
      </c>
      <c r="S46" s="1125" t="str">
        <f t="shared" si="50"/>
        <v/>
      </c>
      <c r="T46" s="236" t="str">
        <f t="shared" si="51"/>
        <v/>
      </c>
      <c r="V46" s="642" t="e">
        <f>INDEX('Vessel Gauging Data'!$B$26:$V$56,MATCH($C46,'Vessel Gauging Data'!$B$26:$B$56,0),$V$18)</f>
        <v>#N/A</v>
      </c>
      <c r="W46" s="642" t="e">
        <f>INDEX('Vessel Gauging Data'!$B$26:$V$56,MATCH($C46,'Vessel Gauging Data'!$B$26:$B$56,0),$W$18)</f>
        <v>#N/A</v>
      </c>
      <c r="X46" s="642" t="e">
        <f>INDEX('Vessel Gauging Data'!$B$26:$V$56,MATCH($C46,'Vessel Gauging Data'!$B$26:$B$56,0),$X$18)</f>
        <v>#N/A</v>
      </c>
      <c r="Y46" s="642" t="e">
        <f>INDEX('Vessel Gauging Data'!$B$26:$V$56,MATCH($C46,'Vessel Gauging Data'!$B$26:$B$56,0),$Y$18)</f>
        <v>#N/A</v>
      </c>
      <c r="Z46" s="642" t="e">
        <f>INDEX('Vessel Gauging Data'!$B$26:$V$56,MATCH($C46,'Vessel Gauging Data'!$B$26:$B$56,0),$Z$18)</f>
        <v>#N/A</v>
      </c>
      <c r="AB46" s="642" t="e">
        <f>INDEX(API1DENST,MATCH($C46,'Vessel Gauging Data'!$B$27:$B$56,0),1)</f>
        <v>#N/A</v>
      </c>
      <c r="AC46" s="642" t="e">
        <f t="shared" si="17"/>
        <v>#N/A</v>
      </c>
      <c r="AE46" s="661" t="e">
        <f t="shared" si="18"/>
        <v>#VALUE!</v>
      </c>
      <c r="AF46" s="661" t="e">
        <f t="shared" si="19"/>
        <v>#VALUE!</v>
      </c>
      <c r="AH46" s="662" t="str">
        <f t="shared" si="15"/>
        <v/>
      </c>
      <c r="AI46" s="662" t="str">
        <f t="shared" si="16"/>
        <v/>
      </c>
      <c r="AJ46" s="663">
        <f t="shared" si="20"/>
        <v>192.4571</v>
      </c>
      <c r="AK46" s="660">
        <f t="shared" si="21"/>
        <v>0.24379999999999999</v>
      </c>
      <c r="AL46" s="660" t="e">
        <f t="shared" si="22"/>
        <v>#VALUE!</v>
      </c>
      <c r="AM46" s="664" t="e">
        <f t="shared" si="23"/>
        <v>#VALUE!</v>
      </c>
      <c r="AN46" s="664" t="e">
        <f t="shared" si="24"/>
        <v>#VALUE!</v>
      </c>
      <c r="AO46" s="665" t="e">
        <f t="shared" si="25"/>
        <v>#VALUE!</v>
      </c>
      <c r="AP46" s="666" t="e">
        <f t="shared" si="26"/>
        <v>#VALUE!</v>
      </c>
      <c r="AQ46" s="660" t="e">
        <f t="shared" si="27"/>
        <v>#VALUE!</v>
      </c>
      <c r="AR46" s="667" t="e">
        <f t="shared" si="28"/>
        <v>#VALUE!</v>
      </c>
      <c r="AS46" s="667" t="e">
        <f t="shared" si="29"/>
        <v>#VALUE!</v>
      </c>
      <c r="AT46" s="668" t="e">
        <f t="shared" si="30"/>
        <v>#VALUE!</v>
      </c>
      <c r="AU46" s="667" t="e">
        <f t="shared" si="31"/>
        <v>#VALUE!</v>
      </c>
      <c r="AV46" s="669" t="e">
        <f t="shared" si="32"/>
        <v>#VALUE!</v>
      </c>
      <c r="AW46" s="667" t="e">
        <f t="shared" si="33"/>
        <v>#VALUE!</v>
      </c>
      <c r="AX46" s="667" t="e">
        <f t="shared" si="34"/>
        <v>#VALUE!</v>
      </c>
      <c r="AY46" s="660" t="e">
        <f t="shared" si="35"/>
        <v>#VALUE!</v>
      </c>
      <c r="AZ46" s="670" t="e">
        <f t="shared" si="36"/>
        <v>#VALUE!</v>
      </c>
      <c r="BB46" s="662" t="e">
        <f>INDEX('Vessel Gauging Data'!$B$26:$V$56,MATCH($C46,'Vessel Gauging Data'!$B$26:$B$56,0),$BB$18)</f>
        <v>#N/A</v>
      </c>
      <c r="BC46" s="662" t="e">
        <f>INDEX('Vessel Gauging Data'!$B$26:$V$56,MATCH($C46,'Vessel Gauging Data'!$B$26:$B$56,0),$BC$18)</f>
        <v>#N/A</v>
      </c>
      <c r="BD46" s="662" t="e">
        <f>INDEX('Vessel Gauging Data'!$B$26:$V$56,MATCH($C46,'Vessel Gauging Data'!$B$26:$B$56,0),$BD$18)</f>
        <v>#N/A</v>
      </c>
      <c r="BE46" s="662" t="e">
        <f>INDEX('Vessel Gauging Data'!$B$26:$V$56,MATCH($C46,'Vessel Gauging Data'!$B$26:$B$56,0),$BE$18)</f>
        <v>#N/A</v>
      </c>
    </row>
    <row r="47" spans="1:57" hidden="1">
      <c r="A47" s="641" t="str">
        <f t="shared" si="37"/>
        <v>N</v>
      </c>
      <c r="C47" s="235" t="str">
        <f t="array" ref="C47">IF(OR($E$44="",SUMPRODUCT(('Vessel Gauging Data'!$C$27:$C$56=$E$44)*('Vessel Gauging Data'!$D$27:$D$56=NOMY))&lt;ROWS($C$45:$C47)),"",INDEX('Vessel Gauging Data'!$B$27:$B$56,SMALL(IF(('Vessel Gauging Data'!$C$27:$C$56=$E$44)+('Vessel Gauging Data'!$D$27:$D$56=NOMY)=2,ROW('Vessel Gauging Data'!$B$27:$B$56)-ROW('Vessel Gauging Data'!$C$26)),ROW()-ROW(C$44))))</f>
        <v/>
      </c>
      <c r="D47" s="211" t="str">
        <f>IF(OR($C47="",$C47=0),"",INDEX('Vessel Gauging Data'!$B$26:$V$56,MATCH($C47,'Vessel Gauging Data'!$B$27:$B$56,0)+1,2))</f>
        <v/>
      </c>
      <c r="E47" s="1016" t="str">
        <f t="shared" si="38"/>
        <v/>
      </c>
      <c r="F47" s="1016" t="str">
        <f t="shared" si="39"/>
        <v/>
      </c>
      <c r="G47" s="1016" t="str">
        <f t="shared" si="40"/>
        <v/>
      </c>
      <c r="H47" s="1016" t="str">
        <f t="shared" si="40"/>
        <v/>
      </c>
      <c r="I47" s="211" t="str">
        <f t="shared" si="41"/>
        <v/>
      </c>
      <c r="J47" s="1016" t="str">
        <f t="shared" si="42"/>
        <v/>
      </c>
      <c r="K47" s="213" t="str">
        <f t="shared" si="43"/>
        <v/>
      </c>
      <c r="L47" s="212" t="str">
        <f t="shared" si="44"/>
        <v/>
      </c>
      <c r="M47" s="1125" t="str">
        <f>IF(OR($C47="",$C47=0),"",INDEX(API1DENST,MATCH($C47,'Vessel Gauging Data'!$B$27:$B$56,0),$AA$1))</f>
        <v/>
      </c>
      <c r="N47" s="212" t="str">
        <f t="shared" si="45"/>
        <v/>
      </c>
      <c r="O47" s="1016" t="str">
        <f t="shared" si="46"/>
        <v/>
      </c>
      <c r="P47" s="1125" t="str">
        <f t="shared" si="47"/>
        <v/>
      </c>
      <c r="Q47" s="1016" t="str">
        <f t="shared" si="48"/>
        <v/>
      </c>
      <c r="R47" s="214" t="str">
        <f t="shared" si="49"/>
        <v/>
      </c>
      <c r="S47" s="1125" t="str">
        <f t="shared" si="50"/>
        <v/>
      </c>
      <c r="T47" s="236" t="str">
        <f t="shared" si="51"/>
        <v/>
      </c>
      <c r="V47" s="642" t="e">
        <f>INDEX('Vessel Gauging Data'!$B$26:$V$56,MATCH($C47,'Vessel Gauging Data'!$B$26:$B$56,0),$V$18)</f>
        <v>#N/A</v>
      </c>
      <c r="W47" s="642" t="e">
        <f>INDEX('Vessel Gauging Data'!$B$26:$V$56,MATCH($C47,'Vessel Gauging Data'!$B$26:$B$56,0),$W$18)</f>
        <v>#N/A</v>
      </c>
      <c r="X47" s="642" t="e">
        <f>INDEX('Vessel Gauging Data'!$B$26:$V$56,MATCH($C47,'Vessel Gauging Data'!$B$26:$B$56,0),$X$18)</f>
        <v>#N/A</v>
      </c>
      <c r="Y47" s="642" t="e">
        <f>INDEX('Vessel Gauging Data'!$B$26:$V$56,MATCH($C47,'Vessel Gauging Data'!$B$26:$B$56,0),$Y$18)</f>
        <v>#N/A</v>
      </c>
      <c r="Z47" s="642" t="e">
        <f>INDEX('Vessel Gauging Data'!$B$26:$V$56,MATCH($C47,'Vessel Gauging Data'!$B$26:$B$56,0),$Z$18)</f>
        <v>#N/A</v>
      </c>
      <c r="AB47" s="642" t="e">
        <f>INDEX(API1DENST,MATCH($C47,'Vessel Gauging Data'!$B$27:$B$56,0),1)</f>
        <v>#N/A</v>
      </c>
      <c r="AC47" s="642" t="e">
        <f t="shared" si="17"/>
        <v>#N/A</v>
      </c>
      <c r="AE47" s="661" t="e">
        <f t="shared" si="18"/>
        <v>#VALUE!</v>
      </c>
      <c r="AF47" s="661" t="e">
        <f t="shared" si="19"/>
        <v>#VALUE!</v>
      </c>
      <c r="AH47" s="662" t="str">
        <f t="shared" si="15"/>
        <v/>
      </c>
      <c r="AI47" s="662" t="str">
        <f t="shared" si="16"/>
        <v/>
      </c>
      <c r="AJ47" s="663">
        <f t="shared" si="20"/>
        <v>192.4571</v>
      </c>
      <c r="AK47" s="660">
        <f t="shared" si="21"/>
        <v>0.24379999999999999</v>
      </c>
      <c r="AL47" s="660" t="e">
        <f t="shared" si="22"/>
        <v>#VALUE!</v>
      </c>
      <c r="AM47" s="664" t="e">
        <f t="shared" si="23"/>
        <v>#VALUE!</v>
      </c>
      <c r="AN47" s="664" t="e">
        <f t="shared" si="24"/>
        <v>#VALUE!</v>
      </c>
      <c r="AO47" s="665" t="e">
        <f t="shared" si="25"/>
        <v>#VALUE!</v>
      </c>
      <c r="AP47" s="666" t="e">
        <f t="shared" si="26"/>
        <v>#VALUE!</v>
      </c>
      <c r="AQ47" s="660" t="e">
        <f t="shared" si="27"/>
        <v>#VALUE!</v>
      </c>
      <c r="AR47" s="667" t="e">
        <f t="shared" si="28"/>
        <v>#VALUE!</v>
      </c>
      <c r="AS47" s="667" t="e">
        <f t="shared" si="29"/>
        <v>#VALUE!</v>
      </c>
      <c r="AT47" s="668" t="e">
        <f t="shared" si="30"/>
        <v>#VALUE!</v>
      </c>
      <c r="AU47" s="667" t="e">
        <f t="shared" si="31"/>
        <v>#VALUE!</v>
      </c>
      <c r="AV47" s="669" t="e">
        <f t="shared" si="32"/>
        <v>#VALUE!</v>
      </c>
      <c r="AW47" s="667" t="e">
        <f t="shared" si="33"/>
        <v>#VALUE!</v>
      </c>
      <c r="AX47" s="667" t="e">
        <f t="shared" si="34"/>
        <v>#VALUE!</v>
      </c>
      <c r="AY47" s="660" t="e">
        <f t="shared" si="35"/>
        <v>#VALUE!</v>
      </c>
      <c r="AZ47" s="670" t="e">
        <f t="shared" si="36"/>
        <v>#VALUE!</v>
      </c>
      <c r="BB47" s="662" t="e">
        <f>INDEX('Vessel Gauging Data'!$B$26:$V$56,MATCH($C47,'Vessel Gauging Data'!$B$26:$B$56,0),$BB$18)</f>
        <v>#N/A</v>
      </c>
      <c r="BC47" s="662" t="e">
        <f>INDEX('Vessel Gauging Data'!$B$26:$V$56,MATCH($C47,'Vessel Gauging Data'!$B$26:$B$56,0),$BC$18)</f>
        <v>#N/A</v>
      </c>
      <c r="BD47" s="662" t="e">
        <f>INDEX('Vessel Gauging Data'!$B$26:$V$56,MATCH($C47,'Vessel Gauging Data'!$B$26:$B$56,0),$BD$18)</f>
        <v>#N/A</v>
      </c>
      <c r="BE47" s="662" t="e">
        <f>INDEX('Vessel Gauging Data'!$B$26:$V$56,MATCH($C47,'Vessel Gauging Data'!$B$26:$B$56,0),$BE$18)</f>
        <v>#N/A</v>
      </c>
    </row>
    <row r="48" spans="1:57" hidden="1">
      <c r="A48" s="641" t="str">
        <f t="shared" si="37"/>
        <v>N</v>
      </c>
      <c r="C48" s="235" t="str">
        <f t="array" ref="C48">IF(OR($E$44="",SUMPRODUCT(('Vessel Gauging Data'!$C$27:$C$56=$E$44)*('Vessel Gauging Data'!$D$27:$D$56=NOMY))&lt;ROWS($C$45:$C48)),"",INDEX('Vessel Gauging Data'!$B$27:$B$56,SMALL(IF(('Vessel Gauging Data'!$C$27:$C$56=$E$44)+('Vessel Gauging Data'!$D$27:$D$56=NOMY)=2,ROW('Vessel Gauging Data'!$B$27:$B$56)-ROW('Vessel Gauging Data'!$C$26)),ROW()-ROW(C$44))))</f>
        <v/>
      </c>
      <c r="D48" s="211" t="str">
        <f>IF(OR($C48="",$C48=0),"",INDEX('Vessel Gauging Data'!$B$26:$V$56,MATCH($C48,'Vessel Gauging Data'!$B$27:$B$56,0)+1,2))</f>
        <v/>
      </c>
      <c r="E48" s="1016" t="str">
        <f t="shared" si="38"/>
        <v/>
      </c>
      <c r="F48" s="1016" t="str">
        <f t="shared" si="39"/>
        <v/>
      </c>
      <c r="G48" s="1016" t="str">
        <f t="shared" si="40"/>
        <v/>
      </c>
      <c r="H48" s="1016" t="str">
        <f t="shared" si="40"/>
        <v/>
      </c>
      <c r="I48" s="211" t="str">
        <f t="shared" si="41"/>
        <v/>
      </c>
      <c r="J48" s="1016" t="str">
        <f t="shared" si="42"/>
        <v/>
      </c>
      <c r="K48" s="213" t="str">
        <f t="shared" si="43"/>
        <v/>
      </c>
      <c r="L48" s="212" t="str">
        <f t="shared" si="44"/>
        <v/>
      </c>
      <c r="M48" s="1125" t="str">
        <f>IF(OR($C48="",$C48=0),"",INDEX(API1DENST,MATCH($C48,'Vessel Gauging Data'!$B$27:$B$56,0),$AA$1))</f>
        <v/>
      </c>
      <c r="N48" s="212" t="str">
        <f t="shared" si="45"/>
        <v/>
      </c>
      <c r="O48" s="1016" t="str">
        <f t="shared" si="46"/>
        <v/>
      </c>
      <c r="P48" s="1125" t="str">
        <f t="shared" si="47"/>
        <v/>
      </c>
      <c r="Q48" s="1016" t="str">
        <f t="shared" si="48"/>
        <v/>
      </c>
      <c r="R48" s="214" t="str">
        <f t="shared" si="49"/>
        <v/>
      </c>
      <c r="S48" s="1125" t="str">
        <f t="shared" si="50"/>
        <v/>
      </c>
      <c r="T48" s="236" t="str">
        <f t="shared" si="51"/>
        <v/>
      </c>
      <c r="V48" s="642" t="e">
        <f>INDEX('Vessel Gauging Data'!$B$26:$V$56,MATCH($C48,'Vessel Gauging Data'!$B$26:$B$56,0),$V$18)</f>
        <v>#N/A</v>
      </c>
      <c r="W48" s="642" t="e">
        <f>INDEX('Vessel Gauging Data'!$B$26:$V$56,MATCH($C48,'Vessel Gauging Data'!$B$26:$B$56,0),$W$18)</f>
        <v>#N/A</v>
      </c>
      <c r="X48" s="642" t="e">
        <f>INDEX('Vessel Gauging Data'!$B$26:$V$56,MATCH($C48,'Vessel Gauging Data'!$B$26:$B$56,0),$X$18)</f>
        <v>#N/A</v>
      </c>
      <c r="Y48" s="642" t="e">
        <f>INDEX('Vessel Gauging Data'!$B$26:$V$56,MATCH($C48,'Vessel Gauging Data'!$B$26:$B$56,0),$Y$18)</f>
        <v>#N/A</v>
      </c>
      <c r="Z48" s="642" t="e">
        <f>INDEX('Vessel Gauging Data'!$B$26:$V$56,MATCH($C48,'Vessel Gauging Data'!$B$26:$B$56,0),$Z$18)</f>
        <v>#N/A</v>
      </c>
      <c r="AB48" s="642" t="e">
        <f>INDEX(API1DENST,MATCH($C48,'Vessel Gauging Data'!$B$27:$B$56,0),1)</f>
        <v>#N/A</v>
      </c>
      <c r="AC48" s="642" t="e">
        <f t="shared" si="17"/>
        <v>#N/A</v>
      </c>
      <c r="AE48" s="661" t="e">
        <f t="shared" si="18"/>
        <v>#VALUE!</v>
      </c>
      <c r="AF48" s="661" t="e">
        <f t="shared" si="19"/>
        <v>#VALUE!</v>
      </c>
      <c r="AH48" s="662" t="str">
        <f t="shared" si="15"/>
        <v/>
      </c>
      <c r="AI48" s="662" t="str">
        <f t="shared" si="16"/>
        <v/>
      </c>
      <c r="AJ48" s="663">
        <f t="shared" si="20"/>
        <v>192.4571</v>
      </c>
      <c r="AK48" s="660">
        <f t="shared" si="21"/>
        <v>0.24379999999999999</v>
      </c>
      <c r="AL48" s="660" t="e">
        <f t="shared" si="22"/>
        <v>#VALUE!</v>
      </c>
      <c r="AM48" s="664" t="e">
        <f t="shared" si="23"/>
        <v>#VALUE!</v>
      </c>
      <c r="AN48" s="664" t="e">
        <f t="shared" si="24"/>
        <v>#VALUE!</v>
      </c>
      <c r="AO48" s="665" t="e">
        <f t="shared" si="25"/>
        <v>#VALUE!</v>
      </c>
      <c r="AP48" s="666" t="e">
        <f t="shared" si="26"/>
        <v>#VALUE!</v>
      </c>
      <c r="AQ48" s="660" t="e">
        <f t="shared" si="27"/>
        <v>#VALUE!</v>
      </c>
      <c r="AR48" s="667" t="e">
        <f t="shared" si="28"/>
        <v>#VALUE!</v>
      </c>
      <c r="AS48" s="667" t="e">
        <f t="shared" si="29"/>
        <v>#VALUE!</v>
      </c>
      <c r="AT48" s="668" t="e">
        <f t="shared" si="30"/>
        <v>#VALUE!</v>
      </c>
      <c r="AU48" s="667" t="e">
        <f t="shared" si="31"/>
        <v>#VALUE!</v>
      </c>
      <c r="AV48" s="669" t="e">
        <f t="shared" si="32"/>
        <v>#VALUE!</v>
      </c>
      <c r="AW48" s="667" t="e">
        <f t="shared" si="33"/>
        <v>#VALUE!</v>
      </c>
      <c r="AX48" s="667" t="e">
        <f t="shared" si="34"/>
        <v>#VALUE!</v>
      </c>
      <c r="AY48" s="660" t="e">
        <f t="shared" si="35"/>
        <v>#VALUE!</v>
      </c>
      <c r="AZ48" s="670" t="e">
        <f t="shared" si="36"/>
        <v>#VALUE!</v>
      </c>
      <c r="BB48" s="662" t="e">
        <f>INDEX('Vessel Gauging Data'!$B$26:$V$56,MATCH($C48,'Vessel Gauging Data'!$B$26:$B$56,0),$BB$18)</f>
        <v>#N/A</v>
      </c>
      <c r="BC48" s="662" t="e">
        <f>INDEX('Vessel Gauging Data'!$B$26:$V$56,MATCH($C48,'Vessel Gauging Data'!$B$26:$B$56,0),$BC$18)</f>
        <v>#N/A</v>
      </c>
      <c r="BD48" s="662" t="e">
        <f>INDEX('Vessel Gauging Data'!$B$26:$V$56,MATCH($C48,'Vessel Gauging Data'!$B$26:$B$56,0),$BD$18)</f>
        <v>#N/A</v>
      </c>
      <c r="BE48" s="662" t="e">
        <f>INDEX('Vessel Gauging Data'!$B$26:$V$56,MATCH($C48,'Vessel Gauging Data'!$B$26:$B$56,0),$BE$18)</f>
        <v>#N/A</v>
      </c>
    </row>
    <row r="49" spans="1:57" hidden="1">
      <c r="A49" s="641" t="str">
        <f t="shared" si="37"/>
        <v>N</v>
      </c>
      <c r="C49" s="235" t="str">
        <f t="array" ref="C49">IF(OR($E$44="",SUMPRODUCT(('Vessel Gauging Data'!$C$27:$C$56=$E$44)*('Vessel Gauging Data'!$D$27:$D$56=NOMY))&lt;ROWS($C$45:$C49)),"",INDEX('Vessel Gauging Data'!$B$27:$B$56,SMALL(IF(('Vessel Gauging Data'!$C$27:$C$56=$E$44)+('Vessel Gauging Data'!$D$27:$D$56=NOMY)=2,ROW('Vessel Gauging Data'!$B$27:$B$56)-ROW('Vessel Gauging Data'!$C$26)),ROW()-ROW(C$44))))</f>
        <v/>
      </c>
      <c r="D49" s="211" t="str">
        <f>IF(OR($C49="",$C49=0),"",INDEX('Vessel Gauging Data'!$B$26:$V$56,MATCH($C49,'Vessel Gauging Data'!$B$27:$B$56,0)+1,2))</f>
        <v/>
      </c>
      <c r="E49" s="1016" t="str">
        <f t="shared" si="38"/>
        <v/>
      </c>
      <c r="F49" s="1016" t="str">
        <f t="shared" si="39"/>
        <v/>
      </c>
      <c r="G49" s="1016" t="str">
        <f t="shared" si="40"/>
        <v/>
      </c>
      <c r="H49" s="1016" t="str">
        <f t="shared" si="40"/>
        <v/>
      </c>
      <c r="I49" s="211" t="str">
        <f t="shared" si="41"/>
        <v/>
      </c>
      <c r="J49" s="1016" t="str">
        <f t="shared" si="42"/>
        <v/>
      </c>
      <c r="K49" s="213" t="str">
        <f t="shared" si="43"/>
        <v/>
      </c>
      <c r="L49" s="212" t="str">
        <f t="shared" si="44"/>
        <v/>
      </c>
      <c r="M49" s="1125" t="str">
        <f>IF(OR($C49="",$C49=0),"",INDEX(API1DENST,MATCH($C49,'Vessel Gauging Data'!$B$27:$B$56,0),$AA$1))</f>
        <v/>
      </c>
      <c r="N49" s="212" t="str">
        <f t="shared" si="45"/>
        <v/>
      </c>
      <c r="O49" s="1016" t="str">
        <f t="shared" si="46"/>
        <v/>
      </c>
      <c r="P49" s="1125" t="str">
        <f t="shared" si="47"/>
        <v/>
      </c>
      <c r="Q49" s="1016" t="str">
        <f t="shared" si="48"/>
        <v/>
      </c>
      <c r="R49" s="214" t="str">
        <f t="shared" si="49"/>
        <v/>
      </c>
      <c r="S49" s="1125" t="str">
        <f t="shared" si="50"/>
        <v/>
      </c>
      <c r="T49" s="236" t="str">
        <f t="shared" si="51"/>
        <v/>
      </c>
      <c r="V49" s="642" t="e">
        <f>INDEX('Vessel Gauging Data'!$B$26:$V$56,MATCH($C49,'Vessel Gauging Data'!$B$26:$B$56,0),$V$18)</f>
        <v>#N/A</v>
      </c>
      <c r="W49" s="642" t="e">
        <f>INDEX('Vessel Gauging Data'!$B$26:$V$56,MATCH($C49,'Vessel Gauging Data'!$B$26:$B$56,0),$W$18)</f>
        <v>#N/A</v>
      </c>
      <c r="X49" s="642" t="e">
        <f>INDEX('Vessel Gauging Data'!$B$26:$V$56,MATCH($C49,'Vessel Gauging Data'!$B$26:$B$56,0),$X$18)</f>
        <v>#N/A</v>
      </c>
      <c r="Y49" s="642" t="e">
        <f>INDEX('Vessel Gauging Data'!$B$26:$V$56,MATCH($C49,'Vessel Gauging Data'!$B$26:$B$56,0),$Y$18)</f>
        <v>#N/A</v>
      </c>
      <c r="Z49" s="642" t="e">
        <f>INDEX('Vessel Gauging Data'!$B$26:$V$56,MATCH($C49,'Vessel Gauging Data'!$B$26:$B$56,0),$Z$18)</f>
        <v>#N/A</v>
      </c>
      <c r="AB49" s="642" t="e">
        <f>INDEX(API1DENST,MATCH($C49,'Vessel Gauging Data'!$B$27:$B$56,0),1)</f>
        <v>#N/A</v>
      </c>
      <c r="AC49" s="642" t="e">
        <f t="shared" si="17"/>
        <v>#N/A</v>
      </c>
      <c r="AE49" s="661" t="e">
        <f t="shared" si="18"/>
        <v>#VALUE!</v>
      </c>
      <c r="AF49" s="661" t="e">
        <f t="shared" si="19"/>
        <v>#VALUE!</v>
      </c>
      <c r="AH49" s="662" t="str">
        <f t="shared" si="15"/>
        <v/>
      </c>
      <c r="AI49" s="662" t="str">
        <f t="shared" si="16"/>
        <v/>
      </c>
      <c r="AJ49" s="663">
        <f t="shared" si="20"/>
        <v>192.4571</v>
      </c>
      <c r="AK49" s="660">
        <f t="shared" si="21"/>
        <v>0.24379999999999999</v>
      </c>
      <c r="AL49" s="660" t="e">
        <f t="shared" si="22"/>
        <v>#VALUE!</v>
      </c>
      <c r="AM49" s="664" t="e">
        <f t="shared" si="23"/>
        <v>#VALUE!</v>
      </c>
      <c r="AN49" s="664" t="e">
        <f t="shared" si="24"/>
        <v>#VALUE!</v>
      </c>
      <c r="AO49" s="665" t="e">
        <f t="shared" si="25"/>
        <v>#VALUE!</v>
      </c>
      <c r="AP49" s="666" t="e">
        <f t="shared" si="26"/>
        <v>#VALUE!</v>
      </c>
      <c r="AQ49" s="660" t="e">
        <f t="shared" si="27"/>
        <v>#VALUE!</v>
      </c>
      <c r="AR49" s="667" t="e">
        <f t="shared" si="28"/>
        <v>#VALUE!</v>
      </c>
      <c r="AS49" s="667" t="e">
        <f t="shared" si="29"/>
        <v>#VALUE!</v>
      </c>
      <c r="AT49" s="668" t="e">
        <f t="shared" si="30"/>
        <v>#VALUE!</v>
      </c>
      <c r="AU49" s="667" t="e">
        <f t="shared" si="31"/>
        <v>#VALUE!</v>
      </c>
      <c r="AV49" s="669" t="e">
        <f t="shared" si="32"/>
        <v>#VALUE!</v>
      </c>
      <c r="AW49" s="667" t="e">
        <f t="shared" si="33"/>
        <v>#VALUE!</v>
      </c>
      <c r="AX49" s="667" t="e">
        <f t="shared" si="34"/>
        <v>#VALUE!</v>
      </c>
      <c r="AY49" s="660" t="e">
        <f t="shared" si="35"/>
        <v>#VALUE!</v>
      </c>
      <c r="AZ49" s="670" t="e">
        <f t="shared" si="36"/>
        <v>#VALUE!</v>
      </c>
      <c r="BB49" s="662" t="e">
        <f>INDEX('Vessel Gauging Data'!$B$26:$V$56,MATCH($C49,'Vessel Gauging Data'!$B$26:$B$56,0),$BB$18)</f>
        <v>#N/A</v>
      </c>
      <c r="BC49" s="662" t="e">
        <f>INDEX('Vessel Gauging Data'!$B$26:$V$56,MATCH($C49,'Vessel Gauging Data'!$B$26:$B$56,0),$BC$18)</f>
        <v>#N/A</v>
      </c>
      <c r="BD49" s="662" t="e">
        <f>INDEX('Vessel Gauging Data'!$B$26:$V$56,MATCH($C49,'Vessel Gauging Data'!$B$26:$B$56,0),$BD$18)</f>
        <v>#N/A</v>
      </c>
      <c r="BE49" s="662" t="e">
        <f>INDEX('Vessel Gauging Data'!$B$26:$V$56,MATCH($C49,'Vessel Gauging Data'!$B$26:$B$56,0),$BE$18)</f>
        <v>#N/A</v>
      </c>
    </row>
    <row r="50" spans="1:57" hidden="1">
      <c r="A50" s="641" t="str">
        <f t="shared" si="37"/>
        <v>N</v>
      </c>
      <c r="C50" s="235" t="str">
        <f t="array" ref="C50">IF(OR($E$44="",SUMPRODUCT(('Vessel Gauging Data'!$C$27:$C$56=$E$44)*('Vessel Gauging Data'!$D$27:$D$56=NOMY))&lt;ROWS($C$45:$C50)),"",INDEX('Vessel Gauging Data'!$B$27:$B$56,SMALL(IF(('Vessel Gauging Data'!$C$27:$C$56=$E$44)+('Vessel Gauging Data'!$D$27:$D$56=NOMY)=2,ROW('Vessel Gauging Data'!$B$27:$B$56)-ROW('Vessel Gauging Data'!$C$26)),ROW()-ROW(C$44))))</f>
        <v/>
      </c>
      <c r="D50" s="211" t="str">
        <f>IF(OR($C50="",$C50=0),"",INDEX('Vessel Gauging Data'!$B$26:$V$56,MATCH($C50,'Vessel Gauging Data'!$B$27:$B$56,0)+1,2))</f>
        <v/>
      </c>
      <c r="E50" s="1016" t="str">
        <f t="shared" si="38"/>
        <v/>
      </c>
      <c r="F50" s="1016" t="str">
        <f t="shared" si="39"/>
        <v/>
      </c>
      <c r="G50" s="1016" t="str">
        <f t="shared" si="40"/>
        <v/>
      </c>
      <c r="H50" s="1016" t="str">
        <f t="shared" si="40"/>
        <v/>
      </c>
      <c r="I50" s="211" t="str">
        <f t="shared" si="41"/>
        <v/>
      </c>
      <c r="J50" s="1016" t="str">
        <f t="shared" si="42"/>
        <v/>
      </c>
      <c r="K50" s="213" t="str">
        <f t="shared" si="43"/>
        <v/>
      </c>
      <c r="L50" s="212" t="str">
        <f t="shared" si="44"/>
        <v/>
      </c>
      <c r="M50" s="1125" t="str">
        <f>IF(OR($C50="",$C50=0),"",INDEX(API1DENST,MATCH($C50,'Vessel Gauging Data'!$B$27:$B$56,0),$AA$1))</f>
        <v/>
      </c>
      <c r="N50" s="212" t="str">
        <f t="shared" si="45"/>
        <v/>
      </c>
      <c r="O50" s="1016" t="str">
        <f t="shared" si="46"/>
        <v/>
      </c>
      <c r="P50" s="1125" t="str">
        <f t="shared" si="47"/>
        <v/>
      </c>
      <c r="Q50" s="1016" t="str">
        <f t="shared" si="48"/>
        <v/>
      </c>
      <c r="R50" s="214" t="str">
        <f t="shared" si="49"/>
        <v/>
      </c>
      <c r="S50" s="1125" t="str">
        <f t="shared" si="50"/>
        <v/>
      </c>
      <c r="T50" s="236" t="str">
        <f t="shared" si="51"/>
        <v/>
      </c>
      <c r="V50" s="642" t="e">
        <f>INDEX('Vessel Gauging Data'!$B$26:$V$56,MATCH($C50,'Vessel Gauging Data'!$B$26:$B$56,0),$V$18)</f>
        <v>#N/A</v>
      </c>
      <c r="W50" s="642" t="e">
        <f>INDEX('Vessel Gauging Data'!$B$26:$V$56,MATCH($C50,'Vessel Gauging Data'!$B$26:$B$56,0),$W$18)</f>
        <v>#N/A</v>
      </c>
      <c r="X50" s="642" t="e">
        <f>INDEX('Vessel Gauging Data'!$B$26:$V$56,MATCH($C50,'Vessel Gauging Data'!$B$26:$B$56,0),$X$18)</f>
        <v>#N/A</v>
      </c>
      <c r="Y50" s="642" t="e">
        <f>INDEX('Vessel Gauging Data'!$B$26:$V$56,MATCH($C50,'Vessel Gauging Data'!$B$26:$B$56,0),$Y$18)</f>
        <v>#N/A</v>
      </c>
      <c r="Z50" s="642" t="e">
        <f>INDEX('Vessel Gauging Data'!$B$26:$V$56,MATCH($C50,'Vessel Gauging Data'!$B$26:$B$56,0),$Z$18)</f>
        <v>#N/A</v>
      </c>
      <c r="AB50" s="642" t="e">
        <f>INDEX(API1DENST,MATCH($C50,'Vessel Gauging Data'!$B$27:$B$56,0),1)</f>
        <v>#N/A</v>
      </c>
      <c r="AC50" s="642" t="e">
        <f t="shared" si="17"/>
        <v>#N/A</v>
      </c>
      <c r="AE50" s="661" t="e">
        <f t="shared" si="18"/>
        <v>#VALUE!</v>
      </c>
      <c r="AF50" s="661" t="e">
        <f t="shared" si="19"/>
        <v>#VALUE!</v>
      </c>
      <c r="AH50" s="662" t="str">
        <f t="shared" si="15"/>
        <v/>
      </c>
      <c r="AI50" s="662" t="str">
        <f t="shared" si="16"/>
        <v/>
      </c>
      <c r="AJ50" s="663">
        <f t="shared" si="20"/>
        <v>192.4571</v>
      </c>
      <c r="AK50" s="660">
        <f t="shared" si="21"/>
        <v>0.24379999999999999</v>
      </c>
      <c r="AL50" s="660" t="e">
        <f t="shared" si="22"/>
        <v>#VALUE!</v>
      </c>
      <c r="AM50" s="664" t="e">
        <f t="shared" si="23"/>
        <v>#VALUE!</v>
      </c>
      <c r="AN50" s="664" t="e">
        <f t="shared" si="24"/>
        <v>#VALUE!</v>
      </c>
      <c r="AO50" s="665" t="e">
        <f t="shared" si="25"/>
        <v>#VALUE!</v>
      </c>
      <c r="AP50" s="666" t="e">
        <f t="shared" si="26"/>
        <v>#VALUE!</v>
      </c>
      <c r="AQ50" s="660" t="e">
        <f t="shared" si="27"/>
        <v>#VALUE!</v>
      </c>
      <c r="AR50" s="667" t="e">
        <f t="shared" si="28"/>
        <v>#VALUE!</v>
      </c>
      <c r="AS50" s="667" t="e">
        <f t="shared" si="29"/>
        <v>#VALUE!</v>
      </c>
      <c r="AT50" s="668" t="e">
        <f t="shared" si="30"/>
        <v>#VALUE!</v>
      </c>
      <c r="AU50" s="667" t="e">
        <f t="shared" si="31"/>
        <v>#VALUE!</v>
      </c>
      <c r="AV50" s="669" t="e">
        <f t="shared" si="32"/>
        <v>#VALUE!</v>
      </c>
      <c r="AW50" s="667" t="e">
        <f t="shared" si="33"/>
        <v>#VALUE!</v>
      </c>
      <c r="AX50" s="667" t="e">
        <f t="shared" si="34"/>
        <v>#VALUE!</v>
      </c>
      <c r="AY50" s="660" t="e">
        <f t="shared" si="35"/>
        <v>#VALUE!</v>
      </c>
      <c r="AZ50" s="670" t="e">
        <f t="shared" si="36"/>
        <v>#VALUE!</v>
      </c>
      <c r="BB50" s="662" t="e">
        <f>INDEX('Vessel Gauging Data'!$B$26:$V$56,MATCH($C50,'Vessel Gauging Data'!$B$26:$B$56,0),$BB$18)</f>
        <v>#N/A</v>
      </c>
      <c r="BC50" s="662" t="e">
        <f>INDEX('Vessel Gauging Data'!$B$26:$V$56,MATCH($C50,'Vessel Gauging Data'!$B$26:$B$56,0),$BC$18)</f>
        <v>#N/A</v>
      </c>
      <c r="BD50" s="662" t="e">
        <f>INDEX('Vessel Gauging Data'!$B$26:$V$56,MATCH($C50,'Vessel Gauging Data'!$B$26:$B$56,0),$BD$18)</f>
        <v>#N/A</v>
      </c>
      <c r="BE50" s="662" t="e">
        <f>INDEX('Vessel Gauging Data'!$B$26:$V$56,MATCH($C50,'Vessel Gauging Data'!$B$26:$B$56,0),$BE$18)</f>
        <v>#N/A</v>
      </c>
    </row>
    <row r="51" spans="1:57" hidden="1">
      <c r="A51" s="641" t="str">
        <f t="shared" si="37"/>
        <v>N</v>
      </c>
      <c r="C51" s="235" t="str">
        <f t="array" ref="C51">IF(OR($E$44="",SUMPRODUCT(('Vessel Gauging Data'!$C$27:$C$56=$E$44)*('Vessel Gauging Data'!$D$27:$D$56=NOMY))&lt;ROWS($C$45:$C51)),"",INDEX('Vessel Gauging Data'!$B$27:$B$56,SMALL(IF(('Vessel Gauging Data'!$C$27:$C$56=$E$44)+('Vessel Gauging Data'!$D$27:$D$56=NOMY)=2,ROW('Vessel Gauging Data'!$B$27:$B$56)-ROW('Vessel Gauging Data'!$C$26)),ROW()-ROW(C$44))))</f>
        <v/>
      </c>
      <c r="D51" s="211" t="str">
        <f>IF(OR($C51="",$C51=0),"",INDEX('Vessel Gauging Data'!$B$26:$V$56,MATCH($C51,'Vessel Gauging Data'!$B$27:$B$56,0)+1,2))</f>
        <v/>
      </c>
      <c r="E51" s="1016" t="str">
        <f t="shared" si="38"/>
        <v/>
      </c>
      <c r="F51" s="1016" t="str">
        <f t="shared" si="39"/>
        <v/>
      </c>
      <c r="G51" s="1016" t="str">
        <f t="shared" si="40"/>
        <v/>
      </c>
      <c r="H51" s="1016" t="str">
        <f t="shared" si="40"/>
        <v/>
      </c>
      <c r="I51" s="211" t="str">
        <f t="shared" si="41"/>
        <v/>
      </c>
      <c r="J51" s="1016" t="str">
        <f t="shared" si="42"/>
        <v/>
      </c>
      <c r="K51" s="213" t="str">
        <f t="shared" si="43"/>
        <v/>
      </c>
      <c r="L51" s="212" t="str">
        <f t="shared" si="44"/>
        <v/>
      </c>
      <c r="M51" s="1125" t="str">
        <f>IF(OR($C51="",$C51=0),"",INDEX(API1DENST,MATCH($C51,'Vessel Gauging Data'!$B$27:$B$56,0),$AA$1))</f>
        <v/>
      </c>
      <c r="N51" s="212" t="str">
        <f t="shared" si="45"/>
        <v/>
      </c>
      <c r="O51" s="1016" t="str">
        <f t="shared" si="46"/>
        <v/>
      </c>
      <c r="P51" s="1125" t="str">
        <f t="shared" si="47"/>
        <v/>
      </c>
      <c r="Q51" s="1016" t="str">
        <f t="shared" si="48"/>
        <v/>
      </c>
      <c r="R51" s="214" t="str">
        <f t="shared" si="49"/>
        <v/>
      </c>
      <c r="S51" s="1125" t="str">
        <f t="shared" si="50"/>
        <v/>
      </c>
      <c r="T51" s="236" t="str">
        <f t="shared" si="51"/>
        <v/>
      </c>
      <c r="V51" s="642" t="e">
        <f>INDEX('Vessel Gauging Data'!$B$26:$V$56,MATCH($C51,'Vessel Gauging Data'!$B$26:$B$56,0),$V$18)</f>
        <v>#N/A</v>
      </c>
      <c r="W51" s="642" t="e">
        <f>INDEX('Vessel Gauging Data'!$B$26:$V$56,MATCH($C51,'Vessel Gauging Data'!$B$26:$B$56,0),$W$18)</f>
        <v>#N/A</v>
      </c>
      <c r="X51" s="642" t="e">
        <f>INDEX('Vessel Gauging Data'!$B$26:$V$56,MATCH($C51,'Vessel Gauging Data'!$B$26:$B$56,0),$X$18)</f>
        <v>#N/A</v>
      </c>
      <c r="Y51" s="642" t="e">
        <f>INDEX('Vessel Gauging Data'!$B$26:$V$56,MATCH($C51,'Vessel Gauging Data'!$B$26:$B$56,0),$Y$18)</f>
        <v>#N/A</v>
      </c>
      <c r="Z51" s="642" t="e">
        <f>INDEX('Vessel Gauging Data'!$B$26:$V$56,MATCH($C51,'Vessel Gauging Data'!$B$26:$B$56,0),$Z$18)</f>
        <v>#N/A</v>
      </c>
      <c r="AB51" s="642" t="e">
        <f>INDEX(API1DENST,MATCH($C51,'Vessel Gauging Data'!$B$27:$B$56,0),1)</f>
        <v>#N/A</v>
      </c>
      <c r="AC51" s="642" t="e">
        <f t="shared" si="17"/>
        <v>#N/A</v>
      </c>
      <c r="AE51" s="661" t="e">
        <f t="shared" si="18"/>
        <v>#VALUE!</v>
      </c>
      <c r="AF51" s="661" t="e">
        <f t="shared" si="19"/>
        <v>#VALUE!</v>
      </c>
      <c r="AH51" s="662" t="str">
        <f t="shared" si="15"/>
        <v/>
      </c>
      <c r="AI51" s="662" t="str">
        <f t="shared" si="16"/>
        <v/>
      </c>
      <c r="AJ51" s="663">
        <f t="shared" si="20"/>
        <v>192.4571</v>
      </c>
      <c r="AK51" s="660">
        <f t="shared" si="21"/>
        <v>0.24379999999999999</v>
      </c>
      <c r="AL51" s="660" t="e">
        <f t="shared" si="22"/>
        <v>#VALUE!</v>
      </c>
      <c r="AM51" s="664" t="e">
        <f t="shared" si="23"/>
        <v>#VALUE!</v>
      </c>
      <c r="AN51" s="664" t="e">
        <f t="shared" si="24"/>
        <v>#VALUE!</v>
      </c>
      <c r="AO51" s="665" t="e">
        <f t="shared" si="25"/>
        <v>#VALUE!</v>
      </c>
      <c r="AP51" s="666" t="e">
        <f t="shared" si="26"/>
        <v>#VALUE!</v>
      </c>
      <c r="AQ51" s="660" t="e">
        <f t="shared" si="27"/>
        <v>#VALUE!</v>
      </c>
      <c r="AR51" s="667" t="e">
        <f t="shared" si="28"/>
        <v>#VALUE!</v>
      </c>
      <c r="AS51" s="667" t="e">
        <f t="shared" si="29"/>
        <v>#VALUE!</v>
      </c>
      <c r="AT51" s="668" t="e">
        <f t="shared" si="30"/>
        <v>#VALUE!</v>
      </c>
      <c r="AU51" s="667" t="e">
        <f t="shared" si="31"/>
        <v>#VALUE!</v>
      </c>
      <c r="AV51" s="669" t="e">
        <f t="shared" si="32"/>
        <v>#VALUE!</v>
      </c>
      <c r="AW51" s="667" t="e">
        <f t="shared" si="33"/>
        <v>#VALUE!</v>
      </c>
      <c r="AX51" s="667" t="e">
        <f t="shared" si="34"/>
        <v>#VALUE!</v>
      </c>
      <c r="AY51" s="660" t="e">
        <f t="shared" si="35"/>
        <v>#VALUE!</v>
      </c>
      <c r="AZ51" s="670" t="e">
        <f t="shared" si="36"/>
        <v>#VALUE!</v>
      </c>
      <c r="BB51" s="662" t="e">
        <f>INDEX('Vessel Gauging Data'!$B$26:$V$56,MATCH($C51,'Vessel Gauging Data'!$B$26:$B$56,0),$BB$18)</f>
        <v>#N/A</v>
      </c>
      <c r="BC51" s="662" t="e">
        <f>INDEX('Vessel Gauging Data'!$B$26:$V$56,MATCH($C51,'Vessel Gauging Data'!$B$26:$B$56,0),$BC$18)</f>
        <v>#N/A</v>
      </c>
      <c r="BD51" s="662" t="e">
        <f>INDEX('Vessel Gauging Data'!$B$26:$V$56,MATCH($C51,'Vessel Gauging Data'!$B$26:$B$56,0),$BD$18)</f>
        <v>#N/A</v>
      </c>
      <c r="BE51" s="662" t="e">
        <f>INDEX('Vessel Gauging Data'!$B$26:$V$56,MATCH($C51,'Vessel Gauging Data'!$B$26:$B$56,0),$BE$18)</f>
        <v>#N/A</v>
      </c>
    </row>
    <row r="52" spans="1:57" hidden="1">
      <c r="A52" s="641" t="str">
        <f t="shared" si="37"/>
        <v>N</v>
      </c>
      <c r="C52" s="235" t="str">
        <f t="array" ref="C52">IF(OR($E$44="",SUMPRODUCT(('Vessel Gauging Data'!$C$27:$C$56=$E$44)*('Vessel Gauging Data'!$D$27:$D$56=NOMY))&lt;ROWS($C$45:$C52)),"",INDEX('Vessel Gauging Data'!$B$27:$B$56,SMALL(IF(('Vessel Gauging Data'!$C$27:$C$56=$E$44)+('Vessel Gauging Data'!$D$27:$D$56=NOMY)=2,ROW('Vessel Gauging Data'!$B$27:$B$56)-ROW('Vessel Gauging Data'!$C$26)),ROW()-ROW(C$44))))</f>
        <v/>
      </c>
      <c r="D52" s="211" t="str">
        <f>IF(OR($C52="",$C52=0),"",INDEX('Vessel Gauging Data'!$B$26:$V$56,MATCH($C52,'Vessel Gauging Data'!$B$27:$B$56,0)+1,2))</f>
        <v/>
      </c>
      <c r="E52" s="1016" t="str">
        <f t="shared" si="38"/>
        <v/>
      </c>
      <c r="F52" s="1016" t="str">
        <f t="shared" si="39"/>
        <v/>
      </c>
      <c r="G52" s="1016" t="str">
        <f t="shared" si="40"/>
        <v/>
      </c>
      <c r="H52" s="1016" t="str">
        <f t="shared" si="40"/>
        <v/>
      </c>
      <c r="I52" s="211" t="str">
        <f t="shared" si="41"/>
        <v/>
      </c>
      <c r="J52" s="1016" t="str">
        <f t="shared" si="42"/>
        <v/>
      </c>
      <c r="K52" s="213" t="str">
        <f t="shared" si="43"/>
        <v/>
      </c>
      <c r="L52" s="212" t="str">
        <f t="shared" si="44"/>
        <v/>
      </c>
      <c r="M52" s="1125" t="str">
        <f>IF(OR($C52="",$C52=0),"",INDEX(API1DENST,MATCH($C52,'Vessel Gauging Data'!$B$27:$B$56,0),$AA$1))</f>
        <v/>
      </c>
      <c r="N52" s="212" t="str">
        <f t="shared" si="45"/>
        <v/>
      </c>
      <c r="O52" s="1016" t="str">
        <f t="shared" si="46"/>
        <v/>
      </c>
      <c r="P52" s="1125" t="str">
        <f t="shared" si="47"/>
        <v/>
      </c>
      <c r="Q52" s="1016" t="str">
        <f t="shared" si="48"/>
        <v/>
      </c>
      <c r="R52" s="214" t="str">
        <f t="shared" si="49"/>
        <v/>
      </c>
      <c r="S52" s="1125" t="str">
        <f t="shared" si="50"/>
        <v/>
      </c>
      <c r="T52" s="236" t="str">
        <f t="shared" si="51"/>
        <v/>
      </c>
      <c r="V52" s="642" t="e">
        <f>INDEX('Vessel Gauging Data'!$B$26:$V$56,MATCH($C52,'Vessel Gauging Data'!$B$26:$B$56,0),$V$18)</f>
        <v>#N/A</v>
      </c>
      <c r="W52" s="642" t="e">
        <f>INDEX('Vessel Gauging Data'!$B$26:$V$56,MATCH($C52,'Vessel Gauging Data'!$B$26:$B$56,0),$W$18)</f>
        <v>#N/A</v>
      </c>
      <c r="X52" s="642" t="e">
        <f>INDEX('Vessel Gauging Data'!$B$26:$V$56,MATCH($C52,'Vessel Gauging Data'!$B$26:$B$56,0),$X$18)</f>
        <v>#N/A</v>
      </c>
      <c r="Y52" s="642" t="e">
        <f>INDEX('Vessel Gauging Data'!$B$26:$V$56,MATCH($C52,'Vessel Gauging Data'!$B$26:$B$56,0),$Y$18)</f>
        <v>#N/A</v>
      </c>
      <c r="Z52" s="642" t="e">
        <f>INDEX('Vessel Gauging Data'!$B$26:$V$56,MATCH($C52,'Vessel Gauging Data'!$B$26:$B$56,0),$Z$18)</f>
        <v>#N/A</v>
      </c>
      <c r="AB52" s="642" t="e">
        <f>INDEX(API1DENST,MATCH($C52,'Vessel Gauging Data'!$B$27:$B$56,0),1)</f>
        <v>#N/A</v>
      </c>
      <c r="AC52" s="642" t="e">
        <f t="shared" si="17"/>
        <v>#N/A</v>
      </c>
      <c r="AE52" s="661" t="e">
        <f t="shared" si="18"/>
        <v>#VALUE!</v>
      </c>
      <c r="AF52" s="661" t="e">
        <f t="shared" si="19"/>
        <v>#VALUE!</v>
      </c>
      <c r="AH52" s="662" t="str">
        <f t="shared" si="15"/>
        <v/>
      </c>
      <c r="AI52" s="662" t="str">
        <f t="shared" si="16"/>
        <v/>
      </c>
      <c r="AJ52" s="663">
        <f t="shared" si="20"/>
        <v>192.4571</v>
      </c>
      <c r="AK52" s="660">
        <f t="shared" si="21"/>
        <v>0.24379999999999999</v>
      </c>
      <c r="AL52" s="660" t="e">
        <f t="shared" si="22"/>
        <v>#VALUE!</v>
      </c>
      <c r="AM52" s="664" t="e">
        <f t="shared" si="23"/>
        <v>#VALUE!</v>
      </c>
      <c r="AN52" s="664" t="e">
        <f t="shared" si="24"/>
        <v>#VALUE!</v>
      </c>
      <c r="AO52" s="665" t="e">
        <f t="shared" si="25"/>
        <v>#VALUE!</v>
      </c>
      <c r="AP52" s="666" t="e">
        <f t="shared" si="26"/>
        <v>#VALUE!</v>
      </c>
      <c r="AQ52" s="660" t="e">
        <f t="shared" si="27"/>
        <v>#VALUE!</v>
      </c>
      <c r="AR52" s="667" t="e">
        <f t="shared" si="28"/>
        <v>#VALUE!</v>
      </c>
      <c r="AS52" s="667" t="e">
        <f t="shared" si="29"/>
        <v>#VALUE!</v>
      </c>
      <c r="AT52" s="668" t="e">
        <f t="shared" si="30"/>
        <v>#VALUE!</v>
      </c>
      <c r="AU52" s="667" t="e">
        <f t="shared" si="31"/>
        <v>#VALUE!</v>
      </c>
      <c r="AV52" s="669" t="e">
        <f t="shared" si="32"/>
        <v>#VALUE!</v>
      </c>
      <c r="AW52" s="667" t="e">
        <f t="shared" si="33"/>
        <v>#VALUE!</v>
      </c>
      <c r="AX52" s="667" t="e">
        <f t="shared" si="34"/>
        <v>#VALUE!</v>
      </c>
      <c r="AY52" s="660" t="e">
        <f t="shared" si="35"/>
        <v>#VALUE!</v>
      </c>
      <c r="AZ52" s="670" t="e">
        <f t="shared" si="36"/>
        <v>#VALUE!</v>
      </c>
      <c r="BB52" s="662" t="e">
        <f>INDEX('Vessel Gauging Data'!$B$26:$V$56,MATCH($C52,'Vessel Gauging Data'!$B$26:$B$56,0),$BB$18)</f>
        <v>#N/A</v>
      </c>
      <c r="BC52" s="662" t="e">
        <f>INDEX('Vessel Gauging Data'!$B$26:$V$56,MATCH($C52,'Vessel Gauging Data'!$B$26:$B$56,0),$BC$18)</f>
        <v>#N/A</v>
      </c>
      <c r="BD52" s="662" t="e">
        <f>INDEX('Vessel Gauging Data'!$B$26:$V$56,MATCH($C52,'Vessel Gauging Data'!$B$26:$B$56,0),$BD$18)</f>
        <v>#N/A</v>
      </c>
      <c r="BE52" s="662" t="e">
        <f>INDEX('Vessel Gauging Data'!$B$26:$V$56,MATCH($C52,'Vessel Gauging Data'!$B$26:$B$56,0),$BE$18)</f>
        <v>#N/A</v>
      </c>
    </row>
    <row r="53" spans="1:57" hidden="1">
      <c r="A53" s="641" t="str">
        <f t="shared" si="37"/>
        <v>N</v>
      </c>
      <c r="C53" s="235" t="str">
        <f t="array" ref="C53">IF(OR($E$44="",SUMPRODUCT(('Vessel Gauging Data'!$C$27:$C$56=$E$44)*('Vessel Gauging Data'!$D$27:$D$56=NOMY))&lt;ROWS($C$45:$C53)),"",INDEX('Vessel Gauging Data'!$B$27:$B$56,SMALL(IF(('Vessel Gauging Data'!$C$27:$C$56=$E$44)+('Vessel Gauging Data'!$D$27:$D$56=NOMY)=2,ROW('Vessel Gauging Data'!$B$27:$B$56)-ROW('Vessel Gauging Data'!$C$26)),ROW()-ROW(C$44))))</f>
        <v/>
      </c>
      <c r="D53" s="211" t="str">
        <f>IF(OR($C53="",$C53=0),"",INDEX('Vessel Gauging Data'!$B$26:$V$56,MATCH($C53,'Vessel Gauging Data'!$B$27:$B$56,0)+1,2))</f>
        <v/>
      </c>
      <c r="E53" s="1016" t="str">
        <f t="shared" si="38"/>
        <v/>
      </c>
      <c r="F53" s="1016" t="str">
        <f t="shared" si="39"/>
        <v/>
      </c>
      <c r="G53" s="1016" t="str">
        <f t="shared" si="40"/>
        <v/>
      </c>
      <c r="H53" s="1016" t="str">
        <f t="shared" si="40"/>
        <v/>
      </c>
      <c r="I53" s="211" t="str">
        <f t="shared" si="41"/>
        <v/>
      </c>
      <c r="J53" s="1016" t="str">
        <f t="shared" si="42"/>
        <v/>
      </c>
      <c r="K53" s="213" t="str">
        <f t="shared" si="43"/>
        <v/>
      </c>
      <c r="L53" s="212" t="str">
        <f t="shared" si="44"/>
        <v/>
      </c>
      <c r="M53" s="1125" t="str">
        <f>IF(OR($C53="",$C53=0),"",INDEX(API1DENST,MATCH($C53,'Vessel Gauging Data'!$B$27:$B$56,0),$AA$1))</f>
        <v/>
      </c>
      <c r="N53" s="212" t="str">
        <f t="shared" si="45"/>
        <v/>
      </c>
      <c r="O53" s="1016" t="str">
        <f t="shared" si="46"/>
        <v/>
      </c>
      <c r="P53" s="1125" t="str">
        <f t="shared" si="47"/>
        <v/>
      </c>
      <c r="Q53" s="1016" t="str">
        <f t="shared" si="48"/>
        <v/>
      </c>
      <c r="R53" s="214" t="str">
        <f t="shared" si="49"/>
        <v/>
      </c>
      <c r="S53" s="1125" t="str">
        <f t="shared" si="50"/>
        <v/>
      </c>
      <c r="T53" s="236" t="str">
        <f t="shared" si="51"/>
        <v/>
      </c>
      <c r="V53" s="642" t="e">
        <f>INDEX('Vessel Gauging Data'!$B$26:$V$56,MATCH($C53,'Vessel Gauging Data'!$B$26:$B$56,0),$V$18)</f>
        <v>#N/A</v>
      </c>
      <c r="W53" s="642" t="e">
        <f>INDEX('Vessel Gauging Data'!$B$26:$V$56,MATCH($C53,'Vessel Gauging Data'!$B$26:$B$56,0),$W$18)</f>
        <v>#N/A</v>
      </c>
      <c r="X53" s="642" t="e">
        <f>INDEX('Vessel Gauging Data'!$B$26:$V$56,MATCH($C53,'Vessel Gauging Data'!$B$26:$B$56,0),$X$18)</f>
        <v>#N/A</v>
      </c>
      <c r="Y53" s="642" t="e">
        <f>INDEX('Vessel Gauging Data'!$B$26:$V$56,MATCH($C53,'Vessel Gauging Data'!$B$26:$B$56,0),$Y$18)</f>
        <v>#N/A</v>
      </c>
      <c r="Z53" s="642" t="e">
        <f>INDEX('Vessel Gauging Data'!$B$26:$V$56,MATCH($C53,'Vessel Gauging Data'!$B$26:$B$56,0),$Z$18)</f>
        <v>#N/A</v>
      </c>
      <c r="AB53" s="642" t="e">
        <f>INDEX(API1DENST,MATCH($C53,'Vessel Gauging Data'!$B$27:$B$56,0),1)</f>
        <v>#N/A</v>
      </c>
      <c r="AC53" s="642" t="e">
        <f t="shared" si="17"/>
        <v>#N/A</v>
      </c>
      <c r="AE53" s="661" t="e">
        <f t="shared" si="18"/>
        <v>#VALUE!</v>
      </c>
      <c r="AF53" s="661" t="e">
        <f t="shared" si="19"/>
        <v>#VALUE!</v>
      </c>
      <c r="AH53" s="662" t="str">
        <f t="shared" si="15"/>
        <v/>
      </c>
      <c r="AI53" s="662" t="str">
        <f t="shared" si="16"/>
        <v/>
      </c>
      <c r="AJ53" s="663">
        <f t="shared" si="20"/>
        <v>192.4571</v>
      </c>
      <c r="AK53" s="660">
        <f t="shared" si="21"/>
        <v>0.24379999999999999</v>
      </c>
      <c r="AL53" s="660" t="e">
        <f t="shared" si="22"/>
        <v>#VALUE!</v>
      </c>
      <c r="AM53" s="664" t="e">
        <f t="shared" si="23"/>
        <v>#VALUE!</v>
      </c>
      <c r="AN53" s="664" t="e">
        <f t="shared" si="24"/>
        <v>#VALUE!</v>
      </c>
      <c r="AO53" s="665" t="e">
        <f t="shared" si="25"/>
        <v>#VALUE!</v>
      </c>
      <c r="AP53" s="666" t="e">
        <f t="shared" si="26"/>
        <v>#VALUE!</v>
      </c>
      <c r="AQ53" s="660" t="e">
        <f t="shared" si="27"/>
        <v>#VALUE!</v>
      </c>
      <c r="AR53" s="667" t="e">
        <f t="shared" si="28"/>
        <v>#VALUE!</v>
      </c>
      <c r="AS53" s="667" t="e">
        <f t="shared" si="29"/>
        <v>#VALUE!</v>
      </c>
      <c r="AT53" s="668" t="e">
        <f t="shared" si="30"/>
        <v>#VALUE!</v>
      </c>
      <c r="AU53" s="667" t="e">
        <f t="shared" si="31"/>
        <v>#VALUE!</v>
      </c>
      <c r="AV53" s="669" t="e">
        <f t="shared" si="32"/>
        <v>#VALUE!</v>
      </c>
      <c r="AW53" s="667" t="e">
        <f t="shared" si="33"/>
        <v>#VALUE!</v>
      </c>
      <c r="AX53" s="667" t="e">
        <f t="shared" si="34"/>
        <v>#VALUE!</v>
      </c>
      <c r="AY53" s="660" t="e">
        <f t="shared" si="35"/>
        <v>#VALUE!</v>
      </c>
      <c r="AZ53" s="670" t="e">
        <f t="shared" si="36"/>
        <v>#VALUE!</v>
      </c>
      <c r="BB53" s="662" t="e">
        <f>INDEX('Vessel Gauging Data'!$B$26:$V$56,MATCH($C53,'Vessel Gauging Data'!$B$26:$B$56,0),$BB$18)</f>
        <v>#N/A</v>
      </c>
      <c r="BC53" s="662" t="e">
        <f>INDEX('Vessel Gauging Data'!$B$26:$V$56,MATCH($C53,'Vessel Gauging Data'!$B$26:$B$56,0),$BC$18)</f>
        <v>#N/A</v>
      </c>
      <c r="BD53" s="662" t="e">
        <f>INDEX('Vessel Gauging Data'!$B$26:$V$56,MATCH($C53,'Vessel Gauging Data'!$B$26:$B$56,0),$BD$18)</f>
        <v>#N/A</v>
      </c>
      <c r="BE53" s="662" t="e">
        <f>INDEX('Vessel Gauging Data'!$B$26:$V$56,MATCH($C53,'Vessel Gauging Data'!$B$26:$B$56,0),$BE$18)</f>
        <v>#N/A</v>
      </c>
    </row>
    <row r="54" spans="1:57" hidden="1">
      <c r="A54" s="641" t="str">
        <f t="shared" si="37"/>
        <v>N</v>
      </c>
      <c r="C54" s="235" t="str">
        <f t="array" ref="C54">IF(OR($E$44="",SUMPRODUCT(('Vessel Gauging Data'!$C$27:$C$56=$E$44)*('Vessel Gauging Data'!$D$27:$D$56=NOMY))&lt;ROWS($C$45:$C54)),"",INDEX('Vessel Gauging Data'!$B$27:$B$56,SMALL(IF(('Vessel Gauging Data'!$C$27:$C$56=$E$44)+('Vessel Gauging Data'!$D$27:$D$56=NOMY)=2,ROW('Vessel Gauging Data'!$B$27:$B$56)-ROW('Vessel Gauging Data'!$C$26)),ROW()-ROW(C$44))))</f>
        <v/>
      </c>
      <c r="D54" s="211" t="str">
        <f>IF(OR($C54="",$C54=0),"",INDEX('Vessel Gauging Data'!$B$26:$V$56,MATCH($C54,'Vessel Gauging Data'!$B$27:$B$56,0)+1,2))</f>
        <v/>
      </c>
      <c r="E54" s="1016" t="str">
        <f t="shared" si="38"/>
        <v/>
      </c>
      <c r="F54" s="1016" t="str">
        <f t="shared" si="39"/>
        <v/>
      </c>
      <c r="G54" s="1016" t="str">
        <f t="shared" si="40"/>
        <v/>
      </c>
      <c r="H54" s="1016" t="str">
        <f t="shared" si="40"/>
        <v/>
      </c>
      <c r="I54" s="211" t="str">
        <f t="shared" si="41"/>
        <v/>
      </c>
      <c r="J54" s="1016" t="str">
        <f t="shared" si="42"/>
        <v/>
      </c>
      <c r="K54" s="213" t="str">
        <f t="shared" si="43"/>
        <v/>
      </c>
      <c r="L54" s="212" t="str">
        <f t="shared" si="44"/>
        <v/>
      </c>
      <c r="M54" s="1125" t="str">
        <f>IF(OR($C54="",$C54=0),"",INDEX(API1DENST,MATCH($C54,'Vessel Gauging Data'!$B$27:$B$56,0),$AA$1))</f>
        <v/>
      </c>
      <c r="N54" s="212" t="str">
        <f t="shared" si="45"/>
        <v/>
      </c>
      <c r="O54" s="1016" t="str">
        <f t="shared" si="46"/>
        <v/>
      </c>
      <c r="P54" s="1125" t="str">
        <f t="shared" si="47"/>
        <v/>
      </c>
      <c r="Q54" s="1016" t="str">
        <f t="shared" si="48"/>
        <v/>
      </c>
      <c r="R54" s="214" t="str">
        <f t="shared" si="49"/>
        <v/>
      </c>
      <c r="S54" s="1125" t="str">
        <f t="shared" si="50"/>
        <v/>
      </c>
      <c r="T54" s="236" t="str">
        <f t="shared" si="51"/>
        <v/>
      </c>
      <c r="V54" s="642" t="e">
        <f>INDEX('Vessel Gauging Data'!$B$26:$V$56,MATCH($C54,'Vessel Gauging Data'!$B$26:$B$56,0),$V$18)</f>
        <v>#N/A</v>
      </c>
      <c r="W54" s="642" t="e">
        <f>INDEX('Vessel Gauging Data'!$B$26:$V$56,MATCH($C54,'Vessel Gauging Data'!$B$26:$B$56,0),$W$18)</f>
        <v>#N/A</v>
      </c>
      <c r="X54" s="642" t="e">
        <f>INDEX('Vessel Gauging Data'!$B$26:$V$56,MATCH($C54,'Vessel Gauging Data'!$B$26:$B$56,0),$X$18)</f>
        <v>#N/A</v>
      </c>
      <c r="Y54" s="642" t="e">
        <f>INDEX('Vessel Gauging Data'!$B$26:$V$56,MATCH($C54,'Vessel Gauging Data'!$B$26:$B$56,0),$Y$18)</f>
        <v>#N/A</v>
      </c>
      <c r="Z54" s="642" t="e">
        <f>INDEX('Vessel Gauging Data'!$B$26:$V$56,MATCH($C54,'Vessel Gauging Data'!$B$26:$B$56,0),$Z$18)</f>
        <v>#N/A</v>
      </c>
      <c r="AB54" s="642" t="e">
        <f>INDEX(API1DENST,MATCH($C54,'Vessel Gauging Data'!$B$27:$B$56,0),1)</f>
        <v>#N/A</v>
      </c>
      <c r="AC54" s="642" t="e">
        <f t="shared" si="17"/>
        <v>#N/A</v>
      </c>
      <c r="AE54" s="661" t="e">
        <f t="shared" si="18"/>
        <v>#VALUE!</v>
      </c>
      <c r="AF54" s="661" t="e">
        <f t="shared" si="19"/>
        <v>#VALUE!</v>
      </c>
      <c r="AH54" s="662" t="str">
        <f t="shared" si="15"/>
        <v/>
      </c>
      <c r="AI54" s="662" t="str">
        <f t="shared" si="16"/>
        <v/>
      </c>
      <c r="AJ54" s="663">
        <f t="shared" si="20"/>
        <v>192.4571</v>
      </c>
      <c r="AK54" s="660">
        <f t="shared" si="21"/>
        <v>0.24379999999999999</v>
      </c>
      <c r="AL54" s="660" t="e">
        <f t="shared" si="22"/>
        <v>#VALUE!</v>
      </c>
      <c r="AM54" s="664" t="e">
        <f t="shared" si="23"/>
        <v>#VALUE!</v>
      </c>
      <c r="AN54" s="664" t="e">
        <f t="shared" si="24"/>
        <v>#VALUE!</v>
      </c>
      <c r="AO54" s="665" t="e">
        <f t="shared" si="25"/>
        <v>#VALUE!</v>
      </c>
      <c r="AP54" s="666" t="e">
        <f t="shared" si="26"/>
        <v>#VALUE!</v>
      </c>
      <c r="AQ54" s="660" t="e">
        <f t="shared" si="27"/>
        <v>#VALUE!</v>
      </c>
      <c r="AR54" s="667" t="e">
        <f t="shared" si="28"/>
        <v>#VALUE!</v>
      </c>
      <c r="AS54" s="667" t="e">
        <f t="shared" si="29"/>
        <v>#VALUE!</v>
      </c>
      <c r="AT54" s="668" t="e">
        <f t="shared" si="30"/>
        <v>#VALUE!</v>
      </c>
      <c r="AU54" s="667" t="e">
        <f t="shared" si="31"/>
        <v>#VALUE!</v>
      </c>
      <c r="AV54" s="669" t="e">
        <f t="shared" si="32"/>
        <v>#VALUE!</v>
      </c>
      <c r="AW54" s="667" t="e">
        <f t="shared" si="33"/>
        <v>#VALUE!</v>
      </c>
      <c r="AX54" s="667" t="e">
        <f t="shared" si="34"/>
        <v>#VALUE!</v>
      </c>
      <c r="AY54" s="660" t="e">
        <f t="shared" si="35"/>
        <v>#VALUE!</v>
      </c>
      <c r="AZ54" s="670" t="e">
        <f t="shared" si="36"/>
        <v>#VALUE!</v>
      </c>
      <c r="BB54" s="662" t="e">
        <f>INDEX('Vessel Gauging Data'!$B$26:$V$56,MATCH($C54,'Vessel Gauging Data'!$B$26:$B$56,0),$BB$18)</f>
        <v>#N/A</v>
      </c>
      <c r="BC54" s="662" t="e">
        <f>INDEX('Vessel Gauging Data'!$B$26:$V$56,MATCH($C54,'Vessel Gauging Data'!$B$26:$B$56,0),$BC$18)</f>
        <v>#N/A</v>
      </c>
      <c r="BD54" s="662" t="e">
        <f>INDEX('Vessel Gauging Data'!$B$26:$V$56,MATCH($C54,'Vessel Gauging Data'!$B$26:$B$56,0),$BD$18)</f>
        <v>#N/A</v>
      </c>
      <c r="BE54" s="662" t="e">
        <f>INDEX('Vessel Gauging Data'!$B$26:$V$56,MATCH($C54,'Vessel Gauging Data'!$B$26:$B$56,0),$BE$18)</f>
        <v>#N/A</v>
      </c>
    </row>
    <row r="55" spans="1:57" hidden="1">
      <c r="A55" s="641" t="str">
        <f t="shared" si="37"/>
        <v>N</v>
      </c>
      <c r="C55" s="235" t="str">
        <f t="array" ref="C55">IF(OR($E$44="",SUMPRODUCT(('Vessel Gauging Data'!$C$27:$C$56=$E$44)*('Vessel Gauging Data'!$D$27:$D$56=NOMY))&lt;ROWS($C$45:$C55)),"",INDEX('Vessel Gauging Data'!$B$27:$B$56,SMALL(IF(('Vessel Gauging Data'!$C$27:$C$56=$E$44)+('Vessel Gauging Data'!$D$27:$D$56=NOMY)=2,ROW('Vessel Gauging Data'!$B$27:$B$56)-ROW('Vessel Gauging Data'!$C$26)),ROW()-ROW(C$44))))</f>
        <v/>
      </c>
      <c r="D55" s="211" t="str">
        <f>IF(OR($C55="",$C55=0),"",INDEX('Vessel Gauging Data'!$B$26:$V$56,MATCH($C55,'Vessel Gauging Data'!$B$27:$B$56,0)+1,2))</f>
        <v/>
      </c>
      <c r="E55" s="1016" t="str">
        <f t="shared" si="38"/>
        <v/>
      </c>
      <c r="F55" s="1016" t="str">
        <f t="shared" si="39"/>
        <v/>
      </c>
      <c r="G55" s="1016" t="str">
        <f t="shared" si="40"/>
        <v/>
      </c>
      <c r="H55" s="1016" t="str">
        <f t="shared" si="40"/>
        <v/>
      </c>
      <c r="I55" s="211" t="str">
        <f t="shared" si="41"/>
        <v/>
      </c>
      <c r="J55" s="1016" t="str">
        <f t="shared" si="42"/>
        <v/>
      </c>
      <c r="K55" s="213" t="str">
        <f t="shared" si="43"/>
        <v/>
      </c>
      <c r="L55" s="212" t="str">
        <f t="shared" si="44"/>
        <v/>
      </c>
      <c r="M55" s="1125" t="str">
        <f>IF(OR($C55="",$C55=0),"",INDEX(API1DENST,MATCH($C55,'Vessel Gauging Data'!$B$27:$B$56,0),$AA$1))</f>
        <v/>
      </c>
      <c r="N55" s="212" t="str">
        <f t="shared" si="45"/>
        <v/>
      </c>
      <c r="O55" s="1016" t="str">
        <f t="shared" si="46"/>
        <v/>
      </c>
      <c r="P55" s="1125" t="str">
        <f t="shared" si="47"/>
        <v/>
      </c>
      <c r="Q55" s="1016" t="str">
        <f t="shared" si="48"/>
        <v/>
      </c>
      <c r="R55" s="214" t="str">
        <f t="shared" si="49"/>
        <v/>
      </c>
      <c r="S55" s="1125" t="str">
        <f t="shared" si="50"/>
        <v/>
      </c>
      <c r="T55" s="236" t="str">
        <f t="shared" si="51"/>
        <v/>
      </c>
      <c r="V55" s="642" t="e">
        <f>INDEX('Vessel Gauging Data'!$B$26:$V$56,MATCH($C55,'Vessel Gauging Data'!$B$26:$B$56,0),$V$18)</f>
        <v>#N/A</v>
      </c>
      <c r="W55" s="642" t="e">
        <f>INDEX('Vessel Gauging Data'!$B$26:$V$56,MATCH($C55,'Vessel Gauging Data'!$B$26:$B$56,0),$W$18)</f>
        <v>#N/A</v>
      </c>
      <c r="X55" s="642" t="e">
        <f>INDEX('Vessel Gauging Data'!$B$26:$V$56,MATCH($C55,'Vessel Gauging Data'!$B$26:$B$56,0),$X$18)</f>
        <v>#N/A</v>
      </c>
      <c r="Y55" s="642" t="e">
        <f>INDEX('Vessel Gauging Data'!$B$26:$V$56,MATCH($C55,'Vessel Gauging Data'!$B$26:$B$56,0),$Y$18)</f>
        <v>#N/A</v>
      </c>
      <c r="Z55" s="642" t="e">
        <f>INDEX('Vessel Gauging Data'!$B$26:$V$56,MATCH($C55,'Vessel Gauging Data'!$B$26:$B$56,0),$Z$18)</f>
        <v>#N/A</v>
      </c>
      <c r="AB55" s="642" t="e">
        <f>INDEX(API1DENST,MATCH($C55,'Vessel Gauging Data'!$B$27:$B$56,0),1)</f>
        <v>#N/A</v>
      </c>
      <c r="AC55" s="642" t="e">
        <f t="shared" si="17"/>
        <v>#N/A</v>
      </c>
      <c r="AE55" s="661" t="e">
        <f t="shared" si="18"/>
        <v>#VALUE!</v>
      </c>
      <c r="AF55" s="661" t="e">
        <f t="shared" si="19"/>
        <v>#VALUE!</v>
      </c>
      <c r="AH55" s="662" t="str">
        <f t="shared" si="15"/>
        <v/>
      </c>
      <c r="AI55" s="662" t="str">
        <f t="shared" si="16"/>
        <v/>
      </c>
      <c r="AJ55" s="663">
        <f t="shared" si="20"/>
        <v>192.4571</v>
      </c>
      <c r="AK55" s="660">
        <f t="shared" si="21"/>
        <v>0.24379999999999999</v>
      </c>
      <c r="AL55" s="660" t="e">
        <f t="shared" si="22"/>
        <v>#VALUE!</v>
      </c>
      <c r="AM55" s="664" t="e">
        <f t="shared" si="23"/>
        <v>#VALUE!</v>
      </c>
      <c r="AN55" s="664" t="e">
        <f t="shared" si="24"/>
        <v>#VALUE!</v>
      </c>
      <c r="AO55" s="665" t="e">
        <f t="shared" si="25"/>
        <v>#VALUE!</v>
      </c>
      <c r="AP55" s="666" t="e">
        <f t="shared" si="26"/>
        <v>#VALUE!</v>
      </c>
      <c r="AQ55" s="660" t="e">
        <f t="shared" si="27"/>
        <v>#VALUE!</v>
      </c>
      <c r="AR55" s="667" t="e">
        <f t="shared" si="28"/>
        <v>#VALUE!</v>
      </c>
      <c r="AS55" s="667" t="e">
        <f t="shared" si="29"/>
        <v>#VALUE!</v>
      </c>
      <c r="AT55" s="668" t="e">
        <f t="shared" si="30"/>
        <v>#VALUE!</v>
      </c>
      <c r="AU55" s="667" t="e">
        <f t="shared" si="31"/>
        <v>#VALUE!</v>
      </c>
      <c r="AV55" s="669" t="e">
        <f t="shared" si="32"/>
        <v>#VALUE!</v>
      </c>
      <c r="AW55" s="667" t="e">
        <f t="shared" si="33"/>
        <v>#VALUE!</v>
      </c>
      <c r="AX55" s="667" t="e">
        <f t="shared" si="34"/>
        <v>#VALUE!</v>
      </c>
      <c r="AY55" s="660" t="e">
        <f t="shared" si="35"/>
        <v>#VALUE!</v>
      </c>
      <c r="AZ55" s="670" t="e">
        <f t="shared" si="36"/>
        <v>#VALUE!</v>
      </c>
      <c r="BB55" s="662" t="e">
        <f>INDEX('Vessel Gauging Data'!$B$26:$V$56,MATCH($C55,'Vessel Gauging Data'!$B$26:$B$56,0),$BB$18)</f>
        <v>#N/A</v>
      </c>
      <c r="BC55" s="662" t="e">
        <f>INDEX('Vessel Gauging Data'!$B$26:$V$56,MATCH($C55,'Vessel Gauging Data'!$B$26:$B$56,0),$BC$18)</f>
        <v>#N/A</v>
      </c>
      <c r="BD55" s="662" t="e">
        <f>INDEX('Vessel Gauging Data'!$B$26:$V$56,MATCH($C55,'Vessel Gauging Data'!$B$26:$B$56,0),$BD$18)</f>
        <v>#N/A</v>
      </c>
      <c r="BE55" s="662" t="e">
        <f>INDEX('Vessel Gauging Data'!$B$26:$V$56,MATCH($C55,'Vessel Gauging Data'!$B$26:$B$56,0),$BE$18)</f>
        <v>#N/A</v>
      </c>
    </row>
    <row r="56" spans="1:57" hidden="1">
      <c r="A56" s="641" t="str">
        <f t="shared" si="37"/>
        <v>N</v>
      </c>
      <c r="C56" s="235" t="str">
        <f t="array" ref="C56">IF(OR($E$44="",SUMPRODUCT(('Vessel Gauging Data'!$C$27:$C$56=$E$44)*('Vessel Gauging Data'!$D$27:$D$56=NOMY))&lt;ROWS($C$45:$C56)),"",INDEX('Vessel Gauging Data'!$B$27:$B$56,SMALL(IF(('Vessel Gauging Data'!$C$27:$C$56=$E$44)+('Vessel Gauging Data'!$D$27:$D$56=NOMY)=2,ROW('Vessel Gauging Data'!$B$27:$B$56)-ROW('Vessel Gauging Data'!$C$26)),ROW()-ROW(C$44))))</f>
        <v/>
      </c>
      <c r="D56" s="211" t="str">
        <f>IF(OR($C56="",$C56=0),"",INDEX('Vessel Gauging Data'!$B$26:$V$56,MATCH($C56,'Vessel Gauging Data'!$B$27:$B$56,0)+1,2))</f>
        <v/>
      </c>
      <c r="E56" s="1016" t="str">
        <f t="shared" si="38"/>
        <v/>
      </c>
      <c r="F56" s="1016" t="str">
        <f t="shared" si="39"/>
        <v/>
      </c>
      <c r="G56" s="1016" t="str">
        <f t="shared" si="40"/>
        <v/>
      </c>
      <c r="H56" s="1016" t="str">
        <f t="shared" si="40"/>
        <v/>
      </c>
      <c r="I56" s="211" t="str">
        <f t="shared" si="41"/>
        <v/>
      </c>
      <c r="J56" s="1016" t="str">
        <f t="shared" si="42"/>
        <v/>
      </c>
      <c r="K56" s="213" t="str">
        <f t="shared" si="43"/>
        <v/>
      </c>
      <c r="L56" s="212" t="str">
        <f t="shared" si="44"/>
        <v/>
      </c>
      <c r="M56" s="1125" t="str">
        <f>IF(OR($C56="",$C56=0),"",INDEX(API1DENST,MATCH($C56,'Vessel Gauging Data'!$B$27:$B$56,0),$AA$1))</f>
        <v/>
      </c>
      <c r="N56" s="212" t="str">
        <f t="shared" si="45"/>
        <v/>
      </c>
      <c r="O56" s="1016" t="str">
        <f t="shared" si="46"/>
        <v/>
      </c>
      <c r="P56" s="1125" t="str">
        <f t="shared" si="47"/>
        <v/>
      </c>
      <c r="Q56" s="1016" t="str">
        <f t="shared" si="48"/>
        <v/>
      </c>
      <c r="R56" s="214" t="str">
        <f t="shared" si="49"/>
        <v/>
      </c>
      <c r="S56" s="1125" t="str">
        <f t="shared" si="50"/>
        <v/>
      </c>
      <c r="T56" s="236" t="str">
        <f t="shared" si="51"/>
        <v/>
      </c>
      <c r="V56" s="642" t="e">
        <f>INDEX('Vessel Gauging Data'!$B$26:$V$56,MATCH($C56,'Vessel Gauging Data'!$B$26:$B$56,0),$V$18)</f>
        <v>#N/A</v>
      </c>
      <c r="W56" s="642" t="e">
        <f>INDEX('Vessel Gauging Data'!$B$26:$V$56,MATCH($C56,'Vessel Gauging Data'!$B$26:$B$56,0),$W$18)</f>
        <v>#N/A</v>
      </c>
      <c r="X56" s="642" t="e">
        <f>INDEX('Vessel Gauging Data'!$B$26:$V$56,MATCH($C56,'Vessel Gauging Data'!$B$26:$B$56,0),$X$18)</f>
        <v>#N/A</v>
      </c>
      <c r="Y56" s="642" t="e">
        <f>INDEX('Vessel Gauging Data'!$B$26:$V$56,MATCH($C56,'Vessel Gauging Data'!$B$26:$B$56,0),$Y$18)</f>
        <v>#N/A</v>
      </c>
      <c r="Z56" s="642" t="e">
        <f>INDEX('Vessel Gauging Data'!$B$26:$V$56,MATCH($C56,'Vessel Gauging Data'!$B$26:$B$56,0),$Z$18)</f>
        <v>#N/A</v>
      </c>
      <c r="AB56" s="642" t="e">
        <f>INDEX(API1DENST,MATCH($C56,'Vessel Gauging Data'!$B$27:$B$56,0),1)</f>
        <v>#N/A</v>
      </c>
      <c r="AC56" s="642" t="e">
        <f t="shared" si="17"/>
        <v>#N/A</v>
      </c>
      <c r="AE56" s="661" t="e">
        <f t="shared" si="18"/>
        <v>#VALUE!</v>
      </c>
      <c r="AF56" s="661" t="e">
        <f t="shared" si="19"/>
        <v>#VALUE!</v>
      </c>
      <c r="AH56" s="662" t="str">
        <f t="shared" ref="AH56:AH91" si="52">N56</f>
        <v/>
      </c>
      <c r="AI56" s="662" t="str">
        <f t="shared" ref="AI56:AI91" si="53">M56</f>
        <v/>
      </c>
      <c r="AJ56" s="663">
        <f t="shared" si="20"/>
        <v>192.4571</v>
      </c>
      <c r="AK56" s="660">
        <f t="shared" si="21"/>
        <v>0.24379999999999999</v>
      </c>
      <c r="AL56" s="660" t="e">
        <f t="shared" si="22"/>
        <v>#VALUE!</v>
      </c>
      <c r="AM56" s="664" t="e">
        <f t="shared" si="23"/>
        <v>#VALUE!</v>
      </c>
      <c r="AN56" s="664" t="e">
        <f t="shared" si="24"/>
        <v>#VALUE!</v>
      </c>
      <c r="AO56" s="665" t="e">
        <f t="shared" si="25"/>
        <v>#VALUE!</v>
      </c>
      <c r="AP56" s="666" t="e">
        <f t="shared" si="26"/>
        <v>#VALUE!</v>
      </c>
      <c r="AQ56" s="660" t="e">
        <f t="shared" si="27"/>
        <v>#VALUE!</v>
      </c>
      <c r="AR56" s="667" t="e">
        <f t="shared" si="28"/>
        <v>#VALUE!</v>
      </c>
      <c r="AS56" s="667" t="e">
        <f t="shared" si="29"/>
        <v>#VALUE!</v>
      </c>
      <c r="AT56" s="668" t="e">
        <f t="shared" si="30"/>
        <v>#VALUE!</v>
      </c>
      <c r="AU56" s="667" t="e">
        <f t="shared" si="31"/>
        <v>#VALUE!</v>
      </c>
      <c r="AV56" s="669" t="e">
        <f t="shared" si="32"/>
        <v>#VALUE!</v>
      </c>
      <c r="AW56" s="667" t="e">
        <f t="shared" si="33"/>
        <v>#VALUE!</v>
      </c>
      <c r="AX56" s="667" t="e">
        <f t="shared" si="34"/>
        <v>#VALUE!</v>
      </c>
      <c r="AY56" s="660" t="e">
        <f t="shared" si="35"/>
        <v>#VALUE!</v>
      </c>
      <c r="AZ56" s="670" t="e">
        <f t="shared" si="36"/>
        <v>#VALUE!</v>
      </c>
      <c r="BB56" s="662" t="e">
        <f>INDEX('Vessel Gauging Data'!$B$26:$V$56,MATCH($C56,'Vessel Gauging Data'!$B$26:$B$56,0),$BB$18)</f>
        <v>#N/A</v>
      </c>
      <c r="BC56" s="662" t="e">
        <f>INDEX('Vessel Gauging Data'!$B$26:$V$56,MATCH($C56,'Vessel Gauging Data'!$B$26:$B$56,0),$BC$18)</f>
        <v>#N/A</v>
      </c>
      <c r="BD56" s="662" t="e">
        <f>INDEX('Vessel Gauging Data'!$B$26:$V$56,MATCH($C56,'Vessel Gauging Data'!$B$26:$B$56,0),$BD$18)</f>
        <v>#N/A</v>
      </c>
      <c r="BE56" s="662" t="e">
        <f>INDEX('Vessel Gauging Data'!$B$26:$V$56,MATCH($C56,'Vessel Gauging Data'!$B$26:$B$56,0),$BE$18)</f>
        <v>#N/A</v>
      </c>
    </row>
    <row r="57" spans="1:57" hidden="1">
      <c r="A57" s="641" t="str">
        <f t="shared" si="37"/>
        <v>N</v>
      </c>
      <c r="C57" s="235" t="str">
        <f t="array" ref="C57">IF(OR($E$44="",SUMPRODUCT(('Vessel Gauging Data'!$C$27:$C$56=$E$44)*('Vessel Gauging Data'!$D$27:$D$56=NOMY))&lt;ROWS($C$45:$C57)),"",INDEX('Vessel Gauging Data'!$B$27:$B$56,SMALL(IF(('Vessel Gauging Data'!$C$27:$C$56=$E$44)+('Vessel Gauging Data'!$D$27:$D$56=NOMY)=2,ROW('Vessel Gauging Data'!$B$27:$B$56)-ROW('Vessel Gauging Data'!$C$26)),ROW()-ROW(C$44))))</f>
        <v/>
      </c>
      <c r="D57" s="211" t="str">
        <f>IF(OR($C57="",$C57=0),"",INDEX('Vessel Gauging Data'!$B$26:$V$56,MATCH($C57,'Vessel Gauging Data'!$B$27:$B$56,0)+1,2))</f>
        <v/>
      </c>
      <c r="E57" s="1016" t="str">
        <f t="shared" si="38"/>
        <v/>
      </c>
      <c r="F57" s="1016" t="str">
        <f t="shared" si="39"/>
        <v/>
      </c>
      <c r="G57" s="1016" t="str">
        <f t="shared" si="40"/>
        <v/>
      </c>
      <c r="H57" s="1016" t="str">
        <f t="shared" si="40"/>
        <v/>
      </c>
      <c r="I57" s="211" t="str">
        <f t="shared" si="41"/>
        <v/>
      </c>
      <c r="J57" s="1016" t="str">
        <f t="shared" si="42"/>
        <v/>
      </c>
      <c r="K57" s="213" t="str">
        <f t="shared" si="43"/>
        <v/>
      </c>
      <c r="L57" s="212" t="str">
        <f t="shared" si="44"/>
        <v/>
      </c>
      <c r="M57" s="1125" t="str">
        <f>IF(OR($C57="",$C57=0),"",INDEX(API1DENST,MATCH($C57,'Vessel Gauging Data'!$B$27:$B$56,0),$AA$1))</f>
        <v/>
      </c>
      <c r="N57" s="212" t="str">
        <f t="shared" si="45"/>
        <v/>
      </c>
      <c r="O57" s="1016" t="str">
        <f t="shared" si="46"/>
        <v/>
      </c>
      <c r="P57" s="1125" t="str">
        <f t="shared" si="47"/>
        <v/>
      </c>
      <c r="Q57" s="1016" t="str">
        <f t="shared" si="48"/>
        <v/>
      </c>
      <c r="R57" s="214" t="str">
        <f t="shared" si="49"/>
        <v/>
      </c>
      <c r="S57" s="1125" t="str">
        <f t="shared" si="50"/>
        <v/>
      </c>
      <c r="T57" s="236" t="str">
        <f t="shared" si="51"/>
        <v/>
      </c>
      <c r="V57" s="642" t="e">
        <f>INDEX('Vessel Gauging Data'!$B$26:$V$56,MATCH($C57,'Vessel Gauging Data'!$B$26:$B$56,0),$V$18)</f>
        <v>#N/A</v>
      </c>
      <c r="W57" s="642" t="e">
        <f>INDEX('Vessel Gauging Data'!$B$26:$V$56,MATCH($C57,'Vessel Gauging Data'!$B$26:$B$56,0),$W$18)</f>
        <v>#N/A</v>
      </c>
      <c r="X57" s="642" t="e">
        <f>INDEX('Vessel Gauging Data'!$B$26:$V$56,MATCH($C57,'Vessel Gauging Data'!$B$26:$B$56,0),$X$18)</f>
        <v>#N/A</v>
      </c>
      <c r="Y57" s="642" t="e">
        <f>INDEX('Vessel Gauging Data'!$B$26:$V$56,MATCH($C57,'Vessel Gauging Data'!$B$26:$B$56,0),$Y$18)</f>
        <v>#N/A</v>
      </c>
      <c r="Z57" s="642" t="e">
        <f>INDEX('Vessel Gauging Data'!$B$26:$V$56,MATCH($C57,'Vessel Gauging Data'!$B$26:$B$56,0),$Z$18)</f>
        <v>#N/A</v>
      </c>
      <c r="AB57" s="642" t="e">
        <f>INDEX(API1DENST,MATCH($C57,'Vessel Gauging Data'!$B$27:$B$56,0),1)</f>
        <v>#N/A</v>
      </c>
      <c r="AC57" s="642" t="e">
        <f t="shared" si="17"/>
        <v>#N/A</v>
      </c>
      <c r="AE57" s="661" t="e">
        <f t="shared" si="18"/>
        <v>#VALUE!</v>
      </c>
      <c r="AF57" s="661" t="e">
        <f t="shared" si="19"/>
        <v>#VALUE!</v>
      </c>
      <c r="AH57" s="662" t="str">
        <f t="shared" si="52"/>
        <v/>
      </c>
      <c r="AI57" s="662" t="str">
        <f t="shared" si="53"/>
        <v/>
      </c>
      <c r="AJ57" s="663">
        <f t="shared" si="20"/>
        <v>192.4571</v>
      </c>
      <c r="AK57" s="660">
        <f t="shared" si="21"/>
        <v>0.24379999999999999</v>
      </c>
      <c r="AL57" s="660" t="e">
        <f t="shared" si="22"/>
        <v>#VALUE!</v>
      </c>
      <c r="AM57" s="664" t="e">
        <f t="shared" si="23"/>
        <v>#VALUE!</v>
      </c>
      <c r="AN57" s="664" t="e">
        <f t="shared" si="24"/>
        <v>#VALUE!</v>
      </c>
      <c r="AO57" s="665" t="e">
        <f t="shared" si="25"/>
        <v>#VALUE!</v>
      </c>
      <c r="AP57" s="666" t="e">
        <f t="shared" si="26"/>
        <v>#VALUE!</v>
      </c>
      <c r="AQ57" s="660" t="e">
        <f t="shared" si="27"/>
        <v>#VALUE!</v>
      </c>
      <c r="AR57" s="667" t="e">
        <f t="shared" si="28"/>
        <v>#VALUE!</v>
      </c>
      <c r="AS57" s="667" t="e">
        <f t="shared" si="29"/>
        <v>#VALUE!</v>
      </c>
      <c r="AT57" s="668" t="e">
        <f t="shared" si="30"/>
        <v>#VALUE!</v>
      </c>
      <c r="AU57" s="667" t="e">
        <f t="shared" si="31"/>
        <v>#VALUE!</v>
      </c>
      <c r="AV57" s="669" t="e">
        <f t="shared" si="32"/>
        <v>#VALUE!</v>
      </c>
      <c r="AW57" s="667" t="e">
        <f t="shared" si="33"/>
        <v>#VALUE!</v>
      </c>
      <c r="AX57" s="667" t="e">
        <f t="shared" si="34"/>
        <v>#VALUE!</v>
      </c>
      <c r="AY57" s="660" t="e">
        <f t="shared" si="35"/>
        <v>#VALUE!</v>
      </c>
      <c r="AZ57" s="670" t="e">
        <f t="shared" si="36"/>
        <v>#VALUE!</v>
      </c>
      <c r="BB57" s="662" t="e">
        <f>INDEX('Vessel Gauging Data'!$B$26:$V$56,MATCH($C57,'Vessel Gauging Data'!$B$26:$B$56,0),$BB$18)</f>
        <v>#N/A</v>
      </c>
      <c r="BC57" s="662" t="e">
        <f>INDEX('Vessel Gauging Data'!$B$26:$V$56,MATCH($C57,'Vessel Gauging Data'!$B$26:$B$56,0),$BC$18)</f>
        <v>#N/A</v>
      </c>
      <c r="BD57" s="662" t="e">
        <f>INDEX('Vessel Gauging Data'!$B$26:$V$56,MATCH($C57,'Vessel Gauging Data'!$B$26:$B$56,0),$BD$18)</f>
        <v>#N/A</v>
      </c>
      <c r="BE57" s="662" t="e">
        <f>INDEX('Vessel Gauging Data'!$B$26:$V$56,MATCH($C57,'Vessel Gauging Data'!$B$26:$B$56,0),$BE$18)</f>
        <v>#N/A</v>
      </c>
    </row>
    <row r="58" spans="1:57" hidden="1">
      <c r="A58" s="641" t="str">
        <f t="shared" si="37"/>
        <v>N</v>
      </c>
      <c r="C58" s="235" t="str">
        <f t="array" ref="C58">IF(OR($E$44="",SUMPRODUCT(('Vessel Gauging Data'!$C$27:$C$56=$E$44)*('Vessel Gauging Data'!$D$27:$D$56=NOMY))&lt;ROWS($C$45:$C58)),"",INDEX('Vessel Gauging Data'!$B$27:$B$56,SMALL(IF(('Vessel Gauging Data'!$C$27:$C$56=$E$44)+('Vessel Gauging Data'!$D$27:$D$56=NOMY)=2,ROW('Vessel Gauging Data'!$B$27:$B$56)-ROW('Vessel Gauging Data'!$C$26)),ROW()-ROW(C$44))))</f>
        <v/>
      </c>
      <c r="D58" s="211" t="str">
        <f>IF(OR($C58="",$C58=0),"",INDEX('Vessel Gauging Data'!$B$26:$V$56,MATCH($C58,'Vessel Gauging Data'!$B$27:$B$56,0)+1,2))</f>
        <v/>
      </c>
      <c r="E58" s="1016" t="str">
        <f t="shared" si="38"/>
        <v/>
      </c>
      <c r="F58" s="1016" t="str">
        <f t="shared" si="39"/>
        <v/>
      </c>
      <c r="G58" s="1016" t="str">
        <f t="shared" si="40"/>
        <v/>
      </c>
      <c r="H58" s="1016" t="str">
        <f t="shared" si="40"/>
        <v/>
      </c>
      <c r="I58" s="211" t="str">
        <f t="shared" si="41"/>
        <v/>
      </c>
      <c r="J58" s="1016" t="str">
        <f t="shared" si="42"/>
        <v/>
      </c>
      <c r="K58" s="213" t="str">
        <f t="shared" si="43"/>
        <v/>
      </c>
      <c r="L58" s="212" t="str">
        <f t="shared" si="44"/>
        <v/>
      </c>
      <c r="M58" s="1125" t="str">
        <f>IF(OR($C58="",$C58=0),"",INDEX(API1DENST,MATCH($C58,'Vessel Gauging Data'!$B$27:$B$56,0),$AA$1))</f>
        <v/>
      </c>
      <c r="N58" s="212" t="str">
        <f t="shared" si="45"/>
        <v/>
      </c>
      <c r="O58" s="1016" t="str">
        <f t="shared" si="46"/>
        <v/>
      </c>
      <c r="P58" s="1125" t="str">
        <f t="shared" si="47"/>
        <v/>
      </c>
      <c r="Q58" s="1016" t="str">
        <f t="shared" si="48"/>
        <v/>
      </c>
      <c r="R58" s="214" t="str">
        <f t="shared" si="49"/>
        <v/>
      </c>
      <c r="S58" s="1125" t="str">
        <f t="shared" si="50"/>
        <v/>
      </c>
      <c r="T58" s="236" t="str">
        <f t="shared" si="51"/>
        <v/>
      </c>
      <c r="V58" s="642" t="e">
        <f>INDEX('Vessel Gauging Data'!$B$26:$V$56,MATCH($C58,'Vessel Gauging Data'!$B$26:$B$56,0),$V$18)</f>
        <v>#N/A</v>
      </c>
      <c r="W58" s="642" t="e">
        <f>INDEX('Vessel Gauging Data'!$B$26:$V$56,MATCH($C58,'Vessel Gauging Data'!$B$26:$B$56,0),$W$18)</f>
        <v>#N/A</v>
      </c>
      <c r="X58" s="642" t="e">
        <f>INDEX('Vessel Gauging Data'!$B$26:$V$56,MATCH($C58,'Vessel Gauging Data'!$B$26:$B$56,0),$X$18)</f>
        <v>#N/A</v>
      </c>
      <c r="Y58" s="642" t="e">
        <f>INDEX('Vessel Gauging Data'!$B$26:$V$56,MATCH($C58,'Vessel Gauging Data'!$B$26:$B$56,0),$Y$18)</f>
        <v>#N/A</v>
      </c>
      <c r="Z58" s="642" t="e">
        <f>INDEX('Vessel Gauging Data'!$B$26:$V$56,MATCH($C58,'Vessel Gauging Data'!$B$26:$B$56,0),$Z$18)</f>
        <v>#N/A</v>
      </c>
      <c r="AB58" s="642" t="e">
        <f>INDEX(API1DENST,MATCH($C58,'Vessel Gauging Data'!$B$27:$B$56,0),1)</f>
        <v>#N/A</v>
      </c>
      <c r="AC58" s="642" t="e">
        <f t="shared" si="17"/>
        <v>#N/A</v>
      </c>
      <c r="AE58" s="661" t="e">
        <f t="shared" si="18"/>
        <v>#VALUE!</v>
      </c>
      <c r="AF58" s="661" t="e">
        <f t="shared" si="19"/>
        <v>#VALUE!</v>
      </c>
      <c r="AH58" s="662" t="str">
        <f t="shared" si="52"/>
        <v/>
      </c>
      <c r="AI58" s="662" t="str">
        <f t="shared" si="53"/>
        <v/>
      </c>
      <c r="AJ58" s="663">
        <f t="shared" si="20"/>
        <v>192.4571</v>
      </c>
      <c r="AK58" s="660">
        <f t="shared" si="21"/>
        <v>0.24379999999999999</v>
      </c>
      <c r="AL58" s="660" t="e">
        <f t="shared" si="22"/>
        <v>#VALUE!</v>
      </c>
      <c r="AM58" s="664" t="e">
        <f t="shared" si="23"/>
        <v>#VALUE!</v>
      </c>
      <c r="AN58" s="664" t="e">
        <f t="shared" si="24"/>
        <v>#VALUE!</v>
      </c>
      <c r="AO58" s="665" t="e">
        <f t="shared" si="25"/>
        <v>#VALUE!</v>
      </c>
      <c r="AP58" s="666" t="e">
        <f t="shared" si="26"/>
        <v>#VALUE!</v>
      </c>
      <c r="AQ58" s="660" t="e">
        <f t="shared" si="27"/>
        <v>#VALUE!</v>
      </c>
      <c r="AR58" s="667" t="e">
        <f t="shared" si="28"/>
        <v>#VALUE!</v>
      </c>
      <c r="AS58" s="667" t="e">
        <f t="shared" si="29"/>
        <v>#VALUE!</v>
      </c>
      <c r="AT58" s="668" t="e">
        <f t="shared" si="30"/>
        <v>#VALUE!</v>
      </c>
      <c r="AU58" s="667" t="e">
        <f t="shared" si="31"/>
        <v>#VALUE!</v>
      </c>
      <c r="AV58" s="669" t="e">
        <f t="shared" si="32"/>
        <v>#VALUE!</v>
      </c>
      <c r="AW58" s="667" t="e">
        <f t="shared" si="33"/>
        <v>#VALUE!</v>
      </c>
      <c r="AX58" s="667" t="e">
        <f t="shared" si="34"/>
        <v>#VALUE!</v>
      </c>
      <c r="AY58" s="660" t="e">
        <f t="shared" si="35"/>
        <v>#VALUE!</v>
      </c>
      <c r="AZ58" s="670" t="e">
        <f t="shared" si="36"/>
        <v>#VALUE!</v>
      </c>
      <c r="BB58" s="662" t="e">
        <f>INDEX('Vessel Gauging Data'!$B$26:$V$56,MATCH($C58,'Vessel Gauging Data'!$B$26:$B$56,0),$BB$18)</f>
        <v>#N/A</v>
      </c>
      <c r="BC58" s="662" t="e">
        <f>INDEX('Vessel Gauging Data'!$B$26:$V$56,MATCH($C58,'Vessel Gauging Data'!$B$26:$B$56,0),$BC$18)</f>
        <v>#N/A</v>
      </c>
      <c r="BD58" s="662" t="e">
        <f>INDEX('Vessel Gauging Data'!$B$26:$V$56,MATCH($C58,'Vessel Gauging Data'!$B$26:$B$56,0),$BD$18)</f>
        <v>#N/A</v>
      </c>
      <c r="BE58" s="662" t="e">
        <f>INDEX('Vessel Gauging Data'!$B$26:$V$56,MATCH($C58,'Vessel Gauging Data'!$B$26:$B$56,0),$BE$18)</f>
        <v>#N/A</v>
      </c>
    </row>
    <row r="59" spans="1:57" hidden="1">
      <c r="A59" s="641" t="str">
        <f t="shared" si="37"/>
        <v>N</v>
      </c>
      <c r="C59" s="235" t="str">
        <f t="array" ref="C59">IF(OR($E$44="",SUMPRODUCT(('Vessel Gauging Data'!$C$27:$C$56=$E$44)*('Vessel Gauging Data'!$D$27:$D$56=NOMY))&lt;ROWS($C$45:$C59)),"",INDEX('Vessel Gauging Data'!$B$27:$B$56,SMALL(IF(('Vessel Gauging Data'!$C$27:$C$56=$E$44)+('Vessel Gauging Data'!$D$27:$D$56=NOMY)=2,ROW('Vessel Gauging Data'!$B$27:$B$56)-ROW('Vessel Gauging Data'!$C$26)),ROW()-ROW(C$44))))</f>
        <v/>
      </c>
      <c r="D59" s="211" t="str">
        <f>IF(OR($C59="",$C59=0),"",INDEX('Vessel Gauging Data'!$B$26:$V$56,MATCH($C59,'Vessel Gauging Data'!$B$27:$B$56,0)+1,2))</f>
        <v/>
      </c>
      <c r="E59" s="1016" t="str">
        <f t="shared" si="38"/>
        <v/>
      </c>
      <c r="F59" s="1016" t="str">
        <f t="shared" si="39"/>
        <v/>
      </c>
      <c r="G59" s="1016" t="str">
        <f t="shared" si="40"/>
        <v/>
      </c>
      <c r="H59" s="1016" t="str">
        <f t="shared" si="40"/>
        <v/>
      </c>
      <c r="I59" s="211" t="str">
        <f t="shared" si="41"/>
        <v/>
      </c>
      <c r="J59" s="1016" t="str">
        <f t="shared" si="42"/>
        <v/>
      </c>
      <c r="K59" s="213" t="str">
        <f t="shared" si="43"/>
        <v/>
      </c>
      <c r="L59" s="212" t="str">
        <f t="shared" si="44"/>
        <v/>
      </c>
      <c r="M59" s="1125" t="str">
        <f>IF(OR($C59="",$C59=0),"",INDEX(API1DENST,MATCH($C59,'Vessel Gauging Data'!$B$27:$B$56,0),$AA$1))</f>
        <v/>
      </c>
      <c r="N59" s="212" t="str">
        <f t="shared" si="45"/>
        <v/>
      </c>
      <c r="O59" s="1016" t="str">
        <f t="shared" si="46"/>
        <v/>
      </c>
      <c r="P59" s="1125" t="str">
        <f t="shared" si="47"/>
        <v/>
      </c>
      <c r="Q59" s="1016" t="str">
        <f t="shared" si="48"/>
        <v/>
      </c>
      <c r="R59" s="214" t="str">
        <f t="shared" si="49"/>
        <v/>
      </c>
      <c r="S59" s="1125" t="str">
        <f t="shared" si="50"/>
        <v/>
      </c>
      <c r="T59" s="236" t="str">
        <f t="shared" si="51"/>
        <v/>
      </c>
      <c r="V59" s="642" t="e">
        <f>INDEX('Vessel Gauging Data'!$B$26:$V$56,MATCH($C59,'Vessel Gauging Data'!$B$26:$B$56,0),$V$18)</f>
        <v>#N/A</v>
      </c>
      <c r="W59" s="642" t="e">
        <f>INDEX('Vessel Gauging Data'!$B$26:$V$56,MATCH($C59,'Vessel Gauging Data'!$B$26:$B$56,0),$W$18)</f>
        <v>#N/A</v>
      </c>
      <c r="X59" s="642" t="e">
        <f>INDEX('Vessel Gauging Data'!$B$26:$V$56,MATCH($C59,'Vessel Gauging Data'!$B$26:$B$56,0),$X$18)</f>
        <v>#N/A</v>
      </c>
      <c r="Y59" s="642" t="e">
        <f>INDEX('Vessel Gauging Data'!$B$26:$V$56,MATCH($C59,'Vessel Gauging Data'!$B$26:$B$56,0),$Y$18)</f>
        <v>#N/A</v>
      </c>
      <c r="Z59" s="642" t="e">
        <f>INDEX('Vessel Gauging Data'!$B$26:$V$56,MATCH($C59,'Vessel Gauging Data'!$B$26:$B$56,0),$Z$18)</f>
        <v>#N/A</v>
      </c>
      <c r="AB59" s="642" t="e">
        <f>INDEX(API1DENST,MATCH($C59,'Vessel Gauging Data'!$B$27:$B$56,0),1)</f>
        <v>#N/A</v>
      </c>
      <c r="AC59" s="642" t="e">
        <f t="shared" si="17"/>
        <v>#N/A</v>
      </c>
      <c r="AE59" s="661" t="e">
        <f t="shared" si="18"/>
        <v>#VALUE!</v>
      </c>
      <c r="AF59" s="661" t="e">
        <f t="shared" si="19"/>
        <v>#VALUE!</v>
      </c>
      <c r="AH59" s="662" t="str">
        <f t="shared" si="52"/>
        <v/>
      </c>
      <c r="AI59" s="662" t="str">
        <f t="shared" si="53"/>
        <v/>
      </c>
      <c r="AJ59" s="663">
        <f t="shared" si="20"/>
        <v>192.4571</v>
      </c>
      <c r="AK59" s="660">
        <f t="shared" si="21"/>
        <v>0.24379999999999999</v>
      </c>
      <c r="AL59" s="660" t="e">
        <f t="shared" si="22"/>
        <v>#VALUE!</v>
      </c>
      <c r="AM59" s="664" t="e">
        <f t="shared" si="23"/>
        <v>#VALUE!</v>
      </c>
      <c r="AN59" s="664" t="e">
        <f t="shared" si="24"/>
        <v>#VALUE!</v>
      </c>
      <c r="AO59" s="665" t="e">
        <f t="shared" si="25"/>
        <v>#VALUE!</v>
      </c>
      <c r="AP59" s="666" t="e">
        <f t="shared" si="26"/>
        <v>#VALUE!</v>
      </c>
      <c r="AQ59" s="660" t="e">
        <f t="shared" si="27"/>
        <v>#VALUE!</v>
      </c>
      <c r="AR59" s="667" t="e">
        <f t="shared" si="28"/>
        <v>#VALUE!</v>
      </c>
      <c r="AS59" s="667" t="e">
        <f t="shared" si="29"/>
        <v>#VALUE!</v>
      </c>
      <c r="AT59" s="668" t="e">
        <f t="shared" si="30"/>
        <v>#VALUE!</v>
      </c>
      <c r="AU59" s="667" t="e">
        <f t="shared" si="31"/>
        <v>#VALUE!</v>
      </c>
      <c r="AV59" s="669" t="e">
        <f t="shared" si="32"/>
        <v>#VALUE!</v>
      </c>
      <c r="AW59" s="667" t="e">
        <f t="shared" si="33"/>
        <v>#VALUE!</v>
      </c>
      <c r="AX59" s="667" t="e">
        <f t="shared" si="34"/>
        <v>#VALUE!</v>
      </c>
      <c r="AY59" s="660" t="e">
        <f t="shared" si="35"/>
        <v>#VALUE!</v>
      </c>
      <c r="AZ59" s="670" t="e">
        <f t="shared" si="36"/>
        <v>#VALUE!</v>
      </c>
      <c r="BB59" s="662" t="e">
        <f>INDEX('Vessel Gauging Data'!$B$26:$V$56,MATCH($C59,'Vessel Gauging Data'!$B$26:$B$56,0),$BB$18)</f>
        <v>#N/A</v>
      </c>
      <c r="BC59" s="662" t="e">
        <f>INDEX('Vessel Gauging Data'!$B$26:$V$56,MATCH($C59,'Vessel Gauging Data'!$B$26:$B$56,0),$BC$18)</f>
        <v>#N/A</v>
      </c>
      <c r="BD59" s="662" t="e">
        <f>INDEX('Vessel Gauging Data'!$B$26:$V$56,MATCH($C59,'Vessel Gauging Data'!$B$26:$B$56,0),$BD$18)</f>
        <v>#N/A</v>
      </c>
      <c r="BE59" s="662" t="e">
        <f>INDEX('Vessel Gauging Data'!$B$26:$V$56,MATCH($C59,'Vessel Gauging Data'!$B$26:$B$56,0),$BE$18)</f>
        <v>#N/A</v>
      </c>
    </row>
    <row r="60" spans="1:57" hidden="1">
      <c r="A60" s="641" t="str">
        <f t="shared" si="37"/>
        <v>N</v>
      </c>
      <c r="C60" s="235" t="str">
        <f t="array" ref="C60">IF(OR($E$44="",SUMPRODUCT(('Vessel Gauging Data'!$C$27:$C$56=$E$44)*('Vessel Gauging Data'!$D$27:$D$56=NOMY))&lt;ROWS($C$45:$C60)),"",INDEX('Vessel Gauging Data'!$B$27:$B$56,SMALL(IF(('Vessel Gauging Data'!$C$27:$C$56=$E$44)+('Vessel Gauging Data'!$D$27:$D$56=NOMY)=2,ROW('Vessel Gauging Data'!$B$27:$B$56)-ROW('Vessel Gauging Data'!$C$26)),ROW()-ROW(C$44))))</f>
        <v/>
      </c>
      <c r="D60" s="211" t="str">
        <f>IF(OR($C60="",$C60=0),"",INDEX('Vessel Gauging Data'!$B$26:$V$56,MATCH($C60,'Vessel Gauging Data'!$B$27:$B$56,0)+1,2))</f>
        <v/>
      </c>
      <c r="E60" s="1016" t="str">
        <f t="shared" si="38"/>
        <v/>
      </c>
      <c r="F60" s="1016" t="str">
        <f t="shared" si="39"/>
        <v/>
      </c>
      <c r="G60" s="1016" t="str">
        <f t="shared" si="40"/>
        <v/>
      </c>
      <c r="H60" s="1016" t="str">
        <f t="shared" si="40"/>
        <v/>
      </c>
      <c r="I60" s="211" t="str">
        <f t="shared" si="41"/>
        <v/>
      </c>
      <c r="J60" s="1016" t="str">
        <f t="shared" si="42"/>
        <v/>
      </c>
      <c r="K60" s="213" t="str">
        <f t="shared" si="43"/>
        <v/>
      </c>
      <c r="L60" s="212" t="str">
        <f t="shared" si="44"/>
        <v/>
      </c>
      <c r="M60" s="1125" t="str">
        <f>IF(OR($C60="",$C60=0),"",INDEX(API1DENST,MATCH($C60,'Vessel Gauging Data'!$B$27:$B$56,0),$AA$1))</f>
        <v/>
      </c>
      <c r="N60" s="212" t="str">
        <f t="shared" si="45"/>
        <v/>
      </c>
      <c r="O60" s="1016" t="str">
        <f t="shared" si="46"/>
        <v/>
      </c>
      <c r="P60" s="1125" t="str">
        <f t="shared" si="47"/>
        <v/>
      </c>
      <c r="Q60" s="1016" t="str">
        <f t="shared" si="48"/>
        <v/>
      </c>
      <c r="R60" s="214" t="str">
        <f t="shared" si="49"/>
        <v/>
      </c>
      <c r="S60" s="1125" t="str">
        <f t="shared" si="50"/>
        <v/>
      </c>
      <c r="T60" s="236" t="str">
        <f t="shared" si="51"/>
        <v/>
      </c>
      <c r="V60" s="642" t="e">
        <f>INDEX('Vessel Gauging Data'!$B$26:$V$56,MATCH($C60,'Vessel Gauging Data'!$B$26:$B$56,0),$V$18)</f>
        <v>#N/A</v>
      </c>
      <c r="W60" s="642" t="e">
        <f>INDEX('Vessel Gauging Data'!$B$26:$V$56,MATCH($C60,'Vessel Gauging Data'!$B$26:$B$56,0),$W$18)</f>
        <v>#N/A</v>
      </c>
      <c r="X60" s="642" t="e">
        <f>INDEX('Vessel Gauging Data'!$B$26:$V$56,MATCH($C60,'Vessel Gauging Data'!$B$26:$B$56,0),$X$18)</f>
        <v>#N/A</v>
      </c>
      <c r="Y60" s="642" t="e">
        <f>INDEX('Vessel Gauging Data'!$B$26:$V$56,MATCH($C60,'Vessel Gauging Data'!$B$26:$B$56,0),$Y$18)</f>
        <v>#N/A</v>
      </c>
      <c r="Z60" s="642" t="e">
        <f>INDEX('Vessel Gauging Data'!$B$26:$V$56,MATCH($C60,'Vessel Gauging Data'!$B$26:$B$56,0),$Z$18)</f>
        <v>#N/A</v>
      </c>
      <c r="AB60" s="642" t="e">
        <f>INDEX(API1DENST,MATCH($C60,'Vessel Gauging Data'!$B$27:$B$56,0),1)</f>
        <v>#N/A</v>
      </c>
      <c r="AC60" s="642" t="e">
        <f t="shared" si="17"/>
        <v>#N/A</v>
      </c>
      <c r="AE60" s="661" t="e">
        <f t="shared" si="18"/>
        <v>#VALUE!</v>
      </c>
      <c r="AF60" s="661" t="e">
        <f t="shared" si="19"/>
        <v>#VALUE!</v>
      </c>
      <c r="AH60" s="662" t="str">
        <f t="shared" si="52"/>
        <v/>
      </c>
      <c r="AI60" s="662" t="str">
        <f t="shared" si="53"/>
        <v/>
      </c>
      <c r="AJ60" s="663">
        <f t="shared" si="20"/>
        <v>192.4571</v>
      </c>
      <c r="AK60" s="660">
        <f t="shared" si="21"/>
        <v>0.24379999999999999</v>
      </c>
      <c r="AL60" s="660" t="e">
        <f t="shared" si="22"/>
        <v>#VALUE!</v>
      </c>
      <c r="AM60" s="664" t="e">
        <f t="shared" si="23"/>
        <v>#VALUE!</v>
      </c>
      <c r="AN60" s="664" t="e">
        <f t="shared" si="24"/>
        <v>#VALUE!</v>
      </c>
      <c r="AO60" s="665" t="e">
        <f t="shared" si="25"/>
        <v>#VALUE!</v>
      </c>
      <c r="AP60" s="666" t="e">
        <f t="shared" si="26"/>
        <v>#VALUE!</v>
      </c>
      <c r="AQ60" s="660" t="e">
        <f t="shared" si="27"/>
        <v>#VALUE!</v>
      </c>
      <c r="AR60" s="667" t="e">
        <f t="shared" si="28"/>
        <v>#VALUE!</v>
      </c>
      <c r="AS60" s="667" t="e">
        <f t="shared" si="29"/>
        <v>#VALUE!</v>
      </c>
      <c r="AT60" s="668" t="e">
        <f t="shared" si="30"/>
        <v>#VALUE!</v>
      </c>
      <c r="AU60" s="667" t="e">
        <f t="shared" si="31"/>
        <v>#VALUE!</v>
      </c>
      <c r="AV60" s="669" t="e">
        <f t="shared" si="32"/>
        <v>#VALUE!</v>
      </c>
      <c r="AW60" s="667" t="e">
        <f t="shared" si="33"/>
        <v>#VALUE!</v>
      </c>
      <c r="AX60" s="667" t="e">
        <f t="shared" si="34"/>
        <v>#VALUE!</v>
      </c>
      <c r="AY60" s="660" t="e">
        <f t="shared" si="35"/>
        <v>#VALUE!</v>
      </c>
      <c r="AZ60" s="670" t="e">
        <f t="shared" si="36"/>
        <v>#VALUE!</v>
      </c>
      <c r="BB60" s="662" t="e">
        <f>INDEX('Vessel Gauging Data'!$B$26:$V$56,MATCH($C60,'Vessel Gauging Data'!$B$26:$B$56,0),$BB$18)</f>
        <v>#N/A</v>
      </c>
      <c r="BC60" s="662" t="e">
        <f>INDEX('Vessel Gauging Data'!$B$26:$V$56,MATCH($C60,'Vessel Gauging Data'!$B$26:$B$56,0),$BC$18)</f>
        <v>#N/A</v>
      </c>
      <c r="BD60" s="662" t="e">
        <f>INDEX('Vessel Gauging Data'!$B$26:$V$56,MATCH($C60,'Vessel Gauging Data'!$B$26:$B$56,0),$BD$18)</f>
        <v>#N/A</v>
      </c>
      <c r="BE60" s="662" t="e">
        <f>INDEX('Vessel Gauging Data'!$B$26:$V$56,MATCH($C60,'Vessel Gauging Data'!$B$26:$B$56,0),$BE$18)</f>
        <v>#N/A</v>
      </c>
    </row>
    <row r="61" spans="1:57" hidden="1">
      <c r="A61" s="641" t="str">
        <f t="shared" si="37"/>
        <v>N</v>
      </c>
      <c r="C61" s="235" t="str">
        <f t="array" ref="C61">IF(OR($E$44="",SUMPRODUCT(('Vessel Gauging Data'!$C$27:$C$56=$E$44)*('Vessel Gauging Data'!$D$27:$D$56=NOMY))&lt;ROWS($C$45:$C61)),"",INDEX('Vessel Gauging Data'!$B$27:$B$56,SMALL(IF(('Vessel Gauging Data'!$C$27:$C$56=$E$44)+('Vessel Gauging Data'!$D$27:$D$56=NOMY)=2,ROW('Vessel Gauging Data'!$B$27:$B$56)-ROW('Vessel Gauging Data'!$C$26)),ROW()-ROW(C$44))))</f>
        <v/>
      </c>
      <c r="D61" s="211" t="str">
        <f>IF(OR($C61="",$C61=0),"",INDEX('Vessel Gauging Data'!$B$26:$V$56,MATCH($C61,'Vessel Gauging Data'!$B$27:$B$56,0)+1,2))</f>
        <v/>
      </c>
      <c r="E61" s="1016" t="str">
        <f t="shared" si="38"/>
        <v/>
      </c>
      <c r="F61" s="1016" t="str">
        <f t="shared" si="39"/>
        <v/>
      </c>
      <c r="G61" s="1016" t="str">
        <f t="shared" si="40"/>
        <v/>
      </c>
      <c r="H61" s="1016" t="str">
        <f t="shared" si="40"/>
        <v/>
      </c>
      <c r="I61" s="211" t="str">
        <f t="shared" si="41"/>
        <v/>
      </c>
      <c r="J61" s="1016" t="str">
        <f t="shared" si="42"/>
        <v/>
      </c>
      <c r="K61" s="213" t="str">
        <f t="shared" si="43"/>
        <v/>
      </c>
      <c r="L61" s="212" t="str">
        <f t="shared" si="44"/>
        <v/>
      </c>
      <c r="M61" s="1125" t="str">
        <f>IF(OR($C61="",$C61=0),"",INDEX(API1DENST,MATCH($C61,'Vessel Gauging Data'!$B$27:$B$56,0),$AA$1))</f>
        <v/>
      </c>
      <c r="N61" s="212" t="str">
        <f t="shared" si="45"/>
        <v/>
      </c>
      <c r="O61" s="1016" t="str">
        <f t="shared" si="46"/>
        <v/>
      </c>
      <c r="P61" s="1125" t="str">
        <f t="shared" si="47"/>
        <v/>
      </c>
      <c r="Q61" s="1016" t="str">
        <f t="shared" si="48"/>
        <v/>
      </c>
      <c r="R61" s="214" t="str">
        <f t="shared" si="49"/>
        <v/>
      </c>
      <c r="S61" s="1125" t="str">
        <f t="shared" si="50"/>
        <v/>
      </c>
      <c r="T61" s="236" t="str">
        <f t="shared" si="51"/>
        <v/>
      </c>
      <c r="V61" s="642" t="e">
        <f>INDEX('Vessel Gauging Data'!$B$26:$V$56,MATCH($C61,'Vessel Gauging Data'!$B$26:$B$56,0),$V$18)</f>
        <v>#N/A</v>
      </c>
      <c r="W61" s="642" t="e">
        <f>INDEX('Vessel Gauging Data'!$B$26:$V$56,MATCH($C61,'Vessel Gauging Data'!$B$26:$B$56,0),$W$18)</f>
        <v>#N/A</v>
      </c>
      <c r="X61" s="642" t="e">
        <f>INDEX('Vessel Gauging Data'!$B$26:$V$56,MATCH($C61,'Vessel Gauging Data'!$B$26:$B$56,0),$X$18)</f>
        <v>#N/A</v>
      </c>
      <c r="Y61" s="642" t="e">
        <f>INDEX('Vessel Gauging Data'!$B$26:$V$56,MATCH($C61,'Vessel Gauging Data'!$B$26:$B$56,0),$Y$18)</f>
        <v>#N/A</v>
      </c>
      <c r="Z61" s="642" t="e">
        <f>INDEX('Vessel Gauging Data'!$B$26:$V$56,MATCH($C61,'Vessel Gauging Data'!$B$26:$B$56,0),$Z$18)</f>
        <v>#N/A</v>
      </c>
      <c r="AB61" s="642" t="e">
        <f>INDEX(API1DENST,MATCH($C61,'Vessel Gauging Data'!$B$27:$B$56,0),1)</f>
        <v>#N/A</v>
      </c>
      <c r="AC61" s="642" t="e">
        <f t="shared" si="17"/>
        <v>#N/A</v>
      </c>
      <c r="AE61" s="661" t="e">
        <f t="shared" si="18"/>
        <v>#VALUE!</v>
      </c>
      <c r="AF61" s="661" t="e">
        <f t="shared" si="19"/>
        <v>#VALUE!</v>
      </c>
      <c r="AH61" s="662" t="str">
        <f t="shared" si="52"/>
        <v/>
      </c>
      <c r="AI61" s="662" t="str">
        <f t="shared" si="53"/>
        <v/>
      </c>
      <c r="AJ61" s="663">
        <f t="shared" si="20"/>
        <v>192.4571</v>
      </c>
      <c r="AK61" s="660">
        <f t="shared" si="21"/>
        <v>0.24379999999999999</v>
      </c>
      <c r="AL61" s="660" t="e">
        <f t="shared" si="22"/>
        <v>#VALUE!</v>
      </c>
      <c r="AM61" s="664" t="e">
        <f t="shared" si="23"/>
        <v>#VALUE!</v>
      </c>
      <c r="AN61" s="664" t="e">
        <f t="shared" si="24"/>
        <v>#VALUE!</v>
      </c>
      <c r="AO61" s="665" t="e">
        <f t="shared" si="25"/>
        <v>#VALUE!</v>
      </c>
      <c r="AP61" s="666" t="e">
        <f t="shared" si="26"/>
        <v>#VALUE!</v>
      </c>
      <c r="AQ61" s="660" t="e">
        <f t="shared" si="27"/>
        <v>#VALUE!</v>
      </c>
      <c r="AR61" s="667" t="e">
        <f t="shared" si="28"/>
        <v>#VALUE!</v>
      </c>
      <c r="AS61" s="667" t="e">
        <f t="shared" si="29"/>
        <v>#VALUE!</v>
      </c>
      <c r="AT61" s="668" t="e">
        <f t="shared" si="30"/>
        <v>#VALUE!</v>
      </c>
      <c r="AU61" s="667" t="e">
        <f t="shared" si="31"/>
        <v>#VALUE!</v>
      </c>
      <c r="AV61" s="669" t="e">
        <f t="shared" si="32"/>
        <v>#VALUE!</v>
      </c>
      <c r="AW61" s="667" t="e">
        <f t="shared" si="33"/>
        <v>#VALUE!</v>
      </c>
      <c r="AX61" s="667" t="e">
        <f t="shared" si="34"/>
        <v>#VALUE!</v>
      </c>
      <c r="AY61" s="660" t="e">
        <f t="shared" si="35"/>
        <v>#VALUE!</v>
      </c>
      <c r="AZ61" s="670" t="e">
        <f t="shared" si="36"/>
        <v>#VALUE!</v>
      </c>
      <c r="BB61" s="662" t="e">
        <f>INDEX('Vessel Gauging Data'!$B$26:$V$56,MATCH($C61,'Vessel Gauging Data'!$B$26:$B$56,0),$BB$18)</f>
        <v>#N/A</v>
      </c>
      <c r="BC61" s="662" t="e">
        <f>INDEX('Vessel Gauging Data'!$B$26:$V$56,MATCH($C61,'Vessel Gauging Data'!$B$26:$B$56,0),$BC$18)</f>
        <v>#N/A</v>
      </c>
      <c r="BD61" s="662" t="e">
        <f>INDEX('Vessel Gauging Data'!$B$26:$V$56,MATCH($C61,'Vessel Gauging Data'!$B$26:$B$56,0),$BD$18)</f>
        <v>#N/A</v>
      </c>
      <c r="BE61" s="662" t="e">
        <f>INDEX('Vessel Gauging Data'!$B$26:$V$56,MATCH($C61,'Vessel Gauging Data'!$B$26:$B$56,0),$BE$18)</f>
        <v>#N/A</v>
      </c>
    </row>
    <row r="62" spans="1:57" hidden="1">
      <c r="A62" s="641" t="str">
        <f t="shared" si="37"/>
        <v>N</v>
      </c>
      <c r="C62" s="235" t="str">
        <f t="array" ref="C62">IF(OR($E$44="",SUMPRODUCT(('Vessel Gauging Data'!$C$27:$C$56=$E$44)*('Vessel Gauging Data'!$D$27:$D$56=NOMY))&lt;ROWS($C$45:$C62)),"",INDEX('Vessel Gauging Data'!$B$27:$B$56,SMALL(IF(('Vessel Gauging Data'!$C$27:$C$56=$E$44)+('Vessel Gauging Data'!$D$27:$D$56=NOMY)=2,ROW('Vessel Gauging Data'!$B$27:$B$56)-ROW('Vessel Gauging Data'!$C$26)),ROW()-ROW(C$44))))</f>
        <v/>
      </c>
      <c r="D62" s="211" t="str">
        <f>IF(OR($C62="",$C62=0),"",INDEX('Vessel Gauging Data'!$B$26:$V$56,MATCH($C62,'Vessel Gauging Data'!$B$27:$B$56,0)+1,2))</f>
        <v/>
      </c>
      <c r="E62" s="1016" t="str">
        <f t="shared" si="38"/>
        <v/>
      </c>
      <c r="F62" s="1016" t="str">
        <f t="shared" si="39"/>
        <v/>
      </c>
      <c r="G62" s="1016" t="str">
        <f t="shared" si="40"/>
        <v/>
      </c>
      <c r="H62" s="1016" t="str">
        <f t="shared" si="40"/>
        <v/>
      </c>
      <c r="I62" s="211" t="str">
        <f t="shared" si="41"/>
        <v/>
      </c>
      <c r="J62" s="1016" t="str">
        <f t="shared" si="42"/>
        <v/>
      </c>
      <c r="K62" s="213" t="str">
        <f t="shared" si="43"/>
        <v/>
      </c>
      <c r="L62" s="212" t="str">
        <f t="shared" si="44"/>
        <v/>
      </c>
      <c r="M62" s="1125" t="str">
        <f>IF(OR($C62="",$C62=0),"",INDEX(API1DENST,MATCH($C62,'Vessel Gauging Data'!$B$27:$B$56,0),$AA$1))</f>
        <v/>
      </c>
      <c r="N62" s="212" t="str">
        <f t="shared" si="45"/>
        <v/>
      </c>
      <c r="O62" s="1016" t="str">
        <f t="shared" si="46"/>
        <v/>
      </c>
      <c r="P62" s="1125" t="str">
        <f t="shared" si="47"/>
        <v/>
      </c>
      <c r="Q62" s="1016" t="str">
        <f t="shared" si="48"/>
        <v/>
      </c>
      <c r="R62" s="214" t="str">
        <f t="shared" si="49"/>
        <v/>
      </c>
      <c r="S62" s="1125" t="str">
        <f t="shared" si="50"/>
        <v/>
      </c>
      <c r="T62" s="236" t="str">
        <f t="shared" si="51"/>
        <v/>
      </c>
      <c r="V62" s="642" t="e">
        <f>INDEX('Vessel Gauging Data'!$B$26:$V$56,MATCH($C62,'Vessel Gauging Data'!$B$26:$B$56,0),$V$18)</f>
        <v>#N/A</v>
      </c>
      <c r="W62" s="642" t="e">
        <f>INDEX('Vessel Gauging Data'!$B$26:$V$56,MATCH($C62,'Vessel Gauging Data'!$B$26:$B$56,0),$W$18)</f>
        <v>#N/A</v>
      </c>
      <c r="X62" s="642" t="e">
        <f>INDEX('Vessel Gauging Data'!$B$26:$V$56,MATCH($C62,'Vessel Gauging Data'!$B$26:$B$56,0),$X$18)</f>
        <v>#N/A</v>
      </c>
      <c r="Y62" s="642" t="e">
        <f>INDEX('Vessel Gauging Data'!$B$26:$V$56,MATCH($C62,'Vessel Gauging Data'!$B$26:$B$56,0),$Y$18)</f>
        <v>#N/A</v>
      </c>
      <c r="Z62" s="642" t="e">
        <f>INDEX('Vessel Gauging Data'!$B$26:$V$56,MATCH($C62,'Vessel Gauging Data'!$B$26:$B$56,0),$Z$18)</f>
        <v>#N/A</v>
      </c>
      <c r="AB62" s="642" t="e">
        <f>INDEX(API1DENST,MATCH($C62,'Vessel Gauging Data'!$B$27:$B$56,0),1)</f>
        <v>#N/A</v>
      </c>
      <c r="AC62" s="642" t="e">
        <f t="shared" si="17"/>
        <v>#N/A</v>
      </c>
      <c r="AE62" s="661" t="e">
        <f t="shared" si="18"/>
        <v>#VALUE!</v>
      </c>
      <c r="AF62" s="661" t="e">
        <f t="shared" si="19"/>
        <v>#VALUE!</v>
      </c>
      <c r="AH62" s="662" t="str">
        <f t="shared" si="52"/>
        <v/>
      </c>
      <c r="AI62" s="662" t="str">
        <f t="shared" si="53"/>
        <v/>
      </c>
      <c r="AJ62" s="663">
        <f t="shared" si="20"/>
        <v>192.4571</v>
      </c>
      <c r="AK62" s="660">
        <f t="shared" si="21"/>
        <v>0.24379999999999999</v>
      </c>
      <c r="AL62" s="660" t="e">
        <f t="shared" si="22"/>
        <v>#VALUE!</v>
      </c>
      <c r="AM62" s="664" t="e">
        <f t="shared" si="23"/>
        <v>#VALUE!</v>
      </c>
      <c r="AN62" s="664" t="e">
        <f t="shared" si="24"/>
        <v>#VALUE!</v>
      </c>
      <c r="AO62" s="665" t="e">
        <f t="shared" si="25"/>
        <v>#VALUE!</v>
      </c>
      <c r="AP62" s="666" t="e">
        <f t="shared" si="26"/>
        <v>#VALUE!</v>
      </c>
      <c r="AQ62" s="660" t="e">
        <f t="shared" si="27"/>
        <v>#VALUE!</v>
      </c>
      <c r="AR62" s="667" t="e">
        <f t="shared" si="28"/>
        <v>#VALUE!</v>
      </c>
      <c r="AS62" s="667" t="e">
        <f t="shared" si="29"/>
        <v>#VALUE!</v>
      </c>
      <c r="AT62" s="668" t="e">
        <f t="shared" si="30"/>
        <v>#VALUE!</v>
      </c>
      <c r="AU62" s="667" t="e">
        <f t="shared" si="31"/>
        <v>#VALUE!</v>
      </c>
      <c r="AV62" s="669" t="e">
        <f t="shared" si="32"/>
        <v>#VALUE!</v>
      </c>
      <c r="AW62" s="667" t="e">
        <f t="shared" si="33"/>
        <v>#VALUE!</v>
      </c>
      <c r="AX62" s="667" t="e">
        <f t="shared" si="34"/>
        <v>#VALUE!</v>
      </c>
      <c r="AY62" s="660" t="e">
        <f t="shared" si="35"/>
        <v>#VALUE!</v>
      </c>
      <c r="AZ62" s="670" t="e">
        <f t="shared" si="36"/>
        <v>#VALUE!</v>
      </c>
      <c r="BB62" s="662" t="e">
        <f>INDEX('Vessel Gauging Data'!$B$26:$V$56,MATCH($C62,'Vessel Gauging Data'!$B$26:$B$56,0),$BB$18)</f>
        <v>#N/A</v>
      </c>
      <c r="BC62" s="662" t="e">
        <f>INDEX('Vessel Gauging Data'!$B$26:$V$56,MATCH($C62,'Vessel Gauging Data'!$B$26:$B$56,0),$BC$18)</f>
        <v>#N/A</v>
      </c>
      <c r="BD62" s="662" t="e">
        <f>INDEX('Vessel Gauging Data'!$B$26:$V$56,MATCH($C62,'Vessel Gauging Data'!$B$26:$B$56,0),$BD$18)</f>
        <v>#N/A</v>
      </c>
      <c r="BE62" s="662" t="e">
        <f>INDEX('Vessel Gauging Data'!$B$26:$V$56,MATCH($C62,'Vessel Gauging Data'!$B$26:$B$56,0),$BE$18)</f>
        <v>#N/A</v>
      </c>
    </row>
    <row r="63" spans="1:57" hidden="1">
      <c r="A63" s="641" t="str">
        <f t="shared" si="37"/>
        <v>N</v>
      </c>
      <c r="C63" s="235" t="str">
        <f t="array" ref="C63">IF(OR($E$44="",SUMPRODUCT(('Vessel Gauging Data'!$C$27:$C$56=$E$44)*('Vessel Gauging Data'!$D$27:$D$56=NOMY))&lt;ROWS($C$45:$C63)),"",INDEX('Vessel Gauging Data'!$B$27:$B$56,SMALL(IF(('Vessel Gauging Data'!$C$27:$C$56=$E$44)+('Vessel Gauging Data'!$D$27:$D$56=NOMY)=2,ROW('Vessel Gauging Data'!$B$27:$B$56)-ROW('Vessel Gauging Data'!$C$26)),ROW()-ROW(C$44))))</f>
        <v/>
      </c>
      <c r="D63" s="211" t="str">
        <f>IF(OR($C63="",$C63=0),"",INDEX('Vessel Gauging Data'!$B$26:$V$56,MATCH($C63,'Vessel Gauging Data'!$B$27:$B$56,0)+1,2))</f>
        <v/>
      </c>
      <c r="E63" s="1016" t="str">
        <f t="shared" si="38"/>
        <v/>
      </c>
      <c r="F63" s="1016" t="str">
        <f t="shared" si="39"/>
        <v/>
      </c>
      <c r="G63" s="1016" t="str">
        <f t="shared" si="40"/>
        <v/>
      </c>
      <c r="H63" s="1016" t="str">
        <f t="shared" si="40"/>
        <v/>
      </c>
      <c r="I63" s="211" t="str">
        <f t="shared" si="41"/>
        <v/>
      </c>
      <c r="J63" s="1016" t="str">
        <f t="shared" si="42"/>
        <v/>
      </c>
      <c r="K63" s="213" t="str">
        <f t="shared" si="43"/>
        <v/>
      </c>
      <c r="L63" s="212" t="str">
        <f t="shared" si="44"/>
        <v/>
      </c>
      <c r="M63" s="1125" t="str">
        <f>IF(OR($C63="",$C63=0),"",INDEX(API1DENST,MATCH($C63,'Vessel Gauging Data'!$B$27:$B$56,0),$AA$1))</f>
        <v/>
      </c>
      <c r="N63" s="212" t="str">
        <f t="shared" si="45"/>
        <v/>
      </c>
      <c r="O63" s="1016" t="str">
        <f t="shared" si="46"/>
        <v/>
      </c>
      <c r="P63" s="1125" t="str">
        <f t="shared" si="47"/>
        <v/>
      </c>
      <c r="Q63" s="1016" t="str">
        <f t="shared" si="48"/>
        <v/>
      </c>
      <c r="R63" s="214" t="str">
        <f t="shared" si="49"/>
        <v/>
      </c>
      <c r="S63" s="1125" t="str">
        <f t="shared" si="50"/>
        <v/>
      </c>
      <c r="T63" s="236" t="str">
        <f t="shared" si="51"/>
        <v/>
      </c>
      <c r="V63" s="642" t="e">
        <f>INDEX('Vessel Gauging Data'!$B$26:$V$56,MATCH($C63,'Vessel Gauging Data'!$B$26:$B$56,0),$V$18)</f>
        <v>#N/A</v>
      </c>
      <c r="W63" s="642" t="e">
        <f>INDEX('Vessel Gauging Data'!$B$26:$V$56,MATCH($C63,'Vessel Gauging Data'!$B$26:$B$56,0),$W$18)</f>
        <v>#N/A</v>
      </c>
      <c r="X63" s="642" t="e">
        <f>INDEX('Vessel Gauging Data'!$B$26:$V$56,MATCH($C63,'Vessel Gauging Data'!$B$26:$B$56,0),$X$18)</f>
        <v>#N/A</v>
      </c>
      <c r="Y63" s="642" t="e">
        <f>INDEX('Vessel Gauging Data'!$B$26:$V$56,MATCH($C63,'Vessel Gauging Data'!$B$26:$B$56,0),$Y$18)</f>
        <v>#N/A</v>
      </c>
      <c r="Z63" s="642" t="e">
        <f>INDEX('Vessel Gauging Data'!$B$26:$V$56,MATCH($C63,'Vessel Gauging Data'!$B$26:$B$56,0),$Z$18)</f>
        <v>#N/A</v>
      </c>
      <c r="AB63" s="642" t="e">
        <f>INDEX(API1DENST,MATCH($C63,'Vessel Gauging Data'!$B$27:$B$56,0),1)</f>
        <v>#N/A</v>
      </c>
      <c r="AC63" s="642" t="e">
        <f t="shared" si="17"/>
        <v>#N/A</v>
      </c>
      <c r="AE63" s="661" t="e">
        <f t="shared" si="18"/>
        <v>#VALUE!</v>
      </c>
      <c r="AF63" s="661" t="e">
        <f t="shared" si="19"/>
        <v>#VALUE!</v>
      </c>
      <c r="AH63" s="662" t="str">
        <f t="shared" si="52"/>
        <v/>
      </c>
      <c r="AI63" s="662" t="str">
        <f t="shared" si="53"/>
        <v/>
      </c>
      <c r="AJ63" s="663">
        <f t="shared" si="20"/>
        <v>192.4571</v>
      </c>
      <c r="AK63" s="660">
        <f t="shared" si="21"/>
        <v>0.24379999999999999</v>
      </c>
      <c r="AL63" s="660" t="e">
        <f t="shared" si="22"/>
        <v>#VALUE!</v>
      </c>
      <c r="AM63" s="664" t="e">
        <f t="shared" si="23"/>
        <v>#VALUE!</v>
      </c>
      <c r="AN63" s="664" t="e">
        <f t="shared" si="24"/>
        <v>#VALUE!</v>
      </c>
      <c r="AO63" s="665" t="e">
        <f t="shared" si="25"/>
        <v>#VALUE!</v>
      </c>
      <c r="AP63" s="666" t="e">
        <f t="shared" si="26"/>
        <v>#VALUE!</v>
      </c>
      <c r="AQ63" s="660" t="e">
        <f t="shared" si="27"/>
        <v>#VALUE!</v>
      </c>
      <c r="AR63" s="667" t="e">
        <f t="shared" si="28"/>
        <v>#VALUE!</v>
      </c>
      <c r="AS63" s="667" t="e">
        <f t="shared" si="29"/>
        <v>#VALUE!</v>
      </c>
      <c r="AT63" s="668" t="e">
        <f t="shared" si="30"/>
        <v>#VALUE!</v>
      </c>
      <c r="AU63" s="667" t="e">
        <f t="shared" si="31"/>
        <v>#VALUE!</v>
      </c>
      <c r="AV63" s="669" t="e">
        <f t="shared" si="32"/>
        <v>#VALUE!</v>
      </c>
      <c r="AW63" s="667" t="e">
        <f t="shared" si="33"/>
        <v>#VALUE!</v>
      </c>
      <c r="AX63" s="667" t="e">
        <f t="shared" si="34"/>
        <v>#VALUE!</v>
      </c>
      <c r="AY63" s="660" t="e">
        <f t="shared" si="35"/>
        <v>#VALUE!</v>
      </c>
      <c r="AZ63" s="670" t="e">
        <f t="shared" si="36"/>
        <v>#VALUE!</v>
      </c>
      <c r="BB63" s="662" t="e">
        <f>INDEX('Vessel Gauging Data'!$B$26:$V$56,MATCH($C63,'Vessel Gauging Data'!$B$26:$B$56,0),$BB$18)</f>
        <v>#N/A</v>
      </c>
      <c r="BC63" s="662" t="e">
        <f>INDEX('Vessel Gauging Data'!$B$26:$V$56,MATCH($C63,'Vessel Gauging Data'!$B$26:$B$56,0),$BC$18)</f>
        <v>#N/A</v>
      </c>
      <c r="BD63" s="662" t="e">
        <f>INDEX('Vessel Gauging Data'!$B$26:$V$56,MATCH($C63,'Vessel Gauging Data'!$B$26:$B$56,0),$BD$18)</f>
        <v>#N/A</v>
      </c>
      <c r="BE63" s="662" t="e">
        <f>INDEX('Vessel Gauging Data'!$B$26:$V$56,MATCH($C63,'Vessel Gauging Data'!$B$26:$B$56,0),$BE$18)</f>
        <v>#N/A</v>
      </c>
    </row>
    <row r="64" spans="1:57" hidden="1">
      <c r="A64" s="641" t="str">
        <f t="shared" si="37"/>
        <v>N</v>
      </c>
      <c r="C64" s="237" t="str">
        <f t="array" ref="C64">IF(OR($E$44="",SUMPRODUCT(('Vessel Gauging Data'!$C$27:$C$56=$E$44)*('Vessel Gauging Data'!$D$27:$D$56=NOMY))&lt;ROWS($C$45:$C64)),"",INDEX('Vessel Gauging Data'!$B$27:$B$56,SMALL(IF(('Vessel Gauging Data'!$C$27:$C$56=$E$44)+('Vessel Gauging Data'!$D$27:$D$56=NOMY)=2,ROW('Vessel Gauging Data'!$B$27:$B$56)-ROW('Vessel Gauging Data'!$C$26)),ROW()-ROW(C$44))))</f>
        <v/>
      </c>
      <c r="D64" s="238" t="str">
        <f>IF(OR($C64="",$C64=0),"",INDEX('Vessel Gauging Data'!$B$26:$V$56,MATCH($C64,'Vessel Gauging Data'!$B$27:$B$56,0)+1,2))</f>
        <v/>
      </c>
      <c r="E64" s="1017" t="str">
        <f t="shared" si="38"/>
        <v/>
      </c>
      <c r="F64" s="1017" t="str">
        <f t="shared" si="39"/>
        <v/>
      </c>
      <c r="G64" s="1017" t="str">
        <f t="shared" si="40"/>
        <v/>
      </c>
      <c r="H64" s="1017" t="str">
        <f t="shared" si="40"/>
        <v/>
      </c>
      <c r="I64" s="238" t="str">
        <f t="shared" si="41"/>
        <v/>
      </c>
      <c r="J64" s="1017" t="str">
        <f t="shared" si="42"/>
        <v/>
      </c>
      <c r="K64" s="240" t="str">
        <f t="shared" si="43"/>
        <v/>
      </c>
      <c r="L64" s="239" t="str">
        <f t="shared" si="44"/>
        <v/>
      </c>
      <c r="M64" s="1126" t="str">
        <f>IF(OR($C64="",$C64=0),"",INDEX(API1DENST,MATCH($C64,'Vessel Gauging Data'!$B$27:$B$56,0),$AA$1))</f>
        <v/>
      </c>
      <c r="N64" s="239" t="str">
        <f t="shared" si="45"/>
        <v/>
      </c>
      <c r="O64" s="1017" t="str">
        <f t="shared" si="46"/>
        <v/>
      </c>
      <c r="P64" s="1126" t="str">
        <f t="shared" si="47"/>
        <v/>
      </c>
      <c r="Q64" s="1017" t="str">
        <f t="shared" si="48"/>
        <v/>
      </c>
      <c r="R64" s="241" t="str">
        <f t="shared" si="49"/>
        <v/>
      </c>
      <c r="S64" s="1126" t="str">
        <f t="shared" si="50"/>
        <v/>
      </c>
      <c r="T64" s="242" t="str">
        <f t="shared" si="51"/>
        <v/>
      </c>
      <c r="V64" s="642" t="e">
        <f>INDEX('Vessel Gauging Data'!$B$26:$V$56,MATCH($C64,'Vessel Gauging Data'!$B$26:$B$56,0),$V$18)</f>
        <v>#N/A</v>
      </c>
      <c r="W64" s="642" t="e">
        <f>INDEX('Vessel Gauging Data'!$B$26:$V$56,MATCH($C64,'Vessel Gauging Data'!$B$26:$B$56,0),$W$18)</f>
        <v>#N/A</v>
      </c>
      <c r="X64" s="642" t="e">
        <f>INDEX('Vessel Gauging Data'!$B$26:$V$56,MATCH($C64,'Vessel Gauging Data'!$B$26:$B$56,0),$X$18)</f>
        <v>#N/A</v>
      </c>
      <c r="Y64" s="642" t="e">
        <f>INDEX('Vessel Gauging Data'!$B$26:$V$56,MATCH($C64,'Vessel Gauging Data'!$B$26:$B$56,0),$Y$18)</f>
        <v>#N/A</v>
      </c>
      <c r="Z64" s="642" t="e">
        <f>INDEX('Vessel Gauging Data'!$B$26:$V$56,MATCH($C64,'Vessel Gauging Data'!$B$26:$B$56,0),$Z$18)</f>
        <v>#N/A</v>
      </c>
      <c r="AB64" s="642" t="e">
        <f>INDEX(API1DENST,MATCH($C64,'Vessel Gauging Data'!$B$27:$B$56,0),1)</f>
        <v>#N/A</v>
      </c>
      <c r="AC64" s="642" t="e">
        <f t="shared" si="17"/>
        <v>#N/A</v>
      </c>
      <c r="AE64" s="661" t="e">
        <f t="shared" si="18"/>
        <v>#VALUE!</v>
      </c>
      <c r="AF64" s="661" t="e">
        <f t="shared" si="19"/>
        <v>#VALUE!</v>
      </c>
      <c r="AH64" s="662" t="str">
        <f t="shared" si="52"/>
        <v/>
      </c>
      <c r="AI64" s="662" t="str">
        <f t="shared" si="53"/>
        <v/>
      </c>
      <c r="AJ64" s="663">
        <f t="shared" si="20"/>
        <v>192.4571</v>
      </c>
      <c r="AK64" s="660">
        <f t="shared" si="21"/>
        <v>0.24379999999999999</v>
      </c>
      <c r="AL64" s="660" t="e">
        <f t="shared" si="22"/>
        <v>#VALUE!</v>
      </c>
      <c r="AM64" s="664" t="e">
        <f t="shared" si="23"/>
        <v>#VALUE!</v>
      </c>
      <c r="AN64" s="664" t="e">
        <f t="shared" si="24"/>
        <v>#VALUE!</v>
      </c>
      <c r="AO64" s="665" t="e">
        <f t="shared" si="25"/>
        <v>#VALUE!</v>
      </c>
      <c r="AP64" s="666" t="e">
        <f t="shared" si="26"/>
        <v>#VALUE!</v>
      </c>
      <c r="AQ64" s="660" t="e">
        <f t="shared" si="27"/>
        <v>#VALUE!</v>
      </c>
      <c r="AR64" s="667" t="e">
        <f t="shared" si="28"/>
        <v>#VALUE!</v>
      </c>
      <c r="AS64" s="667" t="e">
        <f t="shared" si="29"/>
        <v>#VALUE!</v>
      </c>
      <c r="AT64" s="668" t="e">
        <f t="shared" si="30"/>
        <v>#VALUE!</v>
      </c>
      <c r="AU64" s="667" t="e">
        <f t="shared" si="31"/>
        <v>#VALUE!</v>
      </c>
      <c r="AV64" s="669" t="e">
        <f t="shared" si="32"/>
        <v>#VALUE!</v>
      </c>
      <c r="AW64" s="667" t="e">
        <f t="shared" si="33"/>
        <v>#VALUE!</v>
      </c>
      <c r="AX64" s="667" t="e">
        <f t="shared" si="34"/>
        <v>#VALUE!</v>
      </c>
      <c r="AY64" s="660" t="e">
        <f t="shared" si="35"/>
        <v>#VALUE!</v>
      </c>
      <c r="AZ64" s="670" t="e">
        <f t="shared" si="36"/>
        <v>#VALUE!</v>
      </c>
      <c r="BB64" s="662" t="e">
        <f>INDEX('Vessel Gauging Data'!$B$26:$V$56,MATCH($C64,'Vessel Gauging Data'!$B$26:$B$56,0),$BB$18)</f>
        <v>#N/A</v>
      </c>
      <c r="BC64" s="662" t="e">
        <f>INDEX('Vessel Gauging Data'!$B$26:$V$56,MATCH($C64,'Vessel Gauging Data'!$B$26:$B$56,0),$BC$18)</f>
        <v>#N/A</v>
      </c>
      <c r="BD64" s="662" t="e">
        <f>INDEX('Vessel Gauging Data'!$B$26:$V$56,MATCH($C64,'Vessel Gauging Data'!$B$26:$B$56,0),$BD$18)</f>
        <v>#N/A</v>
      </c>
      <c r="BE64" s="662" t="e">
        <f>INDEX('Vessel Gauging Data'!$B$26:$V$56,MATCH($C64,'Vessel Gauging Data'!$B$26:$B$56,0),$BE$18)</f>
        <v>#N/A</v>
      </c>
    </row>
    <row r="65" spans="1:57" hidden="1">
      <c r="A65" s="641" t="str">
        <f>A44</f>
        <v>N</v>
      </c>
      <c r="C65" s="671"/>
      <c r="D65" s="671"/>
      <c r="E65" s="672"/>
      <c r="F65" s="672"/>
      <c r="G65" s="672"/>
      <c r="H65" s="1501"/>
      <c r="I65" s="671"/>
      <c r="J65" s="672"/>
      <c r="K65" s="673"/>
      <c r="L65" s="672"/>
      <c r="M65" s="674"/>
      <c r="N65" s="672"/>
      <c r="O65" s="672"/>
      <c r="P65" s="1127"/>
      <c r="Q65" s="672"/>
      <c r="R65" s="675"/>
      <c r="S65" s="1137" t="s">
        <v>401</v>
      </c>
      <c r="T65" s="619">
        <f>SUM(T45:T64)</f>
        <v>0.09</v>
      </c>
      <c r="V65" s="719"/>
      <c r="W65" s="719"/>
      <c r="X65" s="719"/>
      <c r="Y65" s="719"/>
      <c r="Z65" s="719"/>
      <c r="AA65" s="676"/>
      <c r="AB65" s="719"/>
      <c r="AC65" s="719"/>
      <c r="AD65" s="676"/>
      <c r="AE65" s="720"/>
      <c r="AF65" s="720"/>
      <c r="AG65" s="676"/>
      <c r="AH65" s="721"/>
      <c r="AI65" s="721"/>
      <c r="AJ65" s="722"/>
      <c r="AK65" s="723"/>
      <c r="AL65" s="723"/>
      <c r="AM65" s="724"/>
      <c r="AN65" s="724"/>
      <c r="AO65" s="725"/>
      <c r="AP65" s="726"/>
      <c r="AQ65" s="723"/>
      <c r="AR65" s="727"/>
      <c r="AS65" s="727"/>
      <c r="AT65" s="728"/>
      <c r="AU65" s="727"/>
      <c r="AV65" s="729"/>
      <c r="AW65" s="727"/>
      <c r="AX65" s="727"/>
      <c r="AY65" s="723"/>
      <c r="AZ65" s="730"/>
      <c r="BA65" s="676"/>
      <c r="BB65" s="721"/>
      <c r="BC65" s="721"/>
      <c r="BD65" s="721"/>
      <c r="BE65" s="721"/>
    </row>
    <row r="66" spans="1:57" s="702" customFormat="1" ht="5.25" hidden="1">
      <c r="A66" s="702" t="str">
        <f>IF(A67="N",A67,IF(COUNTIF($A$21:$A64,"Y")&gt;0,A67,"N"))</f>
        <v>N</v>
      </c>
      <c r="C66" s="704"/>
      <c r="D66" s="704"/>
      <c r="E66" s="704"/>
      <c r="F66" s="704"/>
      <c r="G66" s="704"/>
      <c r="H66" s="704"/>
      <c r="I66" s="704"/>
      <c r="J66" s="705"/>
      <c r="K66" s="705"/>
      <c r="L66" s="705"/>
      <c r="M66" s="705"/>
      <c r="N66" s="705"/>
      <c r="O66" s="705"/>
      <c r="P66" s="1128"/>
      <c r="Q66" s="705"/>
      <c r="R66" s="705"/>
      <c r="S66" s="1136"/>
      <c r="T66" s="706"/>
      <c r="V66" s="707"/>
      <c r="W66" s="707"/>
      <c r="X66" s="707"/>
      <c r="Y66" s="707"/>
      <c r="Z66" s="707"/>
      <c r="AA66" s="707"/>
      <c r="AB66" s="707"/>
      <c r="AC66" s="707"/>
      <c r="AD66" s="707"/>
      <c r="AE66" s="708"/>
      <c r="AF66" s="708"/>
      <c r="AG66" s="707"/>
      <c r="AH66" s="709"/>
      <c r="AI66" s="709"/>
      <c r="AJ66" s="710"/>
      <c r="AK66" s="711"/>
      <c r="AL66" s="711"/>
      <c r="AM66" s="712"/>
      <c r="AN66" s="712"/>
      <c r="AO66" s="713"/>
      <c r="AP66" s="714"/>
      <c r="AQ66" s="711"/>
      <c r="AR66" s="715"/>
      <c r="AS66" s="715"/>
      <c r="AT66" s="716"/>
      <c r="AU66" s="715"/>
      <c r="AV66" s="717"/>
      <c r="AW66" s="715"/>
      <c r="AX66" s="715"/>
      <c r="AY66" s="711"/>
      <c r="AZ66" s="718"/>
      <c r="BA66" s="707"/>
      <c r="BB66" s="709"/>
      <c r="BC66" s="709"/>
      <c r="BD66" s="709"/>
      <c r="BE66" s="709"/>
    </row>
    <row r="67" spans="1:57" ht="15.75" hidden="1">
      <c r="A67" s="641" t="str">
        <f>A68</f>
        <v>N</v>
      </c>
      <c r="B67" s="641">
        <v>3</v>
      </c>
      <c r="C67" s="2797" t="s">
        <v>163</v>
      </c>
      <c r="D67" s="2798"/>
      <c r="E67" s="2799" t="str">
        <f>'Preliminary Report'!G1</f>
        <v>MDO</v>
      </c>
      <c r="F67" s="2800"/>
      <c r="G67" s="2800"/>
      <c r="H67" s="2800"/>
      <c r="I67" s="2801"/>
      <c r="J67" s="698"/>
      <c r="K67" s="699"/>
      <c r="L67" s="700"/>
      <c r="M67" s="699"/>
      <c r="N67" s="699"/>
      <c r="O67" s="700"/>
      <c r="P67" s="1129"/>
      <c r="Q67" s="700"/>
      <c r="R67" s="701"/>
      <c r="S67" s="1129"/>
      <c r="T67" s="701"/>
      <c r="V67" s="731"/>
      <c r="W67" s="731"/>
      <c r="X67" s="731"/>
      <c r="Y67" s="731"/>
      <c r="Z67" s="731"/>
      <c r="AA67" s="676"/>
      <c r="AB67" s="731"/>
      <c r="AC67" s="731"/>
      <c r="AD67" s="676"/>
      <c r="AE67" s="732"/>
      <c r="AF67" s="732"/>
      <c r="AG67" s="676"/>
      <c r="AH67" s="733"/>
      <c r="AI67" s="733"/>
      <c r="AJ67" s="734"/>
      <c r="AK67" s="735"/>
      <c r="AL67" s="735"/>
      <c r="AM67" s="736"/>
      <c r="AN67" s="736"/>
      <c r="AO67" s="737"/>
      <c r="AP67" s="738"/>
      <c r="AQ67" s="735"/>
      <c r="AR67" s="739"/>
      <c r="AS67" s="739"/>
      <c r="AT67" s="740"/>
      <c r="AU67" s="739"/>
      <c r="AV67" s="741"/>
      <c r="AW67" s="739"/>
      <c r="AX67" s="739"/>
      <c r="AY67" s="735"/>
      <c r="AZ67" s="742"/>
      <c r="BA67" s="676"/>
      <c r="BB67" s="733"/>
      <c r="BC67" s="733"/>
      <c r="BD67" s="733"/>
      <c r="BE67" s="733"/>
    </row>
    <row r="68" spans="1:57" hidden="1">
      <c r="A68" s="641" t="str">
        <f t="shared" ref="A68:A87" si="54">IF(C68="","N",IF(ISERROR(MATCH($E$67,IF($Z$1=1,GRADESLIST,IF($Z$1=2,RESIDUALS,DISTILLATES)),0)),"N","Y"))</f>
        <v>N</v>
      </c>
      <c r="C68" s="622" t="str">
        <f t="array" ref="C68">IF(OR($E$67="",SUMPRODUCT(('Vessel Gauging Data'!$C$27:$C$56=$E$67)*('Vessel Gauging Data'!$D$27:$D$56=NOMY))&lt;ROWS($C$68:$C68)),"",INDEX('Vessel Gauging Data'!$B$27:$B$56,SMALL(IF(('Vessel Gauging Data'!$C$27:$C$56=$E$67)+('Vessel Gauging Data'!$D$27:$D$56=NOMY)=2,ROW('Vessel Gauging Data'!$B$27:$B$56)-ROW('Vessel Gauging Data'!$C$26)),ROW()-ROW(C$67))))</f>
        <v/>
      </c>
      <c r="D68" s="623" t="str">
        <f>IF(OR($C68="",$C68=0),"",INDEX('Vessel Gauging Data'!$B$26:$V$56,MATCH($C68,'Vessel Gauging Data'!$B$27:$B$56,0)+1,2))</f>
        <v/>
      </c>
      <c r="E68" s="1018" t="str">
        <f t="shared" ref="E68:E87" si="55">IF(ISERROR(V68),"",IF(OR($C68="",$C68=0),"",IF(ISTEXT(V68),V68,IF($AB$1=1,V68*UNITOR_1,INT(V68*UNITOR_1)&amp;"'-"&amp;TRIM(TEXT(ROUND(MOD(V68*UNITOR_1,1)*12,1),"# ???/???"))&amp;""""))))</f>
        <v/>
      </c>
      <c r="F68" s="1018" t="str">
        <f t="shared" ref="F68:F87" si="56">IF(ISERROR(W68),"",IF(OR($C68="",$C68=0),"",IF(ISTEXT(W68),W68,IF($AB$1=1,W68*UNITOR_1,INT(W68*UNITOR_1)&amp;"'-"&amp;TRIM(TEXT(ROUND(MOD(W68*UNITOR_1,1)*12,1),"# ???/???"))&amp;""""))))</f>
        <v/>
      </c>
      <c r="G68" s="1018" t="str">
        <f t="shared" ref="G68:H87" si="57">IF(ISERROR(X68),"",IF(OR($C68="",$C68=0),"",IF(ISTEXT(X68),X68,IF($AB$1=1,X68*UNITOR_1,INT(X68*UNITOR_1)&amp;"'-"&amp;TRIM(TEXT(ROUND(MOD(X68*UNITOR_1,1)*12,1),"# ???/???"))&amp;""""))))</f>
        <v/>
      </c>
      <c r="H68" s="1018" t="str">
        <f t="shared" si="57"/>
        <v/>
      </c>
      <c r="I68" s="623" t="str">
        <f t="shared" ref="I68:I87" si="58">IF(ISERROR($BB68),"",IF(OR($C68="",$C68=0,$BB68=0),"",$BB68))</f>
        <v/>
      </c>
      <c r="J68" s="1018" t="str">
        <f t="shared" ref="J68:J87" si="59">IF(ISERROR($BC68),"",IF(OR($C68="",$C68=0,$BC68=""),"",IF(ISTEXT($BC68),$BC68,$BC68*IF($AA$1=B1SEL,1,IF($AA$1=2,FBBLS,1/FBBLS)))))</f>
        <v/>
      </c>
      <c r="K68" s="625" t="str">
        <f t="shared" ref="K68:K87" si="60">IF(ISERROR($BD68),"",IF(OR($C68="",$C68=0,$BD68=""),0,IF(ISTEXT($BD68),$BD68,$BD68*IF($AB$1=W1SEL,1,IF($AB$1=2,FINCH,1/FINCH)))))</f>
        <v/>
      </c>
      <c r="L68" s="624" t="str">
        <f t="shared" ref="L68:L87" si="61">IF(ISERROR($BE68),"",IF(OR($C68="",$C68=0,$BE68=""),0,IF(ISTEXT($BE68),$BE68,$BE68*IF($AA$1=B1SEL,1,IF($AA$1=2,FBBLS,1/FBBLS)))))</f>
        <v/>
      </c>
      <c r="M68" s="1124" t="str">
        <f>IF(OR($C68="",$C68=0),"",INDEX(API1DENST,MATCH($C68,'Vessel Gauging Data'!$B$27:$B$56,0),$AA$1))</f>
        <v/>
      </c>
      <c r="N68" s="624" t="str">
        <f t="shared" ref="N68:N87" si="62">IF(ISERROR(Z68),"",IF(OR($C68="",$C68=0,Z68=""),"",IF(ISTEXT(Z68),Z68,IF($AA$1=T1SEL,Z68,IF($AA$1=2,(Z68*9/5)+32,(Z68-32)*5/9)))))</f>
        <v/>
      </c>
      <c r="O68" s="1018" t="str">
        <f t="shared" ref="O68:O87" si="63">IF(OR(J68="",L68=""),"",IF(ISTEXT(J68),"N/A",IF(ISTEXT(L68),J68,J68-L68)))</f>
        <v/>
      </c>
      <c r="P68" s="1124" t="str">
        <f t="shared" ref="P68:P87" si="64">IF(OR(M68="",N68=""),"",IF(OR(ISTEXT(M68),ISTEXT(N68)),"N/A",IF($AA$1=1,ROUND(EXP(-AF68*(N68-15)*(1+0.8*AF68*(N68-15))),5),AZ68)))</f>
        <v/>
      </c>
      <c r="Q68" s="1018" t="str">
        <f t="shared" ref="Q68:Q87" si="65">IF(OR(M68="",N68=""),"",IF(OR(ISTEXT(M68),ISTEXT(N68)),"N/A",ROUND(O68*P68,3)))</f>
        <v/>
      </c>
      <c r="R68" s="626" t="str">
        <f t="shared" ref="R68:R87" si="66">IF(M68="","",IF($AA$1=1,IF(ISTEXT(Q68),"N/A",ROUND(Q68*M68,3)),IF(ISTEXT(T68),"N/A",ROUND(T68*AC68,3))))</f>
        <v/>
      </c>
      <c r="S68" s="1124" t="str">
        <f t="shared" ref="S68:S87" si="67">IF(M68="","",IF($AA$1=1,ROUND(M68-0.0011,5),ROUND((1.00122697*(141.5/(M68+131.5))-1.22269727*10^-3)*8.32823*42/2204.62,5+2)))</f>
        <v/>
      </c>
      <c r="T68" s="627" t="str">
        <f t="shared" ref="T68:T87" si="68">IF(OR(M68="",N68=""),"",IF(ISTEXT(Q68),"N/A",IF($AA$1=1,ROUND((Q68*(M68-0.0011)),3),ROUND(Q68*S68,3))))</f>
        <v/>
      </c>
      <c r="V68" s="642" t="e">
        <f>INDEX('Vessel Gauging Data'!$B$26:$V$56,MATCH($C68,'Vessel Gauging Data'!$B$26:$B$56,0),$V$18)</f>
        <v>#N/A</v>
      </c>
      <c r="W68" s="642" t="e">
        <f>INDEX('Vessel Gauging Data'!$B$26:$V$56,MATCH($C68,'Vessel Gauging Data'!$B$26:$B$56,0),$W$18)</f>
        <v>#N/A</v>
      </c>
      <c r="X68" s="642" t="e">
        <f>INDEX('Vessel Gauging Data'!$B$26:$V$56,MATCH($C68,'Vessel Gauging Data'!$B$26:$B$56,0),$X$18)</f>
        <v>#N/A</v>
      </c>
      <c r="Y68" s="642" t="e">
        <f>INDEX('Vessel Gauging Data'!$B$26:$V$56,MATCH($C68,'Vessel Gauging Data'!$B$26:$B$56,0),$Y$18)</f>
        <v>#N/A</v>
      </c>
      <c r="Z68" s="642" t="e">
        <f>INDEX('Vessel Gauging Data'!$B$26:$V$56,MATCH($C68,'Vessel Gauging Data'!$B$26:$B$56,0),$Z$18)</f>
        <v>#N/A</v>
      </c>
      <c r="AB68" s="642" t="e">
        <f>INDEX(API1DENST,MATCH($C68,'Vessel Gauging Data'!$B$27:$B$56,0),1)</f>
        <v>#N/A</v>
      </c>
      <c r="AC68" s="642" t="e">
        <f t="shared" si="17"/>
        <v>#N/A</v>
      </c>
      <c r="AE68" s="661" t="e">
        <f t="shared" si="18"/>
        <v>#VALUE!</v>
      </c>
      <c r="AF68" s="661" t="e">
        <f t="shared" si="19"/>
        <v>#VALUE!</v>
      </c>
      <c r="AH68" s="662" t="str">
        <f t="shared" si="52"/>
        <v/>
      </c>
      <c r="AI68" s="662" t="str">
        <f t="shared" si="53"/>
        <v/>
      </c>
      <c r="AJ68" s="663">
        <f t="shared" si="20"/>
        <v>192.4571</v>
      </c>
      <c r="AK68" s="660">
        <f t="shared" si="21"/>
        <v>0.24379999999999999</v>
      </c>
      <c r="AL68" s="660" t="e">
        <f t="shared" si="22"/>
        <v>#VALUE!</v>
      </c>
      <c r="AM68" s="664" t="e">
        <f t="shared" si="23"/>
        <v>#VALUE!</v>
      </c>
      <c r="AN68" s="664" t="e">
        <f t="shared" si="24"/>
        <v>#VALUE!</v>
      </c>
      <c r="AO68" s="665" t="e">
        <f t="shared" si="25"/>
        <v>#VALUE!</v>
      </c>
      <c r="AP68" s="666" t="e">
        <f t="shared" si="26"/>
        <v>#VALUE!</v>
      </c>
      <c r="AQ68" s="660" t="e">
        <f t="shared" si="27"/>
        <v>#VALUE!</v>
      </c>
      <c r="AR68" s="667" t="e">
        <f t="shared" si="28"/>
        <v>#VALUE!</v>
      </c>
      <c r="AS68" s="667" t="e">
        <f t="shared" si="29"/>
        <v>#VALUE!</v>
      </c>
      <c r="AT68" s="668" t="e">
        <f t="shared" si="30"/>
        <v>#VALUE!</v>
      </c>
      <c r="AU68" s="667" t="e">
        <f t="shared" si="31"/>
        <v>#VALUE!</v>
      </c>
      <c r="AV68" s="669" t="e">
        <f t="shared" si="32"/>
        <v>#VALUE!</v>
      </c>
      <c r="AW68" s="667" t="e">
        <f t="shared" si="33"/>
        <v>#VALUE!</v>
      </c>
      <c r="AX68" s="667" t="e">
        <f t="shared" si="34"/>
        <v>#VALUE!</v>
      </c>
      <c r="AY68" s="660" t="e">
        <f t="shared" si="35"/>
        <v>#VALUE!</v>
      </c>
      <c r="AZ68" s="670" t="e">
        <f t="shared" si="36"/>
        <v>#VALUE!</v>
      </c>
      <c r="BB68" s="662" t="e">
        <f>INDEX('Vessel Gauging Data'!$B$26:$V$56,MATCH($C68,'Vessel Gauging Data'!$B$26:$B$56,0),$BB$18)</f>
        <v>#N/A</v>
      </c>
      <c r="BC68" s="662" t="e">
        <f>INDEX('Vessel Gauging Data'!$B$26:$V$56,MATCH($C68,'Vessel Gauging Data'!$B$26:$B$56,0),$BC$18)</f>
        <v>#N/A</v>
      </c>
      <c r="BD68" s="662" t="e">
        <f>INDEX('Vessel Gauging Data'!$B$26:$V$56,MATCH($C68,'Vessel Gauging Data'!$B$26:$B$56,0),$BD$18)</f>
        <v>#N/A</v>
      </c>
      <c r="BE68" s="662" t="e">
        <f>INDEX('Vessel Gauging Data'!$B$26:$V$56,MATCH($C68,'Vessel Gauging Data'!$B$26:$B$56,0),$BE$18)</f>
        <v>#N/A</v>
      </c>
    </row>
    <row r="69" spans="1:57" hidden="1">
      <c r="A69" s="641" t="str">
        <f t="shared" si="54"/>
        <v>N</v>
      </c>
      <c r="C69" s="235" t="str">
        <f t="array" ref="C69">IF(OR($E$67="",SUMPRODUCT(('Vessel Gauging Data'!$C$27:$C$56=$E$67)*('Vessel Gauging Data'!$D$27:$D$56=NOMY))&lt;ROWS($C$68:$C69)),"",INDEX('Vessel Gauging Data'!$B$27:$B$56,SMALL(IF(('Vessel Gauging Data'!$C$27:$C$56=$E$67)+('Vessel Gauging Data'!$D$27:$D$56=NOMY)=2,ROW('Vessel Gauging Data'!$B$27:$B$56)-ROW('Vessel Gauging Data'!$C$26)),ROW()-ROW(C$67))))</f>
        <v/>
      </c>
      <c r="D69" s="211" t="str">
        <f>IF(OR($C69="",$C69=0),"",INDEX('Vessel Gauging Data'!$B$26:$V$56,MATCH($C69,'Vessel Gauging Data'!$B$27:$B$56,0)+1,2))</f>
        <v/>
      </c>
      <c r="E69" s="1016" t="str">
        <f t="shared" si="55"/>
        <v/>
      </c>
      <c r="F69" s="1016" t="str">
        <f t="shared" si="56"/>
        <v/>
      </c>
      <c r="G69" s="1016" t="str">
        <f t="shared" si="57"/>
        <v/>
      </c>
      <c r="H69" s="1016" t="str">
        <f t="shared" si="57"/>
        <v/>
      </c>
      <c r="I69" s="211" t="str">
        <f t="shared" si="58"/>
        <v/>
      </c>
      <c r="J69" s="1016" t="str">
        <f t="shared" si="59"/>
        <v/>
      </c>
      <c r="K69" s="213" t="str">
        <f t="shared" si="60"/>
        <v/>
      </c>
      <c r="L69" s="212" t="str">
        <f t="shared" si="61"/>
        <v/>
      </c>
      <c r="M69" s="1125" t="str">
        <f>IF(OR($C69="",$C69=0),"",INDEX(API1DENST,MATCH($C69,'Vessel Gauging Data'!$B$27:$B$56,0),$AA$1))</f>
        <v/>
      </c>
      <c r="N69" s="212" t="str">
        <f t="shared" si="62"/>
        <v/>
      </c>
      <c r="O69" s="1016" t="str">
        <f t="shared" si="63"/>
        <v/>
      </c>
      <c r="P69" s="1125" t="str">
        <f t="shared" si="64"/>
        <v/>
      </c>
      <c r="Q69" s="1016" t="str">
        <f t="shared" si="65"/>
        <v/>
      </c>
      <c r="R69" s="214" t="str">
        <f t="shared" si="66"/>
        <v/>
      </c>
      <c r="S69" s="1125" t="str">
        <f t="shared" si="67"/>
        <v/>
      </c>
      <c r="T69" s="236" t="str">
        <f t="shared" si="68"/>
        <v/>
      </c>
      <c r="V69" s="642" t="e">
        <f>INDEX('Vessel Gauging Data'!$B$26:$V$56,MATCH($C69,'Vessel Gauging Data'!$B$26:$B$56,0),$V$18)</f>
        <v>#N/A</v>
      </c>
      <c r="W69" s="642" t="e">
        <f>INDEX('Vessel Gauging Data'!$B$26:$V$56,MATCH($C69,'Vessel Gauging Data'!$B$26:$B$56,0),$W$18)</f>
        <v>#N/A</v>
      </c>
      <c r="X69" s="642" t="e">
        <f>INDEX('Vessel Gauging Data'!$B$26:$V$56,MATCH($C69,'Vessel Gauging Data'!$B$26:$B$56,0),$X$18)</f>
        <v>#N/A</v>
      </c>
      <c r="Y69" s="642" t="e">
        <f>INDEX('Vessel Gauging Data'!$B$26:$V$56,MATCH($C69,'Vessel Gauging Data'!$B$26:$B$56,0),$Y$18)</f>
        <v>#N/A</v>
      </c>
      <c r="Z69" s="642" t="e">
        <f>INDEX('Vessel Gauging Data'!$B$26:$V$56,MATCH($C69,'Vessel Gauging Data'!$B$26:$B$56,0),$Z$18)</f>
        <v>#N/A</v>
      </c>
      <c r="AB69" s="642" t="e">
        <f>INDEX(API1DENST,MATCH($C69,'Vessel Gauging Data'!$B$27:$B$56,0),1)</f>
        <v>#N/A</v>
      </c>
      <c r="AC69" s="642" t="e">
        <f t="shared" si="17"/>
        <v>#N/A</v>
      </c>
      <c r="AE69" s="661" t="e">
        <f t="shared" si="18"/>
        <v>#VALUE!</v>
      </c>
      <c r="AF69" s="661" t="e">
        <f t="shared" si="19"/>
        <v>#VALUE!</v>
      </c>
      <c r="AH69" s="662" t="str">
        <f t="shared" si="52"/>
        <v/>
      </c>
      <c r="AI69" s="662" t="str">
        <f t="shared" si="53"/>
        <v/>
      </c>
      <c r="AJ69" s="663">
        <f t="shared" si="20"/>
        <v>192.4571</v>
      </c>
      <c r="AK69" s="660">
        <f t="shared" si="21"/>
        <v>0.24379999999999999</v>
      </c>
      <c r="AL69" s="660" t="e">
        <f t="shared" si="22"/>
        <v>#VALUE!</v>
      </c>
      <c r="AM69" s="664" t="e">
        <f t="shared" si="23"/>
        <v>#VALUE!</v>
      </c>
      <c r="AN69" s="664" t="e">
        <f t="shared" si="24"/>
        <v>#VALUE!</v>
      </c>
      <c r="AO69" s="665" t="e">
        <f t="shared" si="25"/>
        <v>#VALUE!</v>
      </c>
      <c r="AP69" s="666" t="e">
        <f t="shared" si="26"/>
        <v>#VALUE!</v>
      </c>
      <c r="AQ69" s="660" t="e">
        <f t="shared" si="27"/>
        <v>#VALUE!</v>
      </c>
      <c r="AR69" s="667" t="e">
        <f t="shared" si="28"/>
        <v>#VALUE!</v>
      </c>
      <c r="AS69" s="667" t="e">
        <f t="shared" si="29"/>
        <v>#VALUE!</v>
      </c>
      <c r="AT69" s="668" t="e">
        <f t="shared" si="30"/>
        <v>#VALUE!</v>
      </c>
      <c r="AU69" s="667" t="e">
        <f t="shared" si="31"/>
        <v>#VALUE!</v>
      </c>
      <c r="AV69" s="669" t="e">
        <f t="shared" si="32"/>
        <v>#VALUE!</v>
      </c>
      <c r="AW69" s="667" t="e">
        <f t="shared" si="33"/>
        <v>#VALUE!</v>
      </c>
      <c r="AX69" s="667" t="e">
        <f t="shared" si="34"/>
        <v>#VALUE!</v>
      </c>
      <c r="AY69" s="660" t="e">
        <f t="shared" si="35"/>
        <v>#VALUE!</v>
      </c>
      <c r="AZ69" s="670" t="e">
        <f t="shared" si="36"/>
        <v>#VALUE!</v>
      </c>
      <c r="BB69" s="662" t="e">
        <f>INDEX('Vessel Gauging Data'!$B$26:$V$56,MATCH($C69,'Vessel Gauging Data'!$B$26:$B$56,0),$BB$18)</f>
        <v>#N/A</v>
      </c>
      <c r="BC69" s="662" t="e">
        <f>INDEX('Vessel Gauging Data'!$B$26:$V$56,MATCH($C69,'Vessel Gauging Data'!$B$26:$B$56,0),$BC$18)</f>
        <v>#N/A</v>
      </c>
      <c r="BD69" s="662" t="e">
        <f>INDEX('Vessel Gauging Data'!$B$26:$V$56,MATCH($C69,'Vessel Gauging Data'!$B$26:$B$56,0),$BD$18)</f>
        <v>#N/A</v>
      </c>
      <c r="BE69" s="662" t="e">
        <f>INDEX('Vessel Gauging Data'!$B$26:$V$56,MATCH($C69,'Vessel Gauging Data'!$B$26:$B$56,0),$BE$18)</f>
        <v>#N/A</v>
      </c>
    </row>
    <row r="70" spans="1:57" hidden="1">
      <c r="A70" s="641" t="str">
        <f t="shared" si="54"/>
        <v>N</v>
      </c>
      <c r="C70" s="235" t="str">
        <f t="array" ref="C70">IF(OR($E$67="",SUMPRODUCT(('Vessel Gauging Data'!$C$27:$C$56=$E$67)*('Vessel Gauging Data'!$D$27:$D$56=NOMY))&lt;ROWS($C$68:$C70)),"",INDEX('Vessel Gauging Data'!$B$27:$B$56,SMALL(IF(('Vessel Gauging Data'!$C$27:$C$56=$E$67)+('Vessel Gauging Data'!$D$27:$D$56=NOMY)=2,ROW('Vessel Gauging Data'!$B$27:$B$56)-ROW('Vessel Gauging Data'!$C$26)),ROW()-ROW(C$67))))</f>
        <v/>
      </c>
      <c r="D70" s="211" t="str">
        <f>IF(OR($C70="",$C70=0),"",INDEX('Vessel Gauging Data'!$B$26:$V$56,MATCH($C70,'Vessel Gauging Data'!$B$27:$B$56,0)+1,2))</f>
        <v/>
      </c>
      <c r="E70" s="1016" t="str">
        <f t="shared" si="55"/>
        <v/>
      </c>
      <c r="F70" s="1016" t="str">
        <f t="shared" si="56"/>
        <v/>
      </c>
      <c r="G70" s="1016" t="str">
        <f t="shared" si="57"/>
        <v/>
      </c>
      <c r="H70" s="1016" t="str">
        <f t="shared" si="57"/>
        <v/>
      </c>
      <c r="I70" s="211" t="str">
        <f t="shared" si="58"/>
        <v/>
      </c>
      <c r="J70" s="1016" t="str">
        <f t="shared" si="59"/>
        <v/>
      </c>
      <c r="K70" s="213" t="str">
        <f t="shared" si="60"/>
        <v/>
      </c>
      <c r="L70" s="212" t="str">
        <f t="shared" si="61"/>
        <v/>
      </c>
      <c r="M70" s="1125" t="str">
        <f>IF(OR($C70="",$C70=0),"",INDEX(API1DENST,MATCH($C70,'Vessel Gauging Data'!$B$27:$B$56,0),$AA$1))</f>
        <v/>
      </c>
      <c r="N70" s="212" t="str">
        <f t="shared" si="62"/>
        <v/>
      </c>
      <c r="O70" s="1016" t="str">
        <f t="shared" si="63"/>
        <v/>
      </c>
      <c r="P70" s="1125" t="str">
        <f t="shared" si="64"/>
        <v/>
      </c>
      <c r="Q70" s="1016" t="str">
        <f t="shared" si="65"/>
        <v/>
      </c>
      <c r="R70" s="214" t="str">
        <f t="shared" si="66"/>
        <v/>
      </c>
      <c r="S70" s="1125" t="str">
        <f t="shared" si="67"/>
        <v/>
      </c>
      <c r="T70" s="236" t="str">
        <f t="shared" si="68"/>
        <v/>
      </c>
      <c r="V70" s="642" t="e">
        <f>INDEX('Vessel Gauging Data'!$B$26:$V$56,MATCH($C70,'Vessel Gauging Data'!$B$26:$B$56,0),$V$18)</f>
        <v>#N/A</v>
      </c>
      <c r="W70" s="642" t="e">
        <f>INDEX('Vessel Gauging Data'!$B$26:$V$56,MATCH($C70,'Vessel Gauging Data'!$B$26:$B$56,0),$W$18)</f>
        <v>#N/A</v>
      </c>
      <c r="X70" s="642" t="e">
        <f>INDEX('Vessel Gauging Data'!$B$26:$V$56,MATCH($C70,'Vessel Gauging Data'!$B$26:$B$56,0),$X$18)</f>
        <v>#N/A</v>
      </c>
      <c r="Y70" s="642" t="e">
        <f>INDEX('Vessel Gauging Data'!$B$26:$V$56,MATCH($C70,'Vessel Gauging Data'!$B$26:$B$56,0),$Y$18)</f>
        <v>#N/A</v>
      </c>
      <c r="Z70" s="642" t="e">
        <f>INDEX('Vessel Gauging Data'!$B$26:$V$56,MATCH($C70,'Vessel Gauging Data'!$B$26:$B$56,0),$Z$18)</f>
        <v>#N/A</v>
      </c>
      <c r="AB70" s="642" t="e">
        <f>INDEX(API1DENST,MATCH($C70,'Vessel Gauging Data'!$B$27:$B$56,0),1)</f>
        <v>#N/A</v>
      </c>
      <c r="AC70" s="642" t="e">
        <f t="shared" si="17"/>
        <v>#N/A</v>
      </c>
      <c r="AE70" s="661" t="e">
        <f t="shared" si="18"/>
        <v>#VALUE!</v>
      </c>
      <c r="AF70" s="661" t="e">
        <f t="shared" si="19"/>
        <v>#VALUE!</v>
      </c>
      <c r="AH70" s="662" t="str">
        <f t="shared" si="52"/>
        <v/>
      </c>
      <c r="AI70" s="662" t="str">
        <f t="shared" si="53"/>
        <v/>
      </c>
      <c r="AJ70" s="663">
        <f t="shared" si="20"/>
        <v>192.4571</v>
      </c>
      <c r="AK70" s="660">
        <f t="shared" si="21"/>
        <v>0.24379999999999999</v>
      </c>
      <c r="AL70" s="660" t="e">
        <f t="shared" si="22"/>
        <v>#VALUE!</v>
      </c>
      <c r="AM70" s="664" t="e">
        <f t="shared" si="23"/>
        <v>#VALUE!</v>
      </c>
      <c r="AN70" s="664" t="e">
        <f t="shared" si="24"/>
        <v>#VALUE!</v>
      </c>
      <c r="AO70" s="665" t="e">
        <f t="shared" si="25"/>
        <v>#VALUE!</v>
      </c>
      <c r="AP70" s="666" t="e">
        <f t="shared" si="26"/>
        <v>#VALUE!</v>
      </c>
      <c r="AQ70" s="660" t="e">
        <f t="shared" si="27"/>
        <v>#VALUE!</v>
      </c>
      <c r="AR70" s="667" t="e">
        <f t="shared" si="28"/>
        <v>#VALUE!</v>
      </c>
      <c r="AS70" s="667" t="e">
        <f t="shared" si="29"/>
        <v>#VALUE!</v>
      </c>
      <c r="AT70" s="668" t="e">
        <f t="shared" si="30"/>
        <v>#VALUE!</v>
      </c>
      <c r="AU70" s="667" t="e">
        <f t="shared" si="31"/>
        <v>#VALUE!</v>
      </c>
      <c r="AV70" s="669" t="e">
        <f t="shared" si="32"/>
        <v>#VALUE!</v>
      </c>
      <c r="AW70" s="667" t="e">
        <f t="shared" si="33"/>
        <v>#VALUE!</v>
      </c>
      <c r="AX70" s="667" t="e">
        <f t="shared" si="34"/>
        <v>#VALUE!</v>
      </c>
      <c r="AY70" s="660" t="e">
        <f t="shared" si="35"/>
        <v>#VALUE!</v>
      </c>
      <c r="AZ70" s="670" t="e">
        <f t="shared" si="36"/>
        <v>#VALUE!</v>
      </c>
      <c r="BB70" s="662" t="e">
        <f>INDEX('Vessel Gauging Data'!$B$26:$V$56,MATCH($C70,'Vessel Gauging Data'!$B$26:$B$56,0),$BB$18)</f>
        <v>#N/A</v>
      </c>
      <c r="BC70" s="662" t="e">
        <f>INDEX('Vessel Gauging Data'!$B$26:$V$56,MATCH($C70,'Vessel Gauging Data'!$B$26:$B$56,0),$BC$18)</f>
        <v>#N/A</v>
      </c>
      <c r="BD70" s="662" t="e">
        <f>INDEX('Vessel Gauging Data'!$B$26:$V$56,MATCH($C70,'Vessel Gauging Data'!$B$26:$B$56,0),$BD$18)</f>
        <v>#N/A</v>
      </c>
      <c r="BE70" s="662" t="e">
        <f>INDEX('Vessel Gauging Data'!$B$26:$V$56,MATCH($C70,'Vessel Gauging Data'!$B$26:$B$56,0),$BE$18)</f>
        <v>#N/A</v>
      </c>
    </row>
    <row r="71" spans="1:57" hidden="1">
      <c r="A71" s="641" t="str">
        <f t="shared" si="54"/>
        <v>N</v>
      </c>
      <c r="C71" s="235" t="str">
        <f t="array" ref="C71">IF(OR($E$67="",SUMPRODUCT(('Vessel Gauging Data'!$C$27:$C$56=$E$67)*('Vessel Gauging Data'!$D$27:$D$56=NOMY))&lt;ROWS($C$68:$C71)),"",INDEX('Vessel Gauging Data'!$B$27:$B$56,SMALL(IF(('Vessel Gauging Data'!$C$27:$C$56=$E$67)+('Vessel Gauging Data'!$D$27:$D$56=NOMY)=2,ROW('Vessel Gauging Data'!$B$27:$B$56)-ROW('Vessel Gauging Data'!$C$26)),ROW()-ROW(C$67))))</f>
        <v/>
      </c>
      <c r="D71" s="211" t="str">
        <f>IF(OR($C71="",$C71=0),"",INDEX('Vessel Gauging Data'!$B$26:$V$56,MATCH($C71,'Vessel Gauging Data'!$B$27:$B$56,0)+1,2))</f>
        <v/>
      </c>
      <c r="E71" s="1016" t="str">
        <f t="shared" si="55"/>
        <v/>
      </c>
      <c r="F71" s="1016" t="str">
        <f t="shared" si="56"/>
        <v/>
      </c>
      <c r="G71" s="1016" t="str">
        <f t="shared" si="57"/>
        <v/>
      </c>
      <c r="H71" s="1016" t="str">
        <f t="shared" si="57"/>
        <v/>
      </c>
      <c r="I71" s="211" t="str">
        <f t="shared" si="58"/>
        <v/>
      </c>
      <c r="J71" s="1016" t="str">
        <f t="shared" si="59"/>
        <v/>
      </c>
      <c r="K71" s="213" t="str">
        <f t="shared" si="60"/>
        <v/>
      </c>
      <c r="L71" s="212" t="str">
        <f t="shared" si="61"/>
        <v/>
      </c>
      <c r="M71" s="1125" t="str">
        <f>IF(OR($C71="",$C71=0),"",INDEX(API1DENST,MATCH($C71,'Vessel Gauging Data'!$B$27:$B$56,0),$AA$1))</f>
        <v/>
      </c>
      <c r="N71" s="212" t="str">
        <f t="shared" si="62"/>
        <v/>
      </c>
      <c r="O71" s="1016" t="str">
        <f t="shared" si="63"/>
        <v/>
      </c>
      <c r="P71" s="1125" t="str">
        <f t="shared" si="64"/>
        <v/>
      </c>
      <c r="Q71" s="1016" t="str">
        <f t="shared" si="65"/>
        <v/>
      </c>
      <c r="R71" s="214" t="str">
        <f t="shared" si="66"/>
        <v/>
      </c>
      <c r="S71" s="1125" t="str">
        <f t="shared" si="67"/>
        <v/>
      </c>
      <c r="T71" s="236" t="str">
        <f t="shared" si="68"/>
        <v/>
      </c>
      <c r="V71" s="642" t="e">
        <f>INDEX('Vessel Gauging Data'!$B$26:$V$56,MATCH($C71,'Vessel Gauging Data'!$B$26:$B$56,0),$V$18)</f>
        <v>#N/A</v>
      </c>
      <c r="W71" s="642" t="e">
        <f>INDEX('Vessel Gauging Data'!$B$26:$V$56,MATCH($C71,'Vessel Gauging Data'!$B$26:$B$56,0),$W$18)</f>
        <v>#N/A</v>
      </c>
      <c r="X71" s="642" t="e">
        <f>INDEX('Vessel Gauging Data'!$B$26:$V$56,MATCH($C71,'Vessel Gauging Data'!$B$26:$B$56,0),$X$18)</f>
        <v>#N/A</v>
      </c>
      <c r="Y71" s="642" t="e">
        <f>INDEX('Vessel Gauging Data'!$B$26:$V$56,MATCH($C71,'Vessel Gauging Data'!$B$26:$B$56,0),$Y$18)</f>
        <v>#N/A</v>
      </c>
      <c r="Z71" s="642" t="e">
        <f>INDEX('Vessel Gauging Data'!$B$26:$V$56,MATCH($C71,'Vessel Gauging Data'!$B$26:$B$56,0),$Z$18)</f>
        <v>#N/A</v>
      </c>
      <c r="AB71" s="642" t="e">
        <f>INDEX(API1DENST,MATCH($C71,'Vessel Gauging Data'!$B$27:$B$56,0),1)</f>
        <v>#N/A</v>
      </c>
      <c r="AC71" s="642" t="e">
        <f t="shared" si="17"/>
        <v>#N/A</v>
      </c>
      <c r="AE71" s="661" t="e">
        <f t="shared" si="18"/>
        <v>#VALUE!</v>
      </c>
      <c r="AF71" s="661" t="e">
        <f t="shared" si="19"/>
        <v>#VALUE!</v>
      </c>
      <c r="AH71" s="662" t="str">
        <f t="shared" si="52"/>
        <v/>
      </c>
      <c r="AI71" s="662" t="str">
        <f t="shared" si="53"/>
        <v/>
      </c>
      <c r="AJ71" s="663">
        <f t="shared" si="20"/>
        <v>192.4571</v>
      </c>
      <c r="AK71" s="660">
        <f t="shared" si="21"/>
        <v>0.24379999999999999</v>
      </c>
      <c r="AL71" s="660" t="e">
        <f t="shared" si="22"/>
        <v>#VALUE!</v>
      </c>
      <c r="AM71" s="664" t="e">
        <f t="shared" si="23"/>
        <v>#VALUE!</v>
      </c>
      <c r="AN71" s="664" t="e">
        <f t="shared" si="24"/>
        <v>#VALUE!</v>
      </c>
      <c r="AO71" s="665" t="e">
        <f t="shared" si="25"/>
        <v>#VALUE!</v>
      </c>
      <c r="AP71" s="666" t="e">
        <f t="shared" si="26"/>
        <v>#VALUE!</v>
      </c>
      <c r="AQ71" s="660" t="e">
        <f t="shared" si="27"/>
        <v>#VALUE!</v>
      </c>
      <c r="AR71" s="667" t="e">
        <f t="shared" si="28"/>
        <v>#VALUE!</v>
      </c>
      <c r="AS71" s="667" t="e">
        <f t="shared" si="29"/>
        <v>#VALUE!</v>
      </c>
      <c r="AT71" s="668" t="e">
        <f t="shared" si="30"/>
        <v>#VALUE!</v>
      </c>
      <c r="AU71" s="667" t="e">
        <f t="shared" si="31"/>
        <v>#VALUE!</v>
      </c>
      <c r="AV71" s="669" t="e">
        <f t="shared" si="32"/>
        <v>#VALUE!</v>
      </c>
      <c r="AW71" s="667" t="e">
        <f t="shared" si="33"/>
        <v>#VALUE!</v>
      </c>
      <c r="AX71" s="667" t="e">
        <f t="shared" si="34"/>
        <v>#VALUE!</v>
      </c>
      <c r="AY71" s="660" t="e">
        <f t="shared" si="35"/>
        <v>#VALUE!</v>
      </c>
      <c r="AZ71" s="670" t="e">
        <f t="shared" si="36"/>
        <v>#VALUE!</v>
      </c>
      <c r="BB71" s="662" t="e">
        <f>INDEX('Vessel Gauging Data'!$B$26:$V$56,MATCH($C71,'Vessel Gauging Data'!$B$26:$B$56,0),$BB$18)</f>
        <v>#N/A</v>
      </c>
      <c r="BC71" s="662" t="e">
        <f>INDEX('Vessel Gauging Data'!$B$26:$V$56,MATCH($C71,'Vessel Gauging Data'!$B$26:$B$56,0),$BC$18)</f>
        <v>#N/A</v>
      </c>
      <c r="BD71" s="662" t="e">
        <f>INDEX('Vessel Gauging Data'!$B$26:$V$56,MATCH($C71,'Vessel Gauging Data'!$B$26:$B$56,0),$BD$18)</f>
        <v>#N/A</v>
      </c>
      <c r="BE71" s="662" t="e">
        <f>INDEX('Vessel Gauging Data'!$B$26:$V$56,MATCH($C71,'Vessel Gauging Data'!$B$26:$B$56,0),$BE$18)</f>
        <v>#N/A</v>
      </c>
    </row>
    <row r="72" spans="1:57" hidden="1">
      <c r="A72" s="641" t="str">
        <f t="shared" si="54"/>
        <v>N</v>
      </c>
      <c r="C72" s="235" t="str">
        <f t="array" ref="C72">IF(OR($E$67="",SUMPRODUCT(('Vessel Gauging Data'!$C$27:$C$56=$E$67)*('Vessel Gauging Data'!$D$27:$D$56=NOMY))&lt;ROWS($C$68:$C72)),"",INDEX('Vessel Gauging Data'!$B$27:$B$56,SMALL(IF(('Vessel Gauging Data'!$C$27:$C$56=$E$67)+('Vessel Gauging Data'!$D$27:$D$56=NOMY)=2,ROW('Vessel Gauging Data'!$B$27:$B$56)-ROW('Vessel Gauging Data'!$C$26)),ROW()-ROW(C$67))))</f>
        <v/>
      </c>
      <c r="D72" s="211" t="str">
        <f>IF(OR($C72="",$C72=0),"",INDEX('Vessel Gauging Data'!$B$26:$V$56,MATCH($C72,'Vessel Gauging Data'!$B$27:$B$56,0)+1,2))</f>
        <v/>
      </c>
      <c r="E72" s="1016" t="str">
        <f t="shared" si="55"/>
        <v/>
      </c>
      <c r="F72" s="1016" t="str">
        <f t="shared" si="56"/>
        <v/>
      </c>
      <c r="G72" s="1016" t="str">
        <f t="shared" si="57"/>
        <v/>
      </c>
      <c r="H72" s="1016" t="str">
        <f t="shared" si="57"/>
        <v/>
      </c>
      <c r="I72" s="211" t="str">
        <f t="shared" si="58"/>
        <v/>
      </c>
      <c r="J72" s="1016" t="str">
        <f t="shared" si="59"/>
        <v/>
      </c>
      <c r="K72" s="213" t="str">
        <f t="shared" si="60"/>
        <v/>
      </c>
      <c r="L72" s="212" t="str">
        <f t="shared" si="61"/>
        <v/>
      </c>
      <c r="M72" s="1125" t="str">
        <f>IF(OR($C72="",$C72=0),"",INDEX(API1DENST,MATCH($C72,'Vessel Gauging Data'!$B$27:$B$56,0),$AA$1))</f>
        <v/>
      </c>
      <c r="N72" s="212" t="str">
        <f t="shared" si="62"/>
        <v/>
      </c>
      <c r="O72" s="1016" t="str">
        <f t="shared" si="63"/>
        <v/>
      </c>
      <c r="P72" s="1125" t="str">
        <f t="shared" si="64"/>
        <v/>
      </c>
      <c r="Q72" s="1016" t="str">
        <f t="shared" si="65"/>
        <v/>
      </c>
      <c r="R72" s="214" t="str">
        <f t="shared" si="66"/>
        <v/>
      </c>
      <c r="S72" s="1125" t="str">
        <f t="shared" si="67"/>
        <v/>
      </c>
      <c r="T72" s="236" t="str">
        <f t="shared" si="68"/>
        <v/>
      </c>
      <c r="V72" s="642" t="e">
        <f>INDEX('Vessel Gauging Data'!$B$26:$V$56,MATCH($C72,'Vessel Gauging Data'!$B$26:$B$56,0),$V$18)</f>
        <v>#N/A</v>
      </c>
      <c r="W72" s="642" t="e">
        <f>INDEX('Vessel Gauging Data'!$B$26:$V$56,MATCH($C72,'Vessel Gauging Data'!$B$26:$B$56,0),$W$18)</f>
        <v>#N/A</v>
      </c>
      <c r="X72" s="642" t="e">
        <f>INDEX('Vessel Gauging Data'!$B$26:$V$56,MATCH($C72,'Vessel Gauging Data'!$B$26:$B$56,0),$X$18)</f>
        <v>#N/A</v>
      </c>
      <c r="Y72" s="642" t="e">
        <f>INDEX('Vessel Gauging Data'!$B$26:$V$56,MATCH($C72,'Vessel Gauging Data'!$B$26:$B$56,0),$Y$18)</f>
        <v>#N/A</v>
      </c>
      <c r="Z72" s="642" t="e">
        <f>INDEX('Vessel Gauging Data'!$B$26:$V$56,MATCH($C72,'Vessel Gauging Data'!$B$26:$B$56,0),$Z$18)</f>
        <v>#N/A</v>
      </c>
      <c r="AB72" s="642" t="e">
        <f>INDEX(API1DENST,MATCH($C72,'Vessel Gauging Data'!$B$27:$B$56,0),1)</f>
        <v>#N/A</v>
      </c>
      <c r="AC72" s="642" t="e">
        <f t="shared" si="17"/>
        <v>#N/A</v>
      </c>
      <c r="AE72" s="661" t="e">
        <f t="shared" si="18"/>
        <v>#VALUE!</v>
      </c>
      <c r="AF72" s="661" t="e">
        <f t="shared" si="19"/>
        <v>#VALUE!</v>
      </c>
      <c r="AH72" s="662" t="str">
        <f t="shared" si="52"/>
        <v/>
      </c>
      <c r="AI72" s="662" t="str">
        <f t="shared" si="53"/>
        <v/>
      </c>
      <c r="AJ72" s="663">
        <f t="shared" si="20"/>
        <v>192.4571</v>
      </c>
      <c r="AK72" s="660">
        <f t="shared" si="21"/>
        <v>0.24379999999999999</v>
      </c>
      <c r="AL72" s="660" t="e">
        <f t="shared" si="22"/>
        <v>#VALUE!</v>
      </c>
      <c r="AM72" s="664" t="e">
        <f t="shared" si="23"/>
        <v>#VALUE!</v>
      </c>
      <c r="AN72" s="664" t="e">
        <f t="shared" si="24"/>
        <v>#VALUE!</v>
      </c>
      <c r="AO72" s="665" t="e">
        <f t="shared" si="25"/>
        <v>#VALUE!</v>
      </c>
      <c r="AP72" s="666" t="e">
        <f t="shared" si="26"/>
        <v>#VALUE!</v>
      </c>
      <c r="AQ72" s="660" t="e">
        <f t="shared" si="27"/>
        <v>#VALUE!</v>
      </c>
      <c r="AR72" s="667" t="e">
        <f t="shared" si="28"/>
        <v>#VALUE!</v>
      </c>
      <c r="AS72" s="667" t="e">
        <f t="shared" si="29"/>
        <v>#VALUE!</v>
      </c>
      <c r="AT72" s="668" t="e">
        <f t="shared" si="30"/>
        <v>#VALUE!</v>
      </c>
      <c r="AU72" s="667" t="e">
        <f t="shared" si="31"/>
        <v>#VALUE!</v>
      </c>
      <c r="AV72" s="669" t="e">
        <f t="shared" si="32"/>
        <v>#VALUE!</v>
      </c>
      <c r="AW72" s="667" t="e">
        <f t="shared" si="33"/>
        <v>#VALUE!</v>
      </c>
      <c r="AX72" s="667" t="e">
        <f t="shared" si="34"/>
        <v>#VALUE!</v>
      </c>
      <c r="AY72" s="660" t="e">
        <f t="shared" si="35"/>
        <v>#VALUE!</v>
      </c>
      <c r="AZ72" s="670" t="e">
        <f t="shared" si="36"/>
        <v>#VALUE!</v>
      </c>
      <c r="BB72" s="662" t="e">
        <f>INDEX('Vessel Gauging Data'!$B$26:$V$56,MATCH($C72,'Vessel Gauging Data'!$B$26:$B$56,0),$BB$18)</f>
        <v>#N/A</v>
      </c>
      <c r="BC72" s="662" t="e">
        <f>INDEX('Vessel Gauging Data'!$B$26:$V$56,MATCH($C72,'Vessel Gauging Data'!$B$26:$B$56,0),$BC$18)</f>
        <v>#N/A</v>
      </c>
      <c r="BD72" s="662" t="e">
        <f>INDEX('Vessel Gauging Data'!$B$26:$V$56,MATCH($C72,'Vessel Gauging Data'!$B$26:$B$56,0),$BD$18)</f>
        <v>#N/A</v>
      </c>
      <c r="BE72" s="662" t="e">
        <f>INDEX('Vessel Gauging Data'!$B$26:$V$56,MATCH($C72,'Vessel Gauging Data'!$B$26:$B$56,0),$BE$18)</f>
        <v>#N/A</v>
      </c>
    </row>
    <row r="73" spans="1:57" hidden="1">
      <c r="A73" s="641" t="str">
        <f t="shared" si="54"/>
        <v>N</v>
      </c>
      <c r="C73" s="235" t="str">
        <f t="array" ref="C73">IF(OR($E$67="",SUMPRODUCT(('Vessel Gauging Data'!$C$27:$C$56=$E$67)*('Vessel Gauging Data'!$D$27:$D$56=NOMY))&lt;ROWS($C$68:$C73)),"",INDEX('Vessel Gauging Data'!$B$27:$B$56,SMALL(IF(('Vessel Gauging Data'!$C$27:$C$56=$E$67)+('Vessel Gauging Data'!$D$27:$D$56=NOMY)=2,ROW('Vessel Gauging Data'!$B$27:$B$56)-ROW('Vessel Gauging Data'!$C$26)),ROW()-ROW(C$67))))</f>
        <v/>
      </c>
      <c r="D73" s="211" t="str">
        <f>IF(OR($C73="",$C73=0),"",INDEX('Vessel Gauging Data'!$B$26:$V$56,MATCH($C73,'Vessel Gauging Data'!$B$27:$B$56,0)+1,2))</f>
        <v/>
      </c>
      <c r="E73" s="1016" t="str">
        <f t="shared" si="55"/>
        <v/>
      </c>
      <c r="F73" s="1016" t="str">
        <f t="shared" si="56"/>
        <v/>
      </c>
      <c r="G73" s="1016" t="str">
        <f t="shared" si="57"/>
        <v/>
      </c>
      <c r="H73" s="1016" t="str">
        <f t="shared" si="57"/>
        <v/>
      </c>
      <c r="I73" s="211" t="str">
        <f t="shared" si="58"/>
        <v/>
      </c>
      <c r="J73" s="1016" t="str">
        <f t="shared" si="59"/>
        <v/>
      </c>
      <c r="K73" s="213" t="str">
        <f t="shared" si="60"/>
        <v/>
      </c>
      <c r="L73" s="212" t="str">
        <f t="shared" si="61"/>
        <v/>
      </c>
      <c r="M73" s="1125" t="str">
        <f>IF(OR($C73="",$C73=0),"",INDEX(API1DENST,MATCH($C73,'Vessel Gauging Data'!$B$27:$B$56,0),$AA$1))</f>
        <v/>
      </c>
      <c r="N73" s="212" t="str">
        <f t="shared" si="62"/>
        <v/>
      </c>
      <c r="O73" s="1016" t="str">
        <f t="shared" si="63"/>
        <v/>
      </c>
      <c r="P73" s="1125" t="str">
        <f t="shared" si="64"/>
        <v/>
      </c>
      <c r="Q73" s="1016" t="str">
        <f t="shared" si="65"/>
        <v/>
      </c>
      <c r="R73" s="214" t="str">
        <f t="shared" si="66"/>
        <v/>
      </c>
      <c r="S73" s="1125" t="str">
        <f t="shared" si="67"/>
        <v/>
      </c>
      <c r="T73" s="236" t="str">
        <f t="shared" si="68"/>
        <v/>
      </c>
      <c r="V73" s="642" t="e">
        <f>INDEX('Vessel Gauging Data'!$B$26:$V$56,MATCH($C73,'Vessel Gauging Data'!$B$26:$B$56,0),$V$18)</f>
        <v>#N/A</v>
      </c>
      <c r="W73" s="642" t="e">
        <f>INDEX('Vessel Gauging Data'!$B$26:$V$56,MATCH($C73,'Vessel Gauging Data'!$B$26:$B$56,0),$W$18)</f>
        <v>#N/A</v>
      </c>
      <c r="X73" s="642" t="e">
        <f>INDEX('Vessel Gauging Data'!$B$26:$V$56,MATCH($C73,'Vessel Gauging Data'!$B$26:$B$56,0),$X$18)</f>
        <v>#N/A</v>
      </c>
      <c r="Y73" s="642" t="e">
        <f>INDEX('Vessel Gauging Data'!$B$26:$V$56,MATCH($C73,'Vessel Gauging Data'!$B$26:$B$56,0),$Y$18)</f>
        <v>#N/A</v>
      </c>
      <c r="Z73" s="642" t="e">
        <f>INDEX('Vessel Gauging Data'!$B$26:$V$56,MATCH($C73,'Vessel Gauging Data'!$B$26:$B$56,0),$Z$18)</f>
        <v>#N/A</v>
      </c>
      <c r="AB73" s="642" t="e">
        <f>INDEX(API1DENST,MATCH($C73,'Vessel Gauging Data'!$B$27:$B$56,0),1)</f>
        <v>#N/A</v>
      </c>
      <c r="AC73" s="642" t="e">
        <f t="shared" si="17"/>
        <v>#N/A</v>
      </c>
      <c r="AE73" s="661" t="e">
        <f t="shared" si="18"/>
        <v>#VALUE!</v>
      </c>
      <c r="AF73" s="661" t="e">
        <f t="shared" si="19"/>
        <v>#VALUE!</v>
      </c>
      <c r="AH73" s="662" t="str">
        <f t="shared" si="52"/>
        <v/>
      </c>
      <c r="AI73" s="662" t="str">
        <f t="shared" si="53"/>
        <v/>
      </c>
      <c r="AJ73" s="663">
        <f t="shared" si="20"/>
        <v>192.4571</v>
      </c>
      <c r="AK73" s="660">
        <f t="shared" si="21"/>
        <v>0.24379999999999999</v>
      </c>
      <c r="AL73" s="660" t="e">
        <f t="shared" si="22"/>
        <v>#VALUE!</v>
      </c>
      <c r="AM73" s="664" t="e">
        <f t="shared" si="23"/>
        <v>#VALUE!</v>
      </c>
      <c r="AN73" s="664" t="e">
        <f t="shared" si="24"/>
        <v>#VALUE!</v>
      </c>
      <c r="AO73" s="665" t="e">
        <f t="shared" si="25"/>
        <v>#VALUE!</v>
      </c>
      <c r="AP73" s="666" t="e">
        <f t="shared" si="26"/>
        <v>#VALUE!</v>
      </c>
      <c r="AQ73" s="660" t="e">
        <f t="shared" si="27"/>
        <v>#VALUE!</v>
      </c>
      <c r="AR73" s="667" t="e">
        <f t="shared" si="28"/>
        <v>#VALUE!</v>
      </c>
      <c r="AS73" s="667" t="e">
        <f t="shared" si="29"/>
        <v>#VALUE!</v>
      </c>
      <c r="AT73" s="668" t="e">
        <f t="shared" si="30"/>
        <v>#VALUE!</v>
      </c>
      <c r="AU73" s="667" t="e">
        <f t="shared" si="31"/>
        <v>#VALUE!</v>
      </c>
      <c r="AV73" s="669" t="e">
        <f t="shared" si="32"/>
        <v>#VALUE!</v>
      </c>
      <c r="AW73" s="667" t="e">
        <f t="shared" si="33"/>
        <v>#VALUE!</v>
      </c>
      <c r="AX73" s="667" t="e">
        <f t="shared" si="34"/>
        <v>#VALUE!</v>
      </c>
      <c r="AY73" s="660" t="e">
        <f t="shared" si="35"/>
        <v>#VALUE!</v>
      </c>
      <c r="AZ73" s="670" t="e">
        <f t="shared" si="36"/>
        <v>#VALUE!</v>
      </c>
      <c r="BB73" s="662" t="e">
        <f>INDEX('Vessel Gauging Data'!$B$26:$V$56,MATCH($C73,'Vessel Gauging Data'!$B$26:$B$56,0),$BB$18)</f>
        <v>#N/A</v>
      </c>
      <c r="BC73" s="662" t="e">
        <f>INDEX('Vessel Gauging Data'!$B$26:$V$56,MATCH($C73,'Vessel Gauging Data'!$B$26:$B$56,0),$BC$18)</f>
        <v>#N/A</v>
      </c>
      <c r="BD73" s="662" t="e">
        <f>INDEX('Vessel Gauging Data'!$B$26:$V$56,MATCH($C73,'Vessel Gauging Data'!$B$26:$B$56,0),$BD$18)</f>
        <v>#N/A</v>
      </c>
      <c r="BE73" s="662" t="e">
        <f>INDEX('Vessel Gauging Data'!$B$26:$V$56,MATCH($C73,'Vessel Gauging Data'!$B$26:$B$56,0),$BE$18)</f>
        <v>#N/A</v>
      </c>
    </row>
    <row r="74" spans="1:57" hidden="1">
      <c r="A74" s="641" t="str">
        <f t="shared" si="54"/>
        <v>N</v>
      </c>
      <c r="C74" s="235" t="str">
        <f t="array" ref="C74">IF(OR($E$67="",SUMPRODUCT(('Vessel Gauging Data'!$C$27:$C$56=$E$67)*('Vessel Gauging Data'!$D$27:$D$56=NOMY))&lt;ROWS($C$68:$C74)),"",INDEX('Vessel Gauging Data'!$B$27:$B$56,SMALL(IF(('Vessel Gauging Data'!$C$27:$C$56=$E$67)+('Vessel Gauging Data'!$D$27:$D$56=NOMY)=2,ROW('Vessel Gauging Data'!$B$27:$B$56)-ROW('Vessel Gauging Data'!$C$26)),ROW()-ROW(C$67))))</f>
        <v/>
      </c>
      <c r="D74" s="211" t="str">
        <f>IF(OR($C74="",$C74=0),"",INDEX('Vessel Gauging Data'!$B$26:$V$56,MATCH($C74,'Vessel Gauging Data'!$B$27:$B$56,0)+1,2))</f>
        <v/>
      </c>
      <c r="E74" s="1016" t="str">
        <f t="shared" si="55"/>
        <v/>
      </c>
      <c r="F74" s="1016" t="str">
        <f t="shared" si="56"/>
        <v/>
      </c>
      <c r="G74" s="1016" t="str">
        <f t="shared" si="57"/>
        <v/>
      </c>
      <c r="H74" s="1016" t="str">
        <f t="shared" si="57"/>
        <v/>
      </c>
      <c r="I74" s="211" t="str">
        <f t="shared" si="58"/>
        <v/>
      </c>
      <c r="J74" s="1016" t="str">
        <f t="shared" si="59"/>
        <v/>
      </c>
      <c r="K74" s="213" t="str">
        <f t="shared" si="60"/>
        <v/>
      </c>
      <c r="L74" s="212" t="str">
        <f t="shared" si="61"/>
        <v/>
      </c>
      <c r="M74" s="1125" t="str">
        <f>IF(OR($C74="",$C74=0),"",INDEX(API1DENST,MATCH($C74,'Vessel Gauging Data'!$B$27:$B$56,0),$AA$1))</f>
        <v/>
      </c>
      <c r="N74" s="212" t="str">
        <f t="shared" si="62"/>
        <v/>
      </c>
      <c r="O74" s="1016" t="str">
        <f t="shared" si="63"/>
        <v/>
      </c>
      <c r="P74" s="1125" t="str">
        <f t="shared" si="64"/>
        <v/>
      </c>
      <c r="Q74" s="1016" t="str">
        <f t="shared" si="65"/>
        <v/>
      </c>
      <c r="R74" s="214" t="str">
        <f t="shared" si="66"/>
        <v/>
      </c>
      <c r="S74" s="1125" t="str">
        <f t="shared" si="67"/>
        <v/>
      </c>
      <c r="T74" s="236" t="str">
        <f t="shared" si="68"/>
        <v/>
      </c>
      <c r="V74" s="642" t="e">
        <f>INDEX('Vessel Gauging Data'!$B$26:$V$56,MATCH($C74,'Vessel Gauging Data'!$B$26:$B$56,0),$V$18)</f>
        <v>#N/A</v>
      </c>
      <c r="W74" s="642" t="e">
        <f>INDEX('Vessel Gauging Data'!$B$26:$V$56,MATCH($C74,'Vessel Gauging Data'!$B$26:$B$56,0),$W$18)</f>
        <v>#N/A</v>
      </c>
      <c r="X74" s="642" t="e">
        <f>INDEX('Vessel Gauging Data'!$B$26:$V$56,MATCH($C74,'Vessel Gauging Data'!$B$26:$B$56,0),$X$18)</f>
        <v>#N/A</v>
      </c>
      <c r="Y74" s="642" t="e">
        <f>INDEX('Vessel Gauging Data'!$B$26:$V$56,MATCH($C74,'Vessel Gauging Data'!$B$26:$B$56,0),$Y$18)</f>
        <v>#N/A</v>
      </c>
      <c r="Z74" s="642" t="e">
        <f>INDEX('Vessel Gauging Data'!$B$26:$V$56,MATCH($C74,'Vessel Gauging Data'!$B$26:$B$56,0),$Z$18)</f>
        <v>#N/A</v>
      </c>
      <c r="AB74" s="642" t="e">
        <f>INDEX(API1DENST,MATCH($C74,'Vessel Gauging Data'!$B$27:$B$56,0),1)</f>
        <v>#N/A</v>
      </c>
      <c r="AC74" s="642" t="e">
        <f t="shared" si="17"/>
        <v>#N/A</v>
      </c>
      <c r="AE74" s="661" t="e">
        <f t="shared" si="18"/>
        <v>#VALUE!</v>
      </c>
      <c r="AF74" s="661" t="e">
        <f t="shared" si="19"/>
        <v>#VALUE!</v>
      </c>
      <c r="AH74" s="662" t="str">
        <f t="shared" si="52"/>
        <v/>
      </c>
      <c r="AI74" s="662" t="str">
        <f t="shared" si="53"/>
        <v/>
      </c>
      <c r="AJ74" s="663">
        <f t="shared" si="20"/>
        <v>192.4571</v>
      </c>
      <c r="AK74" s="660">
        <f t="shared" si="21"/>
        <v>0.24379999999999999</v>
      </c>
      <c r="AL74" s="660" t="e">
        <f t="shared" si="22"/>
        <v>#VALUE!</v>
      </c>
      <c r="AM74" s="664" t="e">
        <f t="shared" si="23"/>
        <v>#VALUE!</v>
      </c>
      <c r="AN74" s="664" t="e">
        <f t="shared" si="24"/>
        <v>#VALUE!</v>
      </c>
      <c r="AO74" s="665" t="e">
        <f t="shared" si="25"/>
        <v>#VALUE!</v>
      </c>
      <c r="AP74" s="666" t="e">
        <f t="shared" si="26"/>
        <v>#VALUE!</v>
      </c>
      <c r="AQ74" s="660" t="e">
        <f t="shared" si="27"/>
        <v>#VALUE!</v>
      </c>
      <c r="AR74" s="667" t="e">
        <f t="shared" si="28"/>
        <v>#VALUE!</v>
      </c>
      <c r="AS74" s="667" t="e">
        <f t="shared" si="29"/>
        <v>#VALUE!</v>
      </c>
      <c r="AT74" s="668" t="e">
        <f t="shared" si="30"/>
        <v>#VALUE!</v>
      </c>
      <c r="AU74" s="667" t="e">
        <f t="shared" si="31"/>
        <v>#VALUE!</v>
      </c>
      <c r="AV74" s="669" t="e">
        <f t="shared" si="32"/>
        <v>#VALUE!</v>
      </c>
      <c r="AW74" s="667" t="e">
        <f t="shared" si="33"/>
        <v>#VALUE!</v>
      </c>
      <c r="AX74" s="667" t="e">
        <f t="shared" si="34"/>
        <v>#VALUE!</v>
      </c>
      <c r="AY74" s="660" t="e">
        <f t="shared" si="35"/>
        <v>#VALUE!</v>
      </c>
      <c r="AZ74" s="670" t="e">
        <f t="shared" si="36"/>
        <v>#VALUE!</v>
      </c>
      <c r="BB74" s="662" t="e">
        <f>INDEX('Vessel Gauging Data'!$B$26:$V$56,MATCH($C74,'Vessel Gauging Data'!$B$26:$B$56,0),$BB$18)</f>
        <v>#N/A</v>
      </c>
      <c r="BC74" s="662" t="e">
        <f>INDEX('Vessel Gauging Data'!$B$26:$V$56,MATCH($C74,'Vessel Gauging Data'!$B$26:$B$56,0),$BC$18)</f>
        <v>#N/A</v>
      </c>
      <c r="BD74" s="662" t="e">
        <f>INDEX('Vessel Gauging Data'!$B$26:$V$56,MATCH($C74,'Vessel Gauging Data'!$B$26:$B$56,0),$BD$18)</f>
        <v>#N/A</v>
      </c>
      <c r="BE74" s="662" t="e">
        <f>INDEX('Vessel Gauging Data'!$B$26:$V$56,MATCH($C74,'Vessel Gauging Data'!$B$26:$B$56,0),$BE$18)</f>
        <v>#N/A</v>
      </c>
    </row>
    <row r="75" spans="1:57" hidden="1">
      <c r="A75" s="641" t="str">
        <f t="shared" si="54"/>
        <v>N</v>
      </c>
      <c r="C75" s="235" t="str">
        <f t="array" ref="C75">IF(OR($E$67="",SUMPRODUCT(('Vessel Gauging Data'!$C$27:$C$56=$E$67)*('Vessel Gauging Data'!$D$27:$D$56=NOMY))&lt;ROWS($C$68:$C75)),"",INDEX('Vessel Gauging Data'!$B$27:$B$56,SMALL(IF(('Vessel Gauging Data'!$C$27:$C$56=$E$67)+('Vessel Gauging Data'!$D$27:$D$56=NOMY)=2,ROW('Vessel Gauging Data'!$B$27:$B$56)-ROW('Vessel Gauging Data'!$C$26)),ROW()-ROW(C$67))))</f>
        <v/>
      </c>
      <c r="D75" s="211" t="str">
        <f>IF(OR($C75="",$C75=0),"",INDEX('Vessel Gauging Data'!$B$26:$V$56,MATCH($C75,'Vessel Gauging Data'!$B$27:$B$56,0)+1,2))</f>
        <v/>
      </c>
      <c r="E75" s="1016" t="str">
        <f t="shared" si="55"/>
        <v/>
      </c>
      <c r="F75" s="1016" t="str">
        <f t="shared" si="56"/>
        <v/>
      </c>
      <c r="G75" s="1016" t="str">
        <f t="shared" si="57"/>
        <v/>
      </c>
      <c r="H75" s="1016" t="str">
        <f t="shared" si="57"/>
        <v/>
      </c>
      <c r="I75" s="211" t="str">
        <f t="shared" si="58"/>
        <v/>
      </c>
      <c r="J75" s="1016" t="str">
        <f t="shared" si="59"/>
        <v/>
      </c>
      <c r="K75" s="213" t="str">
        <f t="shared" si="60"/>
        <v/>
      </c>
      <c r="L75" s="212" t="str">
        <f t="shared" si="61"/>
        <v/>
      </c>
      <c r="M75" s="1125" t="str">
        <f>IF(OR($C75="",$C75=0),"",INDEX(API1DENST,MATCH($C75,'Vessel Gauging Data'!$B$27:$B$56,0),$AA$1))</f>
        <v/>
      </c>
      <c r="N75" s="212" t="str">
        <f t="shared" si="62"/>
        <v/>
      </c>
      <c r="O75" s="1016" t="str">
        <f t="shared" si="63"/>
        <v/>
      </c>
      <c r="P75" s="1125" t="str">
        <f t="shared" si="64"/>
        <v/>
      </c>
      <c r="Q75" s="1016" t="str">
        <f t="shared" si="65"/>
        <v/>
      </c>
      <c r="R75" s="214" t="str">
        <f t="shared" si="66"/>
        <v/>
      </c>
      <c r="S75" s="1125" t="str">
        <f t="shared" si="67"/>
        <v/>
      </c>
      <c r="T75" s="236" t="str">
        <f t="shared" si="68"/>
        <v/>
      </c>
      <c r="V75" s="642" t="e">
        <f>INDEX('Vessel Gauging Data'!$B$26:$V$56,MATCH($C75,'Vessel Gauging Data'!$B$26:$B$56,0),$V$18)</f>
        <v>#N/A</v>
      </c>
      <c r="W75" s="642" t="e">
        <f>INDEX('Vessel Gauging Data'!$B$26:$V$56,MATCH($C75,'Vessel Gauging Data'!$B$26:$B$56,0),$W$18)</f>
        <v>#N/A</v>
      </c>
      <c r="X75" s="642" t="e">
        <f>INDEX('Vessel Gauging Data'!$B$26:$V$56,MATCH($C75,'Vessel Gauging Data'!$B$26:$B$56,0),$X$18)</f>
        <v>#N/A</v>
      </c>
      <c r="Y75" s="642" t="e">
        <f>INDEX('Vessel Gauging Data'!$B$26:$V$56,MATCH($C75,'Vessel Gauging Data'!$B$26:$B$56,0),$Y$18)</f>
        <v>#N/A</v>
      </c>
      <c r="Z75" s="642" t="e">
        <f>INDEX('Vessel Gauging Data'!$B$26:$V$56,MATCH($C75,'Vessel Gauging Data'!$B$26:$B$56,0),$Z$18)</f>
        <v>#N/A</v>
      </c>
      <c r="AB75" s="642" t="e">
        <f>INDEX(API1DENST,MATCH($C75,'Vessel Gauging Data'!$B$27:$B$56,0),1)</f>
        <v>#N/A</v>
      </c>
      <c r="AC75" s="642" t="e">
        <f t="shared" si="17"/>
        <v>#N/A</v>
      </c>
      <c r="AE75" s="661" t="e">
        <f t="shared" si="18"/>
        <v>#VALUE!</v>
      </c>
      <c r="AF75" s="661" t="e">
        <f t="shared" si="19"/>
        <v>#VALUE!</v>
      </c>
      <c r="AH75" s="662" t="str">
        <f t="shared" si="52"/>
        <v/>
      </c>
      <c r="AI75" s="662" t="str">
        <f t="shared" si="53"/>
        <v/>
      </c>
      <c r="AJ75" s="663">
        <f t="shared" si="20"/>
        <v>192.4571</v>
      </c>
      <c r="AK75" s="660">
        <f t="shared" si="21"/>
        <v>0.24379999999999999</v>
      </c>
      <c r="AL75" s="660" t="e">
        <f t="shared" si="22"/>
        <v>#VALUE!</v>
      </c>
      <c r="AM75" s="664" t="e">
        <f t="shared" si="23"/>
        <v>#VALUE!</v>
      </c>
      <c r="AN75" s="664" t="e">
        <f t="shared" si="24"/>
        <v>#VALUE!</v>
      </c>
      <c r="AO75" s="665" t="e">
        <f t="shared" si="25"/>
        <v>#VALUE!</v>
      </c>
      <c r="AP75" s="666" t="e">
        <f t="shared" si="26"/>
        <v>#VALUE!</v>
      </c>
      <c r="AQ75" s="660" t="e">
        <f t="shared" si="27"/>
        <v>#VALUE!</v>
      </c>
      <c r="AR75" s="667" t="e">
        <f t="shared" si="28"/>
        <v>#VALUE!</v>
      </c>
      <c r="AS75" s="667" t="e">
        <f t="shared" si="29"/>
        <v>#VALUE!</v>
      </c>
      <c r="AT75" s="668" t="e">
        <f t="shared" si="30"/>
        <v>#VALUE!</v>
      </c>
      <c r="AU75" s="667" t="e">
        <f t="shared" si="31"/>
        <v>#VALUE!</v>
      </c>
      <c r="AV75" s="669" t="e">
        <f t="shared" si="32"/>
        <v>#VALUE!</v>
      </c>
      <c r="AW75" s="667" t="e">
        <f t="shared" si="33"/>
        <v>#VALUE!</v>
      </c>
      <c r="AX75" s="667" t="e">
        <f t="shared" si="34"/>
        <v>#VALUE!</v>
      </c>
      <c r="AY75" s="660" t="e">
        <f t="shared" si="35"/>
        <v>#VALUE!</v>
      </c>
      <c r="AZ75" s="670" t="e">
        <f t="shared" si="36"/>
        <v>#VALUE!</v>
      </c>
      <c r="BB75" s="662" t="e">
        <f>INDEX('Vessel Gauging Data'!$B$26:$V$56,MATCH($C75,'Vessel Gauging Data'!$B$26:$B$56,0),$BB$18)</f>
        <v>#N/A</v>
      </c>
      <c r="BC75" s="662" t="e">
        <f>INDEX('Vessel Gauging Data'!$B$26:$V$56,MATCH($C75,'Vessel Gauging Data'!$B$26:$B$56,0),$BC$18)</f>
        <v>#N/A</v>
      </c>
      <c r="BD75" s="662" t="e">
        <f>INDEX('Vessel Gauging Data'!$B$26:$V$56,MATCH($C75,'Vessel Gauging Data'!$B$26:$B$56,0),$BD$18)</f>
        <v>#N/A</v>
      </c>
      <c r="BE75" s="662" t="e">
        <f>INDEX('Vessel Gauging Data'!$B$26:$V$56,MATCH($C75,'Vessel Gauging Data'!$B$26:$B$56,0),$BE$18)</f>
        <v>#N/A</v>
      </c>
    </row>
    <row r="76" spans="1:57" hidden="1">
      <c r="A76" s="641" t="str">
        <f t="shared" si="54"/>
        <v>N</v>
      </c>
      <c r="C76" s="235" t="str">
        <f t="array" ref="C76">IF(OR($E$67="",SUMPRODUCT(('Vessel Gauging Data'!$C$27:$C$56=$E$67)*('Vessel Gauging Data'!$D$27:$D$56=NOMY))&lt;ROWS($C$68:$C76)),"",INDEX('Vessel Gauging Data'!$B$27:$B$56,SMALL(IF(('Vessel Gauging Data'!$C$27:$C$56=$E$67)+('Vessel Gauging Data'!$D$27:$D$56=NOMY)=2,ROW('Vessel Gauging Data'!$B$27:$B$56)-ROW('Vessel Gauging Data'!$C$26)),ROW()-ROW(C$67))))</f>
        <v/>
      </c>
      <c r="D76" s="211" t="str">
        <f>IF(OR($C76="",$C76=0),"",INDEX('Vessel Gauging Data'!$B$26:$V$56,MATCH($C76,'Vessel Gauging Data'!$B$27:$B$56,0)+1,2))</f>
        <v/>
      </c>
      <c r="E76" s="1016" t="str">
        <f t="shared" si="55"/>
        <v/>
      </c>
      <c r="F76" s="1016" t="str">
        <f t="shared" si="56"/>
        <v/>
      </c>
      <c r="G76" s="1016" t="str">
        <f t="shared" si="57"/>
        <v/>
      </c>
      <c r="H76" s="1016" t="str">
        <f t="shared" si="57"/>
        <v/>
      </c>
      <c r="I76" s="211" t="str">
        <f t="shared" si="58"/>
        <v/>
      </c>
      <c r="J76" s="1016" t="str">
        <f t="shared" si="59"/>
        <v/>
      </c>
      <c r="K76" s="213" t="str">
        <f t="shared" si="60"/>
        <v/>
      </c>
      <c r="L76" s="212" t="str">
        <f t="shared" si="61"/>
        <v/>
      </c>
      <c r="M76" s="1125" t="str">
        <f>IF(OR($C76="",$C76=0),"",INDEX(API1DENST,MATCH($C76,'Vessel Gauging Data'!$B$27:$B$56,0),$AA$1))</f>
        <v/>
      </c>
      <c r="N76" s="212" t="str">
        <f t="shared" si="62"/>
        <v/>
      </c>
      <c r="O76" s="1016" t="str">
        <f t="shared" si="63"/>
        <v/>
      </c>
      <c r="P76" s="1125" t="str">
        <f t="shared" si="64"/>
        <v/>
      </c>
      <c r="Q76" s="1016" t="str">
        <f t="shared" si="65"/>
        <v/>
      </c>
      <c r="R76" s="214" t="str">
        <f t="shared" si="66"/>
        <v/>
      </c>
      <c r="S76" s="1125" t="str">
        <f t="shared" si="67"/>
        <v/>
      </c>
      <c r="T76" s="236" t="str">
        <f t="shared" si="68"/>
        <v/>
      </c>
      <c r="V76" s="642" t="e">
        <f>INDEX('Vessel Gauging Data'!$B$26:$V$56,MATCH($C76,'Vessel Gauging Data'!$B$26:$B$56,0),$V$18)</f>
        <v>#N/A</v>
      </c>
      <c r="W76" s="642" t="e">
        <f>INDEX('Vessel Gauging Data'!$B$26:$V$56,MATCH($C76,'Vessel Gauging Data'!$B$26:$B$56,0),$W$18)</f>
        <v>#N/A</v>
      </c>
      <c r="X76" s="642" t="e">
        <f>INDEX('Vessel Gauging Data'!$B$26:$V$56,MATCH($C76,'Vessel Gauging Data'!$B$26:$B$56,0),$X$18)</f>
        <v>#N/A</v>
      </c>
      <c r="Y76" s="642" t="e">
        <f>INDEX('Vessel Gauging Data'!$B$26:$V$56,MATCH($C76,'Vessel Gauging Data'!$B$26:$B$56,0),$Y$18)</f>
        <v>#N/A</v>
      </c>
      <c r="Z76" s="642" t="e">
        <f>INDEX('Vessel Gauging Data'!$B$26:$V$56,MATCH($C76,'Vessel Gauging Data'!$B$26:$B$56,0),$Z$18)</f>
        <v>#N/A</v>
      </c>
      <c r="AB76" s="642" t="e">
        <f>INDEX(API1DENST,MATCH($C76,'Vessel Gauging Data'!$B$27:$B$56,0),1)</f>
        <v>#N/A</v>
      </c>
      <c r="AC76" s="642" t="e">
        <f t="shared" si="17"/>
        <v>#N/A</v>
      </c>
      <c r="AE76" s="661" t="e">
        <f t="shared" si="18"/>
        <v>#VALUE!</v>
      </c>
      <c r="AF76" s="661" t="e">
        <f t="shared" si="19"/>
        <v>#VALUE!</v>
      </c>
      <c r="AH76" s="662" t="str">
        <f t="shared" si="52"/>
        <v/>
      </c>
      <c r="AI76" s="662" t="str">
        <f t="shared" si="53"/>
        <v/>
      </c>
      <c r="AJ76" s="663">
        <f t="shared" si="20"/>
        <v>192.4571</v>
      </c>
      <c r="AK76" s="660">
        <f t="shared" si="21"/>
        <v>0.24379999999999999</v>
      </c>
      <c r="AL76" s="660" t="e">
        <f t="shared" si="22"/>
        <v>#VALUE!</v>
      </c>
      <c r="AM76" s="664" t="e">
        <f t="shared" si="23"/>
        <v>#VALUE!</v>
      </c>
      <c r="AN76" s="664" t="e">
        <f t="shared" si="24"/>
        <v>#VALUE!</v>
      </c>
      <c r="AO76" s="665" t="e">
        <f t="shared" si="25"/>
        <v>#VALUE!</v>
      </c>
      <c r="AP76" s="666" t="e">
        <f t="shared" si="26"/>
        <v>#VALUE!</v>
      </c>
      <c r="AQ76" s="660" t="e">
        <f t="shared" si="27"/>
        <v>#VALUE!</v>
      </c>
      <c r="AR76" s="667" t="e">
        <f t="shared" si="28"/>
        <v>#VALUE!</v>
      </c>
      <c r="AS76" s="667" t="e">
        <f t="shared" si="29"/>
        <v>#VALUE!</v>
      </c>
      <c r="AT76" s="668" t="e">
        <f t="shared" si="30"/>
        <v>#VALUE!</v>
      </c>
      <c r="AU76" s="667" t="e">
        <f t="shared" si="31"/>
        <v>#VALUE!</v>
      </c>
      <c r="AV76" s="669" t="e">
        <f t="shared" si="32"/>
        <v>#VALUE!</v>
      </c>
      <c r="AW76" s="667" t="e">
        <f t="shared" si="33"/>
        <v>#VALUE!</v>
      </c>
      <c r="AX76" s="667" t="e">
        <f t="shared" si="34"/>
        <v>#VALUE!</v>
      </c>
      <c r="AY76" s="660" t="e">
        <f t="shared" si="35"/>
        <v>#VALUE!</v>
      </c>
      <c r="AZ76" s="670" t="e">
        <f t="shared" si="36"/>
        <v>#VALUE!</v>
      </c>
      <c r="BB76" s="662" t="e">
        <f>INDEX('Vessel Gauging Data'!$B$26:$V$56,MATCH($C76,'Vessel Gauging Data'!$B$26:$B$56,0),$BB$18)</f>
        <v>#N/A</v>
      </c>
      <c r="BC76" s="662" t="e">
        <f>INDEX('Vessel Gauging Data'!$B$26:$V$56,MATCH($C76,'Vessel Gauging Data'!$B$26:$B$56,0),$BC$18)</f>
        <v>#N/A</v>
      </c>
      <c r="BD76" s="662" t="e">
        <f>INDEX('Vessel Gauging Data'!$B$26:$V$56,MATCH($C76,'Vessel Gauging Data'!$B$26:$B$56,0),$BD$18)</f>
        <v>#N/A</v>
      </c>
      <c r="BE76" s="662" t="e">
        <f>INDEX('Vessel Gauging Data'!$B$26:$V$56,MATCH($C76,'Vessel Gauging Data'!$B$26:$B$56,0),$BE$18)</f>
        <v>#N/A</v>
      </c>
    </row>
    <row r="77" spans="1:57" hidden="1">
      <c r="A77" s="641" t="str">
        <f t="shared" si="54"/>
        <v>N</v>
      </c>
      <c r="C77" s="235" t="str">
        <f t="array" ref="C77">IF(OR($E$67="",SUMPRODUCT(('Vessel Gauging Data'!$C$27:$C$56=$E$67)*('Vessel Gauging Data'!$D$27:$D$56=NOMY))&lt;ROWS($C$68:$C77)),"",INDEX('Vessel Gauging Data'!$B$27:$B$56,SMALL(IF(('Vessel Gauging Data'!$C$27:$C$56=$E$67)+('Vessel Gauging Data'!$D$27:$D$56=NOMY)=2,ROW('Vessel Gauging Data'!$B$27:$B$56)-ROW('Vessel Gauging Data'!$C$26)),ROW()-ROW(C$67))))</f>
        <v/>
      </c>
      <c r="D77" s="211" t="str">
        <f>IF(OR($C77="",$C77=0),"",INDEX('Vessel Gauging Data'!$B$26:$V$56,MATCH($C77,'Vessel Gauging Data'!$B$27:$B$56,0)+1,2))</f>
        <v/>
      </c>
      <c r="E77" s="1016" t="str">
        <f t="shared" si="55"/>
        <v/>
      </c>
      <c r="F77" s="1016" t="str">
        <f t="shared" si="56"/>
        <v/>
      </c>
      <c r="G77" s="1016" t="str">
        <f t="shared" si="57"/>
        <v/>
      </c>
      <c r="H77" s="1016" t="str">
        <f t="shared" si="57"/>
        <v/>
      </c>
      <c r="I77" s="211" t="str">
        <f t="shared" si="58"/>
        <v/>
      </c>
      <c r="J77" s="1016" t="str">
        <f t="shared" si="59"/>
        <v/>
      </c>
      <c r="K77" s="213" t="str">
        <f t="shared" si="60"/>
        <v/>
      </c>
      <c r="L77" s="212" t="str">
        <f t="shared" si="61"/>
        <v/>
      </c>
      <c r="M77" s="1125" t="str">
        <f>IF(OR($C77="",$C77=0),"",INDEX(API1DENST,MATCH($C77,'Vessel Gauging Data'!$B$27:$B$56,0),$AA$1))</f>
        <v/>
      </c>
      <c r="N77" s="212" t="str">
        <f t="shared" si="62"/>
        <v/>
      </c>
      <c r="O77" s="1016" t="str">
        <f t="shared" si="63"/>
        <v/>
      </c>
      <c r="P77" s="1125" t="str">
        <f t="shared" si="64"/>
        <v/>
      </c>
      <c r="Q77" s="1016" t="str">
        <f t="shared" si="65"/>
        <v/>
      </c>
      <c r="R77" s="214" t="str">
        <f t="shared" si="66"/>
        <v/>
      </c>
      <c r="S77" s="1125" t="str">
        <f t="shared" si="67"/>
        <v/>
      </c>
      <c r="T77" s="236" t="str">
        <f t="shared" si="68"/>
        <v/>
      </c>
      <c r="V77" s="642" t="e">
        <f>INDEX('Vessel Gauging Data'!$B$26:$V$56,MATCH($C77,'Vessel Gauging Data'!$B$26:$B$56,0),$V$18)</f>
        <v>#N/A</v>
      </c>
      <c r="W77" s="642" t="e">
        <f>INDEX('Vessel Gauging Data'!$B$26:$V$56,MATCH($C77,'Vessel Gauging Data'!$B$26:$B$56,0),$W$18)</f>
        <v>#N/A</v>
      </c>
      <c r="X77" s="642" t="e">
        <f>INDEX('Vessel Gauging Data'!$B$26:$V$56,MATCH($C77,'Vessel Gauging Data'!$B$26:$B$56,0),$X$18)</f>
        <v>#N/A</v>
      </c>
      <c r="Y77" s="642" t="e">
        <f>INDEX('Vessel Gauging Data'!$B$26:$V$56,MATCH($C77,'Vessel Gauging Data'!$B$26:$B$56,0),$Y$18)</f>
        <v>#N/A</v>
      </c>
      <c r="Z77" s="642" t="e">
        <f>INDEX('Vessel Gauging Data'!$B$26:$V$56,MATCH($C77,'Vessel Gauging Data'!$B$26:$B$56,0),$Z$18)</f>
        <v>#N/A</v>
      </c>
      <c r="AB77" s="642" t="e">
        <f>INDEX(API1DENST,MATCH($C77,'Vessel Gauging Data'!$B$27:$B$56,0),1)</f>
        <v>#N/A</v>
      </c>
      <c r="AC77" s="642" t="e">
        <f t="shared" si="17"/>
        <v>#N/A</v>
      </c>
      <c r="AE77" s="661" t="e">
        <f t="shared" si="18"/>
        <v>#VALUE!</v>
      </c>
      <c r="AF77" s="661" t="e">
        <f t="shared" si="19"/>
        <v>#VALUE!</v>
      </c>
      <c r="AH77" s="662" t="str">
        <f t="shared" si="52"/>
        <v/>
      </c>
      <c r="AI77" s="662" t="str">
        <f t="shared" si="53"/>
        <v/>
      </c>
      <c r="AJ77" s="663">
        <f t="shared" si="20"/>
        <v>192.4571</v>
      </c>
      <c r="AK77" s="660">
        <f t="shared" si="21"/>
        <v>0.24379999999999999</v>
      </c>
      <c r="AL77" s="660" t="e">
        <f t="shared" si="22"/>
        <v>#VALUE!</v>
      </c>
      <c r="AM77" s="664" t="e">
        <f t="shared" si="23"/>
        <v>#VALUE!</v>
      </c>
      <c r="AN77" s="664" t="e">
        <f t="shared" si="24"/>
        <v>#VALUE!</v>
      </c>
      <c r="AO77" s="665" t="e">
        <f t="shared" si="25"/>
        <v>#VALUE!</v>
      </c>
      <c r="AP77" s="666" t="e">
        <f t="shared" si="26"/>
        <v>#VALUE!</v>
      </c>
      <c r="AQ77" s="660" t="e">
        <f t="shared" si="27"/>
        <v>#VALUE!</v>
      </c>
      <c r="AR77" s="667" t="e">
        <f t="shared" si="28"/>
        <v>#VALUE!</v>
      </c>
      <c r="AS77" s="667" t="e">
        <f t="shared" si="29"/>
        <v>#VALUE!</v>
      </c>
      <c r="AT77" s="668" t="e">
        <f t="shared" si="30"/>
        <v>#VALUE!</v>
      </c>
      <c r="AU77" s="667" t="e">
        <f t="shared" si="31"/>
        <v>#VALUE!</v>
      </c>
      <c r="AV77" s="669" t="e">
        <f t="shared" si="32"/>
        <v>#VALUE!</v>
      </c>
      <c r="AW77" s="667" t="e">
        <f t="shared" si="33"/>
        <v>#VALUE!</v>
      </c>
      <c r="AX77" s="667" t="e">
        <f t="shared" si="34"/>
        <v>#VALUE!</v>
      </c>
      <c r="AY77" s="660" t="e">
        <f t="shared" si="35"/>
        <v>#VALUE!</v>
      </c>
      <c r="AZ77" s="670" t="e">
        <f t="shared" si="36"/>
        <v>#VALUE!</v>
      </c>
      <c r="BB77" s="662" t="e">
        <f>INDEX('Vessel Gauging Data'!$B$26:$V$56,MATCH($C77,'Vessel Gauging Data'!$B$26:$B$56,0),$BB$18)</f>
        <v>#N/A</v>
      </c>
      <c r="BC77" s="662" t="e">
        <f>INDEX('Vessel Gauging Data'!$B$26:$V$56,MATCH($C77,'Vessel Gauging Data'!$B$26:$B$56,0),$BC$18)</f>
        <v>#N/A</v>
      </c>
      <c r="BD77" s="662" t="e">
        <f>INDEX('Vessel Gauging Data'!$B$26:$V$56,MATCH($C77,'Vessel Gauging Data'!$B$26:$B$56,0),$BD$18)</f>
        <v>#N/A</v>
      </c>
      <c r="BE77" s="662" t="e">
        <f>INDEX('Vessel Gauging Data'!$B$26:$V$56,MATCH($C77,'Vessel Gauging Data'!$B$26:$B$56,0),$BE$18)</f>
        <v>#N/A</v>
      </c>
    </row>
    <row r="78" spans="1:57" hidden="1">
      <c r="A78" s="641" t="str">
        <f t="shared" si="54"/>
        <v>N</v>
      </c>
      <c r="C78" s="235" t="str">
        <f t="array" ref="C78">IF(OR($E$67="",SUMPRODUCT(('Vessel Gauging Data'!$C$27:$C$56=$E$67)*('Vessel Gauging Data'!$D$27:$D$56=NOMY))&lt;ROWS($C$68:$C78)),"",INDEX('Vessel Gauging Data'!$B$27:$B$56,SMALL(IF(('Vessel Gauging Data'!$C$27:$C$56=$E$67)+('Vessel Gauging Data'!$D$27:$D$56=NOMY)=2,ROW('Vessel Gauging Data'!$B$27:$B$56)-ROW('Vessel Gauging Data'!$C$26)),ROW()-ROW(C$67))))</f>
        <v/>
      </c>
      <c r="D78" s="211" t="str">
        <f>IF(OR($C78="",$C78=0),"",INDEX('Vessel Gauging Data'!$B$26:$V$56,MATCH($C78,'Vessel Gauging Data'!$B$27:$B$56,0)+1,2))</f>
        <v/>
      </c>
      <c r="E78" s="1016" t="str">
        <f t="shared" si="55"/>
        <v/>
      </c>
      <c r="F78" s="1016" t="str">
        <f t="shared" si="56"/>
        <v/>
      </c>
      <c r="G78" s="1016" t="str">
        <f t="shared" si="57"/>
        <v/>
      </c>
      <c r="H78" s="1016" t="str">
        <f t="shared" si="57"/>
        <v/>
      </c>
      <c r="I78" s="211" t="str">
        <f t="shared" si="58"/>
        <v/>
      </c>
      <c r="J78" s="1016" t="str">
        <f t="shared" si="59"/>
        <v/>
      </c>
      <c r="K78" s="213" t="str">
        <f t="shared" si="60"/>
        <v/>
      </c>
      <c r="L78" s="212" t="str">
        <f t="shared" si="61"/>
        <v/>
      </c>
      <c r="M78" s="1125" t="str">
        <f>IF(OR($C78="",$C78=0),"",INDEX(API1DENST,MATCH($C78,'Vessel Gauging Data'!$B$27:$B$56,0),$AA$1))</f>
        <v/>
      </c>
      <c r="N78" s="212" t="str">
        <f t="shared" si="62"/>
        <v/>
      </c>
      <c r="O78" s="1016" t="str">
        <f t="shared" si="63"/>
        <v/>
      </c>
      <c r="P78" s="1125" t="str">
        <f t="shared" si="64"/>
        <v/>
      </c>
      <c r="Q78" s="1016" t="str">
        <f t="shared" si="65"/>
        <v/>
      </c>
      <c r="R78" s="214" t="str">
        <f t="shared" si="66"/>
        <v/>
      </c>
      <c r="S78" s="1125" t="str">
        <f t="shared" si="67"/>
        <v/>
      </c>
      <c r="T78" s="236" t="str">
        <f t="shared" si="68"/>
        <v/>
      </c>
      <c r="V78" s="642" t="e">
        <f>INDEX('Vessel Gauging Data'!$B$26:$V$56,MATCH($C78,'Vessel Gauging Data'!$B$26:$B$56,0),$V$18)</f>
        <v>#N/A</v>
      </c>
      <c r="W78" s="642" t="e">
        <f>INDEX('Vessel Gauging Data'!$B$26:$V$56,MATCH($C78,'Vessel Gauging Data'!$B$26:$B$56,0),$W$18)</f>
        <v>#N/A</v>
      </c>
      <c r="X78" s="642" t="e">
        <f>INDEX('Vessel Gauging Data'!$B$26:$V$56,MATCH($C78,'Vessel Gauging Data'!$B$26:$B$56,0),$X$18)</f>
        <v>#N/A</v>
      </c>
      <c r="Y78" s="642" t="e">
        <f>INDEX('Vessel Gauging Data'!$B$26:$V$56,MATCH($C78,'Vessel Gauging Data'!$B$26:$B$56,0),$Y$18)</f>
        <v>#N/A</v>
      </c>
      <c r="Z78" s="642" t="e">
        <f>INDEX('Vessel Gauging Data'!$B$26:$V$56,MATCH($C78,'Vessel Gauging Data'!$B$26:$B$56,0),$Z$18)</f>
        <v>#N/A</v>
      </c>
      <c r="AB78" s="642" t="e">
        <f>INDEX(API1DENST,MATCH($C78,'Vessel Gauging Data'!$B$27:$B$56,0),1)</f>
        <v>#N/A</v>
      </c>
      <c r="AC78" s="642" t="e">
        <f t="shared" si="17"/>
        <v>#N/A</v>
      </c>
      <c r="AE78" s="661" t="e">
        <f t="shared" si="18"/>
        <v>#VALUE!</v>
      </c>
      <c r="AF78" s="661" t="e">
        <f t="shared" si="19"/>
        <v>#VALUE!</v>
      </c>
      <c r="AH78" s="662" t="str">
        <f t="shared" si="52"/>
        <v/>
      </c>
      <c r="AI78" s="662" t="str">
        <f t="shared" si="53"/>
        <v/>
      </c>
      <c r="AJ78" s="663">
        <f t="shared" si="20"/>
        <v>192.4571</v>
      </c>
      <c r="AK78" s="660">
        <f t="shared" si="21"/>
        <v>0.24379999999999999</v>
      </c>
      <c r="AL78" s="660" t="e">
        <f t="shared" si="22"/>
        <v>#VALUE!</v>
      </c>
      <c r="AM78" s="664" t="e">
        <f t="shared" si="23"/>
        <v>#VALUE!</v>
      </c>
      <c r="AN78" s="664" t="e">
        <f t="shared" si="24"/>
        <v>#VALUE!</v>
      </c>
      <c r="AO78" s="665" t="e">
        <f t="shared" si="25"/>
        <v>#VALUE!</v>
      </c>
      <c r="AP78" s="666" t="e">
        <f t="shared" si="26"/>
        <v>#VALUE!</v>
      </c>
      <c r="AQ78" s="660" t="e">
        <f t="shared" si="27"/>
        <v>#VALUE!</v>
      </c>
      <c r="AR78" s="667" t="e">
        <f t="shared" si="28"/>
        <v>#VALUE!</v>
      </c>
      <c r="AS78" s="667" t="e">
        <f t="shared" si="29"/>
        <v>#VALUE!</v>
      </c>
      <c r="AT78" s="668" t="e">
        <f t="shared" si="30"/>
        <v>#VALUE!</v>
      </c>
      <c r="AU78" s="667" t="e">
        <f t="shared" si="31"/>
        <v>#VALUE!</v>
      </c>
      <c r="AV78" s="669" t="e">
        <f t="shared" si="32"/>
        <v>#VALUE!</v>
      </c>
      <c r="AW78" s="667" t="e">
        <f t="shared" si="33"/>
        <v>#VALUE!</v>
      </c>
      <c r="AX78" s="667" t="e">
        <f t="shared" si="34"/>
        <v>#VALUE!</v>
      </c>
      <c r="AY78" s="660" t="e">
        <f t="shared" si="35"/>
        <v>#VALUE!</v>
      </c>
      <c r="AZ78" s="670" t="e">
        <f t="shared" si="36"/>
        <v>#VALUE!</v>
      </c>
      <c r="BB78" s="662" t="e">
        <f>INDEX('Vessel Gauging Data'!$B$26:$V$56,MATCH($C78,'Vessel Gauging Data'!$B$26:$B$56,0),$BB$18)</f>
        <v>#N/A</v>
      </c>
      <c r="BC78" s="662" t="e">
        <f>INDEX('Vessel Gauging Data'!$B$26:$V$56,MATCH($C78,'Vessel Gauging Data'!$B$26:$B$56,0),$BC$18)</f>
        <v>#N/A</v>
      </c>
      <c r="BD78" s="662" t="e">
        <f>INDEX('Vessel Gauging Data'!$B$26:$V$56,MATCH($C78,'Vessel Gauging Data'!$B$26:$B$56,0),$BD$18)</f>
        <v>#N/A</v>
      </c>
      <c r="BE78" s="662" t="e">
        <f>INDEX('Vessel Gauging Data'!$B$26:$V$56,MATCH($C78,'Vessel Gauging Data'!$B$26:$B$56,0),$BE$18)</f>
        <v>#N/A</v>
      </c>
    </row>
    <row r="79" spans="1:57" hidden="1">
      <c r="A79" s="641" t="str">
        <f t="shared" si="54"/>
        <v>N</v>
      </c>
      <c r="C79" s="235" t="str">
        <f t="array" ref="C79">IF(OR($E$67="",SUMPRODUCT(('Vessel Gauging Data'!$C$27:$C$56=$E$67)*('Vessel Gauging Data'!$D$27:$D$56=NOMY))&lt;ROWS($C$68:$C79)),"",INDEX('Vessel Gauging Data'!$B$27:$B$56,SMALL(IF(('Vessel Gauging Data'!$C$27:$C$56=$E$67)+('Vessel Gauging Data'!$D$27:$D$56=NOMY)=2,ROW('Vessel Gauging Data'!$B$27:$B$56)-ROW('Vessel Gauging Data'!$C$26)),ROW()-ROW(C$67))))</f>
        <v/>
      </c>
      <c r="D79" s="211" t="str">
        <f>IF(OR($C79="",$C79=0),"",INDEX('Vessel Gauging Data'!$B$26:$V$56,MATCH($C79,'Vessel Gauging Data'!$B$27:$B$56,0)+1,2))</f>
        <v/>
      </c>
      <c r="E79" s="1016" t="str">
        <f t="shared" si="55"/>
        <v/>
      </c>
      <c r="F79" s="1016" t="str">
        <f t="shared" si="56"/>
        <v/>
      </c>
      <c r="G79" s="1016" t="str">
        <f t="shared" si="57"/>
        <v/>
      </c>
      <c r="H79" s="1016" t="str">
        <f t="shared" si="57"/>
        <v/>
      </c>
      <c r="I79" s="211" t="str">
        <f t="shared" si="58"/>
        <v/>
      </c>
      <c r="J79" s="1016" t="str">
        <f t="shared" si="59"/>
        <v/>
      </c>
      <c r="K79" s="213" t="str">
        <f t="shared" si="60"/>
        <v/>
      </c>
      <c r="L79" s="212" t="str">
        <f t="shared" si="61"/>
        <v/>
      </c>
      <c r="M79" s="1125" t="str">
        <f>IF(OR($C79="",$C79=0),"",INDEX(API1DENST,MATCH($C79,'Vessel Gauging Data'!$B$27:$B$56,0),$AA$1))</f>
        <v/>
      </c>
      <c r="N79" s="212" t="str">
        <f t="shared" si="62"/>
        <v/>
      </c>
      <c r="O79" s="1016" t="str">
        <f t="shared" si="63"/>
        <v/>
      </c>
      <c r="P79" s="1125" t="str">
        <f t="shared" si="64"/>
        <v/>
      </c>
      <c r="Q79" s="1016" t="str">
        <f t="shared" si="65"/>
        <v/>
      </c>
      <c r="R79" s="214" t="str">
        <f t="shared" si="66"/>
        <v/>
      </c>
      <c r="S79" s="1125" t="str">
        <f t="shared" si="67"/>
        <v/>
      </c>
      <c r="T79" s="236" t="str">
        <f t="shared" si="68"/>
        <v/>
      </c>
      <c r="V79" s="642" t="e">
        <f>INDEX('Vessel Gauging Data'!$B$26:$V$56,MATCH($C79,'Vessel Gauging Data'!$B$26:$B$56,0),$V$18)</f>
        <v>#N/A</v>
      </c>
      <c r="W79" s="642" t="e">
        <f>INDEX('Vessel Gauging Data'!$B$26:$V$56,MATCH($C79,'Vessel Gauging Data'!$B$26:$B$56,0),$W$18)</f>
        <v>#N/A</v>
      </c>
      <c r="X79" s="642" t="e">
        <f>INDEX('Vessel Gauging Data'!$B$26:$V$56,MATCH($C79,'Vessel Gauging Data'!$B$26:$B$56,0),$X$18)</f>
        <v>#N/A</v>
      </c>
      <c r="Y79" s="642" t="e">
        <f>INDEX('Vessel Gauging Data'!$B$26:$V$56,MATCH($C79,'Vessel Gauging Data'!$B$26:$B$56,0),$Y$18)</f>
        <v>#N/A</v>
      </c>
      <c r="Z79" s="642" t="e">
        <f>INDEX('Vessel Gauging Data'!$B$26:$V$56,MATCH($C79,'Vessel Gauging Data'!$B$26:$B$56,0),$Z$18)</f>
        <v>#N/A</v>
      </c>
      <c r="AB79" s="642" t="e">
        <f>INDEX(API1DENST,MATCH($C79,'Vessel Gauging Data'!$B$27:$B$56,0),1)</f>
        <v>#N/A</v>
      </c>
      <c r="AC79" s="642" t="e">
        <f t="shared" si="17"/>
        <v>#N/A</v>
      </c>
      <c r="AE79" s="661" t="e">
        <f t="shared" si="18"/>
        <v>#VALUE!</v>
      </c>
      <c r="AF79" s="661" t="e">
        <f t="shared" si="19"/>
        <v>#VALUE!</v>
      </c>
      <c r="AH79" s="662" t="str">
        <f t="shared" si="52"/>
        <v/>
      </c>
      <c r="AI79" s="662" t="str">
        <f t="shared" si="53"/>
        <v/>
      </c>
      <c r="AJ79" s="663">
        <f t="shared" si="20"/>
        <v>192.4571</v>
      </c>
      <c r="AK79" s="660">
        <f t="shared" si="21"/>
        <v>0.24379999999999999</v>
      </c>
      <c r="AL79" s="660" t="e">
        <f t="shared" si="22"/>
        <v>#VALUE!</v>
      </c>
      <c r="AM79" s="664" t="e">
        <f t="shared" si="23"/>
        <v>#VALUE!</v>
      </c>
      <c r="AN79" s="664" t="e">
        <f t="shared" si="24"/>
        <v>#VALUE!</v>
      </c>
      <c r="AO79" s="665" t="e">
        <f t="shared" si="25"/>
        <v>#VALUE!</v>
      </c>
      <c r="AP79" s="666" t="e">
        <f t="shared" si="26"/>
        <v>#VALUE!</v>
      </c>
      <c r="AQ79" s="660" t="e">
        <f t="shared" si="27"/>
        <v>#VALUE!</v>
      </c>
      <c r="AR79" s="667" t="e">
        <f t="shared" si="28"/>
        <v>#VALUE!</v>
      </c>
      <c r="AS79" s="667" t="e">
        <f t="shared" si="29"/>
        <v>#VALUE!</v>
      </c>
      <c r="AT79" s="668" t="e">
        <f t="shared" si="30"/>
        <v>#VALUE!</v>
      </c>
      <c r="AU79" s="667" t="e">
        <f t="shared" si="31"/>
        <v>#VALUE!</v>
      </c>
      <c r="AV79" s="669" t="e">
        <f t="shared" si="32"/>
        <v>#VALUE!</v>
      </c>
      <c r="AW79" s="667" t="e">
        <f t="shared" si="33"/>
        <v>#VALUE!</v>
      </c>
      <c r="AX79" s="667" t="e">
        <f t="shared" si="34"/>
        <v>#VALUE!</v>
      </c>
      <c r="AY79" s="660" t="e">
        <f t="shared" si="35"/>
        <v>#VALUE!</v>
      </c>
      <c r="AZ79" s="670" t="e">
        <f t="shared" si="36"/>
        <v>#VALUE!</v>
      </c>
      <c r="BB79" s="662" t="e">
        <f>INDEX('Vessel Gauging Data'!$B$26:$V$56,MATCH($C79,'Vessel Gauging Data'!$B$26:$B$56,0),$BB$18)</f>
        <v>#N/A</v>
      </c>
      <c r="BC79" s="662" t="e">
        <f>INDEX('Vessel Gauging Data'!$B$26:$V$56,MATCH($C79,'Vessel Gauging Data'!$B$26:$B$56,0),$BC$18)</f>
        <v>#N/A</v>
      </c>
      <c r="BD79" s="662" t="e">
        <f>INDEX('Vessel Gauging Data'!$B$26:$V$56,MATCH($C79,'Vessel Gauging Data'!$B$26:$B$56,0),$BD$18)</f>
        <v>#N/A</v>
      </c>
      <c r="BE79" s="662" t="e">
        <f>INDEX('Vessel Gauging Data'!$B$26:$V$56,MATCH($C79,'Vessel Gauging Data'!$B$26:$B$56,0),$BE$18)</f>
        <v>#N/A</v>
      </c>
    </row>
    <row r="80" spans="1:57" hidden="1">
      <c r="A80" s="641" t="str">
        <f t="shared" si="54"/>
        <v>N</v>
      </c>
      <c r="C80" s="235" t="str">
        <f t="array" ref="C80">IF(OR($E$67="",SUMPRODUCT(('Vessel Gauging Data'!$C$27:$C$56=$E$67)*('Vessel Gauging Data'!$D$27:$D$56=NOMY))&lt;ROWS($C$68:$C80)),"",INDEX('Vessel Gauging Data'!$B$27:$B$56,SMALL(IF(('Vessel Gauging Data'!$C$27:$C$56=$E$67)+('Vessel Gauging Data'!$D$27:$D$56=NOMY)=2,ROW('Vessel Gauging Data'!$B$27:$B$56)-ROW('Vessel Gauging Data'!$C$26)),ROW()-ROW(C$67))))</f>
        <v/>
      </c>
      <c r="D80" s="211" t="str">
        <f>IF(OR($C80="",$C80=0),"",INDEX('Vessel Gauging Data'!$B$26:$V$56,MATCH($C80,'Vessel Gauging Data'!$B$27:$B$56,0)+1,2))</f>
        <v/>
      </c>
      <c r="E80" s="1016" t="str">
        <f t="shared" si="55"/>
        <v/>
      </c>
      <c r="F80" s="1016" t="str">
        <f t="shared" si="56"/>
        <v/>
      </c>
      <c r="G80" s="1016" t="str">
        <f t="shared" si="57"/>
        <v/>
      </c>
      <c r="H80" s="1016" t="str">
        <f t="shared" si="57"/>
        <v/>
      </c>
      <c r="I80" s="211" t="str">
        <f t="shared" si="58"/>
        <v/>
      </c>
      <c r="J80" s="1016" t="str">
        <f t="shared" si="59"/>
        <v/>
      </c>
      <c r="K80" s="213" t="str">
        <f t="shared" si="60"/>
        <v/>
      </c>
      <c r="L80" s="212" t="str">
        <f t="shared" si="61"/>
        <v/>
      </c>
      <c r="M80" s="1125" t="str">
        <f>IF(OR($C80="",$C80=0),"",INDEX(API1DENST,MATCH($C80,'Vessel Gauging Data'!$B$27:$B$56,0),$AA$1))</f>
        <v/>
      </c>
      <c r="N80" s="212" t="str">
        <f t="shared" si="62"/>
        <v/>
      </c>
      <c r="O80" s="1016" t="str">
        <f t="shared" si="63"/>
        <v/>
      </c>
      <c r="P80" s="1125" t="str">
        <f t="shared" si="64"/>
        <v/>
      </c>
      <c r="Q80" s="1016" t="str">
        <f t="shared" si="65"/>
        <v/>
      </c>
      <c r="R80" s="214" t="str">
        <f t="shared" si="66"/>
        <v/>
      </c>
      <c r="S80" s="1125" t="str">
        <f t="shared" si="67"/>
        <v/>
      </c>
      <c r="T80" s="236" t="str">
        <f t="shared" si="68"/>
        <v/>
      </c>
      <c r="V80" s="642" t="e">
        <f>INDEX('Vessel Gauging Data'!$B$26:$V$56,MATCH($C80,'Vessel Gauging Data'!$B$26:$B$56,0),$V$18)</f>
        <v>#N/A</v>
      </c>
      <c r="W80" s="642" t="e">
        <f>INDEX('Vessel Gauging Data'!$B$26:$V$56,MATCH($C80,'Vessel Gauging Data'!$B$26:$B$56,0),$W$18)</f>
        <v>#N/A</v>
      </c>
      <c r="X80" s="642" t="e">
        <f>INDEX('Vessel Gauging Data'!$B$26:$V$56,MATCH($C80,'Vessel Gauging Data'!$B$26:$B$56,0),$X$18)</f>
        <v>#N/A</v>
      </c>
      <c r="Y80" s="642" t="e">
        <f>INDEX('Vessel Gauging Data'!$B$26:$V$56,MATCH($C80,'Vessel Gauging Data'!$B$26:$B$56,0),$Y$18)</f>
        <v>#N/A</v>
      </c>
      <c r="Z80" s="642" t="e">
        <f>INDEX('Vessel Gauging Data'!$B$26:$V$56,MATCH($C80,'Vessel Gauging Data'!$B$26:$B$56,0),$Z$18)</f>
        <v>#N/A</v>
      </c>
      <c r="AB80" s="642" t="e">
        <f>INDEX(API1DENST,MATCH($C80,'Vessel Gauging Data'!$B$27:$B$56,0),1)</f>
        <v>#N/A</v>
      </c>
      <c r="AC80" s="642" t="e">
        <f t="shared" si="17"/>
        <v>#N/A</v>
      </c>
      <c r="AE80" s="661" t="e">
        <f t="shared" si="18"/>
        <v>#VALUE!</v>
      </c>
      <c r="AF80" s="661" t="e">
        <f t="shared" si="19"/>
        <v>#VALUE!</v>
      </c>
      <c r="AH80" s="662" t="str">
        <f t="shared" si="52"/>
        <v/>
      </c>
      <c r="AI80" s="662" t="str">
        <f t="shared" si="53"/>
        <v/>
      </c>
      <c r="AJ80" s="663">
        <f t="shared" si="20"/>
        <v>192.4571</v>
      </c>
      <c r="AK80" s="660">
        <f t="shared" si="21"/>
        <v>0.24379999999999999</v>
      </c>
      <c r="AL80" s="660" t="e">
        <f t="shared" si="22"/>
        <v>#VALUE!</v>
      </c>
      <c r="AM80" s="664" t="e">
        <f t="shared" si="23"/>
        <v>#VALUE!</v>
      </c>
      <c r="AN80" s="664" t="e">
        <f t="shared" si="24"/>
        <v>#VALUE!</v>
      </c>
      <c r="AO80" s="665" t="e">
        <f t="shared" si="25"/>
        <v>#VALUE!</v>
      </c>
      <c r="AP80" s="666" t="e">
        <f t="shared" si="26"/>
        <v>#VALUE!</v>
      </c>
      <c r="AQ80" s="660" t="e">
        <f t="shared" si="27"/>
        <v>#VALUE!</v>
      </c>
      <c r="AR80" s="667" t="e">
        <f t="shared" si="28"/>
        <v>#VALUE!</v>
      </c>
      <c r="AS80" s="667" t="e">
        <f t="shared" si="29"/>
        <v>#VALUE!</v>
      </c>
      <c r="AT80" s="668" t="e">
        <f t="shared" si="30"/>
        <v>#VALUE!</v>
      </c>
      <c r="AU80" s="667" t="e">
        <f t="shared" si="31"/>
        <v>#VALUE!</v>
      </c>
      <c r="AV80" s="669" t="e">
        <f t="shared" si="32"/>
        <v>#VALUE!</v>
      </c>
      <c r="AW80" s="667" t="e">
        <f t="shared" si="33"/>
        <v>#VALUE!</v>
      </c>
      <c r="AX80" s="667" t="e">
        <f t="shared" si="34"/>
        <v>#VALUE!</v>
      </c>
      <c r="AY80" s="660" t="e">
        <f t="shared" si="35"/>
        <v>#VALUE!</v>
      </c>
      <c r="AZ80" s="670" t="e">
        <f t="shared" si="36"/>
        <v>#VALUE!</v>
      </c>
      <c r="BB80" s="662" t="e">
        <f>INDEX('Vessel Gauging Data'!$B$26:$V$56,MATCH($C80,'Vessel Gauging Data'!$B$26:$B$56,0),$BB$18)</f>
        <v>#N/A</v>
      </c>
      <c r="BC80" s="662" t="e">
        <f>INDEX('Vessel Gauging Data'!$B$26:$V$56,MATCH($C80,'Vessel Gauging Data'!$B$26:$B$56,0),$BC$18)</f>
        <v>#N/A</v>
      </c>
      <c r="BD80" s="662" t="e">
        <f>INDEX('Vessel Gauging Data'!$B$26:$V$56,MATCH($C80,'Vessel Gauging Data'!$B$26:$B$56,0),$BD$18)</f>
        <v>#N/A</v>
      </c>
      <c r="BE80" s="662" t="e">
        <f>INDEX('Vessel Gauging Data'!$B$26:$V$56,MATCH($C80,'Vessel Gauging Data'!$B$26:$B$56,0),$BE$18)</f>
        <v>#N/A</v>
      </c>
    </row>
    <row r="81" spans="1:57" hidden="1">
      <c r="A81" s="641" t="str">
        <f t="shared" si="54"/>
        <v>N</v>
      </c>
      <c r="C81" s="235" t="str">
        <f t="array" ref="C81">IF(OR($E$67="",SUMPRODUCT(('Vessel Gauging Data'!$C$27:$C$56=$E$67)*('Vessel Gauging Data'!$D$27:$D$56=NOMY))&lt;ROWS($C$68:$C81)),"",INDEX('Vessel Gauging Data'!$B$27:$B$56,SMALL(IF(('Vessel Gauging Data'!$C$27:$C$56=$E$67)+('Vessel Gauging Data'!$D$27:$D$56=NOMY)=2,ROW('Vessel Gauging Data'!$B$27:$B$56)-ROW('Vessel Gauging Data'!$C$26)),ROW()-ROW(C$67))))</f>
        <v/>
      </c>
      <c r="D81" s="211" t="str">
        <f>IF(OR($C81="",$C81=0),"",INDEX('Vessel Gauging Data'!$B$26:$V$56,MATCH($C81,'Vessel Gauging Data'!$B$27:$B$56,0)+1,2))</f>
        <v/>
      </c>
      <c r="E81" s="1016" t="str">
        <f t="shared" si="55"/>
        <v/>
      </c>
      <c r="F81" s="1016" t="str">
        <f t="shared" si="56"/>
        <v/>
      </c>
      <c r="G81" s="1016" t="str">
        <f t="shared" si="57"/>
        <v/>
      </c>
      <c r="H81" s="1016" t="str">
        <f t="shared" si="57"/>
        <v/>
      </c>
      <c r="I81" s="211" t="str">
        <f t="shared" si="58"/>
        <v/>
      </c>
      <c r="J81" s="1016" t="str">
        <f t="shared" si="59"/>
        <v/>
      </c>
      <c r="K81" s="213" t="str">
        <f t="shared" si="60"/>
        <v/>
      </c>
      <c r="L81" s="212" t="str">
        <f t="shared" si="61"/>
        <v/>
      </c>
      <c r="M81" s="1125" t="str">
        <f>IF(OR($C81="",$C81=0),"",INDEX(API1DENST,MATCH($C81,'Vessel Gauging Data'!$B$27:$B$56,0),$AA$1))</f>
        <v/>
      </c>
      <c r="N81" s="212" t="str">
        <f t="shared" si="62"/>
        <v/>
      </c>
      <c r="O81" s="1016" t="str">
        <f t="shared" si="63"/>
        <v/>
      </c>
      <c r="P81" s="1125" t="str">
        <f t="shared" si="64"/>
        <v/>
      </c>
      <c r="Q81" s="1016" t="str">
        <f t="shared" si="65"/>
        <v/>
      </c>
      <c r="R81" s="214" t="str">
        <f t="shared" si="66"/>
        <v/>
      </c>
      <c r="S81" s="1125" t="str">
        <f t="shared" si="67"/>
        <v/>
      </c>
      <c r="T81" s="236" t="str">
        <f t="shared" si="68"/>
        <v/>
      </c>
      <c r="V81" s="642" t="e">
        <f>INDEX('Vessel Gauging Data'!$B$26:$V$56,MATCH($C81,'Vessel Gauging Data'!$B$26:$B$56,0),$V$18)</f>
        <v>#N/A</v>
      </c>
      <c r="W81" s="642" t="e">
        <f>INDEX('Vessel Gauging Data'!$B$26:$V$56,MATCH($C81,'Vessel Gauging Data'!$B$26:$B$56,0),$W$18)</f>
        <v>#N/A</v>
      </c>
      <c r="X81" s="642" t="e">
        <f>INDEX('Vessel Gauging Data'!$B$26:$V$56,MATCH($C81,'Vessel Gauging Data'!$B$26:$B$56,0),$X$18)</f>
        <v>#N/A</v>
      </c>
      <c r="Y81" s="642" t="e">
        <f>INDEX('Vessel Gauging Data'!$B$26:$V$56,MATCH($C81,'Vessel Gauging Data'!$B$26:$B$56,0),$Y$18)</f>
        <v>#N/A</v>
      </c>
      <c r="Z81" s="642" t="e">
        <f>INDEX('Vessel Gauging Data'!$B$26:$V$56,MATCH($C81,'Vessel Gauging Data'!$B$26:$B$56,0),$Z$18)</f>
        <v>#N/A</v>
      </c>
      <c r="AB81" s="642" t="e">
        <f>INDEX(API1DENST,MATCH($C81,'Vessel Gauging Data'!$B$27:$B$56,0),1)</f>
        <v>#N/A</v>
      </c>
      <c r="AC81" s="642" t="e">
        <f t="shared" si="17"/>
        <v>#N/A</v>
      </c>
      <c r="AE81" s="661" t="e">
        <f t="shared" si="18"/>
        <v>#VALUE!</v>
      </c>
      <c r="AF81" s="661" t="e">
        <f t="shared" si="19"/>
        <v>#VALUE!</v>
      </c>
      <c r="AH81" s="662" t="str">
        <f t="shared" si="52"/>
        <v/>
      </c>
      <c r="AI81" s="662" t="str">
        <f t="shared" si="53"/>
        <v/>
      </c>
      <c r="AJ81" s="663">
        <f t="shared" si="20"/>
        <v>192.4571</v>
      </c>
      <c r="AK81" s="660">
        <f t="shared" si="21"/>
        <v>0.24379999999999999</v>
      </c>
      <c r="AL81" s="660" t="e">
        <f t="shared" si="22"/>
        <v>#VALUE!</v>
      </c>
      <c r="AM81" s="664" t="e">
        <f t="shared" si="23"/>
        <v>#VALUE!</v>
      </c>
      <c r="AN81" s="664" t="e">
        <f t="shared" si="24"/>
        <v>#VALUE!</v>
      </c>
      <c r="AO81" s="665" t="e">
        <f t="shared" si="25"/>
        <v>#VALUE!</v>
      </c>
      <c r="AP81" s="666" t="e">
        <f t="shared" si="26"/>
        <v>#VALUE!</v>
      </c>
      <c r="AQ81" s="660" t="e">
        <f t="shared" si="27"/>
        <v>#VALUE!</v>
      </c>
      <c r="AR81" s="667" t="e">
        <f t="shared" si="28"/>
        <v>#VALUE!</v>
      </c>
      <c r="AS81" s="667" t="e">
        <f t="shared" si="29"/>
        <v>#VALUE!</v>
      </c>
      <c r="AT81" s="668" t="e">
        <f t="shared" si="30"/>
        <v>#VALUE!</v>
      </c>
      <c r="AU81" s="667" t="e">
        <f t="shared" si="31"/>
        <v>#VALUE!</v>
      </c>
      <c r="AV81" s="669" t="e">
        <f t="shared" si="32"/>
        <v>#VALUE!</v>
      </c>
      <c r="AW81" s="667" t="e">
        <f t="shared" si="33"/>
        <v>#VALUE!</v>
      </c>
      <c r="AX81" s="667" t="e">
        <f t="shared" si="34"/>
        <v>#VALUE!</v>
      </c>
      <c r="AY81" s="660" t="e">
        <f t="shared" si="35"/>
        <v>#VALUE!</v>
      </c>
      <c r="AZ81" s="670" t="e">
        <f t="shared" si="36"/>
        <v>#VALUE!</v>
      </c>
      <c r="BB81" s="662" t="e">
        <f>INDEX('Vessel Gauging Data'!$B$26:$V$56,MATCH($C81,'Vessel Gauging Data'!$B$26:$B$56,0),$BB$18)</f>
        <v>#N/A</v>
      </c>
      <c r="BC81" s="662" t="e">
        <f>INDEX('Vessel Gauging Data'!$B$26:$V$56,MATCH($C81,'Vessel Gauging Data'!$B$26:$B$56,0),$BC$18)</f>
        <v>#N/A</v>
      </c>
      <c r="BD81" s="662" t="e">
        <f>INDEX('Vessel Gauging Data'!$B$26:$V$56,MATCH($C81,'Vessel Gauging Data'!$B$26:$B$56,0),$BD$18)</f>
        <v>#N/A</v>
      </c>
      <c r="BE81" s="662" t="e">
        <f>INDEX('Vessel Gauging Data'!$B$26:$V$56,MATCH($C81,'Vessel Gauging Data'!$B$26:$B$56,0),$BE$18)</f>
        <v>#N/A</v>
      </c>
    </row>
    <row r="82" spans="1:57" hidden="1">
      <c r="A82" s="641" t="str">
        <f t="shared" si="54"/>
        <v>N</v>
      </c>
      <c r="C82" s="235" t="str">
        <f t="array" ref="C82">IF(OR($E$67="",SUMPRODUCT(('Vessel Gauging Data'!$C$27:$C$56=$E$67)*('Vessel Gauging Data'!$D$27:$D$56=NOMY))&lt;ROWS($C$68:$C82)),"",INDEX('Vessel Gauging Data'!$B$27:$B$56,SMALL(IF(('Vessel Gauging Data'!$C$27:$C$56=$E$67)+('Vessel Gauging Data'!$D$27:$D$56=NOMY)=2,ROW('Vessel Gauging Data'!$B$27:$B$56)-ROW('Vessel Gauging Data'!$C$26)),ROW()-ROW(C$67))))</f>
        <v/>
      </c>
      <c r="D82" s="211" t="str">
        <f>IF(OR($C82="",$C82=0),"",INDEX('Vessel Gauging Data'!$B$26:$V$56,MATCH($C82,'Vessel Gauging Data'!$B$27:$B$56,0)+1,2))</f>
        <v/>
      </c>
      <c r="E82" s="1016" t="str">
        <f t="shared" si="55"/>
        <v/>
      </c>
      <c r="F82" s="1016" t="str">
        <f t="shared" si="56"/>
        <v/>
      </c>
      <c r="G82" s="1016" t="str">
        <f t="shared" si="57"/>
        <v/>
      </c>
      <c r="H82" s="1016" t="str">
        <f t="shared" si="57"/>
        <v/>
      </c>
      <c r="I82" s="211" t="str">
        <f t="shared" si="58"/>
        <v/>
      </c>
      <c r="J82" s="1016" t="str">
        <f t="shared" si="59"/>
        <v/>
      </c>
      <c r="K82" s="213" t="str">
        <f t="shared" si="60"/>
        <v/>
      </c>
      <c r="L82" s="212" t="str">
        <f t="shared" si="61"/>
        <v/>
      </c>
      <c r="M82" s="1125" t="str">
        <f>IF(OR($C82="",$C82=0),"",INDEX(API1DENST,MATCH($C82,'Vessel Gauging Data'!$B$27:$B$56,0),$AA$1))</f>
        <v/>
      </c>
      <c r="N82" s="212" t="str">
        <f t="shared" si="62"/>
        <v/>
      </c>
      <c r="O82" s="1016" t="str">
        <f t="shared" si="63"/>
        <v/>
      </c>
      <c r="P82" s="1125" t="str">
        <f t="shared" si="64"/>
        <v/>
      </c>
      <c r="Q82" s="1016" t="str">
        <f t="shared" si="65"/>
        <v/>
      </c>
      <c r="R82" s="214" t="str">
        <f t="shared" si="66"/>
        <v/>
      </c>
      <c r="S82" s="1125" t="str">
        <f t="shared" si="67"/>
        <v/>
      </c>
      <c r="T82" s="236" t="str">
        <f t="shared" si="68"/>
        <v/>
      </c>
      <c r="V82" s="642" t="e">
        <f>INDEX('Vessel Gauging Data'!$B$26:$V$56,MATCH($C82,'Vessel Gauging Data'!$B$26:$B$56,0),$V$18)</f>
        <v>#N/A</v>
      </c>
      <c r="W82" s="642" t="e">
        <f>INDEX('Vessel Gauging Data'!$B$26:$V$56,MATCH($C82,'Vessel Gauging Data'!$B$26:$B$56,0),$W$18)</f>
        <v>#N/A</v>
      </c>
      <c r="X82" s="642" t="e">
        <f>INDEX('Vessel Gauging Data'!$B$26:$V$56,MATCH($C82,'Vessel Gauging Data'!$B$26:$B$56,0),$X$18)</f>
        <v>#N/A</v>
      </c>
      <c r="Y82" s="642" t="e">
        <f>INDEX('Vessel Gauging Data'!$B$26:$V$56,MATCH($C82,'Vessel Gauging Data'!$B$26:$B$56,0),$Y$18)</f>
        <v>#N/A</v>
      </c>
      <c r="Z82" s="642" t="e">
        <f>INDEX('Vessel Gauging Data'!$B$26:$V$56,MATCH($C82,'Vessel Gauging Data'!$B$26:$B$56,0),$Z$18)</f>
        <v>#N/A</v>
      </c>
      <c r="AB82" s="642" t="e">
        <f>INDEX(API1DENST,MATCH($C82,'Vessel Gauging Data'!$B$27:$B$56,0),1)</f>
        <v>#N/A</v>
      </c>
      <c r="AC82" s="642" t="e">
        <f t="shared" si="17"/>
        <v>#N/A</v>
      </c>
      <c r="AE82" s="661" t="e">
        <f t="shared" si="18"/>
        <v>#VALUE!</v>
      </c>
      <c r="AF82" s="661" t="e">
        <f t="shared" si="19"/>
        <v>#VALUE!</v>
      </c>
      <c r="AH82" s="662" t="str">
        <f t="shared" si="52"/>
        <v/>
      </c>
      <c r="AI82" s="662" t="str">
        <f t="shared" si="53"/>
        <v/>
      </c>
      <c r="AJ82" s="663">
        <f t="shared" si="20"/>
        <v>192.4571</v>
      </c>
      <c r="AK82" s="660">
        <f t="shared" si="21"/>
        <v>0.24379999999999999</v>
      </c>
      <c r="AL82" s="660" t="e">
        <f t="shared" si="22"/>
        <v>#VALUE!</v>
      </c>
      <c r="AM82" s="664" t="e">
        <f t="shared" si="23"/>
        <v>#VALUE!</v>
      </c>
      <c r="AN82" s="664" t="e">
        <f t="shared" si="24"/>
        <v>#VALUE!</v>
      </c>
      <c r="AO82" s="665" t="e">
        <f t="shared" si="25"/>
        <v>#VALUE!</v>
      </c>
      <c r="AP82" s="666" t="e">
        <f t="shared" si="26"/>
        <v>#VALUE!</v>
      </c>
      <c r="AQ82" s="660" t="e">
        <f t="shared" si="27"/>
        <v>#VALUE!</v>
      </c>
      <c r="AR82" s="667" t="e">
        <f t="shared" si="28"/>
        <v>#VALUE!</v>
      </c>
      <c r="AS82" s="667" t="e">
        <f t="shared" si="29"/>
        <v>#VALUE!</v>
      </c>
      <c r="AT82" s="668" t="e">
        <f t="shared" si="30"/>
        <v>#VALUE!</v>
      </c>
      <c r="AU82" s="667" t="e">
        <f t="shared" si="31"/>
        <v>#VALUE!</v>
      </c>
      <c r="AV82" s="669" t="e">
        <f t="shared" si="32"/>
        <v>#VALUE!</v>
      </c>
      <c r="AW82" s="667" t="e">
        <f t="shared" si="33"/>
        <v>#VALUE!</v>
      </c>
      <c r="AX82" s="667" t="e">
        <f t="shared" si="34"/>
        <v>#VALUE!</v>
      </c>
      <c r="AY82" s="660" t="e">
        <f t="shared" si="35"/>
        <v>#VALUE!</v>
      </c>
      <c r="AZ82" s="670" t="e">
        <f t="shared" si="36"/>
        <v>#VALUE!</v>
      </c>
      <c r="BB82" s="662" t="e">
        <f>INDEX('Vessel Gauging Data'!$B$26:$V$56,MATCH($C82,'Vessel Gauging Data'!$B$26:$B$56,0),$BB$18)</f>
        <v>#N/A</v>
      </c>
      <c r="BC82" s="662" t="e">
        <f>INDEX('Vessel Gauging Data'!$B$26:$V$56,MATCH($C82,'Vessel Gauging Data'!$B$26:$B$56,0),$BC$18)</f>
        <v>#N/A</v>
      </c>
      <c r="BD82" s="662" t="e">
        <f>INDEX('Vessel Gauging Data'!$B$26:$V$56,MATCH($C82,'Vessel Gauging Data'!$B$26:$B$56,0),$BD$18)</f>
        <v>#N/A</v>
      </c>
      <c r="BE82" s="662" t="e">
        <f>INDEX('Vessel Gauging Data'!$B$26:$V$56,MATCH($C82,'Vessel Gauging Data'!$B$26:$B$56,0),$BE$18)</f>
        <v>#N/A</v>
      </c>
    </row>
    <row r="83" spans="1:57" hidden="1">
      <c r="A83" s="641" t="str">
        <f t="shared" si="54"/>
        <v>N</v>
      </c>
      <c r="C83" s="235" t="str">
        <f t="array" ref="C83">IF(OR($E$67="",SUMPRODUCT(('Vessel Gauging Data'!$C$27:$C$56=$E$67)*('Vessel Gauging Data'!$D$27:$D$56=NOMY))&lt;ROWS($C$68:$C83)),"",INDEX('Vessel Gauging Data'!$B$27:$B$56,SMALL(IF(('Vessel Gauging Data'!$C$27:$C$56=$E$67)+('Vessel Gauging Data'!$D$27:$D$56=NOMY)=2,ROW('Vessel Gauging Data'!$B$27:$B$56)-ROW('Vessel Gauging Data'!$C$26)),ROW()-ROW(C$67))))</f>
        <v/>
      </c>
      <c r="D83" s="211" t="str">
        <f>IF(OR($C83="",$C83=0),"",INDEX('Vessel Gauging Data'!$B$26:$V$56,MATCH($C83,'Vessel Gauging Data'!$B$27:$B$56,0)+1,2))</f>
        <v/>
      </c>
      <c r="E83" s="1016" t="str">
        <f t="shared" si="55"/>
        <v/>
      </c>
      <c r="F83" s="1016" t="str">
        <f t="shared" si="56"/>
        <v/>
      </c>
      <c r="G83" s="1016" t="str">
        <f t="shared" si="57"/>
        <v/>
      </c>
      <c r="H83" s="1016" t="str">
        <f t="shared" si="57"/>
        <v/>
      </c>
      <c r="I83" s="211" t="str">
        <f t="shared" si="58"/>
        <v/>
      </c>
      <c r="J83" s="1016" t="str">
        <f t="shared" si="59"/>
        <v/>
      </c>
      <c r="K83" s="213" t="str">
        <f t="shared" si="60"/>
        <v/>
      </c>
      <c r="L83" s="212" t="str">
        <f t="shared" si="61"/>
        <v/>
      </c>
      <c r="M83" s="1125" t="str">
        <f>IF(OR($C83="",$C83=0),"",INDEX(API1DENST,MATCH($C83,'Vessel Gauging Data'!$B$27:$B$56,0),$AA$1))</f>
        <v/>
      </c>
      <c r="N83" s="212" t="str">
        <f t="shared" si="62"/>
        <v/>
      </c>
      <c r="O83" s="1016" t="str">
        <f t="shared" si="63"/>
        <v/>
      </c>
      <c r="P83" s="1125" t="str">
        <f t="shared" si="64"/>
        <v/>
      </c>
      <c r="Q83" s="1016" t="str">
        <f t="shared" si="65"/>
        <v/>
      </c>
      <c r="R83" s="214" t="str">
        <f t="shared" si="66"/>
        <v/>
      </c>
      <c r="S83" s="1125" t="str">
        <f t="shared" si="67"/>
        <v/>
      </c>
      <c r="T83" s="236" t="str">
        <f t="shared" si="68"/>
        <v/>
      </c>
      <c r="V83" s="642" t="e">
        <f>INDEX('Vessel Gauging Data'!$B$26:$V$56,MATCH($C83,'Vessel Gauging Data'!$B$26:$B$56,0),$V$18)</f>
        <v>#N/A</v>
      </c>
      <c r="W83" s="642" t="e">
        <f>INDEX('Vessel Gauging Data'!$B$26:$V$56,MATCH($C83,'Vessel Gauging Data'!$B$26:$B$56,0),$W$18)</f>
        <v>#N/A</v>
      </c>
      <c r="X83" s="642" t="e">
        <f>INDEX('Vessel Gauging Data'!$B$26:$V$56,MATCH($C83,'Vessel Gauging Data'!$B$26:$B$56,0),$X$18)</f>
        <v>#N/A</v>
      </c>
      <c r="Y83" s="642" t="e">
        <f>INDEX('Vessel Gauging Data'!$B$26:$V$56,MATCH($C83,'Vessel Gauging Data'!$B$26:$B$56,0),$Y$18)</f>
        <v>#N/A</v>
      </c>
      <c r="Z83" s="642" t="e">
        <f>INDEX('Vessel Gauging Data'!$B$26:$V$56,MATCH($C83,'Vessel Gauging Data'!$B$26:$B$56,0),$Z$18)</f>
        <v>#N/A</v>
      </c>
      <c r="AB83" s="642" t="e">
        <f>INDEX(API1DENST,MATCH($C83,'Vessel Gauging Data'!$B$27:$B$56,0),1)</f>
        <v>#N/A</v>
      </c>
      <c r="AC83" s="642" t="e">
        <f t="shared" si="17"/>
        <v>#N/A</v>
      </c>
      <c r="AE83" s="661" t="e">
        <f t="shared" si="18"/>
        <v>#VALUE!</v>
      </c>
      <c r="AF83" s="661" t="e">
        <f t="shared" si="19"/>
        <v>#VALUE!</v>
      </c>
      <c r="AH83" s="662" t="str">
        <f t="shared" si="52"/>
        <v/>
      </c>
      <c r="AI83" s="662" t="str">
        <f t="shared" si="53"/>
        <v/>
      </c>
      <c r="AJ83" s="663">
        <f t="shared" si="20"/>
        <v>192.4571</v>
      </c>
      <c r="AK83" s="660">
        <f t="shared" si="21"/>
        <v>0.24379999999999999</v>
      </c>
      <c r="AL83" s="660" t="e">
        <f t="shared" si="22"/>
        <v>#VALUE!</v>
      </c>
      <c r="AM83" s="664" t="e">
        <f t="shared" si="23"/>
        <v>#VALUE!</v>
      </c>
      <c r="AN83" s="664" t="e">
        <f t="shared" si="24"/>
        <v>#VALUE!</v>
      </c>
      <c r="AO83" s="665" t="e">
        <f t="shared" si="25"/>
        <v>#VALUE!</v>
      </c>
      <c r="AP83" s="666" t="e">
        <f t="shared" si="26"/>
        <v>#VALUE!</v>
      </c>
      <c r="AQ83" s="660" t="e">
        <f t="shared" si="27"/>
        <v>#VALUE!</v>
      </c>
      <c r="AR83" s="667" t="e">
        <f t="shared" si="28"/>
        <v>#VALUE!</v>
      </c>
      <c r="AS83" s="667" t="e">
        <f t="shared" si="29"/>
        <v>#VALUE!</v>
      </c>
      <c r="AT83" s="668" t="e">
        <f t="shared" si="30"/>
        <v>#VALUE!</v>
      </c>
      <c r="AU83" s="667" t="e">
        <f t="shared" si="31"/>
        <v>#VALUE!</v>
      </c>
      <c r="AV83" s="669" t="e">
        <f t="shared" si="32"/>
        <v>#VALUE!</v>
      </c>
      <c r="AW83" s="667" t="e">
        <f t="shared" si="33"/>
        <v>#VALUE!</v>
      </c>
      <c r="AX83" s="667" t="e">
        <f t="shared" si="34"/>
        <v>#VALUE!</v>
      </c>
      <c r="AY83" s="660" t="e">
        <f t="shared" si="35"/>
        <v>#VALUE!</v>
      </c>
      <c r="AZ83" s="670" t="e">
        <f t="shared" si="36"/>
        <v>#VALUE!</v>
      </c>
      <c r="BB83" s="662" t="e">
        <f>INDEX('Vessel Gauging Data'!$B$26:$V$56,MATCH($C83,'Vessel Gauging Data'!$B$26:$B$56,0),$BB$18)</f>
        <v>#N/A</v>
      </c>
      <c r="BC83" s="662" t="e">
        <f>INDEX('Vessel Gauging Data'!$B$26:$V$56,MATCH($C83,'Vessel Gauging Data'!$B$26:$B$56,0),$BC$18)</f>
        <v>#N/A</v>
      </c>
      <c r="BD83" s="662" t="e">
        <f>INDEX('Vessel Gauging Data'!$B$26:$V$56,MATCH($C83,'Vessel Gauging Data'!$B$26:$B$56,0),$BD$18)</f>
        <v>#N/A</v>
      </c>
      <c r="BE83" s="662" t="e">
        <f>INDEX('Vessel Gauging Data'!$B$26:$V$56,MATCH($C83,'Vessel Gauging Data'!$B$26:$B$56,0),$BE$18)</f>
        <v>#N/A</v>
      </c>
    </row>
    <row r="84" spans="1:57" hidden="1">
      <c r="A84" s="641" t="str">
        <f t="shared" si="54"/>
        <v>N</v>
      </c>
      <c r="C84" s="235" t="str">
        <f t="array" ref="C84">IF(OR($E$67="",SUMPRODUCT(('Vessel Gauging Data'!$C$27:$C$56=$E$67)*('Vessel Gauging Data'!$D$27:$D$56=NOMY))&lt;ROWS($C$68:$C84)),"",INDEX('Vessel Gauging Data'!$B$27:$B$56,SMALL(IF(('Vessel Gauging Data'!$C$27:$C$56=$E$67)+('Vessel Gauging Data'!$D$27:$D$56=NOMY)=2,ROW('Vessel Gauging Data'!$B$27:$B$56)-ROW('Vessel Gauging Data'!$C$26)),ROW()-ROW(C$67))))</f>
        <v/>
      </c>
      <c r="D84" s="211" t="str">
        <f>IF(OR($C84="",$C84=0),"",INDEX('Vessel Gauging Data'!$B$26:$V$56,MATCH($C84,'Vessel Gauging Data'!$B$27:$B$56,0)+1,2))</f>
        <v/>
      </c>
      <c r="E84" s="1016" t="str">
        <f t="shared" si="55"/>
        <v/>
      </c>
      <c r="F84" s="1016" t="str">
        <f t="shared" si="56"/>
        <v/>
      </c>
      <c r="G84" s="1016" t="str">
        <f t="shared" si="57"/>
        <v/>
      </c>
      <c r="H84" s="1016" t="str">
        <f t="shared" si="57"/>
        <v/>
      </c>
      <c r="I84" s="211" t="str">
        <f t="shared" si="58"/>
        <v/>
      </c>
      <c r="J84" s="1016" t="str">
        <f t="shared" si="59"/>
        <v/>
      </c>
      <c r="K84" s="213" t="str">
        <f t="shared" si="60"/>
        <v/>
      </c>
      <c r="L84" s="212" t="str">
        <f t="shared" si="61"/>
        <v/>
      </c>
      <c r="M84" s="1125" t="str">
        <f>IF(OR($C84="",$C84=0),"",INDEX(API1DENST,MATCH($C84,'Vessel Gauging Data'!$B$27:$B$56,0),$AA$1))</f>
        <v/>
      </c>
      <c r="N84" s="212" t="str">
        <f t="shared" si="62"/>
        <v/>
      </c>
      <c r="O84" s="1016" t="str">
        <f t="shared" si="63"/>
        <v/>
      </c>
      <c r="P84" s="1125" t="str">
        <f t="shared" si="64"/>
        <v/>
      </c>
      <c r="Q84" s="1016" t="str">
        <f t="shared" si="65"/>
        <v/>
      </c>
      <c r="R84" s="214" t="str">
        <f t="shared" si="66"/>
        <v/>
      </c>
      <c r="S84" s="1125" t="str">
        <f t="shared" si="67"/>
        <v/>
      </c>
      <c r="T84" s="236" t="str">
        <f t="shared" si="68"/>
        <v/>
      </c>
      <c r="V84" s="642" t="e">
        <f>INDEX('Vessel Gauging Data'!$B$26:$V$56,MATCH($C84,'Vessel Gauging Data'!$B$26:$B$56,0),$V$18)</f>
        <v>#N/A</v>
      </c>
      <c r="W84" s="642" t="e">
        <f>INDEX('Vessel Gauging Data'!$B$26:$V$56,MATCH($C84,'Vessel Gauging Data'!$B$26:$B$56,0),$W$18)</f>
        <v>#N/A</v>
      </c>
      <c r="X84" s="642" t="e">
        <f>INDEX('Vessel Gauging Data'!$B$26:$V$56,MATCH($C84,'Vessel Gauging Data'!$B$26:$B$56,0),$X$18)</f>
        <v>#N/A</v>
      </c>
      <c r="Y84" s="642" t="e">
        <f>INDEX('Vessel Gauging Data'!$B$26:$V$56,MATCH($C84,'Vessel Gauging Data'!$B$26:$B$56,0),$Y$18)</f>
        <v>#N/A</v>
      </c>
      <c r="Z84" s="642" t="e">
        <f>INDEX('Vessel Gauging Data'!$B$26:$V$56,MATCH($C84,'Vessel Gauging Data'!$B$26:$B$56,0),$Z$18)</f>
        <v>#N/A</v>
      </c>
      <c r="AB84" s="642" t="e">
        <f>INDEX(API1DENST,MATCH($C84,'Vessel Gauging Data'!$B$27:$B$56,0),1)</f>
        <v>#N/A</v>
      </c>
      <c r="AC84" s="642" t="e">
        <f t="shared" si="17"/>
        <v>#N/A</v>
      </c>
      <c r="AE84" s="661" t="e">
        <f t="shared" si="18"/>
        <v>#VALUE!</v>
      </c>
      <c r="AF84" s="661" t="e">
        <f t="shared" si="19"/>
        <v>#VALUE!</v>
      </c>
      <c r="AH84" s="662" t="str">
        <f t="shared" si="52"/>
        <v/>
      </c>
      <c r="AI84" s="662" t="str">
        <f t="shared" si="53"/>
        <v/>
      </c>
      <c r="AJ84" s="663">
        <f t="shared" si="20"/>
        <v>192.4571</v>
      </c>
      <c r="AK84" s="660">
        <f t="shared" si="21"/>
        <v>0.24379999999999999</v>
      </c>
      <c r="AL84" s="660" t="e">
        <f t="shared" si="22"/>
        <v>#VALUE!</v>
      </c>
      <c r="AM84" s="664" t="e">
        <f t="shared" si="23"/>
        <v>#VALUE!</v>
      </c>
      <c r="AN84" s="664" t="e">
        <f t="shared" si="24"/>
        <v>#VALUE!</v>
      </c>
      <c r="AO84" s="665" t="e">
        <f t="shared" si="25"/>
        <v>#VALUE!</v>
      </c>
      <c r="AP84" s="666" t="e">
        <f t="shared" si="26"/>
        <v>#VALUE!</v>
      </c>
      <c r="AQ84" s="660" t="e">
        <f t="shared" si="27"/>
        <v>#VALUE!</v>
      </c>
      <c r="AR84" s="667" t="e">
        <f t="shared" si="28"/>
        <v>#VALUE!</v>
      </c>
      <c r="AS84" s="667" t="e">
        <f t="shared" si="29"/>
        <v>#VALUE!</v>
      </c>
      <c r="AT84" s="668" t="e">
        <f t="shared" si="30"/>
        <v>#VALUE!</v>
      </c>
      <c r="AU84" s="667" t="e">
        <f t="shared" si="31"/>
        <v>#VALUE!</v>
      </c>
      <c r="AV84" s="669" t="e">
        <f t="shared" si="32"/>
        <v>#VALUE!</v>
      </c>
      <c r="AW84" s="667" t="e">
        <f t="shared" si="33"/>
        <v>#VALUE!</v>
      </c>
      <c r="AX84" s="667" t="e">
        <f t="shared" si="34"/>
        <v>#VALUE!</v>
      </c>
      <c r="AY84" s="660" t="e">
        <f t="shared" si="35"/>
        <v>#VALUE!</v>
      </c>
      <c r="AZ84" s="670" t="e">
        <f t="shared" si="36"/>
        <v>#VALUE!</v>
      </c>
      <c r="BB84" s="662" t="e">
        <f>INDEX('Vessel Gauging Data'!$B$26:$V$56,MATCH($C84,'Vessel Gauging Data'!$B$26:$B$56,0),$BB$18)</f>
        <v>#N/A</v>
      </c>
      <c r="BC84" s="662" t="e">
        <f>INDEX('Vessel Gauging Data'!$B$26:$V$56,MATCH($C84,'Vessel Gauging Data'!$B$26:$B$56,0),$BC$18)</f>
        <v>#N/A</v>
      </c>
      <c r="BD84" s="662" t="e">
        <f>INDEX('Vessel Gauging Data'!$B$26:$V$56,MATCH($C84,'Vessel Gauging Data'!$B$26:$B$56,0),$BD$18)</f>
        <v>#N/A</v>
      </c>
      <c r="BE84" s="662" t="e">
        <f>INDEX('Vessel Gauging Data'!$B$26:$V$56,MATCH($C84,'Vessel Gauging Data'!$B$26:$B$56,0),$BE$18)</f>
        <v>#N/A</v>
      </c>
    </row>
    <row r="85" spans="1:57" hidden="1">
      <c r="A85" s="641" t="str">
        <f t="shared" si="54"/>
        <v>N</v>
      </c>
      <c r="C85" s="235" t="str">
        <f t="array" ref="C85">IF(OR($E$67="",SUMPRODUCT(('Vessel Gauging Data'!$C$27:$C$56=$E$67)*('Vessel Gauging Data'!$D$27:$D$56=NOMY))&lt;ROWS($C$68:$C85)),"",INDEX('Vessel Gauging Data'!$B$27:$B$56,SMALL(IF(('Vessel Gauging Data'!$C$27:$C$56=$E$67)+('Vessel Gauging Data'!$D$27:$D$56=NOMY)=2,ROW('Vessel Gauging Data'!$B$27:$B$56)-ROW('Vessel Gauging Data'!$C$26)),ROW()-ROW(C$67))))</f>
        <v/>
      </c>
      <c r="D85" s="211" t="str">
        <f>IF(OR($C85="",$C85=0),"",INDEX('Vessel Gauging Data'!$B$26:$V$56,MATCH($C85,'Vessel Gauging Data'!$B$27:$B$56,0)+1,2))</f>
        <v/>
      </c>
      <c r="E85" s="1016" t="str">
        <f t="shared" si="55"/>
        <v/>
      </c>
      <c r="F85" s="1016" t="str">
        <f t="shared" si="56"/>
        <v/>
      </c>
      <c r="G85" s="1016" t="str">
        <f t="shared" si="57"/>
        <v/>
      </c>
      <c r="H85" s="1016" t="str">
        <f t="shared" si="57"/>
        <v/>
      </c>
      <c r="I85" s="211" t="str">
        <f t="shared" si="58"/>
        <v/>
      </c>
      <c r="J85" s="1016" t="str">
        <f t="shared" si="59"/>
        <v/>
      </c>
      <c r="K85" s="213" t="str">
        <f t="shared" si="60"/>
        <v/>
      </c>
      <c r="L85" s="212" t="str">
        <f t="shared" si="61"/>
        <v/>
      </c>
      <c r="M85" s="1125" t="str">
        <f>IF(OR($C85="",$C85=0),"",INDEX(API1DENST,MATCH($C85,'Vessel Gauging Data'!$B$27:$B$56,0),$AA$1))</f>
        <v/>
      </c>
      <c r="N85" s="212" t="str">
        <f t="shared" si="62"/>
        <v/>
      </c>
      <c r="O85" s="1016" t="str">
        <f t="shared" si="63"/>
        <v/>
      </c>
      <c r="P85" s="1125" t="str">
        <f t="shared" si="64"/>
        <v/>
      </c>
      <c r="Q85" s="1016" t="str">
        <f t="shared" si="65"/>
        <v/>
      </c>
      <c r="R85" s="214" t="str">
        <f t="shared" si="66"/>
        <v/>
      </c>
      <c r="S85" s="1125" t="str">
        <f t="shared" si="67"/>
        <v/>
      </c>
      <c r="T85" s="236" t="str">
        <f t="shared" si="68"/>
        <v/>
      </c>
      <c r="V85" s="642" t="e">
        <f>INDEX('Vessel Gauging Data'!$B$26:$V$56,MATCH($C85,'Vessel Gauging Data'!$B$26:$B$56,0),$V$18)</f>
        <v>#N/A</v>
      </c>
      <c r="W85" s="642" t="e">
        <f>INDEX('Vessel Gauging Data'!$B$26:$V$56,MATCH($C85,'Vessel Gauging Data'!$B$26:$B$56,0),$W$18)</f>
        <v>#N/A</v>
      </c>
      <c r="X85" s="642" t="e">
        <f>INDEX('Vessel Gauging Data'!$B$26:$V$56,MATCH($C85,'Vessel Gauging Data'!$B$26:$B$56,0),$X$18)</f>
        <v>#N/A</v>
      </c>
      <c r="Y85" s="642" t="e">
        <f>INDEX('Vessel Gauging Data'!$B$26:$V$56,MATCH($C85,'Vessel Gauging Data'!$B$26:$B$56,0),$Y$18)</f>
        <v>#N/A</v>
      </c>
      <c r="Z85" s="642" t="e">
        <f>INDEX('Vessel Gauging Data'!$B$26:$V$56,MATCH($C85,'Vessel Gauging Data'!$B$26:$B$56,0),$Z$18)</f>
        <v>#N/A</v>
      </c>
      <c r="AB85" s="642" t="e">
        <f>INDEX(API1DENST,MATCH($C85,'Vessel Gauging Data'!$B$27:$B$56,0),1)</f>
        <v>#N/A</v>
      </c>
      <c r="AC85" s="642" t="e">
        <f t="shared" si="17"/>
        <v>#N/A</v>
      </c>
      <c r="AE85" s="661" t="e">
        <f t="shared" si="18"/>
        <v>#VALUE!</v>
      </c>
      <c r="AF85" s="661" t="e">
        <f t="shared" si="19"/>
        <v>#VALUE!</v>
      </c>
      <c r="AH85" s="662" t="str">
        <f t="shared" si="52"/>
        <v/>
      </c>
      <c r="AI85" s="662" t="str">
        <f t="shared" si="53"/>
        <v/>
      </c>
      <c r="AJ85" s="663">
        <f t="shared" si="20"/>
        <v>192.4571</v>
      </c>
      <c r="AK85" s="660">
        <f t="shared" si="21"/>
        <v>0.24379999999999999</v>
      </c>
      <c r="AL85" s="660" t="e">
        <f t="shared" si="22"/>
        <v>#VALUE!</v>
      </c>
      <c r="AM85" s="664" t="e">
        <f t="shared" si="23"/>
        <v>#VALUE!</v>
      </c>
      <c r="AN85" s="664" t="e">
        <f t="shared" si="24"/>
        <v>#VALUE!</v>
      </c>
      <c r="AO85" s="665" t="e">
        <f t="shared" si="25"/>
        <v>#VALUE!</v>
      </c>
      <c r="AP85" s="666" t="e">
        <f t="shared" si="26"/>
        <v>#VALUE!</v>
      </c>
      <c r="AQ85" s="660" t="e">
        <f t="shared" si="27"/>
        <v>#VALUE!</v>
      </c>
      <c r="AR85" s="667" t="e">
        <f t="shared" si="28"/>
        <v>#VALUE!</v>
      </c>
      <c r="AS85" s="667" t="e">
        <f t="shared" si="29"/>
        <v>#VALUE!</v>
      </c>
      <c r="AT85" s="668" t="e">
        <f t="shared" si="30"/>
        <v>#VALUE!</v>
      </c>
      <c r="AU85" s="667" t="e">
        <f t="shared" si="31"/>
        <v>#VALUE!</v>
      </c>
      <c r="AV85" s="669" t="e">
        <f t="shared" si="32"/>
        <v>#VALUE!</v>
      </c>
      <c r="AW85" s="667" t="e">
        <f t="shared" si="33"/>
        <v>#VALUE!</v>
      </c>
      <c r="AX85" s="667" t="e">
        <f t="shared" si="34"/>
        <v>#VALUE!</v>
      </c>
      <c r="AY85" s="660" t="e">
        <f t="shared" si="35"/>
        <v>#VALUE!</v>
      </c>
      <c r="AZ85" s="670" t="e">
        <f t="shared" si="36"/>
        <v>#VALUE!</v>
      </c>
      <c r="BB85" s="662" t="e">
        <f>INDEX('Vessel Gauging Data'!$B$26:$V$56,MATCH($C85,'Vessel Gauging Data'!$B$26:$B$56,0),$BB$18)</f>
        <v>#N/A</v>
      </c>
      <c r="BC85" s="662" t="e">
        <f>INDEX('Vessel Gauging Data'!$B$26:$V$56,MATCH($C85,'Vessel Gauging Data'!$B$26:$B$56,0),$BC$18)</f>
        <v>#N/A</v>
      </c>
      <c r="BD85" s="662" t="e">
        <f>INDEX('Vessel Gauging Data'!$B$26:$V$56,MATCH($C85,'Vessel Gauging Data'!$B$26:$B$56,0),$BD$18)</f>
        <v>#N/A</v>
      </c>
      <c r="BE85" s="662" t="e">
        <f>INDEX('Vessel Gauging Data'!$B$26:$V$56,MATCH($C85,'Vessel Gauging Data'!$B$26:$B$56,0),$BE$18)</f>
        <v>#N/A</v>
      </c>
    </row>
    <row r="86" spans="1:57" hidden="1">
      <c r="A86" s="641" t="str">
        <f t="shared" si="54"/>
        <v>N</v>
      </c>
      <c r="C86" s="235" t="str">
        <f t="array" ref="C86">IF(OR($E$67="",SUMPRODUCT(('Vessel Gauging Data'!$C$27:$C$56=$E$67)*('Vessel Gauging Data'!$D$27:$D$56=NOMY))&lt;ROWS($C$68:$C86)),"",INDEX('Vessel Gauging Data'!$B$27:$B$56,SMALL(IF(('Vessel Gauging Data'!$C$27:$C$56=$E$67)+('Vessel Gauging Data'!$D$27:$D$56=NOMY)=2,ROW('Vessel Gauging Data'!$B$27:$B$56)-ROW('Vessel Gauging Data'!$C$26)),ROW()-ROW(C$67))))</f>
        <v/>
      </c>
      <c r="D86" s="211" t="str">
        <f>IF(OR($C86="",$C86=0),"",INDEX('Vessel Gauging Data'!$B$26:$V$56,MATCH($C86,'Vessel Gauging Data'!$B$27:$B$56,0)+1,2))</f>
        <v/>
      </c>
      <c r="E86" s="1016" t="str">
        <f t="shared" si="55"/>
        <v/>
      </c>
      <c r="F86" s="1016" t="str">
        <f t="shared" si="56"/>
        <v/>
      </c>
      <c r="G86" s="1016" t="str">
        <f t="shared" si="57"/>
        <v/>
      </c>
      <c r="H86" s="1016" t="str">
        <f t="shared" si="57"/>
        <v/>
      </c>
      <c r="I86" s="211" t="str">
        <f t="shared" si="58"/>
        <v/>
      </c>
      <c r="J86" s="1016" t="str">
        <f t="shared" si="59"/>
        <v/>
      </c>
      <c r="K86" s="213" t="str">
        <f t="shared" si="60"/>
        <v/>
      </c>
      <c r="L86" s="212" t="str">
        <f t="shared" si="61"/>
        <v/>
      </c>
      <c r="M86" s="1125" t="str">
        <f>IF(OR($C86="",$C86=0),"",INDEX(API1DENST,MATCH($C86,'Vessel Gauging Data'!$B$27:$B$56,0),$AA$1))</f>
        <v/>
      </c>
      <c r="N86" s="212" t="str">
        <f t="shared" si="62"/>
        <v/>
      </c>
      <c r="O86" s="1016" t="str">
        <f t="shared" si="63"/>
        <v/>
      </c>
      <c r="P86" s="1125" t="str">
        <f t="shared" si="64"/>
        <v/>
      </c>
      <c r="Q86" s="1016" t="str">
        <f t="shared" si="65"/>
        <v/>
      </c>
      <c r="R86" s="214" t="str">
        <f t="shared" si="66"/>
        <v/>
      </c>
      <c r="S86" s="1125" t="str">
        <f t="shared" si="67"/>
        <v/>
      </c>
      <c r="T86" s="236" t="str">
        <f t="shared" si="68"/>
        <v/>
      </c>
      <c r="V86" s="642" t="e">
        <f>INDEX('Vessel Gauging Data'!$B$26:$V$56,MATCH($C86,'Vessel Gauging Data'!$B$26:$B$56,0),$V$18)</f>
        <v>#N/A</v>
      </c>
      <c r="W86" s="642" t="e">
        <f>INDEX('Vessel Gauging Data'!$B$26:$V$56,MATCH($C86,'Vessel Gauging Data'!$B$26:$B$56,0),$W$18)</f>
        <v>#N/A</v>
      </c>
      <c r="X86" s="642" t="e">
        <f>INDEX('Vessel Gauging Data'!$B$26:$V$56,MATCH($C86,'Vessel Gauging Data'!$B$26:$B$56,0),$X$18)</f>
        <v>#N/A</v>
      </c>
      <c r="Y86" s="642" t="e">
        <f>INDEX('Vessel Gauging Data'!$B$26:$V$56,MATCH($C86,'Vessel Gauging Data'!$B$26:$B$56,0),$Y$18)</f>
        <v>#N/A</v>
      </c>
      <c r="Z86" s="642" t="e">
        <f>INDEX('Vessel Gauging Data'!$B$26:$V$56,MATCH($C86,'Vessel Gauging Data'!$B$26:$B$56,0),$Z$18)</f>
        <v>#N/A</v>
      </c>
      <c r="AB86" s="642" t="e">
        <f>INDEX(API1DENST,MATCH($C86,'Vessel Gauging Data'!$B$27:$B$56,0),1)</f>
        <v>#N/A</v>
      </c>
      <c r="AC86" s="642" t="e">
        <f t="shared" si="17"/>
        <v>#N/A</v>
      </c>
      <c r="AE86" s="661" t="e">
        <f t="shared" si="18"/>
        <v>#VALUE!</v>
      </c>
      <c r="AF86" s="661" t="e">
        <f t="shared" si="19"/>
        <v>#VALUE!</v>
      </c>
      <c r="AH86" s="662" t="str">
        <f t="shared" si="52"/>
        <v/>
      </c>
      <c r="AI86" s="662" t="str">
        <f t="shared" si="53"/>
        <v/>
      </c>
      <c r="AJ86" s="663">
        <f t="shared" si="20"/>
        <v>192.4571</v>
      </c>
      <c r="AK86" s="660">
        <f t="shared" si="21"/>
        <v>0.24379999999999999</v>
      </c>
      <c r="AL86" s="660" t="e">
        <f t="shared" si="22"/>
        <v>#VALUE!</v>
      </c>
      <c r="AM86" s="664" t="e">
        <f t="shared" si="23"/>
        <v>#VALUE!</v>
      </c>
      <c r="AN86" s="664" t="e">
        <f t="shared" si="24"/>
        <v>#VALUE!</v>
      </c>
      <c r="AO86" s="665" t="e">
        <f t="shared" si="25"/>
        <v>#VALUE!</v>
      </c>
      <c r="AP86" s="666" t="e">
        <f t="shared" si="26"/>
        <v>#VALUE!</v>
      </c>
      <c r="AQ86" s="660" t="e">
        <f t="shared" si="27"/>
        <v>#VALUE!</v>
      </c>
      <c r="AR86" s="667" t="e">
        <f t="shared" si="28"/>
        <v>#VALUE!</v>
      </c>
      <c r="AS86" s="667" t="e">
        <f t="shared" si="29"/>
        <v>#VALUE!</v>
      </c>
      <c r="AT86" s="668" t="e">
        <f t="shared" si="30"/>
        <v>#VALUE!</v>
      </c>
      <c r="AU86" s="667" t="e">
        <f t="shared" si="31"/>
        <v>#VALUE!</v>
      </c>
      <c r="AV86" s="669" t="e">
        <f t="shared" si="32"/>
        <v>#VALUE!</v>
      </c>
      <c r="AW86" s="667" t="e">
        <f t="shared" si="33"/>
        <v>#VALUE!</v>
      </c>
      <c r="AX86" s="667" t="e">
        <f t="shared" si="34"/>
        <v>#VALUE!</v>
      </c>
      <c r="AY86" s="660" t="e">
        <f t="shared" si="35"/>
        <v>#VALUE!</v>
      </c>
      <c r="AZ86" s="670" t="e">
        <f t="shared" si="36"/>
        <v>#VALUE!</v>
      </c>
      <c r="BB86" s="662" t="e">
        <f>INDEX('Vessel Gauging Data'!$B$26:$V$56,MATCH($C86,'Vessel Gauging Data'!$B$26:$B$56,0),$BB$18)</f>
        <v>#N/A</v>
      </c>
      <c r="BC86" s="662" t="e">
        <f>INDEX('Vessel Gauging Data'!$B$26:$V$56,MATCH($C86,'Vessel Gauging Data'!$B$26:$B$56,0),$BC$18)</f>
        <v>#N/A</v>
      </c>
      <c r="BD86" s="662" t="e">
        <f>INDEX('Vessel Gauging Data'!$B$26:$V$56,MATCH($C86,'Vessel Gauging Data'!$B$26:$B$56,0),$BD$18)</f>
        <v>#N/A</v>
      </c>
      <c r="BE86" s="662" t="e">
        <f>INDEX('Vessel Gauging Data'!$B$26:$V$56,MATCH($C86,'Vessel Gauging Data'!$B$26:$B$56,0),$BE$18)</f>
        <v>#N/A</v>
      </c>
    </row>
    <row r="87" spans="1:57" hidden="1">
      <c r="A87" s="641" t="str">
        <f t="shared" si="54"/>
        <v>N</v>
      </c>
      <c r="C87" s="237" t="str">
        <f t="array" ref="C87">IF(OR($E$67="",SUMPRODUCT(('Vessel Gauging Data'!$C$27:$C$56=$E$67)*('Vessel Gauging Data'!$D$27:$D$56=NOMY))&lt;ROWS($C$68:$C87)),"",INDEX('Vessel Gauging Data'!$B$27:$B$56,SMALL(IF(('Vessel Gauging Data'!$C$27:$C$56=$E$67)+('Vessel Gauging Data'!$D$27:$D$56=NOMY)=2,ROW('Vessel Gauging Data'!$B$27:$B$56)-ROW('Vessel Gauging Data'!$C$26)),ROW()-ROW(C$67))))</f>
        <v/>
      </c>
      <c r="D87" s="238" t="str">
        <f>IF(OR($C87="",$C87=0),"",INDEX('Vessel Gauging Data'!$B$26:$V$56,MATCH($C87,'Vessel Gauging Data'!$B$27:$B$56,0)+1,2))</f>
        <v/>
      </c>
      <c r="E87" s="1017" t="str">
        <f t="shared" si="55"/>
        <v/>
      </c>
      <c r="F87" s="1017" t="str">
        <f t="shared" si="56"/>
        <v/>
      </c>
      <c r="G87" s="1017" t="str">
        <f t="shared" si="57"/>
        <v/>
      </c>
      <c r="H87" s="1017" t="str">
        <f t="shared" si="57"/>
        <v/>
      </c>
      <c r="I87" s="238" t="str">
        <f t="shared" si="58"/>
        <v/>
      </c>
      <c r="J87" s="1017" t="str">
        <f t="shared" si="59"/>
        <v/>
      </c>
      <c r="K87" s="240" t="str">
        <f t="shared" si="60"/>
        <v/>
      </c>
      <c r="L87" s="239" t="str">
        <f t="shared" si="61"/>
        <v/>
      </c>
      <c r="M87" s="1126" t="str">
        <f>IF(OR($C87="",$C87=0),"",INDEX(API1DENST,MATCH($C87,'Vessel Gauging Data'!$B$27:$B$56,0),$AA$1))</f>
        <v/>
      </c>
      <c r="N87" s="239" t="str">
        <f t="shared" si="62"/>
        <v/>
      </c>
      <c r="O87" s="1017" t="str">
        <f t="shared" si="63"/>
        <v/>
      </c>
      <c r="P87" s="1126" t="str">
        <f t="shared" si="64"/>
        <v/>
      </c>
      <c r="Q87" s="1017" t="str">
        <f t="shared" si="65"/>
        <v/>
      </c>
      <c r="R87" s="241" t="str">
        <f t="shared" si="66"/>
        <v/>
      </c>
      <c r="S87" s="1126" t="str">
        <f t="shared" si="67"/>
        <v/>
      </c>
      <c r="T87" s="242" t="str">
        <f t="shared" si="68"/>
        <v/>
      </c>
      <c r="V87" s="642" t="e">
        <f>INDEX('Vessel Gauging Data'!$B$26:$V$56,MATCH($C87,'Vessel Gauging Data'!$B$26:$B$56,0),$V$18)</f>
        <v>#N/A</v>
      </c>
      <c r="W87" s="642" t="e">
        <f>INDEX('Vessel Gauging Data'!$B$26:$V$56,MATCH($C87,'Vessel Gauging Data'!$B$26:$B$56,0),$W$18)</f>
        <v>#N/A</v>
      </c>
      <c r="X87" s="642" t="e">
        <f>INDEX('Vessel Gauging Data'!$B$26:$V$56,MATCH($C87,'Vessel Gauging Data'!$B$26:$B$56,0),$X$18)</f>
        <v>#N/A</v>
      </c>
      <c r="Y87" s="642" t="e">
        <f>INDEX('Vessel Gauging Data'!$B$26:$V$56,MATCH($C87,'Vessel Gauging Data'!$B$26:$B$56,0),$Y$18)</f>
        <v>#N/A</v>
      </c>
      <c r="Z87" s="642" t="e">
        <f>INDEX('Vessel Gauging Data'!$B$26:$V$56,MATCH($C87,'Vessel Gauging Data'!$B$26:$B$56,0),$Z$18)</f>
        <v>#N/A</v>
      </c>
      <c r="AB87" s="642" t="e">
        <f>INDEX(API1DENST,MATCH($C87,'Vessel Gauging Data'!$B$27:$B$56,0),1)</f>
        <v>#N/A</v>
      </c>
      <c r="AC87" s="642" t="e">
        <f t="shared" si="17"/>
        <v>#N/A</v>
      </c>
      <c r="AE87" s="661" t="e">
        <f t="shared" si="18"/>
        <v>#VALUE!</v>
      </c>
      <c r="AF87" s="661" t="e">
        <f t="shared" si="19"/>
        <v>#VALUE!</v>
      </c>
      <c r="AH87" s="662" t="str">
        <f t="shared" si="52"/>
        <v/>
      </c>
      <c r="AI87" s="662" t="str">
        <f t="shared" si="53"/>
        <v/>
      </c>
      <c r="AJ87" s="663">
        <f t="shared" si="20"/>
        <v>192.4571</v>
      </c>
      <c r="AK87" s="660">
        <f t="shared" si="21"/>
        <v>0.24379999999999999</v>
      </c>
      <c r="AL87" s="660" t="e">
        <f t="shared" si="22"/>
        <v>#VALUE!</v>
      </c>
      <c r="AM87" s="664" t="e">
        <f t="shared" si="23"/>
        <v>#VALUE!</v>
      </c>
      <c r="AN87" s="664" t="e">
        <f t="shared" si="24"/>
        <v>#VALUE!</v>
      </c>
      <c r="AO87" s="665" t="e">
        <f t="shared" si="25"/>
        <v>#VALUE!</v>
      </c>
      <c r="AP87" s="666" t="e">
        <f t="shared" si="26"/>
        <v>#VALUE!</v>
      </c>
      <c r="AQ87" s="660" t="e">
        <f t="shared" si="27"/>
        <v>#VALUE!</v>
      </c>
      <c r="AR87" s="667" t="e">
        <f t="shared" si="28"/>
        <v>#VALUE!</v>
      </c>
      <c r="AS87" s="667" t="e">
        <f t="shared" si="29"/>
        <v>#VALUE!</v>
      </c>
      <c r="AT87" s="668" t="e">
        <f t="shared" si="30"/>
        <v>#VALUE!</v>
      </c>
      <c r="AU87" s="667" t="e">
        <f t="shared" si="31"/>
        <v>#VALUE!</v>
      </c>
      <c r="AV87" s="669" t="e">
        <f t="shared" si="32"/>
        <v>#VALUE!</v>
      </c>
      <c r="AW87" s="667" t="e">
        <f t="shared" si="33"/>
        <v>#VALUE!</v>
      </c>
      <c r="AX87" s="667" t="e">
        <f t="shared" si="34"/>
        <v>#VALUE!</v>
      </c>
      <c r="AY87" s="660" t="e">
        <f t="shared" si="35"/>
        <v>#VALUE!</v>
      </c>
      <c r="AZ87" s="670" t="e">
        <f t="shared" si="36"/>
        <v>#VALUE!</v>
      </c>
      <c r="BB87" s="662" t="e">
        <f>INDEX('Vessel Gauging Data'!$B$26:$V$56,MATCH($C87,'Vessel Gauging Data'!$B$26:$B$56,0),$BB$18)</f>
        <v>#N/A</v>
      </c>
      <c r="BC87" s="662" t="e">
        <f>INDEX('Vessel Gauging Data'!$B$26:$V$56,MATCH($C87,'Vessel Gauging Data'!$B$26:$B$56,0),$BC$18)</f>
        <v>#N/A</v>
      </c>
      <c r="BD87" s="662" t="e">
        <f>INDEX('Vessel Gauging Data'!$B$26:$V$56,MATCH($C87,'Vessel Gauging Data'!$B$26:$B$56,0),$BD$18)</f>
        <v>#N/A</v>
      </c>
      <c r="BE87" s="662" t="e">
        <f>INDEX('Vessel Gauging Data'!$B$26:$V$56,MATCH($C87,'Vessel Gauging Data'!$B$26:$B$56,0),$BE$18)</f>
        <v>#N/A</v>
      </c>
    </row>
    <row r="88" spans="1:57" hidden="1">
      <c r="A88" s="641" t="str">
        <f>A67</f>
        <v>N</v>
      </c>
      <c r="C88" s="671"/>
      <c r="D88" s="671"/>
      <c r="E88" s="672"/>
      <c r="F88" s="672"/>
      <c r="G88" s="672"/>
      <c r="H88" s="1501"/>
      <c r="I88" s="671"/>
      <c r="J88" s="672"/>
      <c r="K88" s="673"/>
      <c r="L88" s="672"/>
      <c r="M88" s="674"/>
      <c r="N88" s="672"/>
      <c r="O88" s="672"/>
      <c r="P88" s="1127"/>
      <c r="Q88" s="672"/>
      <c r="R88" s="675"/>
      <c r="S88" s="1137" t="s">
        <v>401</v>
      </c>
      <c r="T88" s="619">
        <f>SUM(T68:T87)</f>
        <v>0</v>
      </c>
      <c r="V88" s="719"/>
      <c r="W88" s="719"/>
      <c r="X88" s="719"/>
      <c r="Y88" s="719"/>
      <c r="Z88" s="719"/>
      <c r="AA88" s="676"/>
      <c r="AB88" s="719"/>
      <c r="AC88" s="719"/>
      <c r="AD88" s="676"/>
      <c r="AE88" s="720"/>
      <c r="AF88" s="720"/>
      <c r="AG88" s="676"/>
      <c r="AH88" s="721"/>
      <c r="AI88" s="721"/>
      <c r="AJ88" s="722"/>
      <c r="AK88" s="723"/>
      <c r="AL88" s="723"/>
      <c r="AM88" s="724"/>
      <c r="AN88" s="724"/>
      <c r="AO88" s="725"/>
      <c r="AP88" s="726"/>
      <c r="AQ88" s="723"/>
      <c r="AR88" s="727"/>
      <c r="AS88" s="727"/>
      <c r="AT88" s="728"/>
      <c r="AU88" s="727"/>
      <c r="AV88" s="729"/>
      <c r="AW88" s="727"/>
      <c r="AX88" s="727"/>
      <c r="AY88" s="723"/>
      <c r="AZ88" s="730"/>
      <c r="BA88" s="676"/>
      <c r="BB88" s="721"/>
      <c r="BC88" s="721"/>
      <c r="BD88" s="721"/>
      <c r="BE88" s="721"/>
    </row>
    <row r="89" spans="1:57" s="702" customFormat="1" ht="5.25" hidden="1">
      <c r="A89" s="702" t="str">
        <f>IF(A90="N",A90,IF(COUNTIF($A$21:$A87,"Y")&gt;0,A90,"N"))</f>
        <v>N</v>
      </c>
      <c r="C89" s="704"/>
      <c r="D89" s="704"/>
      <c r="E89" s="704"/>
      <c r="F89" s="704"/>
      <c r="G89" s="704"/>
      <c r="H89" s="704"/>
      <c r="I89" s="704"/>
      <c r="J89" s="705"/>
      <c r="K89" s="705"/>
      <c r="L89" s="705"/>
      <c r="M89" s="705"/>
      <c r="N89" s="705"/>
      <c r="O89" s="705"/>
      <c r="P89" s="1128"/>
      <c r="Q89" s="705"/>
      <c r="R89" s="705"/>
      <c r="S89" s="1136"/>
      <c r="T89" s="706"/>
      <c r="V89" s="707"/>
      <c r="W89" s="707"/>
      <c r="X89" s="707"/>
      <c r="Y89" s="707"/>
      <c r="Z89" s="707"/>
      <c r="AA89" s="707"/>
      <c r="AB89" s="707"/>
      <c r="AC89" s="707"/>
      <c r="AD89" s="707"/>
      <c r="AE89" s="708"/>
      <c r="AF89" s="708"/>
      <c r="AG89" s="707"/>
      <c r="AH89" s="709"/>
      <c r="AI89" s="709"/>
      <c r="AJ89" s="710"/>
      <c r="AK89" s="711"/>
      <c r="AL89" s="711"/>
      <c r="AM89" s="712"/>
      <c r="AN89" s="712"/>
      <c r="AO89" s="713"/>
      <c r="AP89" s="714"/>
      <c r="AQ89" s="711"/>
      <c r="AR89" s="715"/>
      <c r="AS89" s="715"/>
      <c r="AT89" s="716"/>
      <c r="AU89" s="715"/>
      <c r="AV89" s="717"/>
      <c r="AW89" s="715"/>
      <c r="AX89" s="715"/>
      <c r="AY89" s="711"/>
      <c r="AZ89" s="718"/>
      <c r="BA89" s="707"/>
      <c r="BB89" s="709"/>
      <c r="BC89" s="709"/>
      <c r="BD89" s="709"/>
      <c r="BE89" s="709"/>
    </row>
    <row r="90" spans="1:57" ht="15.75" hidden="1">
      <c r="A90" s="641" t="str">
        <f>A91</f>
        <v>N</v>
      </c>
      <c r="B90" s="641">
        <v>4</v>
      </c>
      <c r="C90" s="2797" t="s">
        <v>163</v>
      </c>
      <c r="D90" s="2798"/>
      <c r="E90" s="2799" t="str">
        <f>'Preliminary Report'!H1</f>
        <v>LSMDO</v>
      </c>
      <c r="F90" s="2800"/>
      <c r="G90" s="2800"/>
      <c r="H90" s="2800"/>
      <c r="I90" s="2801"/>
      <c r="J90" s="698"/>
      <c r="K90" s="699"/>
      <c r="L90" s="700"/>
      <c r="M90" s="699"/>
      <c r="N90" s="699"/>
      <c r="O90" s="700"/>
      <c r="P90" s="1129"/>
      <c r="Q90" s="700"/>
      <c r="R90" s="701"/>
      <c r="S90" s="1129"/>
      <c r="T90" s="701"/>
      <c r="V90" s="731"/>
      <c r="W90" s="731"/>
      <c r="X90" s="731"/>
      <c r="Y90" s="731"/>
      <c r="Z90" s="731"/>
      <c r="AA90" s="676"/>
      <c r="AB90" s="731"/>
      <c r="AC90" s="731"/>
      <c r="AD90" s="676"/>
      <c r="AE90" s="732"/>
      <c r="AF90" s="732"/>
      <c r="AG90" s="676"/>
      <c r="AH90" s="733"/>
      <c r="AI90" s="733"/>
      <c r="AJ90" s="734"/>
      <c r="AK90" s="735"/>
      <c r="AL90" s="735"/>
      <c r="AM90" s="736"/>
      <c r="AN90" s="736"/>
      <c r="AO90" s="737"/>
      <c r="AP90" s="738"/>
      <c r="AQ90" s="735"/>
      <c r="AR90" s="739"/>
      <c r="AS90" s="739"/>
      <c r="AT90" s="740"/>
      <c r="AU90" s="739"/>
      <c r="AV90" s="741"/>
      <c r="AW90" s="739"/>
      <c r="AX90" s="739"/>
      <c r="AY90" s="735"/>
      <c r="AZ90" s="742"/>
      <c r="BA90" s="676"/>
      <c r="BB90" s="733"/>
      <c r="BC90" s="733"/>
      <c r="BD90" s="733"/>
      <c r="BE90" s="733"/>
    </row>
    <row r="91" spans="1:57" hidden="1">
      <c r="A91" s="641" t="str">
        <f t="shared" ref="A91:A110" si="69">IF(C91="","N",IF(ISERROR(MATCH($E$90,IF($Z$1=1,GRADESLIST,IF($Z$1=2,RESIDUALS,DISTILLATES)),0)),"N","Y"))</f>
        <v>N</v>
      </c>
      <c r="C91" s="622" t="str">
        <f t="array" ref="C91">IF(OR($E$90="",SUMPRODUCT(('Vessel Gauging Data'!$C$27:$C$56=$E$90)*('Vessel Gauging Data'!$D$27:$D$56=NOMY))&lt;ROWS($C$91:$C91)),"",INDEX('Vessel Gauging Data'!$B$27:$B$56,SMALL(IF(('Vessel Gauging Data'!$C$27:$C$56=$E$90)+('Vessel Gauging Data'!$D$27:$D$56=NOMY)=2,ROW('Vessel Gauging Data'!$B$27:$B$56)-ROW('Vessel Gauging Data'!$C$26)),ROW()-ROW(C$90))))</f>
        <v/>
      </c>
      <c r="D91" s="623" t="str">
        <f>IF(OR($C91="",$C91=0),"",INDEX('Vessel Gauging Data'!$B$26:$V$56,MATCH($C91,'Vessel Gauging Data'!$B$27:$B$56,0)+1,2))</f>
        <v/>
      </c>
      <c r="E91" s="1018" t="str">
        <f t="shared" ref="E91:E110" si="70">IF(ISERROR(V91),"",IF(OR($C91="",$C91=0),"",IF(ISTEXT(V91),V91,IF($AB$1=1,V91*UNITOR_1,INT(V91*UNITOR_1)&amp;"'-"&amp;TRIM(TEXT(ROUND(MOD(V91*UNITOR_1,1)*12,1),"# ???/???"))&amp;""""))))</f>
        <v/>
      </c>
      <c r="F91" s="1018" t="str">
        <f t="shared" ref="F91:F110" si="71">IF(ISERROR(W91),"",IF(OR($C91="",$C91=0),"",IF(ISTEXT(W91),W91,IF($AB$1=1,W91*UNITOR_1,INT(W91*UNITOR_1)&amp;"'-"&amp;TRIM(TEXT(ROUND(MOD(W91*UNITOR_1,1)*12,1),"# ???/???"))&amp;""""))))</f>
        <v/>
      </c>
      <c r="G91" s="1018" t="str">
        <f t="shared" ref="G91:H110" si="72">IF(ISERROR(X91),"",IF(OR($C91="",$C91=0),"",IF(ISTEXT(X91),X91,IF($AB$1=1,X91*UNITOR_1,INT(X91*UNITOR_1)&amp;"'-"&amp;TRIM(TEXT(ROUND(MOD(X91*UNITOR_1,1)*12,1),"# ???/???"))&amp;""""))))</f>
        <v/>
      </c>
      <c r="H91" s="1018" t="str">
        <f t="shared" si="72"/>
        <v/>
      </c>
      <c r="I91" s="623" t="str">
        <f t="shared" ref="I91:I110" si="73">IF(ISERROR($BB91),"",IF(OR($C91="",$C91=0,$BB91=0),"",$BB91))</f>
        <v/>
      </c>
      <c r="J91" s="1018" t="str">
        <f t="shared" ref="J91:J110" si="74">IF(ISERROR($BC91),"",IF(OR($C91="",$C91=0,$BC91=""),"",IF(ISTEXT($BC91),$BC91,$BC91*IF($AA$1=B1SEL,1,IF($AA$1=2,FBBLS,1/FBBLS)))))</f>
        <v/>
      </c>
      <c r="K91" s="625" t="str">
        <f t="shared" ref="K91:K110" si="75">IF(ISERROR($BD91),"",IF(OR($C91="",$C91=0,$BD91=""),0,IF(ISTEXT($BD91),$BD91,$BD91*IF($AB$1=W1SEL,1,IF($AB$1=2,FINCH,1/FINCH)))))</f>
        <v/>
      </c>
      <c r="L91" s="624" t="str">
        <f t="shared" ref="L91:L110" si="76">IF(ISERROR($BE91),"",IF(OR($C91="",$C91=0,$BE91=""),0,IF(ISTEXT($BE91),$BE91,$BE91*IF($AA$1=B1SEL,1,IF($AA$1=2,FBBLS,1/FBBLS)))))</f>
        <v/>
      </c>
      <c r="M91" s="1124" t="str">
        <f>IF(OR($C91="",$C91=0),"",INDEX(API1DENST,MATCH($C91,'Vessel Gauging Data'!$B$27:$B$56,0),$AA$1))</f>
        <v/>
      </c>
      <c r="N91" s="624" t="str">
        <f t="shared" ref="N91:N110" si="77">IF(ISERROR(Z91),"",IF(OR($C91="",$C91=0,Z91=""),"",IF(ISTEXT(Z91),Z91,IF($AA$1=T1SEL,Z91,IF($AA$1=2,(Z91*9/5)+32,(Z91-32)*5/9)))))</f>
        <v/>
      </c>
      <c r="O91" s="1018" t="str">
        <f t="shared" ref="O91:O110" si="78">IF(OR(J91="",L91=""),"",IF(ISTEXT(J91),"N/A",IF(ISTEXT(L91),J91,J91-L91)))</f>
        <v/>
      </c>
      <c r="P91" s="1124" t="str">
        <f t="shared" ref="P91:P110" si="79">IF(OR(M91="",N91=""),"",IF(OR(ISTEXT(M91),ISTEXT(N91)),"N/A",IF($AA$1=1,ROUND(EXP(-AF91*(N91-15)*(1+0.8*AF91*(N91-15))),5),AZ91)))</f>
        <v/>
      </c>
      <c r="Q91" s="1018" t="str">
        <f t="shared" ref="Q91:Q110" si="80">IF(OR(M91="",N91=""),"",IF(OR(ISTEXT(M91),ISTEXT(N91)),"N/A",ROUND(O91*P91,3)))</f>
        <v/>
      </c>
      <c r="R91" s="626" t="str">
        <f t="shared" ref="R91:R110" si="81">IF(M91="","",IF($AA$1=1,IF(ISTEXT(Q91),"N/A",ROUND(Q91*M91,3)),IF(ISTEXT(T91),"N/A",ROUND(T91*AC91,3))))</f>
        <v/>
      </c>
      <c r="S91" s="1124" t="str">
        <f t="shared" ref="S91:S110" si="82">IF(M91="","",IF($AA$1=1,ROUND(M91-0.0011,5),ROUND((1.00122697*(141.5/(M91+131.5))-1.22269727*10^-3)*8.32823*42/2204.62,5+2)))</f>
        <v/>
      </c>
      <c r="T91" s="627" t="str">
        <f t="shared" ref="T91:T110" si="83">IF(OR(M91="",N91=""),"",IF(ISTEXT(Q91),"N/A",IF($AA$1=1,ROUND((Q91*(M91-0.0011)),3),ROUND(Q91*S91,3))))</f>
        <v/>
      </c>
      <c r="V91" s="642" t="e">
        <f>INDEX('Vessel Gauging Data'!$B$26:$V$56,MATCH($C91,'Vessel Gauging Data'!$B$26:$B$56,0),$V$18)</f>
        <v>#N/A</v>
      </c>
      <c r="W91" s="642" t="e">
        <f>INDEX('Vessel Gauging Data'!$B$26:$V$56,MATCH($C91,'Vessel Gauging Data'!$B$26:$B$56,0),$W$18)</f>
        <v>#N/A</v>
      </c>
      <c r="X91" s="642" t="e">
        <f>INDEX('Vessel Gauging Data'!$B$26:$V$56,MATCH($C91,'Vessel Gauging Data'!$B$26:$B$56,0),$X$18)</f>
        <v>#N/A</v>
      </c>
      <c r="Y91" s="642" t="e">
        <f>INDEX('Vessel Gauging Data'!$B$26:$V$56,MATCH($C91,'Vessel Gauging Data'!$B$26:$B$56,0),$Y$18)</f>
        <v>#N/A</v>
      </c>
      <c r="Z91" s="642" t="e">
        <f>INDEX('Vessel Gauging Data'!$B$26:$V$56,MATCH($C91,'Vessel Gauging Data'!$B$26:$B$56,0),$Z$18)</f>
        <v>#N/A</v>
      </c>
      <c r="AB91" s="642" t="e">
        <f>INDEX(API1DENST,MATCH($C91,'Vessel Gauging Data'!$B$27:$B$56,0),1)</f>
        <v>#N/A</v>
      </c>
      <c r="AC91" s="642" t="e">
        <f t="shared" si="17"/>
        <v>#N/A</v>
      </c>
      <c r="AE91" s="661" t="e">
        <f t="shared" si="18"/>
        <v>#VALUE!</v>
      </c>
      <c r="AF91" s="661" t="e">
        <f t="shared" si="19"/>
        <v>#VALUE!</v>
      </c>
      <c r="AH91" s="662" t="str">
        <f t="shared" si="52"/>
        <v/>
      </c>
      <c r="AI91" s="662" t="str">
        <f t="shared" si="53"/>
        <v/>
      </c>
      <c r="AJ91" s="663">
        <f t="shared" si="20"/>
        <v>192.4571</v>
      </c>
      <c r="AK91" s="660">
        <f t="shared" si="21"/>
        <v>0.24379999999999999</v>
      </c>
      <c r="AL91" s="660" t="e">
        <f t="shared" si="22"/>
        <v>#VALUE!</v>
      </c>
      <c r="AM91" s="664" t="e">
        <f t="shared" si="23"/>
        <v>#VALUE!</v>
      </c>
      <c r="AN91" s="664" t="e">
        <f t="shared" si="24"/>
        <v>#VALUE!</v>
      </c>
      <c r="AO91" s="665" t="e">
        <f t="shared" si="25"/>
        <v>#VALUE!</v>
      </c>
      <c r="AP91" s="666" t="e">
        <f t="shared" si="26"/>
        <v>#VALUE!</v>
      </c>
      <c r="AQ91" s="660" t="e">
        <f t="shared" si="27"/>
        <v>#VALUE!</v>
      </c>
      <c r="AR91" s="667" t="e">
        <f t="shared" si="28"/>
        <v>#VALUE!</v>
      </c>
      <c r="AS91" s="667" t="e">
        <f t="shared" si="29"/>
        <v>#VALUE!</v>
      </c>
      <c r="AT91" s="668" t="e">
        <f t="shared" si="30"/>
        <v>#VALUE!</v>
      </c>
      <c r="AU91" s="667" t="e">
        <f t="shared" si="31"/>
        <v>#VALUE!</v>
      </c>
      <c r="AV91" s="669" t="e">
        <f t="shared" si="32"/>
        <v>#VALUE!</v>
      </c>
      <c r="AW91" s="667" t="e">
        <f t="shared" si="33"/>
        <v>#VALUE!</v>
      </c>
      <c r="AX91" s="667" t="e">
        <f t="shared" si="34"/>
        <v>#VALUE!</v>
      </c>
      <c r="AY91" s="660" t="e">
        <f t="shared" si="35"/>
        <v>#VALUE!</v>
      </c>
      <c r="AZ91" s="670" t="e">
        <f t="shared" si="36"/>
        <v>#VALUE!</v>
      </c>
      <c r="BB91" s="662" t="e">
        <f>INDEX('Vessel Gauging Data'!$B$26:$V$56,MATCH($C91,'Vessel Gauging Data'!$B$26:$B$56,0),$BB$18)</f>
        <v>#N/A</v>
      </c>
      <c r="BC91" s="662" t="e">
        <f>INDEX('Vessel Gauging Data'!$B$26:$V$56,MATCH($C91,'Vessel Gauging Data'!$B$26:$B$56,0),$BC$18)</f>
        <v>#N/A</v>
      </c>
      <c r="BD91" s="662" t="e">
        <f>INDEX('Vessel Gauging Data'!$B$26:$V$56,MATCH($C91,'Vessel Gauging Data'!$B$26:$B$56,0),$BD$18)</f>
        <v>#N/A</v>
      </c>
      <c r="BE91" s="662" t="e">
        <f>INDEX('Vessel Gauging Data'!$B$26:$V$56,MATCH($C91,'Vessel Gauging Data'!$B$26:$B$56,0),$BE$18)</f>
        <v>#N/A</v>
      </c>
    </row>
    <row r="92" spans="1:57" hidden="1">
      <c r="A92" s="641" t="str">
        <f t="shared" si="69"/>
        <v>N</v>
      </c>
      <c r="C92" s="235" t="str">
        <f t="array" ref="C92">IF(OR($E$90="",SUMPRODUCT(('Vessel Gauging Data'!$C$27:$C$56=$E$90)*('Vessel Gauging Data'!$D$27:$D$56=NOMY))&lt;ROWS($C$91:$C92)),"",INDEX('Vessel Gauging Data'!$B$27:$B$56,SMALL(IF(('Vessel Gauging Data'!$C$27:$C$56=$E$90)+('Vessel Gauging Data'!$D$27:$D$56=NOMY)=2,ROW('Vessel Gauging Data'!$B$27:$B$56)-ROW('Vessel Gauging Data'!$C$26)),ROW()-ROW(C$90))))</f>
        <v/>
      </c>
      <c r="D92" s="211" t="str">
        <f>IF(OR($C92="",$C92=0),"",INDEX('Vessel Gauging Data'!$B$26:$V$56,MATCH($C92,'Vessel Gauging Data'!$B$27:$B$56,0)+1,2))</f>
        <v/>
      </c>
      <c r="E92" s="1016" t="str">
        <f t="shared" si="70"/>
        <v/>
      </c>
      <c r="F92" s="1016" t="str">
        <f t="shared" si="71"/>
        <v/>
      </c>
      <c r="G92" s="1016" t="str">
        <f t="shared" si="72"/>
        <v/>
      </c>
      <c r="H92" s="1016" t="str">
        <f t="shared" si="72"/>
        <v/>
      </c>
      <c r="I92" s="211" t="str">
        <f t="shared" si="73"/>
        <v/>
      </c>
      <c r="J92" s="1016" t="str">
        <f t="shared" si="74"/>
        <v/>
      </c>
      <c r="K92" s="213" t="str">
        <f t="shared" si="75"/>
        <v/>
      </c>
      <c r="L92" s="212" t="str">
        <f t="shared" si="76"/>
        <v/>
      </c>
      <c r="M92" s="1125" t="str">
        <f>IF(OR($C92="",$C92=0),"",INDEX(API1DENST,MATCH($C92,'Vessel Gauging Data'!$B$27:$B$56,0),$AA$1))</f>
        <v/>
      </c>
      <c r="N92" s="212" t="str">
        <f t="shared" si="77"/>
        <v/>
      </c>
      <c r="O92" s="1016" t="str">
        <f t="shared" si="78"/>
        <v/>
      </c>
      <c r="P92" s="1125" t="str">
        <f t="shared" si="79"/>
        <v/>
      </c>
      <c r="Q92" s="1016" t="str">
        <f t="shared" si="80"/>
        <v/>
      </c>
      <c r="R92" s="214" t="str">
        <f t="shared" si="81"/>
        <v/>
      </c>
      <c r="S92" s="1125" t="str">
        <f t="shared" si="82"/>
        <v/>
      </c>
      <c r="T92" s="236" t="str">
        <f t="shared" si="83"/>
        <v/>
      </c>
      <c r="V92" s="642" t="e">
        <f>INDEX('Vessel Gauging Data'!$B$26:$V$56,MATCH($C92,'Vessel Gauging Data'!$B$26:$B$56,0),$V$18)</f>
        <v>#N/A</v>
      </c>
      <c r="W92" s="642" t="e">
        <f>INDEX('Vessel Gauging Data'!$B$26:$V$56,MATCH($C92,'Vessel Gauging Data'!$B$26:$B$56,0),$W$18)</f>
        <v>#N/A</v>
      </c>
      <c r="X92" s="642" t="e">
        <f>INDEX('Vessel Gauging Data'!$B$26:$V$56,MATCH($C92,'Vessel Gauging Data'!$B$26:$B$56,0),$X$18)</f>
        <v>#N/A</v>
      </c>
      <c r="Y92" s="642" t="e">
        <f>INDEX('Vessel Gauging Data'!$B$26:$V$56,MATCH($C92,'Vessel Gauging Data'!$B$26:$B$56,0),$Y$18)</f>
        <v>#N/A</v>
      </c>
      <c r="Z92" s="642" t="e">
        <f>INDEX('Vessel Gauging Data'!$B$26:$V$56,MATCH($C92,'Vessel Gauging Data'!$B$26:$B$56,0),$Z$18)</f>
        <v>#N/A</v>
      </c>
      <c r="AB92" s="642" t="e">
        <f>INDEX(API1DENST,MATCH($C92,'Vessel Gauging Data'!$B$27:$B$56,0),1)</f>
        <v>#N/A</v>
      </c>
      <c r="AC92" s="642" t="e">
        <f t="shared" si="17"/>
        <v>#N/A</v>
      </c>
      <c r="AE92" s="661" t="e">
        <f t="shared" si="18"/>
        <v>#VALUE!</v>
      </c>
      <c r="AF92" s="661" t="e">
        <f t="shared" si="19"/>
        <v>#VALUE!</v>
      </c>
      <c r="AH92" s="662" t="str">
        <f t="shared" ref="AH92:AH125" si="84">N92</f>
        <v/>
      </c>
      <c r="AI92" s="662" t="str">
        <f t="shared" ref="AI92:AI125" si="85">M92</f>
        <v/>
      </c>
      <c r="AJ92" s="663">
        <f t="shared" si="20"/>
        <v>192.4571</v>
      </c>
      <c r="AK92" s="660">
        <f t="shared" si="21"/>
        <v>0.24379999999999999</v>
      </c>
      <c r="AL92" s="660" t="e">
        <f t="shared" si="22"/>
        <v>#VALUE!</v>
      </c>
      <c r="AM92" s="664" t="e">
        <f t="shared" si="23"/>
        <v>#VALUE!</v>
      </c>
      <c r="AN92" s="664" t="e">
        <f t="shared" si="24"/>
        <v>#VALUE!</v>
      </c>
      <c r="AO92" s="665" t="e">
        <f t="shared" si="25"/>
        <v>#VALUE!</v>
      </c>
      <c r="AP92" s="666" t="e">
        <f t="shared" si="26"/>
        <v>#VALUE!</v>
      </c>
      <c r="AQ92" s="660" t="e">
        <f t="shared" si="27"/>
        <v>#VALUE!</v>
      </c>
      <c r="AR92" s="667" t="e">
        <f t="shared" si="28"/>
        <v>#VALUE!</v>
      </c>
      <c r="AS92" s="667" t="e">
        <f t="shared" si="29"/>
        <v>#VALUE!</v>
      </c>
      <c r="AT92" s="668" t="e">
        <f t="shared" si="30"/>
        <v>#VALUE!</v>
      </c>
      <c r="AU92" s="667" t="e">
        <f t="shared" si="31"/>
        <v>#VALUE!</v>
      </c>
      <c r="AV92" s="669" t="e">
        <f t="shared" si="32"/>
        <v>#VALUE!</v>
      </c>
      <c r="AW92" s="667" t="e">
        <f t="shared" si="33"/>
        <v>#VALUE!</v>
      </c>
      <c r="AX92" s="667" t="e">
        <f t="shared" si="34"/>
        <v>#VALUE!</v>
      </c>
      <c r="AY92" s="660" t="e">
        <f t="shared" si="35"/>
        <v>#VALUE!</v>
      </c>
      <c r="AZ92" s="670" t="e">
        <f t="shared" si="36"/>
        <v>#VALUE!</v>
      </c>
      <c r="BB92" s="662" t="e">
        <f>INDEX('Vessel Gauging Data'!$B$26:$V$56,MATCH($C92,'Vessel Gauging Data'!$B$26:$B$56,0),$BB$18)</f>
        <v>#N/A</v>
      </c>
      <c r="BC92" s="662" t="e">
        <f>INDEX('Vessel Gauging Data'!$B$26:$V$56,MATCH($C92,'Vessel Gauging Data'!$B$26:$B$56,0),$BC$18)</f>
        <v>#N/A</v>
      </c>
      <c r="BD92" s="662" t="e">
        <f>INDEX('Vessel Gauging Data'!$B$26:$V$56,MATCH($C92,'Vessel Gauging Data'!$B$26:$B$56,0),$BD$18)</f>
        <v>#N/A</v>
      </c>
      <c r="BE92" s="662" t="e">
        <f>INDEX('Vessel Gauging Data'!$B$26:$V$56,MATCH($C92,'Vessel Gauging Data'!$B$26:$B$56,0),$BE$18)</f>
        <v>#N/A</v>
      </c>
    </row>
    <row r="93" spans="1:57" hidden="1">
      <c r="A93" s="641" t="str">
        <f t="shared" si="69"/>
        <v>N</v>
      </c>
      <c r="C93" s="235" t="str">
        <f t="array" ref="C93">IF(OR($E$90="",SUMPRODUCT(('Vessel Gauging Data'!$C$27:$C$56=$E$90)*('Vessel Gauging Data'!$D$27:$D$56=NOMY))&lt;ROWS($C$91:$C93)),"",INDEX('Vessel Gauging Data'!$B$27:$B$56,SMALL(IF(('Vessel Gauging Data'!$C$27:$C$56=$E$90)+('Vessel Gauging Data'!$D$27:$D$56=NOMY)=2,ROW('Vessel Gauging Data'!$B$27:$B$56)-ROW('Vessel Gauging Data'!$C$26)),ROW()-ROW(C$90))))</f>
        <v/>
      </c>
      <c r="D93" s="211" t="str">
        <f>IF(OR($C93="",$C93=0),"",INDEX('Vessel Gauging Data'!$B$26:$V$56,MATCH($C93,'Vessel Gauging Data'!$B$27:$B$56,0)+1,2))</f>
        <v/>
      </c>
      <c r="E93" s="1016" t="str">
        <f t="shared" si="70"/>
        <v/>
      </c>
      <c r="F93" s="1016" t="str">
        <f t="shared" si="71"/>
        <v/>
      </c>
      <c r="G93" s="1016" t="str">
        <f t="shared" si="72"/>
        <v/>
      </c>
      <c r="H93" s="1016" t="str">
        <f t="shared" si="72"/>
        <v/>
      </c>
      <c r="I93" s="211" t="str">
        <f t="shared" si="73"/>
        <v/>
      </c>
      <c r="J93" s="1016" t="str">
        <f t="shared" si="74"/>
        <v/>
      </c>
      <c r="K93" s="213" t="str">
        <f t="shared" si="75"/>
        <v/>
      </c>
      <c r="L93" s="212" t="str">
        <f t="shared" si="76"/>
        <v/>
      </c>
      <c r="M93" s="1125" t="str">
        <f>IF(OR($C93="",$C93=0),"",INDEX(API1DENST,MATCH($C93,'Vessel Gauging Data'!$B$27:$B$56,0),$AA$1))</f>
        <v/>
      </c>
      <c r="N93" s="212" t="str">
        <f t="shared" si="77"/>
        <v/>
      </c>
      <c r="O93" s="1016" t="str">
        <f t="shared" si="78"/>
        <v/>
      </c>
      <c r="P93" s="1125" t="str">
        <f t="shared" si="79"/>
        <v/>
      </c>
      <c r="Q93" s="1016" t="str">
        <f t="shared" si="80"/>
        <v/>
      </c>
      <c r="R93" s="214" t="str">
        <f t="shared" si="81"/>
        <v/>
      </c>
      <c r="S93" s="1125" t="str">
        <f t="shared" si="82"/>
        <v/>
      </c>
      <c r="T93" s="236" t="str">
        <f t="shared" si="83"/>
        <v/>
      </c>
      <c r="V93" s="642" t="e">
        <f>INDEX('Vessel Gauging Data'!$B$26:$V$56,MATCH($C93,'Vessel Gauging Data'!$B$26:$B$56,0),$V$18)</f>
        <v>#N/A</v>
      </c>
      <c r="W93" s="642" t="e">
        <f>INDEX('Vessel Gauging Data'!$B$26:$V$56,MATCH($C93,'Vessel Gauging Data'!$B$26:$B$56,0),$W$18)</f>
        <v>#N/A</v>
      </c>
      <c r="X93" s="642" t="e">
        <f>INDEX('Vessel Gauging Data'!$B$26:$V$56,MATCH($C93,'Vessel Gauging Data'!$B$26:$B$56,0),$X$18)</f>
        <v>#N/A</v>
      </c>
      <c r="Y93" s="642" t="e">
        <f>INDEX('Vessel Gauging Data'!$B$26:$V$56,MATCH($C93,'Vessel Gauging Data'!$B$26:$B$56,0),$Y$18)</f>
        <v>#N/A</v>
      </c>
      <c r="Z93" s="642" t="e">
        <f>INDEX('Vessel Gauging Data'!$B$26:$V$56,MATCH($C93,'Vessel Gauging Data'!$B$26:$B$56,0),$Z$18)</f>
        <v>#N/A</v>
      </c>
      <c r="AB93" s="642" t="e">
        <f>INDEX(API1DENST,MATCH($C93,'Vessel Gauging Data'!$B$27:$B$56,0),1)</f>
        <v>#N/A</v>
      </c>
      <c r="AC93" s="642" t="e">
        <f t="shared" ref="AC93:AC133" si="86">((INT((AB93/(1.0001506*AB93-0.0012202))*10000)+0.5)/10000)</f>
        <v>#N/A</v>
      </c>
      <c r="AE93" s="661" t="e">
        <f t="shared" ref="AE93:AE133" si="87">ROUND(+M93/2*1000,0)*2</f>
        <v>#VALUE!</v>
      </c>
      <c r="AF93" s="661" t="e">
        <f t="shared" ref="AF93:AF133" si="88">ROUND(186.9696/(AE93*AE93)+(0.4862/AE93),8)</f>
        <v>#VALUE!</v>
      </c>
      <c r="AH93" s="662" t="str">
        <f t="shared" si="84"/>
        <v/>
      </c>
      <c r="AI93" s="662" t="str">
        <f t="shared" si="85"/>
        <v/>
      </c>
      <c r="AJ93" s="663">
        <f t="shared" ref="AJ93:AJ133" si="89">IF(AND(AI93&gt;=0,AI93&lt;=37),103.872,IF(AND(AI93&gt;=48,AI93&lt;=52),-0.0018684,IF(AND(AI93&gt;=37.1,AI93&lt;=47.9),330.301,IF(AND(AI93&gt;=52.1),192.4571))))</f>
        <v>192.4571</v>
      </c>
      <c r="AK93" s="660">
        <f t="shared" ref="AK93:AK133" si="90">IF(AND(AI93&gt;=0,AI93&lt;=37),0.2701,IF(AND(AI93&gt;=48,AJ93&lt;=52),1489.067,IF(AND(AI93&gt;=37.1,AI93&lt;=47.9),0,IF(AI93&gt;=52.1,0.2438))))</f>
        <v>0.24379999999999999</v>
      </c>
      <c r="AL93" s="660" t="e">
        <f t="shared" ref="AL93:AL133" si="91">ROUND(141360.198/(AI93+131.5),2)</f>
        <v>#VALUE!</v>
      </c>
      <c r="AM93" s="664" t="e">
        <f t="shared" ref="AM93:AM133" si="92">TRUNC(AJ93/AL93,8)</f>
        <v>#VALUE!</v>
      </c>
      <c r="AN93" s="664" t="e">
        <f t="shared" ref="AN93:AN133" si="93">TRUNC(AM93/AL93,10)</f>
        <v>#VALUE!</v>
      </c>
      <c r="AO93" s="665" t="e">
        <f t="shared" ref="AO93:AO133" si="94">TRUNC(AK93/AL93,10)</f>
        <v>#VALUE!</v>
      </c>
      <c r="AP93" s="666" t="e">
        <f t="shared" ref="AP93:AP133" si="95">IF(AND(AI93&gt;=48,AI93&lt;=52),ROUND(AW93+AJ93,7),ROUND(AN93+AO93,7))</f>
        <v>#VALUE!</v>
      </c>
      <c r="AQ93" s="660" t="e">
        <f t="shared" ref="AQ93:AQ133" si="96">AH93-60</f>
        <v>#VALUE!</v>
      </c>
      <c r="AR93" s="667" t="e">
        <f t="shared" ref="AR93:AR133" si="97">TRUNC(AP93*AQ93,8)</f>
        <v>#VALUE!</v>
      </c>
      <c r="AS93" s="667" t="e">
        <f t="shared" ref="AS93:AS133" si="98">TRUNC(0.8*AR93,8)</f>
        <v>#VALUE!</v>
      </c>
      <c r="AT93" s="668" t="e">
        <f t="shared" ref="AT93:AT133" si="99">TRUNC(0.8*AP93^2*AQ93^2,8)</f>
        <v>#VALUE!</v>
      </c>
      <c r="AU93" s="667" t="e">
        <f t="shared" ref="AU93:AU133" si="100">-AR93-AT93</f>
        <v>#VALUE!</v>
      </c>
      <c r="AV93" s="669" t="e">
        <f t="shared" ref="AV93:AV133" si="101">TRUNC(AK93/AL93,5)</f>
        <v>#VALUE!</v>
      </c>
      <c r="AW93" s="667" t="e">
        <f t="shared" ref="AW93:AW133" si="102">ROUND(AV93/AL93,8)</f>
        <v>#VALUE!</v>
      </c>
      <c r="AX93" s="667" t="e">
        <f t="shared" ref="AX93:AX133" si="103">ROUND(AW93+AJ93,8)</f>
        <v>#VALUE!</v>
      </c>
      <c r="AY93" s="660" t="e">
        <f t="shared" ref="AY93:AY133" si="104">IF(AND(AI93&gt;=48,AI93&lt;=52),AX93,AP93)</f>
        <v>#VALUE!</v>
      </c>
      <c r="AZ93" s="670" t="e">
        <f t="shared" ref="AZ93:AZ133" si="105">ROUND(EXP(AU93),5)</f>
        <v>#VALUE!</v>
      </c>
      <c r="BB93" s="662" t="e">
        <f>INDEX('Vessel Gauging Data'!$B$26:$V$56,MATCH($C93,'Vessel Gauging Data'!$B$26:$B$56,0),$BB$18)</f>
        <v>#N/A</v>
      </c>
      <c r="BC93" s="662" t="e">
        <f>INDEX('Vessel Gauging Data'!$B$26:$V$56,MATCH($C93,'Vessel Gauging Data'!$B$26:$B$56,0),$BC$18)</f>
        <v>#N/A</v>
      </c>
      <c r="BD93" s="662" t="e">
        <f>INDEX('Vessel Gauging Data'!$B$26:$V$56,MATCH($C93,'Vessel Gauging Data'!$B$26:$B$56,0),$BD$18)</f>
        <v>#N/A</v>
      </c>
      <c r="BE93" s="662" t="e">
        <f>INDEX('Vessel Gauging Data'!$B$26:$V$56,MATCH($C93,'Vessel Gauging Data'!$B$26:$B$56,0),$BE$18)</f>
        <v>#N/A</v>
      </c>
    </row>
    <row r="94" spans="1:57" hidden="1">
      <c r="A94" s="641" t="str">
        <f t="shared" si="69"/>
        <v>N</v>
      </c>
      <c r="C94" s="235" t="str">
        <f t="array" ref="C94">IF(OR($E$90="",SUMPRODUCT(('Vessel Gauging Data'!$C$27:$C$56=$E$90)*('Vessel Gauging Data'!$D$27:$D$56=NOMY))&lt;ROWS($C$91:$C94)),"",INDEX('Vessel Gauging Data'!$B$27:$B$56,SMALL(IF(('Vessel Gauging Data'!$C$27:$C$56=$E$90)+('Vessel Gauging Data'!$D$27:$D$56=NOMY)=2,ROW('Vessel Gauging Data'!$B$27:$B$56)-ROW('Vessel Gauging Data'!$C$26)),ROW()-ROW(C$90))))</f>
        <v/>
      </c>
      <c r="D94" s="211" t="str">
        <f>IF(OR($C94="",$C94=0),"",INDEX('Vessel Gauging Data'!$B$26:$V$56,MATCH($C94,'Vessel Gauging Data'!$B$27:$B$56,0)+1,2))</f>
        <v/>
      </c>
      <c r="E94" s="1016" t="str">
        <f t="shared" si="70"/>
        <v/>
      </c>
      <c r="F94" s="1016" t="str">
        <f t="shared" si="71"/>
        <v/>
      </c>
      <c r="G94" s="1016" t="str">
        <f t="shared" si="72"/>
        <v/>
      </c>
      <c r="H94" s="1016" t="str">
        <f t="shared" si="72"/>
        <v/>
      </c>
      <c r="I94" s="211" t="str">
        <f t="shared" si="73"/>
        <v/>
      </c>
      <c r="J94" s="1016" t="str">
        <f t="shared" si="74"/>
        <v/>
      </c>
      <c r="K94" s="213" t="str">
        <f t="shared" si="75"/>
        <v/>
      </c>
      <c r="L94" s="212" t="str">
        <f t="shared" si="76"/>
        <v/>
      </c>
      <c r="M94" s="1125" t="str">
        <f>IF(OR($C94="",$C94=0),"",INDEX(API1DENST,MATCH($C94,'Vessel Gauging Data'!$B$27:$B$56,0),$AA$1))</f>
        <v/>
      </c>
      <c r="N94" s="212" t="str">
        <f t="shared" si="77"/>
        <v/>
      </c>
      <c r="O94" s="1016" t="str">
        <f t="shared" si="78"/>
        <v/>
      </c>
      <c r="P94" s="1125" t="str">
        <f t="shared" si="79"/>
        <v/>
      </c>
      <c r="Q94" s="1016" t="str">
        <f t="shared" si="80"/>
        <v/>
      </c>
      <c r="R94" s="214" t="str">
        <f t="shared" si="81"/>
        <v/>
      </c>
      <c r="S94" s="1125" t="str">
        <f t="shared" si="82"/>
        <v/>
      </c>
      <c r="T94" s="236" t="str">
        <f t="shared" si="83"/>
        <v/>
      </c>
      <c r="V94" s="642" t="e">
        <f>INDEX('Vessel Gauging Data'!$B$26:$V$56,MATCH($C94,'Vessel Gauging Data'!$B$26:$B$56,0),$V$18)</f>
        <v>#N/A</v>
      </c>
      <c r="W94" s="642" t="e">
        <f>INDEX('Vessel Gauging Data'!$B$26:$V$56,MATCH($C94,'Vessel Gauging Data'!$B$26:$B$56,0),$W$18)</f>
        <v>#N/A</v>
      </c>
      <c r="X94" s="642" t="e">
        <f>INDEX('Vessel Gauging Data'!$B$26:$V$56,MATCH($C94,'Vessel Gauging Data'!$B$26:$B$56,0),$X$18)</f>
        <v>#N/A</v>
      </c>
      <c r="Y94" s="642" t="e">
        <f>INDEX('Vessel Gauging Data'!$B$26:$V$56,MATCH($C94,'Vessel Gauging Data'!$B$26:$B$56,0),$Y$18)</f>
        <v>#N/A</v>
      </c>
      <c r="Z94" s="642" t="e">
        <f>INDEX('Vessel Gauging Data'!$B$26:$V$56,MATCH($C94,'Vessel Gauging Data'!$B$26:$B$56,0),$Z$18)</f>
        <v>#N/A</v>
      </c>
      <c r="AB94" s="642" t="e">
        <f>INDEX(API1DENST,MATCH($C94,'Vessel Gauging Data'!$B$27:$B$56,0),1)</f>
        <v>#N/A</v>
      </c>
      <c r="AC94" s="642" t="e">
        <f t="shared" si="86"/>
        <v>#N/A</v>
      </c>
      <c r="AE94" s="661" t="e">
        <f t="shared" si="87"/>
        <v>#VALUE!</v>
      </c>
      <c r="AF94" s="661" t="e">
        <f t="shared" si="88"/>
        <v>#VALUE!</v>
      </c>
      <c r="AH94" s="662" t="str">
        <f t="shared" si="84"/>
        <v/>
      </c>
      <c r="AI94" s="662" t="str">
        <f t="shared" si="85"/>
        <v/>
      </c>
      <c r="AJ94" s="663">
        <f t="shared" si="89"/>
        <v>192.4571</v>
      </c>
      <c r="AK94" s="660">
        <f t="shared" si="90"/>
        <v>0.24379999999999999</v>
      </c>
      <c r="AL94" s="660" t="e">
        <f t="shared" si="91"/>
        <v>#VALUE!</v>
      </c>
      <c r="AM94" s="664" t="e">
        <f t="shared" si="92"/>
        <v>#VALUE!</v>
      </c>
      <c r="AN94" s="664" t="e">
        <f t="shared" si="93"/>
        <v>#VALUE!</v>
      </c>
      <c r="AO94" s="665" t="e">
        <f t="shared" si="94"/>
        <v>#VALUE!</v>
      </c>
      <c r="AP94" s="666" t="e">
        <f t="shared" si="95"/>
        <v>#VALUE!</v>
      </c>
      <c r="AQ94" s="660" t="e">
        <f t="shared" si="96"/>
        <v>#VALUE!</v>
      </c>
      <c r="AR94" s="667" t="e">
        <f t="shared" si="97"/>
        <v>#VALUE!</v>
      </c>
      <c r="AS94" s="667" t="e">
        <f t="shared" si="98"/>
        <v>#VALUE!</v>
      </c>
      <c r="AT94" s="668" t="e">
        <f t="shared" si="99"/>
        <v>#VALUE!</v>
      </c>
      <c r="AU94" s="667" t="e">
        <f t="shared" si="100"/>
        <v>#VALUE!</v>
      </c>
      <c r="AV94" s="669" t="e">
        <f t="shared" si="101"/>
        <v>#VALUE!</v>
      </c>
      <c r="AW94" s="667" t="e">
        <f t="shared" si="102"/>
        <v>#VALUE!</v>
      </c>
      <c r="AX94" s="667" t="e">
        <f t="shared" si="103"/>
        <v>#VALUE!</v>
      </c>
      <c r="AY94" s="660" t="e">
        <f t="shared" si="104"/>
        <v>#VALUE!</v>
      </c>
      <c r="AZ94" s="670" t="e">
        <f t="shared" si="105"/>
        <v>#VALUE!</v>
      </c>
      <c r="BB94" s="662" t="e">
        <f>INDEX('Vessel Gauging Data'!$B$26:$V$56,MATCH($C94,'Vessel Gauging Data'!$B$26:$B$56,0),$BB$18)</f>
        <v>#N/A</v>
      </c>
      <c r="BC94" s="662" t="e">
        <f>INDEX('Vessel Gauging Data'!$B$26:$V$56,MATCH($C94,'Vessel Gauging Data'!$B$26:$B$56,0),$BC$18)</f>
        <v>#N/A</v>
      </c>
      <c r="BD94" s="662" t="e">
        <f>INDEX('Vessel Gauging Data'!$B$26:$V$56,MATCH($C94,'Vessel Gauging Data'!$B$26:$B$56,0),$BD$18)</f>
        <v>#N/A</v>
      </c>
      <c r="BE94" s="662" t="e">
        <f>INDEX('Vessel Gauging Data'!$B$26:$V$56,MATCH($C94,'Vessel Gauging Data'!$B$26:$B$56,0),$BE$18)</f>
        <v>#N/A</v>
      </c>
    </row>
    <row r="95" spans="1:57" hidden="1">
      <c r="A95" s="641" t="str">
        <f t="shared" si="69"/>
        <v>N</v>
      </c>
      <c r="C95" s="235" t="str">
        <f t="array" ref="C95">IF(OR($E$90="",SUMPRODUCT(('Vessel Gauging Data'!$C$27:$C$56=$E$90)*('Vessel Gauging Data'!$D$27:$D$56=NOMY))&lt;ROWS($C$91:$C95)),"",INDEX('Vessel Gauging Data'!$B$27:$B$56,SMALL(IF(('Vessel Gauging Data'!$C$27:$C$56=$E$90)+('Vessel Gauging Data'!$D$27:$D$56=NOMY)=2,ROW('Vessel Gauging Data'!$B$27:$B$56)-ROW('Vessel Gauging Data'!$C$26)),ROW()-ROW(C$90))))</f>
        <v/>
      </c>
      <c r="D95" s="211" t="str">
        <f>IF(OR($C95="",$C95=0),"",INDEX('Vessel Gauging Data'!$B$26:$V$56,MATCH($C95,'Vessel Gauging Data'!$B$27:$B$56,0)+1,2))</f>
        <v/>
      </c>
      <c r="E95" s="1016" t="str">
        <f t="shared" si="70"/>
        <v/>
      </c>
      <c r="F95" s="1016" t="str">
        <f t="shared" si="71"/>
        <v/>
      </c>
      <c r="G95" s="1016" t="str">
        <f t="shared" si="72"/>
        <v/>
      </c>
      <c r="H95" s="1016" t="str">
        <f t="shared" si="72"/>
        <v/>
      </c>
      <c r="I95" s="211" t="str">
        <f t="shared" si="73"/>
        <v/>
      </c>
      <c r="J95" s="1016" t="str">
        <f t="shared" si="74"/>
        <v/>
      </c>
      <c r="K95" s="213" t="str">
        <f t="shared" si="75"/>
        <v/>
      </c>
      <c r="L95" s="212" t="str">
        <f t="shared" si="76"/>
        <v/>
      </c>
      <c r="M95" s="1125" t="str">
        <f>IF(OR($C95="",$C95=0),"",INDEX(API1DENST,MATCH($C95,'Vessel Gauging Data'!$B$27:$B$56,0),$AA$1))</f>
        <v/>
      </c>
      <c r="N95" s="212" t="str">
        <f t="shared" si="77"/>
        <v/>
      </c>
      <c r="O95" s="1016" t="str">
        <f t="shared" si="78"/>
        <v/>
      </c>
      <c r="P95" s="1125" t="str">
        <f t="shared" si="79"/>
        <v/>
      </c>
      <c r="Q95" s="1016" t="str">
        <f t="shared" si="80"/>
        <v/>
      </c>
      <c r="R95" s="214" t="str">
        <f t="shared" si="81"/>
        <v/>
      </c>
      <c r="S95" s="1125" t="str">
        <f t="shared" si="82"/>
        <v/>
      </c>
      <c r="T95" s="236" t="str">
        <f t="shared" si="83"/>
        <v/>
      </c>
      <c r="V95" s="642" t="e">
        <f>INDEX('Vessel Gauging Data'!$B$26:$V$56,MATCH($C95,'Vessel Gauging Data'!$B$26:$B$56,0),$V$18)</f>
        <v>#N/A</v>
      </c>
      <c r="W95" s="642" t="e">
        <f>INDEX('Vessel Gauging Data'!$B$26:$V$56,MATCH($C95,'Vessel Gauging Data'!$B$26:$B$56,0),$W$18)</f>
        <v>#N/A</v>
      </c>
      <c r="X95" s="642" t="e">
        <f>INDEX('Vessel Gauging Data'!$B$26:$V$56,MATCH($C95,'Vessel Gauging Data'!$B$26:$B$56,0),$X$18)</f>
        <v>#N/A</v>
      </c>
      <c r="Y95" s="642" t="e">
        <f>INDEX('Vessel Gauging Data'!$B$26:$V$56,MATCH($C95,'Vessel Gauging Data'!$B$26:$B$56,0),$Y$18)</f>
        <v>#N/A</v>
      </c>
      <c r="Z95" s="642" t="e">
        <f>INDEX('Vessel Gauging Data'!$B$26:$V$56,MATCH($C95,'Vessel Gauging Data'!$B$26:$B$56,0),$Z$18)</f>
        <v>#N/A</v>
      </c>
      <c r="AB95" s="642" t="e">
        <f>INDEX(API1DENST,MATCH($C95,'Vessel Gauging Data'!$B$27:$B$56,0),1)</f>
        <v>#N/A</v>
      </c>
      <c r="AC95" s="642" t="e">
        <f t="shared" si="86"/>
        <v>#N/A</v>
      </c>
      <c r="AE95" s="661" t="e">
        <f t="shared" si="87"/>
        <v>#VALUE!</v>
      </c>
      <c r="AF95" s="661" t="e">
        <f t="shared" si="88"/>
        <v>#VALUE!</v>
      </c>
      <c r="AH95" s="662" t="str">
        <f t="shared" si="84"/>
        <v/>
      </c>
      <c r="AI95" s="662" t="str">
        <f t="shared" si="85"/>
        <v/>
      </c>
      <c r="AJ95" s="663">
        <f t="shared" si="89"/>
        <v>192.4571</v>
      </c>
      <c r="AK95" s="660">
        <f t="shared" si="90"/>
        <v>0.24379999999999999</v>
      </c>
      <c r="AL95" s="660" t="e">
        <f t="shared" si="91"/>
        <v>#VALUE!</v>
      </c>
      <c r="AM95" s="664" t="e">
        <f t="shared" si="92"/>
        <v>#VALUE!</v>
      </c>
      <c r="AN95" s="664" t="e">
        <f t="shared" si="93"/>
        <v>#VALUE!</v>
      </c>
      <c r="AO95" s="665" t="e">
        <f t="shared" si="94"/>
        <v>#VALUE!</v>
      </c>
      <c r="AP95" s="666" t="e">
        <f t="shared" si="95"/>
        <v>#VALUE!</v>
      </c>
      <c r="AQ95" s="660" t="e">
        <f t="shared" si="96"/>
        <v>#VALUE!</v>
      </c>
      <c r="AR95" s="667" t="e">
        <f t="shared" si="97"/>
        <v>#VALUE!</v>
      </c>
      <c r="AS95" s="667" t="e">
        <f t="shared" si="98"/>
        <v>#VALUE!</v>
      </c>
      <c r="AT95" s="668" t="e">
        <f t="shared" si="99"/>
        <v>#VALUE!</v>
      </c>
      <c r="AU95" s="667" t="e">
        <f t="shared" si="100"/>
        <v>#VALUE!</v>
      </c>
      <c r="AV95" s="669" t="e">
        <f t="shared" si="101"/>
        <v>#VALUE!</v>
      </c>
      <c r="AW95" s="667" t="e">
        <f t="shared" si="102"/>
        <v>#VALUE!</v>
      </c>
      <c r="AX95" s="667" t="e">
        <f t="shared" si="103"/>
        <v>#VALUE!</v>
      </c>
      <c r="AY95" s="660" t="e">
        <f t="shared" si="104"/>
        <v>#VALUE!</v>
      </c>
      <c r="AZ95" s="670" t="e">
        <f t="shared" si="105"/>
        <v>#VALUE!</v>
      </c>
      <c r="BB95" s="662" t="e">
        <f>INDEX('Vessel Gauging Data'!$B$26:$V$56,MATCH($C95,'Vessel Gauging Data'!$B$26:$B$56,0),$BB$18)</f>
        <v>#N/A</v>
      </c>
      <c r="BC95" s="662" t="e">
        <f>INDEX('Vessel Gauging Data'!$B$26:$V$56,MATCH($C95,'Vessel Gauging Data'!$B$26:$B$56,0),$BC$18)</f>
        <v>#N/A</v>
      </c>
      <c r="BD95" s="662" t="e">
        <f>INDEX('Vessel Gauging Data'!$B$26:$V$56,MATCH($C95,'Vessel Gauging Data'!$B$26:$B$56,0),$BD$18)</f>
        <v>#N/A</v>
      </c>
      <c r="BE95" s="662" t="e">
        <f>INDEX('Vessel Gauging Data'!$B$26:$V$56,MATCH($C95,'Vessel Gauging Data'!$B$26:$B$56,0),$BE$18)</f>
        <v>#N/A</v>
      </c>
    </row>
    <row r="96" spans="1:57" hidden="1">
      <c r="A96" s="641" t="str">
        <f t="shared" si="69"/>
        <v>N</v>
      </c>
      <c r="C96" s="235" t="str">
        <f t="array" ref="C96">IF(OR($E$90="",SUMPRODUCT(('Vessel Gauging Data'!$C$27:$C$56=$E$90)*('Vessel Gauging Data'!$D$27:$D$56=NOMY))&lt;ROWS($C$91:$C96)),"",INDEX('Vessel Gauging Data'!$B$27:$B$56,SMALL(IF(('Vessel Gauging Data'!$C$27:$C$56=$E$90)+('Vessel Gauging Data'!$D$27:$D$56=NOMY)=2,ROW('Vessel Gauging Data'!$B$27:$B$56)-ROW('Vessel Gauging Data'!$C$26)),ROW()-ROW(C$90))))</f>
        <v/>
      </c>
      <c r="D96" s="211" t="str">
        <f>IF(OR($C96="",$C96=0),"",INDEX('Vessel Gauging Data'!$B$26:$V$56,MATCH($C96,'Vessel Gauging Data'!$B$27:$B$56,0)+1,2))</f>
        <v/>
      </c>
      <c r="E96" s="1016" t="str">
        <f t="shared" si="70"/>
        <v/>
      </c>
      <c r="F96" s="1016" t="str">
        <f t="shared" si="71"/>
        <v/>
      </c>
      <c r="G96" s="1016" t="str">
        <f t="shared" si="72"/>
        <v/>
      </c>
      <c r="H96" s="1016" t="str">
        <f t="shared" si="72"/>
        <v/>
      </c>
      <c r="I96" s="211" t="str">
        <f t="shared" si="73"/>
        <v/>
      </c>
      <c r="J96" s="1016" t="str">
        <f t="shared" si="74"/>
        <v/>
      </c>
      <c r="K96" s="213" t="str">
        <f t="shared" si="75"/>
        <v/>
      </c>
      <c r="L96" s="212" t="str">
        <f t="shared" si="76"/>
        <v/>
      </c>
      <c r="M96" s="1125" t="str">
        <f>IF(OR($C96="",$C96=0),"",INDEX(API1DENST,MATCH($C96,'Vessel Gauging Data'!$B$27:$B$56,0),$AA$1))</f>
        <v/>
      </c>
      <c r="N96" s="212" t="str">
        <f t="shared" si="77"/>
        <v/>
      </c>
      <c r="O96" s="1016" t="str">
        <f t="shared" si="78"/>
        <v/>
      </c>
      <c r="P96" s="1125" t="str">
        <f t="shared" si="79"/>
        <v/>
      </c>
      <c r="Q96" s="1016" t="str">
        <f t="shared" si="80"/>
        <v/>
      </c>
      <c r="R96" s="214" t="str">
        <f t="shared" si="81"/>
        <v/>
      </c>
      <c r="S96" s="1125" t="str">
        <f t="shared" si="82"/>
        <v/>
      </c>
      <c r="T96" s="236" t="str">
        <f t="shared" si="83"/>
        <v/>
      </c>
      <c r="V96" s="642" t="e">
        <f>INDEX('Vessel Gauging Data'!$B$26:$V$56,MATCH($C96,'Vessel Gauging Data'!$B$26:$B$56,0),$V$18)</f>
        <v>#N/A</v>
      </c>
      <c r="W96" s="642" t="e">
        <f>INDEX('Vessel Gauging Data'!$B$26:$V$56,MATCH($C96,'Vessel Gauging Data'!$B$26:$B$56,0),$W$18)</f>
        <v>#N/A</v>
      </c>
      <c r="X96" s="642" t="e">
        <f>INDEX('Vessel Gauging Data'!$B$26:$V$56,MATCH($C96,'Vessel Gauging Data'!$B$26:$B$56,0),$X$18)</f>
        <v>#N/A</v>
      </c>
      <c r="Y96" s="642" t="e">
        <f>INDEX('Vessel Gauging Data'!$B$26:$V$56,MATCH($C96,'Vessel Gauging Data'!$B$26:$B$56,0),$Y$18)</f>
        <v>#N/A</v>
      </c>
      <c r="Z96" s="642" t="e">
        <f>INDEX('Vessel Gauging Data'!$B$26:$V$56,MATCH($C96,'Vessel Gauging Data'!$B$26:$B$56,0),$Z$18)</f>
        <v>#N/A</v>
      </c>
      <c r="AB96" s="642" t="e">
        <f>INDEX(API1DENST,MATCH($C96,'Vessel Gauging Data'!$B$27:$B$56,0),1)</f>
        <v>#N/A</v>
      </c>
      <c r="AC96" s="642" t="e">
        <f t="shared" si="86"/>
        <v>#N/A</v>
      </c>
      <c r="AE96" s="661" t="e">
        <f t="shared" si="87"/>
        <v>#VALUE!</v>
      </c>
      <c r="AF96" s="661" t="e">
        <f t="shared" si="88"/>
        <v>#VALUE!</v>
      </c>
      <c r="AH96" s="662" t="str">
        <f t="shared" si="84"/>
        <v/>
      </c>
      <c r="AI96" s="662" t="str">
        <f t="shared" si="85"/>
        <v/>
      </c>
      <c r="AJ96" s="663">
        <f t="shared" si="89"/>
        <v>192.4571</v>
      </c>
      <c r="AK96" s="660">
        <f t="shared" si="90"/>
        <v>0.24379999999999999</v>
      </c>
      <c r="AL96" s="660" t="e">
        <f t="shared" si="91"/>
        <v>#VALUE!</v>
      </c>
      <c r="AM96" s="664" t="e">
        <f t="shared" si="92"/>
        <v>#VALUE!</v>
      </c>
      <c r="AN96" s="664" t="e">
        <f t="shared" si="93"/>
        <v>#VALUE!</v>
      </c>
      <c r="AO96" s="665" t="e">
        <f t="shared" si="94"/>
        <v>#VALUE!</v>
      </c>
      <c r="AP96" s="666" t="e">
        <f t="shared" si="95"/>
        <v>#VALUE!</v>
      </c>
      <c r="AQ96" s="660" t="e">
        <f t="shared" si="96"/>
        <v>#VALUE!</v>
      </c>
      <c r="AR96" s="667" t="e">
        <f t="shared" si="97"/>
        <v>#VALUE!</v>
      </c>
      <c r="AS96" s="667" t="e">
        <f t="shared" si="98"/>
        <v>#VALUE!</v>
      </c>
      <c r="AT96" s="668" t="e">
        <f t="shared" si="99"/>
        <v>#VALUE!</v>
      </c>
      <c r="AU96" s="667" t="e">
        <f t="shared" si="100"/>
        <v>#VALUE!</v>
      </c>
      <c r="AV96" s="669" t="e">
        <f t="shared" si="101"/>
        <v>#VALUE!</v>
      </c>
      <c r="AW96" s="667" t="e">
        <f t="shared" si="102"/>
        <v>#VALUE!</v>
      </c>
      <c r="AX96" s="667" t="e">
        <f t="shared" si="103"/>
        <v>#VALUE!</v>
      </c>
      <c r="AY96" s="660" t="e">
        <f t="shared" si="104"/>
        <v>#VALUE!</v>
      </c>
      <c r="AZ96" s="670" t="e">
        <f t="shared" si="105"/>
        <v>#VALUE!</v>
      </c>
      <c r="BB96" s="662" t="e">
        <f>INDEX('Vessel Gauging Data'!$B$26:$V$56,MATCH($C96,'Vessel Gauging Data'!$B$26:$B$56,0),$BB$18)</f>
        <v>#N/A</v>
      </c>
      <c r="BC96" s="662" t="e">
        <f>INDEX('Vessel Gauging Data'!$B$26:$V$56,MATCH($C96,'Vessel Gauging Data'!$B$26:$B$56,0),$BC$18)</f>
        <v>#N/A</v>
      </c>
      <c r="BD96" s="662" t="e">
        <f>INDEX('Vessel Gauging Data'!$B$26:$V$56,MATCH($C96,'Vessel Gauging Data'!$B$26:$B$56,0),$BD$18)</f>
        <v>#N/A</v>
      </c>
      <c r="BE96" s="662" t="e">
        <f>INDEX('Vessel Gauging Data'!$B$26:$V$56,MATCH($C96,'Vessel Gauging Data'!$B$26:$B$56,0),$BE$18)</f>
        <v>#N/A</v>
      </c>
    </row>
    <row r="97" spans="1:57" hidden="1">
      <c r="A97" s="641" t="str">
        <f t="shared" si="69"/>
        <v>N</v>
      </c>
      <c r="C97" s="235" t="str">
        <f t="array" ref="C97">IF(OR($E$90="",SUMPRODUCT(('Vessel Gauging Data'!$C$27:$C$56=$E$90)*('Vessel Gauging Data'!$D$27:$D$56=NOMY))&lt;ROWS($C$91:$C97)),"",INDEX('Vessel Gauging Data'!$B$27:$B$56,SMALL(IF(('Vessel Gauging Data'!$C$27:$C$56=$E$90)+('Vessel Gauging Data'!$D$27:$D$56=NOMY)=2,ROW('Vessel Gauging Data'!$B$27:$B$56)-ROW('Vessel Gauging Data'!$C$26)),ROW()-ROW(C$90))))</f>
        <v/>
      </c>
      <c r="D97" s="211" t="str">
        <f>IF(OR($C97="",$C97=0),"",INDEX('Vessel Gauging Data'!$B$26:$V$56,MATCH($C97,'Vessel Gauging Data'!$B$27:$B$56,0)+1,2))</f>
        <v/>
      </c>
      <c r="E97" s="1016" t="str">
        <f t="shared" si="70"/>
        <v/>
      </c>
      <c r="F97" s="1016" t="str">
        <f t="shared" si="71"/>
        <v/>
      </c>
      <c r="G97" s="1016" t="str">
        <f t="shared" si="72"/>
        <v/>
      </c>
      <c r="H97" s="1016" t="str">
        <f t="shared" si="72"/>
        <v/>
      </c>
      <c r="I97" s="211" t="str">
        <f t="shared" si="73"/>
        <v/>
      </c>
      <c r="J97" s="1016" t="str">
        <f t="shared" si="74"/>
        <v/>
      </c>
      <c r="K97" s="213" t="str">
        <f t="shared" si="75"/>
        <v/>
      </c>
      <c r="L97" s="212" t="str">
        <f t="shared" si="76"/>
        <v/>
      </c>
      <c r="M97" s="1125" t="str">
        <f>IF(OR($C97="",$C97=0),"",INDEX(API1DENST,MATCH($C97,'Vessel Gauging Data'!$B$27:$B$56,0),$AA$1))</f>
        <v/>
      </c>
      <c r="N97" s="212" t="str">
        <f t="shared" si="77"/>
        <v/>
      </c>
      <c r="O97" s="1016" t="str">
        <f t="shared" si="78"/>
        <v/>
      </c>
      <c r="P97" s="1125" t="str">
        <f t="shared" si="79"/>
        <v/>
      </c>
      <c r="Q97" s="1016" t="str">
        <f t="shared" si="80"/>
        <v/>
      </c>
      <c r="R97" s="214" t="str">
        <f t="shared" si="81"/>
        <v/>
      </c>
      <c r="S97" s="1125" t="str">
        <f t="shared" si="82"/>
        <v/>
      </c>
      <c r="T97" s="236" t="str">
        <f t="shared" si="83"/>
        <v/>
      </c>
      <c r="V97" s="642" t="e">
        <f>INDEX('Vessel Gauging Data'!$B$26:$V$56,MATCH($C97,'Vessel Gauging Data'!$B$26:$B$56,0),$V$18)</f>
        <v>#N/A</v>
      </c>
      <c r="W97" s="642" t="e">
        <f>INDEX('Vessel Gauging Data'!$B$26:$V$56,MATCH($C97,'Vessel Gauging Data'!$B$26:$B$56,0),$W$18)</f>
        <v>#N/A</v>
      </c>
      <c r="X97" s="642" t="e">
        <f>INDEX('Vessel Gauging Data'!$B$26:$V$56,MATCH($C97,'Vessel Gauging Data'!$B$26:$B$56,0),$X$18)</f>
        <v>#N/A</v>
      </c>
      <c r="Y97" s="642" t="e">
        <f>INDEX('Vessel Gauging Data'!$B$26:$V$56,MATCH($C97,'Vessel Gauging Data'!$B$26:$B$56,0),$Y$18)</f>
        <v>#N/A</v>
      </c>
      <c r="Z97" s="642" t="e">
        <f>INDEX('Vessel Gauging Data'!$B$26:$V$56,MATCH($C97,'Vessel Gauging Data'!$B$26:$B$56,0),$Z$18)</f>
        <v>#N/A</v>
      </c>
      <c r="AB97" s="642" t="e">
        <f>INDEX(API1DENST,MATCH($C97,'Vessel Gauging Data'!$B$27:$B$56,0),1)</f>
        <v>#N/A</v>
      </c>
      <c r="AC97" s="642" t="e">
        <f t="shared" si="86"/>
        <v>#N/A</v>
      </c>
      <c r="AE97" s="661" t="e">
        <f t="shared" si="87"/>
        <v>#VALUE!</v>
      </c>
      <c r="AF97" s="661" t="e">
        <f t="shared" si="88"/>
        <v>#VALUE!</v>
      </c>
      <c r="AH97" s="662" t="str">
        <f t="shared" si="84"/>
        <v/>
      </c>
      <c r="AI97" s="662" t="str">
        <f t="shared" si="85"/>
        <v/>
      </c>
      <c r="AJ97" s="663">
        <f t="shared" si="89"/>
        <v>192.4571</v>
      </c>
      <c r="AK97" s="660">
        <f t="shared" si="90"/>
        <v>0.24379999999999999</v>
      </c>
      <c r="AL97" s="660" t="e">
        <f t="shared" si="91"/>
        <v>#VALUE!</v>
      </c>
      <c r="AM97" s="664" t="e">
        <f t="shared" si="92"/>
        <v>#VALUE!</v>
      </c>
      <c r="AN97" s="664" t="e">
        <f t="shared" si="93"/>
        <v>#VALUE!</v>
      </c>
      <c r="AO97" s="665" t="e">
        <f t="shared" si="94"/>
        <v>#VALUE!</v>
      </c>
      <c r="AP97" s="666" t="e">
        <f t="shared" si="95"/>
        <v>#VALUE!</v>
      </c>
      <c r="AQ97" s="660" t="e">
        <f t="shared" si="96"/>
        <v>#VALUE!</v>
      </c>
      <c r="AR97" s="667" t="e">
        <f t="shared" si="97"/>
        <v>#VALUE!</v>
      </c>
      <c r="AS97" s="667" t="e">
        <f t="shared" si="98"/>
        <v>#VALUE!</v>
      </c>
      <c r="AT97" s="668" t="e">
        <f t="shared" si="99"/>
        <v>#VALUE!</v>
      </c>
      <c r="AU97" s="667" t="e">
        <f t="shared" si="100"/>
        <v>#VALUE!</v>
      </c>
      <c r="AV97" s="669" t="e">
        <f t="shared" si="101"/>
        <v>#VALUE!</v>
      </c>
      <c r="AW97" s="667" t="e">
        <f t="shared" si="102"/>
        <v>#VALUE!</v>
      </c>
      <c r="AX97" s="667" t="e">
        <f t="shared" si="103"/>
        <v>#VALUE!</v>
      </c>
      <c r="AY97" s="660" t="e">
        <f t="shared" si="104"/>
        <v>#VALUE!</v>
      </c>
      <c r="AZ97" s="670" t="e">
        <f t="shared" si="105"/>
        <v>#VALUE!</v>
      </c>
      <c r="BB97" s="662" t="e">
        <f>INDEX('Vessel Gauging Data'!$B$26:$V$56,MATCH($C97,'Vessel Gauging Data'!$B$26:$B$56,0),$BB$18)</f>
        <v>#N/A</v>
      </c>
      <c r="BC97" s="662" t="e">
        <f>INDEX('Vessel Gauging Data'!$B$26:$V$56,MATCH($C97,'Vessel Gauging Data'!$B$26:$B$56,0),$BC$18)</f>
        <v>#N/A</v>
      </c>
      <c r="BD97" s="662" t="e">
        <f>INDEX('Vessel Gauging Data'!$B$26:$V$56,MATCH($C97,'Vessel Gauging Data'!$B$26:$B$56,0),$BD$18)</f>
        <v>#N/A</v>
      </c>
      <c r="BE97" s="662" t="e">
        <f>INDEX('Vessel Gauging Data'!$B$26:$V$56,MATCH($C97,'Vessel Gauging Data'!$B$26:$B$56,0),$BE$18)</f>
        <v>#N/A</v>
      </c>
    </row>
    <row r="98" spans="1:57" hidden="1">
      <c r="A98" s="641" t="str">
        <f t="shared" si="69"/>
        <v>N</v>
      </c>
      <c r="C98" s="235" t="str">
        <f t="array" ref="C98">IF(OR($E$90="",SUMPRODUCT(('Vessel Gauging Data'!$C$27:$C$56=$E$90)*('Vessel Gauging Data'!$D$27:$D$56=NOMY))&lt;ROWS($C$91:$C98)),"",INDEX('Vessel Gauging Data'!$B$27:$B$56,SMALL(IF(('Vessel Gauging Data'!$C$27:$C$56=$E$90)+('Vessel Gauging Data'!$D$27:$D$56=NOMY)=2,ROW('Vessel Gauging Data'!$B$27:$B$56)-ROW('Vessel Gauging Data'!$C$26)),ROW()-ROW(C$90))))</f>
        <v/>
      </c>
      <c r="D98" s="211" t="str">
        <f>IF(OR($C98="",$C98=0),"",INDEX('Vessel Gauging Data'!$B$26:$V$56,MATCH($C98,'Vessel Gauging Data'!$B$27:$B$56,0)+1,2))</f>
        <v/>
      </c>
      <c r="E98" s="1016" t="str">
        <f t="shared" si="70"/>
        <v/>
      </c>
      <c r="F98" s="1016" t="str">
        <f t="shared" si="71"/>
        <v/>
      </c>
      <c r="G98" s="1016" t="str">
        <f t="shared" si="72"/>
        <v/>
      </c>
      <c r="H98" s="1016" t="str">
        <f t="shared" si="72"/>
        <v/>
      </c>
      <c r="I98" s="211" t="str">
        <f t="shared" si="73"/>
        <v/>
      </c>
      <c r="J98" s="1016" t="str">
        <f t="shared" si="74"/>
        <v/>
      </c>
      <c r="K98" s="213" t="str">
        <f t="shared" si="75"/>
        <v/>
      </c>
      <c r="L98" s="212" t="str">
        <f t="shared" si="76"/>
        <v/>
      </c>
      <c r="M98" s="1125" t="str">
        <f>IF(OR($C98="",$C98=0),"",INDEX(API1DENST,MATCH($C98,'Vessel Gauging Data'!$B$27:$B$56,0),$AA$1))</f>
        <v/>
      </c>
      <c r="N98" s="212" t="str">
        <f t="shared" si="77"/>
        <v/>
      </c>
      <c r="O98" s="1016" t="str">
        <f t="shared" si="78"/>
        <v/>
      </c>
      <c r="P98" s="1125" t="str">
        <f t="shared" si="79"/>
        <v/>
      </c>
      <c r="Q98" s="1016" t="str">
        <f t="shared" si="80"/>
        <v/>
      </c>
      <c r="R98" s="214" t="str">
        <f t="shared" si="81"/>
        <v/>
      </c>
      <c r="S98" s="1125" t="str">
        <f t="shared" si="82"/>
        <v/>
      </c>
      <c r="T98" s="236" t="str">
        <f t="shared" si="83"/>
        <v/>
      </c>
      <c r="V98" s="642" t="e">
        <f>INDEX('Vessel Gauging Data'!$B$26:$V$56,MATCH($C98,'Vessel Gauging Data'!$B$26:$B$56,0),$V$18)</f>
        <v>#N/A</v>
      </c>
      <c r="W98" s="642" t="e">
        <f>INDEX('Vessel Gauging Data'!$B$26:$V$56,MATCH($C98,'Vessel Gauging Data'!$B$26:$B$56,0),$W$18)</f>
        <v>#N/A</v>
      </c>
      <c r="X98" s="642" t="e">
        <f>INDEX('Vessel Gauging Data'!$B$26:$V$56,MATCH($C98,'Vessel Gauging Data'!$B$26:$B$56,0),$X$18)</f>
        <v>#N/A</v>
      </c>
      <c r="Y98" s="642" t="e">
        <f>INDEX('Vessel Gauging Data'!$B$26:$V$56,MATCH($C98,'Vessel Gauging Data'!$B$26:$B$56,0),$Y$18)</f>
        <v>#N/A</v>
      </c>
      <c r="Z98" s="642" t="e">
        <f>INDEX('Vessel Gauging Data'!$B$26:$V$56,MATCH($C98,'Vessel Gauging Data'!$B$26:$B$56,0),$Z$18)</f>
        <v>#N/A</v>
      </c>
      <c r="AB98" s="642" t="e">
        <f>INDEX(API1DENST,MATCH($C98,'Vessel Gauging Data'!$B$27:$B$56,0),1)</f>
        <v>#N/A</v>
      </c>
      <c r="AC98" s="642" t="e">
        <f t="shared" si="86"/>
        <v>#N/A</v>
      </c>
      <c r="AE98" s="661" t="e">
        <f t="shared" si="87"/>
        <v>#VALUE!</v>
      </c>
      <c r="AF98" s="661" t="e">
        <f t="shared" si="88"/>
        <v>#VALUE!</v>
      </c>
      <c r="AH98" s="662" t="str">
        <f t="shared" si="84"/>
        <v/>
      </c>
      <c r="AI98" s="662" t="str">
        <f t="shared" si="85"/>
        <v/>
      </c>
      <c r="AJ98" s="663">
        <f t="shared" si="89"/>
        <v>192.4571</v>
      </c>
      <c r="AK98" s="660">
        <f t="shared" si="90"/>
        <v>0.24379999999999999</v>
      </c>
      <c r="AL98" s="660" t="e">
        <f t="shared" si="91"/>
        <v>#VALUE!</v>
      </c>
      <c r="AM98" s="664" t="e">
        <f t="shared" si="92"/>
        <v>#VALUE!</v>
      </c>
      <c r="AN98" s="664" t="e">
        <f t="shared" si="93"/>
        <v>#VALUE!</v>
      </c>
      <c r="AO98" s="665" t="e">
        <f t="shared" si="94"/>
        <v>#VALUE!</v>
      </c>
      <c r="AP98" s="666" t="e">
        <f t="shared" si="95"/>
        <v>#VALUE!</v>
      </c>
      <c r="AQ98" s="660" t="e">
        <f t="shared" si="96"/>
        <v>#VALUE!</v>
      </c>
      <c r="AR98" s="667" t="e">
        <f t="shared" si="97"/>
        <v>#VALUE!</v>
      </c>
      <c r="AS98" s="667" t="e">
        <f t="shared" si="98"/>
        <v>#VALUE!</v>
      </c>
      <c r="AT98" s="668" t="e">
        <f t="shared" si="99"/>
        <v>#VALUE!</v>
      </c>
      <c r="AU98" s="667" t="e">
        <f t="shared" si="100"/>
        <v>#VALUE!</v>
      </c>
      <c r="AV98" s="669" t="e">
        <f t="shared" si="101"/>
        <v>#VALUE!</v>
      </c>
      <c r="AW98" s="667" t="e">
        <f t="shared" si="102"/>
        <v>#VALUE!</v>
      </c>
      <c r="AX98" s="667" t="e">
        <f t="shared" si="103"/>
        <v>#VALUE!</v>
      </c>
      <c r="AY98" s="660" t="e">
        <f t="shared" si="104"/>
        <v>#VALUE!</v>
      </c>
      <c r="AZ98" s="670" t="e">
        <f t="shared" si="105"/>
        <v>#VALUE!</v>
      </c>
      <c r="BB98" s="662" t="e">
        <f>INDEX('Vessel Gauging Data'!$B$26:$V$56,MATCH($C98,'Vessel Gauging Data'!$B$26:$B$56,0),$BB$18)</f>
        <v>#N/A</v>
      </c>
      <c r="BC98" s="662" t="e">
        <f>INDEX('Vessel Gauging Data'!$B$26:$V$56,MATCH($C98,'Vessel Gauging Data'!$B$26:$B$56,0),$BC$18)</f>
        <v>#N/A</v>
      </c>
      <c r="BD98" s="662" t="e">
        <f>INDEX('Vessel Gauging Data'!$B$26:$V$56,MATCH($C98,'Vessel Gauging Data'!$B$26:$B$56,0),$BD$18)</f>
        <v>#N/A</v>
      </c>
      <c r="BE98" s="662" t="e">
        <f>INDEX('Vessel Gauging Data'!$B$26:$V$56,MATCH($C98,'Vessel Gauging Data'!$B$26:$B$56,0),$BE$18)</f>
        <v>#N/A</v>
      </c>
    </row>
    <row r="99" spans="1:57" hidden="1">
      <c r="A99" s="641" t="str">
        <f t="shared" si="69"/>
        <v>N</v>
      </c>
      <c r="C99" s="235" t="str">
        <f t="array" ref="C99">IF(OR($E$90="",SUMPRODUCT(('Vessel Gauging Data'!$C$27:$C$56=$E$90)*('Vessel Gauging Data'!$D$27:$D$56=NOMY))&lt;ROWS($C$91:$C99)),"",INDEX('Vessel Gauging Data'!$B$27:$B$56,SMALL(IF(('Vessel Gauging Data'!$C$27:$C$56=$E$90)+('Vessel Gauging Data'!$D$27:$D$56=NOMY)=2,ROW('Vessel Gauging Data'!$B$27:$B$56)-ROW('Vessel Gauging Data'!$C$26)),ROW()-ROW(C$90))))</f>
        <v/>
      </c>
      <c r="D99" s="211" t="str">
        <f>IF(OR($C99="",$C99=0),"",INDEX('Vessel Gauging Data'!$B$26:$V$56,MATCH($C99,'Vessel Gauging Data'!$B$27:$B$56,0)+1,2))</f>
        <v/>
      </c>
      <c r="E99" s="1016" t="str">
        <f t="shared" si="70"/>
        <v/>
      </c>
      <c r="F99" s="1016" t="str">
        <f t="shared" si="71"/>
        <v/>
      </c>
      <c r="G99" s="1016" t="str">
        <f t="shared" si="72"/>
        <v/>
      </c>
      <c r="H99" s="1016" t="str">
        <f t="shared" si="72"/>
        <v/>
      </c>
      <c r="I99" s="211" t="str">
        <f t="shared" si="73"/>
        <v/>
      </c>
      <c r="J99" s="1016" t="str">
        <f t="shared" si="74"/>
        <v/>
      </c>
      <c r="K99" s="213" t="str">
        <f t="shared" si="75"/>
        <v/>
      </c>
      <c r="L99" s="212" t="str">
        <f t="shared" si="76"/>
        <v/>
      </c>
      <c r="M99" s="1125" t="str">
        <f>IF(OR($C99="",$C99=0),"",INDEX(API1DENST,MATCH($C99,'Vessel Gauging Data'!$B$27:$B$56,0),$AA$1))</f>
        <v/>
      </c>
      <c r="N99" s="212" t="str">
        <f t="shared" si="77"/>
        <v/>
      </c>
      <c r="O99" s="1016" t="str">
        <f t="shared" si="78"/>
        <v/>
      </c>
      <c r="P99" s="1125" t="str">
        <f t="shared" si="79"/>
        <v/>
      </c>
      <c r="Q99" s="1016" t="str">
        <f t="shared" si="80"/>
        <v/>
      </c>
      <c r="R99" s="214" t="str">
        <f t="shared" si="81"/>
        <v/>
      </c>
      <c r="S99" s="1125" t="str">
        <f t="shared" si="82"/>
        <v/>
      </c>
      <c r="T99" s="236" t="str">
        <f t="shared" si="83"/>
        <v/>
      </c>
      <c r="V99" s="642" t="e">
        <f>INDEX('Vessel Gauging Data'!$B$26:$V$56,MATCH($C99,'Vessel Gauging Data'!$B$26:$B$56,0),$V$18)</f>
        <v>#N/A</v>
      </c>
      <c r="W99" s="642" t="e">
        <f>INDEX('Vessel Gauging Data'!$B$26:$V$56,MATCH($C99,'Vessel Gauging Data'!$B$26:$B$56,0),$W$18)</f>
        <v>#N/A</v>
      </c>
      <c r="X99" s="642" t="e">
        <f>INDEX('Vessel Gauging Data'!$B$26:$V$56,MATCH($C99,'Vessel Gauging Data'!$B$26:$B$56,0),$X$18)</f>
        <v>#N/A</v>
      </c>
      <c r="Y99" s="642" t="e">
        <f>INDEX('Vessel Gauging Data'!$B$26:$V$56,MATCH($C99,'Vessel Gauging Data'!$B$26:$B$56,0),$Y$18)</f>
        <v>#N/A</v>
      </c>
      <c r="Z99" s="642" t="e">
        <f>INDEX('Vessel Gauging Data'!$B$26:$V$56,MATCH($C99,'Vessel Gauging Data'!$B$26:$B$56,0),$Z$18)</f>
        <v>#N/A</v>
      </c>
      <c r="AB99" s="642" t="e">
        <f>INDEX(API1DENST,MATCH($C99,'Vessel Gauging Data'!$B$27:$B$56,0),1)</f>
        <v>#N/A</v>
      </c>
      <c r="AC99" s="642" t="e">
        <f t="shared" si="86"/>
        <v>#N/A</v>
      </c>
      <c r="AE99" s="661" t="e">
        <f t="shared" si="87"/>
        <v>#VALUE!</v>
      </c>
      <c r="AF99" s="661" t="e">
        <f t="shared" si="88"/>
        <v>#VALUE!</v>
      </c>
      <c r="AH99" s="662" t="str">
        <f t="shared" si="84"/>
        <v/>
      </c>
      <c r="AI99" s="662" t="str">
        <f t="shared" si="85"/>
        <v/>
      </c>
      <c r="AJ99" s="663">
        <f t="shared" si="89"/>
        <v>192.4571</v>
      </c>
      <c r="AK99" s="660">
        <f t="shared" si="90"/>
        <v>0.24379999999999999</v>
      </c>
      <c r="AL99" s="660" t="e">
        <f t="shared" si="91"/>
        <v>#VALUE!</v>
      </c>
      <c r="AM99" s="664" t="e">
        <f t="shared" si="92"/>
        <v>#VALUE!</v>
      </c>
      <c r="AN99" s="664" t="e">
        <f t="shared" si="93"/>
        <v>#VALUE!</v>
      </c>
      <c r="AO99" s="665" t="e">
        <f t="shared" si="94"/>
        <v>#VALUE!</v>
      </c>
      <c r="AP99" s="666" t="e">
        <f t="shared" si="95"/>
        <v>#VALUE!</v>
      </c>
      <c r="AQ99" s="660" t="e">
        <f t="shared" si="96"/>
        <v>#VALUE!</v>
      </c>
      <c r="AR99" s="667" t="e">
        <f t="shared" si="97"/>
        <v>#VALUE!</v>
      </c>
      <c r="AS99" s="667" t="e">
        <f t="shared" si="98"/>
        <v>#VALUE!</v>
      </c>
      <c r="AT99" s="668" t="e">
        <f t="shared" si="99"/>
        <v>#VALUE!</v>
      </c>
      <c r="AU99" s="667" t="e">
        <f t="shared" si="100"/>
        <v>#VALUE!</v>
      </c>
      <c r="AV99" s="669" t="e">
        <f t="shared" si="101"/>
        <v>#VALUE!</v>
      </c>
      <c r="AW99" s="667" t="e">
        <f t="shared" si="102"/>
        <v>#VALUE!</v>
      </c>
      <c r="AX99" s="667" t="e">
        <f t="shared" si="103"/>
        <v>#VALUE!</v>
      </c>
      <c r="AY99" s="660" t="e">
        <f t="shared" si="104"/>
        <v>#VALUE!</v>
      </c>
      <c r="AZ99" s="670" t="e">
        <f t="shared" si="105"/>
        <v>#VALUE!</v>
      </c>
      <c r="BB99" s="662" t="e">
        <f>INDEX('Vessel Gauging Data'!$B$26:$V$56,MATCH($C99,'Vessel Gauging Data'!$B$26:$B$56,0),$BB$18)</f>
        <v>#N/A</v>
      </c>
      <c r="BC99" s="662" t="e">
        <f>INDEX('Vessel Gauging Data'!$B$26:$V$56,MATCH($C99,'Vessel Gauging Data'!$B$26:$B$56,0),$BC$18)</f>
        <v>#N/A</v>
      </c>
      <c r="BD99" s="662" t="e">
        <f>INDEX('Vessel Gauging Data'!$B$26:$V$56,MATCH($C99,'Vessel Gauging Data'!$B$26:$B$56,0),$BD$18)</f>
        <v>#N/A</v>
      </c>
      <c r="BE99" s="662" t="e">
        <f>INDEX('Vessel Gauging Data'!$B$26:$V$56,MATCH($C99,'Vessel Gauging Data'!$B$26:$B$56,0),$BE$18)</f>
        <v>#N/A</v>
      </c>
    </row>
    <row r="100" spans="1:57" hidden="1">
      <c r="A100" s="641" t="str">
        <f t="shared" si="69"/>
        <v>N</v>
      </c>
      <c r="C100" s="235" t="str">
        <f t="array" ref="C100">IF(OR($E$90="",SUMPRODUCT(('Vessel Gauging Data'!$C$27:$C$56=$E$90)*('Vessel Gauging Data'!$D$27:$D$56=NOMY))&lt;ROWS($C$91:$C100)),"",INDEX('Vessel Gauging Data'!$B$27:$B$56,SMALL(IF(('Vessel Gauging Data'!$C$27:$C$56=$E$90)+('Vessel Gauging Data'!$D$27:$D$56=NOMY)=2,ROW('Vessel Gauging Data'!$B$27:$B$56)-ROW('Vessel Gauging Data'!$C$26)),ROW()-ROW(C$90))))</f>
        <v/>
      </c>
      <c r="D100" s="211" t="str">
        <f>IF(OR($C100="",$C100=0),"",INDEX('Vessel Gauging Data'!$B$26:$V$56,MATCH($C100,'Vessel Gauging Data'!$B$27:$B$56,0)+1,2))</f>
        <v/>
      </c>
      <c r="E100" s="1016" t="str">
        <f t="shared" si="70"/>
        <v/>
      </c>
      <c r="F100" s="1016" t="str">
        <f t="shared" si="71"/>
        <v/>
      </c>
      <c r="G100" s="1016" t="str">
        <f t="shared" si="72"/>
        <v/>
      </c>
      <c r="H100" s="1016" t="str">
        <f t="shared" si="72"/>
        <v/>
      </c>
      <c r="I100" s="211" t="str">
        <f t="shared" si="73"/>
        <v/>
      </c>
      <c r="J100" s="1016" t="str">
        <f t="shared" si="74"/>
        <v/>
      </c>
      <c r="K100" s="213" t="str">
        <f t="shared" si="75"/>
        <v/>
      </c>
      <c r="L100" s="212" t="str">
        <f t="shared" si="76"/>
        <v/>
      </c>
      <c r="M100" s="1125" t="str">
        <f>IF(OR($C100="",$C100=0),"",INDEX(API1DENST,MATCH($C100,'Vessel Gauging Data'!$B$27:$B$56,0),$AA$1))</f>
        <v/>
      </c>
      <c r="N100" s="212" t="str">
        <f t="shared" si="77"/>
        <v/>
      </c>
      <c r="O100" s="1016" t="str">
        <f t="shared" si="78"/>
        <v/>
      </c>
      <c r="P100" s="1125" t="str">
        <f t="shared" si="79"/>
        <v/>
      </c>
      <c r="Q100" s="1016" t="str">
        <f t="shared" si="80"/>
        <v/>
      </c>
      <c r="R100" s="214" t="str">
        <f t="shared" si="81"/>
        <v/>
      </c>
      <c r="S100" s="1125" t="str">
        <f t="shared" si="82"/>
        <v/>
      </c>
      <c r="T100" s="236" t="str">
        <f t="shared" si="83"/>
        <v/>
      </c>
      <c r="V100" s="642" t="e">
        <f>INDEX('Vessel Gauging Data'!$B$26:$V$56,MATCH($C100,'Vessel Gauging Data'!$B$26:$B$56,0),$V$18)</f>
        <v>#N/A</v>
      </c>
      <c r="W100" s="642" t="e">
        <f>INDEX('Vessel Gauging Data'!$B$26:$V$56,MATCH($C100,'Vessel Gauging Data'!$B$26:$B$56,0),$W$18)</f>
        <v>#N/A</v>
      </c>
      <c r="X100" s="642" t="e">
        <f>INDEX('Vessel Gauging Data'!$B$26:$V$56,MATCH($C100,'Vessel Gauging Data'!$B$26:$B$56,0),$X$18)</f>
        <v>#N/A</v>
      </c>
      <c r="Y100" s="642" t="e">
        <f>INDEX('Vessel Gauging Data'!$B$26:$V$56,MATCH($C100,'Vessel Gauging Data'!$B$26:$B$56,0),$Y$18)</f>
        <v>#N/A</v>
      </c>
      <c r="Z100" s="642" t="e">
        <f>INDEX('Vessel Gauging Data'!$B$26:$V$56,MATCH($C100,'Vessel Gauging Data'!$B$26:$B$56,0),$Z$18)</f>
        <v>#N/A</v>
      </c>
      <c r="AB100" s="642" t="e">
        <f>INDEX(API1DENST,MATCH($C100,'Vessel Gauging Data'!$B$27:$B$56,0),1)</f>
        <v>#N/A</v>
      </c>
      <c r="AC100" s="642" t="e">
        <f t="shared" si="86"/>
        <v>#N/A</v>
      </c>
      <c r="AE100" s="661" t="e">
        <f t="shared" si="87"/>
        <v>#VALUE!</v>
      </c>
      <c r="AF100" s="661" t="e">
        <f t="shared" si="88"/>
        <v>#VALUE!</v>
      </c>
      <c r="AH100" s="662" t="str">
        <f t="shared" si="84"/>
        <v/>
      </c>
      <c r="AI100" s="662" t="str">
        <f t="shared" si="85"/>
        <v/>
      </c>
      <c r="AJ100" s="663">
        <f t="shared" si="89"/>
        <v>192.4571</v>
      </c>
      <c r="AK100" s="660">
        <f t="shared" si="90"/>
        <v>0.24379999999999999</v>
      </c>
      <c r="AL100" s="660" t="e">
        <f t="shared" si="91"/>
        <v>#VALUE!</v>
      </c>
      <c r="AM100" s="664" t="e">
        <f t="shared" si="92"/>
        <v>#VALUE!</v>
      </c>
      <c r="AN100" s="664" t="e">
        <f t="shared" si="93"/>
        <v>#VALUE!</v>
      </c>
      <c r="AO100" s="665" t="e">
        <f t="shared" si="94"/>
        <v>#VALUE!</v>
      </c>
      <c r="AP100" s="666" t="e">
        <f t="shared" si="95"/>
        <v>#VALUE!</v>
      </c>
      <c r="AQ100" s="660" t="e">
        <f t="shared" si="96"/>
        <v>#VALUE!</v>
      </c>
      <c r="AR100" s="667" t="e">
        <f t="shared" si="97"/>
        <v>#VALUE!</v>
      </c>
      <c r="AS100" s="667" t="e">
        <f t="shared" si="98"/>
        <v>#VALUE!</v>
      </c>
      <c r="AT100" s="668" t="e">
        <f t="shared" si="99"/>
        <v>#VALUE!</v>
      </c>
      <c r="AU100" s="667" t="e">
        <f t="shared" si="100"/>
        <v>#VALUE!</v>
      </c>
      <c r="AV100" s="669" t="e">
        <f t="shared" si="101"/>
        <v>#VALUE!</v>
      </c>
      <c r="AW100" s="667" t="e">
        <f t="shared" si="102"/>
        <v>#VALUE!</v>
      </c>
      <c r="AX100" s="667" t="e">
        <f t="shared" si="103"/>
        <v>#VALUE!</v>
      </c>
      <c r="AY100" s="660" t="e">
        <f t="shared" si="104"/>
        <v>#VALUE!</v>
      </c>
      <c r="AZ100" s="670" t="e">
        <f t="shared" si="105"/>
        <v>#VALUE!</v>
      </c>
      <c r="BB100" s="662" t="e">
        <f>INDEX('Vessel Gauging Data'!$B$26:$V$56,MATCH($C100,'Vessel Gauging Data'!$B$26:$B$56,0),$BB$18)</f>
        <v>#N/A</v>
      </c>
      <c r="BC100" s="662" t="e">
        <f>INDEX('Vessel Gauging Data'!$B$26:$V$56,MATCH($C100,'Vessel Gauging Data'!$B$26:$B$56,0),$BC$18)</f>
        <v>#N/A</v>
      </c>
      <c r="BD100" s="662" t="e">
        <f>INDEX('Vessel Gauging Data'!$B$26:$V$56,MATCH($C100,'Vessel Gauging Data'!$B$26:$B$56,0),$BD$18)</f>
        <v>#N/A</v>
      </c>
      <c r="BE100" s="662" t="e">
        <f>INDEX('Vessel Gauging Data'!$B$26:$V$56,MATCH($C100,'Vessel Gauging Data'!$B$26:$B$56,0),$BE$18)</f>
        <v>#N/A</v>
      </c>
    </row>
    <row r="101" spans="1:57" hidden="1">
      <c r="A101" s="641" t="str">
        <f t="shared" si="69"/>
        <v>N</v>
      </c>
      <c r="C101" s="235" t="str">
        <f t="array" ref="C101">IF(OR($E$90="",SUMPRODUCT(('Vessel Gauging Data'!$C$27:$C$56=$E$90)*('Vessel Gauging Data'!$D$27:$D$56=NOMY))&lt;ROWS($C$91:$C101)),"",INDEX('Vessel Gauging Data'!$B$27:$B$56,SMALL(IF(('Vessel Gauging Data'!$C$27:$C$56=$E$90)+('Vessel Gauging Data'!$D$27:$D$56=NOMY)=2,ROW('Vessel Gauging Data'!$B$27:$B$56)-ROW('Vessel Gauging Data'!$C$26)),ROW()-ROW(C$90))))</f>
        <v/>
      </c>
      <c r="D101" s="211" t="str">
        <f>IF(OR($C101="",$C101=0),"",INDEX('Vessel Gauging Data'!$B$26:$V$56,MATCH($C101,'Vessel Gauging Data'!$B$27:$B$56,0)+1,2))</f>
        <v/>
      </c>
      <c r="E101" s="1016" t="str">
        <f t="shared" si="70"/>
        <v/>
      </c>
      <c r="F101" s="1016" t="str">
        <f t="shared" si="71"/>
        <v/>
      </c>
      <c r="G101" s="1016" t="str">
        <f t="shared" si="72"/>
        <v/>
      </c>
      <c r="H101" s="1016" t="str">
        <f t="shared" si="72"/>
        <v/>
      </c>
      <c r="I101" s="211" t="str">
        <f t="shared" si="73"/>
        <v/>
      </c>
      <c r="J101" s="1016" t="str">
        <f t="shared" si="74"/>
        <v/>
      </c>
      <c r="K101" s="213" t="str">
        <f t="shared" si="75"/>
        <v/>
      </c>
      <c r="L101" s="212" t="str">
        <f t="shared" si="76"/>
        <v/>
      </c>
      <c r="M101" s="1125" t="str">
        <f>IF(OR($C101="",$C101=0),"",INDEX(API1DENST,MATCH($C101,'Vessel Gauging Data'!$B$27:$B$56,0),$AA$1))</f>
        <v/>
      </c>
      <c r="N101" s="212" t="str">
        <f t="shared" si="77"/>
        <v/>
      </c>
      <c r="O101" s="1016" t="str">
        <f t="shared" si="78"/>
        <v/>
      </c>
      <c r="P101" s="1125" t="str">
        <f t="shared" si="79"/>
        <v/>
      </c>
      <c r="Q101" s="1016" t="str">
        <f t="shared" si="80"/>
        <v/>
      </c>
      <c r="R101" s="214" t="str">
        <f t="shared" si="81"/>
        <v/>
      </c>
      <c r="S101" s="1125" t="str">
        <f t="shared" si="82"/>
        <v/>
      </c>
      <c r="T101" s="236" t="str">
        <f t="shared" si="83"/>
        <v/>
      </c>
      <c r="V101" s="642" t="e">
        <f>INDEX('Vessel Gauging Data'!$B$26:$V$56,MATCH($C101,'Vessel Gauging Data'!$B$26:$B$56,0),$V$18)</f>
        <v>#N/A</v>
      </c>
      <c r="W101" s="642" t="e">
        <f>INDEX('Vessel Gauging Data'!$B$26:$V$56,MATCH($C101,'Vessel Gauging Data'!$B$26:$B$56,0),$W$18)</f>
        <v>#N/A</v>
      </c>
      <c r="X101" s="642" t="e">
        <f>INDEX('Vessel Gauging Data'!$B$26:$V$56,MATCH($C101,'Vessel Gauging Data'!$B$26:$B$56,0),$X$18)</f>
        <v>#N/A</v>
      </c>
      <c r="Y101" s="642" t="e">
        <f>INDEX('Vessel Gauging Data'!$B$26:$V$56,MATCH($C101,'Vessel Gauging Data'!$B$26:$B$56,0),$Y$18)</f>
        <v>#N/A</v>
      </c>
      <c r="Z101" s="642" t="e">
        <f>INDEX('Vessel Gauging Data'!$B$26:$V$56,MATCH($C101,'Vessel Gauging Data'!$B$26:$B$56,0),$Z$18)</f>
        <v>#N/A</v>
      </c>
      <c r="AB101" s="642" t="e">
        <f>INDEX(API1DENST,MATCH($C101,'Vessel Gauging Data'!$B$27:$B$56,0),1)</f>
        <v>#N/A</v>
      </c>
      <c r="AC101" s="642" t="e">
        <f t="shared" si="86"/>
        <v>#N/A</v>
      </c>
      <c r="AE101" s="661" t="e">
        <f t="shared" si="87"/>
        <v>#VALUE!</v>
      </c>
      <c r="AF101" s="661" t="e">
        <f t="shared" si="88"/>
        <v>#VALUE!</v>
      </c>
      <c r="AH101" s="662" t="str">
        <f t="shared" si="84"/>
        <v/>
      </c>
      <c r="AI101" s="662" t="str">
        <f t="shared" si="85"/>
        <v/>
      </c>
      <c r="AJ101" s="663">
        <f t="shared" si="89"/>
        <v>192.4571</v>
      </c>
      <c r="AK101" s="660">
        <f t="shared" si="90"/>
        <v>0.24379999999999999</v>
      </c>
      <c r="AL101" s="660" t="e">
        <f t="shared" si="91"/>
        <v>#VALUE!</v>
      </c>
      <c r="AM101" s="664" t="e">
        <f t="shared" si="92"/>
        <v>#VALUE!</v>
      </c>
      <c r="AN101" s="664" t="e">
        <f t="shared" si="93"/>
        <v>#VALUE!</v>
      </c>
      <c r="AO101" s="665" t="e">
        <f t="shared" si="94"/>
        <v>#VALUE!</v>
      </c>
      <c r="AP101" s="666" t="e">
        <f t="shared" si="95"/>
        <v>#VALUE!</v>
      </c>
      <c r="AQ101" s="660" t="e">
        <f t="shared" si="96"/>
        <v>#VALUE!</v>
      </c>
      <c r="AR101" s="667" t="e">
        <f t="shared" si="97"/>
        <v>#VALUE!</v>
      </c>
      <c r="AS101" s="667" t="e">
        <f t="shared" si="98"/>
        <v>#VALUE!</v>
      </c>
      <c r="AT101" s="668" t="e">
        <f t="shared" si="99"/>
        <v>#VALUE!</v>
      </c>
      <c r="AU101" s="667" t="e">
        <f t="shared" si="100"/>
        <v>#VALUE!</v>
      </c>
      <c r="AV101" s="669" t="e">
        <f t="shared" si="101"/>
        <v>#VALUE!</v>
      </c>
      <c r="AW101" s="667" t="e">
        <f t="shared" si="102"/>
        <v>#VALUE!</v>
      </c>
      <c r="AX101" s="667" t="e">
        <f t="shared" si="103"/>
        <v>#VALUE!</v>
      </c>
      <c r="AY101" s="660" t="e">
        <f t="shared" si="104"/>
        <v>#VALUE!</v>
      </c>
      <c r="AZ101" s="670" t="e">
        <f t="shared" si="105"/>
        <v>#VALUE!</v>
      </c>
      <c r="BB101" s="662" t="e">
        <f>INDEX('Vessel Gauging Data'!$B$26:$V$56,MATCH($C101,'Vessel Gauging Data'!$B$26:$B$56,0),$BB$18)</f>
        <v>#N/A</v>
      </c>
      <c r="BC101" s="662" t="e">
        <f>INDEX('Vessel Gauging Data'!$B$26:$V$56,MATCH($C101,'Vessel Gauging Data'!$B$26:$B$56,0),$BC$18)</f>
        <v>#N/A</v>
      </c>
      <c r="BD101" s="662" t="e">
        <f>INDEX('Vessel Gauging Data'!$B$26:$V$56,MATCH($C101,'Vessel Gauging Data'!$B$26:$B$56,0),$BD$18)</f>
        <v>#N/A</v>
      </c>
      <c r="BE101" s="662" t="e">
        <f>INDEX('Vessel Gauging Data'!$B$26:$V$56,MATCH($C101,'Vessel Gauging Data'!$B$26:$B$56,0),$BE$18)</f>
        <v>#N/A</v>
      </c>
    </row>
    <row r="102" spans="1:57" hidden="1">
      <c r="A102" s="641" t="str">
        <f t="shared" si="69"/>
        <v>N</v>
      </c>
      <c r="C102" s="235" t="str">
        <f t="array" ref="C102">IF(OR($E$90="",SUMPRODUCT(('Vessel Gauging Data'!$C$27:$C$56=$E$90)*('Vessel Gauging Data'!$D$27:$D$56=NOMY))&lt;ROWS($C$91:$C102)),"",INDEX('Vessel Gauging Data'!$B$27:$B$56,SMALL(IF(('Vessel Gauging Data'!$C$27:$C$56=$E$90)+('Vessel Gauging Data'!$D$27:$D$56=NOMY)=2,ROW('Vessel Gauging Data'!$B$27:$B$56)-ROW('Vessel Gauging Data'!$C$26)),ROW()-ROW(C$90))))</f>
        <v/>
      </c>
      <c r="D102" s="211" t="str">
        <f>IF(OR($C102="",$C102=0),"",INDEX('Vessel Gauging Data'!$B$26:$V$56,MATCH($C102,'Vessel Gauging Data'!$B$27:$B$56,0)+1,2))</f>
        <v/>
      </c>
      <c r="E102" s="1016" t="str">
        <f t="shared" si="70"/>
        <v/>
      </c>
      <c r="F102" s="1016" t="str">
        <f t="shared" si="71"/>
        <v/>
      </c>
      <c r="G102" s="1016" t="str">
        <f t="shared" si="72"/>
        <v/>
      </c>
      <c r="H102" s="1016" t="str">
        <f t="shared" si="72"/>
        <v/>
      </c>
      <c r="I102" s="211" t="str">
        <f t="shared" si="73"/>
        <v/>
      </c>
      <c r="J102" s="1016" t="str">
        <f t="shared" si="74"/>
        <v/>
      </c>
      <c r="K102" s="213" t="str">
        <f t="shared" si="75"/>
        <v/>
      </c>
      <c r="L102" s="212" t="str">
        <f t="shared" si="76"/>
        <v/>
      </c>
      <c r="M102" s="1125" t="str">
        <f>IF(OR($C102="",$C102=0),"",INDEX(API1DENST,MATCH($C102,'Vessel Gauging Data'!$B$27:$B$56,0),$AA$1))</f>
        <v/>
      </c>
      <c r="N102" s="212" t="str">
        <f t="shared" si="77"/>
        <v/>
      </c>
      <c r="O102" s="1016" t="str">
        <f t="shared" si="78"/>
        <v/>
      </c>
      <c r="P102" s="1125" t="str">
        <f t="shared" si="79"/>
        <v/>
      </c>
      <c r="Q102" s="1016" t="str">
        <f t="shared" si="80"/>
        <v/>
      </c>
      <c r="R102" s="214" t="str">
        <f t="shared" si="81"/>
        <v/>
      </c>
      <c r="S102" s="1125" t="str">
        <f t="shared" si="82"/>
        <v/>
      </c>
      <c r="T102" s="236" t="str">
        <f t="shared" si="83"/>
        <v/>
      </c>
      <c r="V102" s="642" t="e">
        <f>INDEX('Vessel Gauging Data'!$B$26:$V$56,MATCH($C102,'Vessel Gauging Data'!$B$26:$B$56,0),$V$18)</f>
        <v>#N/A</v>
      </c>
      <c r="W102" s="642" t="e">
        <f>INDEX('Vessel Gauging Data'!$B$26:$V$56,MATCH($C102,'Vessel Gauging Data'!$B$26:$B$56,0),$W$18)</f>
        <v>#N/A</v>
      </c>
      <c r="X102" s="642" t="e">
        <f>INDEX('Vessel Gauging Data'!$B$26:$V$56,MATCH($C102,'Vessel Gauging Data'!$B$26:$B$56,0),$X$18)</f>
        <v>#N/A</v>
      </c>
      <c r="Y102" s="642" t="e">
        <f>INDEX('Vessel Gauging Data'!$B$26:$V$56,MATCH($C102,'Vessel Gauging Data'!$B$26:$B$56,0),$Y$18)</f>
        <v>#N/A</v>
      </c>
      <c r="Z102" s="642" t="e">
        <f>INDEX('Vessel Gauging Data'!$B$26:$V$56,MATCH($C102,'Vessel Gauging Data'!$B$26:$B$56,0),$Z$18)</f>
        <v>#N/A</v>
      </c>
      <c r="AB102" s="642" t="e">
        <f>INDEX(API1DENST,MATCH($C102,'Vessel Gauging Data'!$B$27:$B$56,0),1)</f>
        <v>#N/A</v>
      </c>
      <c r="AC102" s="642" t="e">
        <f t="shared" si="86"/>
        <v>#N/A</v>
      </c>
      <c r="AE102" s="661" t="e">
        <f t="shared" si="87"/>
        <v>#VALUE!</v>
      </c>
      <c r="AF102" s="661" t="e">
        <f t="shared" si="88"/>
        <v>#VALUE!</v>
      </c>
      <c r="AH102" s="662" t="str">
        <f t="shared" si="84"/>
        <v/>
      </c>
      <c r="AI102" s="662" t="str">
        <f t="shared" si="85"/>
        <v/>
      </c>
      <c r="AJ102" s="663">
        <f t="shared" si="89"/>
        <v>192.4571</v>
      </c>
      <c r="AK102" s="660">
        <f t="shared" si="90"/>
        <v>0.24379999999999999</v>
      </c>
      <c r="AL102" s="660" t="e">
        <f t="shared" si="91"/>
        <v>#VALUE!</v>
      </c>
      <c r="AM102" s="664" t="e">
        <f t="shared" si="92"/>
        <v>#VALUE!</v>
      </c>
      <c r="AN102" s="664" t="e">
        <f t="shared" si="93"/>
        <v>#VALUE!</v>
      </c>
      <c r="AO102" s="665" t="e">
        <f t="shared" si="94"/>
        <v>#VALUE!</v>
      </c>
      <c r="AP102" s="666" t="e">
        <f t="shared" si="95"/>
        <v>#VALUE!</v>
      </c>
      <c r="AQ102" s="660" t="e">
        <f t="shared" si="96"/>
        <v>#VALUE!</v>
      </c>
      <c r="AR102" s="667" t="e">
        <f t="shared" si="97"/>
        <v>#VALUE!</v>
      </c>
      <c r="AS102" s="667" t="e">
        <f t="shared" si="98"/>
        <v>#VALUE!</v>
      </c>
      <c r="AT102" s="668" t="e">
        <f t="shared" si="99"/>
        <v>#VALUE!</v>
      </c>
      <c r="AU102" s="667" t="e">
        <f t="shared" si="100"/>
        <v>#VALUE!</v>
      </c>
      <c r="AV102" s="669" t="e">
        <f t="shared" si="101"/>
        <v>#VALUE!</v>
      </c>
      <c r="AW102" s="667" t="e">
        <f t="shared" si="102"/>
        <v>#VALUE!</v>
      </c>
      <c r="AX102" s="667" t="e">
        <f t="shared" si="103"/>
        <v>#VALUE!</v>
      </c>
      <c r="AY102" s="660" t="e">
        <f t="shared" si="104"/>
        <v>#VALUE!</v>
      </c>
      <c r="AZ102" s="670" t="e">
        <f t="shared" si="105"/>
        <v>#VALUE!</v>
      </c>
      <c r="BB102" s="662" t="e">
        <f>INDEX('Vessel Gauging Data'!$B$26:$V$56,MATCH($C102,'Vessel Gauging Data'!$B$26:$B$56,0),$BB$18)</f>
        <v>#N/A</v>
      </c>
      <c r="BC102" s="662" t="e">
        <f>INDEX('Vessel Gauging Data'!$B$26:$V$56,MATCH($C102,'Vessel Gauging Data'!$B$26:$B$56,0),$BC$18)</f>
        <v>#N/A</v>
      </c>
      <c r="BD102" s="662" t="e">
        <f>INDEX('Vessel Gauging Data'!$B$26:$V$56,MATCH($C102,'Vessel Gauging Data'!$B$26:$B$56,0),$BD$18)</f>
        <v>#N/A</v>
      </c>
      <c r="BE102" s="662" t="e">
        <f>INDEX('Vessel Gauging Data'!$B$26:$V$56,MATCH($C102,'Vessel Gauging Data'!$B$26:$B$56,0),$BE$18)</f>
        <v>#N/A</v>
      </c>
    </row>
    <row r="103" spans="1:57" hidden="1">
      <c r="A103" s="641" t="str">
        <f t="shared" si="69"/>
        <v>N</v>
      </c>
      <c r="C103" s="235" t="str">
        <f t="array" ref="C103">IF(OR($E$90="",SUMPRODUCT(('Vessel Gauging Data'!$C$27:$C$56=$E$90)*('Vessel Gauging Data'!$D$27:$D$56=NOMY))&lt;ROWS($C$91:$C103)),"",INDEX('Vessel Gauging Data'!$B$27:$B$56,SMALL(IF(('Vessel Gauging Data'!$C$27:$C$56=$E$90)+('Vessel Gauging Data'!$D$27:$D$56=NOMY)=2,ROW('Vessel Gauging Data'!$B$27:$B$56)-ROW('Vessel Gauging Data'!$C$26)),ROW()-ROW(C$90))))</f>
        <v/>
      </c>
      <c r="D103" s="211" t="str">
        <f>IF(OR($C103="",$C103=0),"",INDEX('Vessel Gauging Data'!$B$26:$V$56,MATCH($C103,'Vessel Gauging Data'!$B$27:$B$56,0)+1,2))</f>
        <v/>
      </c>
      <c r="E103" s="1016" t="str">
        <f t="shared" si="70"/>
        <v/>
      </c>
      <c r="F103" s="1016" t="str">
        <f t="shared" si="71"/>
        <v/>
      </c>
      <c r="G103" s="1016" t="str">
        <f t="shared" si="72"/>
        <v/>
      </c>
      <c r="H103" s="1016" t="str">
        <f t="shared" si="72"/>
        <v/>
      </c>
      <c r="I103" s="211" t="str">
        <f t="shared" si="73"/>
        <v/>
      </c>
      <c r="J103" s="1016" t="str">
        <f t="shared" si="74"/>
        <v/>
      </c>
      <c r="K103" s="213" t="str">
        <f t="shared" si="75"/>
        <v/>
      </c>
      <c r="L103" s="212" t="str">
        <f t="shared" si="76"/>
        <v/>
      </c>
      <c r="M103" s="1125" t="str">
        <f>IF(OR($C103="",$C103=0),"",INDEX(API1DENST,MATCH($C103,'Vessel Gauging Data'!$B$27:$B$56,0),$AA$1))</f>
        <v/>
      </c>
      <c r="N103" s="212" t="str">
        <f t="shared" si="77"/>
        <v/>
      </c>
      <c r="O103" s="1016" t="str">
        <f t="shared" si="78"/>
        <v/>
      </c>
      <c r="P103" s="1125" t="str">
        <f t="shared" si="79"/>
        <v/>
      </c>
      <c r="Q103" s="1016" t="str">
        <f t="shared" si="80"/>
        <v/>
      </c>
      <c r="R103" s="214" t="str">
        <f t="shared" si="81"/>
        <v/>
      </c>
      <c r="S103" s="1125" t="str">
        <f t="shared" si="82"/>
        <v/>
      </c>
      <c r="T103" s="236" t="str">
        <f t="shared" si="83"/>
        <v/>
      </c>
      <c r="V103" s="642" t="e">
        <f>INDEX('Vessel Gauging Data'!$B$26:$V$56,MATCH($C103,'Vessel Gauging Data'!$B$26:$B$56,0),$V$18)</f>
        <v>#N/A</v>
      </c>
      <c r="W103" s="642" t="e">
        <f>INDEX('Vessel Gauging Data'!$B$26:$V$56,MATCH($C103,'Vessel Gauging Data'!$B$26:$B$56,0),$W$18)</f>
        <v>#N/A</v>
      </c>
      <c r="X103" s="642" t="e">
        <f>INDEX('Vessel Gauging Data'!$B$26:$V$56,MATCH($C103,'Vessel Gauging Data'!$B$26:$B$56,0),$X$18)</f>
        <v>#N/A</v>
      </c>
      <c r="Y103" s="642" t="e">
        <f>INDEX('Vessel Gauging Data'!$B$26:$V$56,MATCH($C103,'Vessel Gauging Data'!$B$26:$B$56,0),$Y$18)</f>
        <v>#N/A</v>
      </c>
      <c r="Z103" s="642" t="e">
        <f>INDEX('Vessel Gauging Data'!$B$26:$V$56,MATCH($C103,'Vessel Gauging Data'!$B$26:$B$56,0),$Z$18)</f>
        <v>#N/A</v>
      </c>
      <c r="AB103" s="642" t="e">
        <f>INDEX(API1DENST,MATCH($C103,'Vessel Gauging Data'!$B$27:$B$56,0),1)</f>
        <v>#N/A</v>
      </c>
      <c r="AC103" s="642" t="e">
        <f t="shared" si="86"/>
        <v>#N/A</v>
      </c>
      <c r="AE103" s="661" t="e">
        <f t="shared" si="87"/>
        <v>#VALUE!</v>
      </c>
      <c r="AF103" s="661" t="e">
        <f t="shared" si="88"/>
        <v>#VALUE!</v>
      </c>
      <c r="AH103" s="662" t="str">
        <f t="shared" si="84"/>
        <v/>
      </c>
      <c r="AI103" s="662" t="str">
        <f t="shared" si="85"/>
        <v/>
      </c>
      <c r="AJ103" s="663">
        <f t="shared" si="89"/>
        <v>192.4571</v>
      </c>
      <c r="AK103" s="660">
        <f t="shared" si="90"/>
        <v>0.24379999999999999</v>
      </c>
      <c r="AL103" s="660" t="e">
        <f t="shared" si="91"/>
        <v>#VALUE!</v>
      </c>
      <c r="AM103" s="664" t="e">
        <f t="shared" si="92"/>
        <v>#VALUE!</v>
      </c>
      <c r="AN103" s="664" t="e">
        <f t="shared" si="93"/>
        <v>#VALUE!</v>
      </c>
      <c r="AO103" s="665" t="e">
        <f t="shared" si="94"/>
        <v>#VALUE!</v>
      </c>
      <c r="AP103" s="666" t="e">
        <f t="shared" si="95"/>
        <v>#VALUE!</v>
      </c>
      <c r="AQ103" s="660" t="e">
        <f t="shared" si="96"/>
        <v>#VALUE!</v>
      </c>
      <c r="AR103" s="667" t="e">
        <f t="shared" si="97"/>
        <v>#VALUE!</v>
      </c>
      <c r="AS103" s="667" t="e">
        <f t="shared" si="98"/>
        <v>#VALUE!</v>
      </c>
      <c r="AT103" s="668" t="e">
        <f t="shared" si="99"/>
        <v>#VALUE!</v>
      </c>
      <c r="AU103" s="667" t="e">
        <f t="shared" si="100"/>
        <v>#VALUE!</v>
      </c>
      <c r="AV103" s="669" t="e">
        <f t="shared" si="101"/>
        <v>#VALUE!</v>
      </c>
      <c r="AW103" s="667" t="e">
        <f t="shared" si="102"/>
        <v>#VALUE!</v>
      </c>
      <c r="AX103" s="667" t="e">
        <f t="shared" si="103"/>
        <v>#VALUE!</v>
      </c>
      <c r="AY103" s="660" t="e">
        <f t="shared" si="104"/>
        <v>#VALUE!</v>
      </c>
      <c r="AZ103" s="670" t="e">
        <f t="shared" si="105"/>
        <v>#VALUE!</v>
      </c>
      <c r="BB103" s="662" t="e">
        <f>INDEX('Vessel Gauging Data'!$B$26:$V$56,MATCH($C103,'Vessel Gauging Data'!$B$26:$B$56,0),$BB$18)</f>
        <v>#N/A</v>
      </c>
      <c r="BC103" s="662" t="e">
        <f>INDEX('Vessel Gauging Data'!$B$26:$V$56,MATCH($C103,'Vessel Gauging Data'!$B$26:$B$56,0),$BC$18)</f>
        <v>#N/A</v>
      </c>
      <c r="BD103" s="662" t="e">
        <f>INDEX('Vessel Gauging Data'!$B$26:$V$56,MATCH($C103,'Vessel Gauging Data'!$B$26:$B$56,0),$BD$18)</f>
        <v>#N/A</v>
      </c>
      <c r="BE103" s="662" t="e">
        <f>INDEX('Vessel Gauging Data'!$B$26:$V$56,MATCH($C103,'Vessel Gauging Data'!$B$26:$B$56,0),$BE$18)</f>
        <v>#N/A</v>
      </c>
    </row>
    <row r="104" spans="1:57" hidden="1">
      <c r="A104" s="641" t="str">
        <f t="shared" si="69"/>
        <v>N</v>
      </c>
      <c r="C104" s="235" t="str">
        <f t="array" ref="C104">IF(OR($E$90="",SUMPRODUCT(('Vessel Gauging Data'!$C$27:$C$56=$E$90)*('Vessel Gauging Data'!$D$27:$D$56=NOMY))&lt;ROWS($C$91:$C104)),"",INDEX('Vessel Gauging Data'!$B$27:$B$56,SMALL(IF(('Vessel Gauging Data'!$C$27:$C$56=$E$90)+('Vessel Gauging Data'!$D$27:$D$56=NOMY)=2,ROW('Vessel Gauging Data'!$B$27:$B$56)-ROW('Vessel Gauging Data'!$C$26)),ROW()-ROW(C$90))))</f>
        <v/>
      </c>
      <c r="D104" s="211" t="str">
        <f>IF(OR($C104="",$C104=0),"",INDEX('Vessel Gauging Data'!$B$26:$V$56,MATCH($C104,'Vessel Gauging Data'!$B$27:$B$56,0)+1,2))</f>
        <v/>
      </c>
      <c r="E104" s="1016" t="str">
        <f t="shared" si="70"/>
        <v/>
      </c>
      <c r="F104" s="1016" t="str">
        <f t="shared" si="71"/>
        <v/>
      </c>
      <c r="G104" s="1016" t="str">
        <f t="shared" si="72"/>
        <v/>
      </c>
      <c r="H104" s="1016" t="str">
        <f t="shared" si="72"/>
        <v/>
      </c>
      <c r="I104" s="211" t="str">
        <f t="shared" si="73"/>
        <v/>
      </c>
      <c r="J104" s="1016" t="str">
        <f t="shared" si="74"/>
        <v/>
      </c>
      <c r="K104" s="213" t="str">
        <f t="shared" si="75"/>
        <v/>
      </c>
      <c r="L104" s="212" t="str">
        <f t="shared" si="76"/>
        <v/>
      </c>
      <c r="M104" s="1125" t="str">
        <f>IF(OR($C104="",$C104=0),"",INDEX(API1DENST,MATCH($C104,'Vessel Gauging Data'!$B$27:$B$56,0),$AA$1))</f>
        <v/>
      </c>
      <c r="N104" s="212" t="str">
        <f t="shared" si="77"/>
        <v/>
      </c>
      <c r="O104" s="1016" t="str">
        <f t="shared" si="78"/>
        <v/>
      </c>
      <c r="P104" s="1125" t="str">
        <f t="shared" si="79"/>
        <v/>
      </c>
      <c r="Q104" s="1016" t="str">
        <f t="shared" si="80"/>
        <v/>
      </c>
      <c r="R104" s="214" t="str">
        <f t="shared" si="81"/>
        <v/>
      </c>
      <c r="S104" s="1125" t="str">
        <f t="shared" si="82"/>
        <v/>
      </c>
      <c r="T104" s="236" t="str">
        <f t="shared" si="83"/>
        <v/>
      </c>
      <c r="V104" s="642" t="e">
        <f>INDEX('Vessel Gauging Data'!$B$26:$V$56,MATCH($C104,'Vessel Gauging Data'!$B$26:$B$56,0),$V$18)</f>
        <v>#N/A</v>
      </c>
      <c r="W104" s="642" t="e">
        <f>INDEX('Vessel Gauging Data'!$B$26:$V$56,MATCH($C104,'Vessel Gauging Data'!$B$26:$B$56,0),$W$18)</f>
        <v>#N/A</v>
      </c>
      <c r="X104" s="642" t="e">
        <f>INDEX('Vessel Gauging Data'!$B$26:$V$56,MATCH($C104,'Vessel Gauging Data'!$B$26:$B$56,0),$X$18)</f>
        <v>#N/A</v>
      </c>
      <c r="Y104" s="642" t="e">
        <f>INDEX('Vessel Gauging Data'!$B$26:$V$56,MATCH($C104,'Vessel Gauging Data'!$B$26:$B$56,0),$Y$18)</f>
        <v>#N/A</v>
      </c>
      <c r="Z104" s="642" t="e">
        <f>INDEX('Vessel Gauging Data'!$B$26:$V$56,MATCH($C104,'Vessel Gauging Data'!$B$26:$B$56,0),$Z$18)</f>
        <v>#N/A</v>
      </c>
      <c r="AB104" s="642" t="e">
        <f>INDEX(API1DENST,MATCH($C104,'Vessel Gauging Data'!$B$27:$B$56,0),1)</f>
        <v>#N/A</v>
      </c>
      <c r="AC104" s="642" t="e">
        <f t="shared" si="86"/>
        <v>#N/A</v>
      </c>
      <c r="AE104" s="661" t="e">
        <f t="shared" si="87"/>
        <v>#VALUE!</v>
      </c>
      <c r="AF104" s="661" t="e">
        <f t="shared" si="88"/>
        <v>#VALUE!</v>
      </c>
      <c r="AH104" s="662" t="str">
        <f t="shared" si="84"/>
        <v/>
      </c>
      <c r="AI104" s="662" t="str">
        <f t="shared" si="85"/>
        <v/>
      </c>
      <c r="AJ104" s="663">
        <f t="shared" si="89"/>
        <v>192.4571</v>
      </c>
      <c r="AK104" s="660">
        <f t="shared" si="90"/>
        <v>0.24379999999999999</v>
      </c>
      <c r="AL104" s="660" t="e">
        <f t="shared" si="91"/>
        <v>#VALUE!</v>
      </c>
      <c r="AM104" s="664" t="e">
        <f t="shared" si="92"/>
        <v>#VALUE!</v>
      </c>
      <c r="AN104" s="664" t="e">
        <f t="shared" si="93"/>
        <v>#VALUE!</v>
      </c>
      <c r="AO104" s="665" t="e">
        <f t="shared" si="94"/>
        <v>#VALUE!</v>
      </c>
      <c r="AP104" s="666" t="e">
        <f t="shared" si="95"/>
        <v>#VALUE!</v>
      </c>
      <c r="AQ104" s="660" t="e">
        <f t="shared" si="96"/>
        <v>#VALUE!</v>
      </c>
      <c r="AR104" s="667" t="e">
        <f t="shared" si="97"/>
        <v>#VALUE!</v>
      </c>
      <c r="AS104" s="667" t="e">
        <f t="shared" si="98"/>
        <v>#VALUE!</v>
      </c>
      <c r="AT104" s="668" t="e">
        <f t="shared" si="99"/>
        <v>#VALUE!</v>
      </c>
      <c r="AU104" s="667" t="e">
        <f t="shared" si="100"/>
        <v>#VALUE!</v>
      </c>
      <c r="AV104" s="669" t="e">
        <f t="shared" si="101"/>
        <v>#VALUE!</v>
      </c>
      <c r="AW104" s="667" t="e">
        <f t="shared" si="102"/>
        <v>#VALUE!</v>
      </c>
      <c r="AX104" s="667" t="e">
        <f t="shared" si="103"/>
        <v>#VALUE!</v>
      </c>
      <c r="AY104" s="660" t="e">
        <f t="shared" si="104"/>
        <v>#VALUE!</v>
      </c>
      <c r="AZ104" s="670" t="e">
        <f t="shared" si="105"/>
        <v>#VALUE!</v>
      </c>
      <c r="BB104" s="662" t="e">
        <f>INDEX('Vessel Gauging Data'!$B$26:$V$56,MATCH($C104,'Vessel Gauging Data'!$B$26:$B$56,0),$BB$18)</f>
        <v>#N/A</v>
      </c>
      <c r="BC104" s="662" t="e">
        <f>INDEX('Vessel Gauging Data'!$B$26:$V$56,MATCH($C104,'Vessel Gauging Data'!$B$26:$B$56,0),$BC$18)</f>
        <v>#N/A</v>
      </c>
      <c r="BD104" s="662" t="e">
        <f>INDEX('Vessel Gauging Data'!$B$26:$V$56,MATCH($C104,'Vessel Gauging Data'!$B$26:$B$56,0),$BD$18)</f>
        <v>#N/A</v>
      </c>
      <c r="BE104" s="662" t="e">
        <f>INDEX('Vessel Gauging Data'!$B$26:$V$56,MATCH($C104,'Vessel Gauging Data'!$B$26:$B$56,0),$BE$18)</f>
        <v>#N/A</v>
      </c>
    </row>
    <row r="105" spans="1:57" hidden="1">
      <c r="A105" s="641" t="str">
        <f t="shared" si="69"/>
        <v>N</v>
      </c>
      <c r="C105" s="235" t="str">
        <f t="array" ref="C105">IF(OR($E$90="",SUMPRODUCT(('Vessel Gauging Data'!$C$27:$C$56=$E$90)*('Vessel Gauging Data'!$D$27:$D$56=NOMY))&lt;ROWS($C$91:$C105)),"",INDEX('Vessel Gauging Data'!$B$27:$B$56,SMALL(IF(('Vessel Gauging Data'!$C$27:$C$56=$E$90)+('Vessel Gauging Data'!$D$27:$D$56=NOMY)=2,ROW('Vessel Gauging Data'!$B$27:$B$56)-ROW('Vessel Gauging Data'!$C$26)),ROW()-ROW(C$90))))</f>
        <v/>
      </c>
      <c r="D105" s="211" t="str">
        <f>IF(OR($C105="",$C105=0),"",INDEX('Vessel Gauging Data'!$B$26:$V$56,MATCH($C105,'Vessel Gauging Data'!$B$27:$B$56,0)+1,2))</f>
        <v/>
      </c>
      <c r="E105" s="1016" t="str">
        <f t="shared" si="70"/>
        <v/>
      </c>
      <c r="F105" s="1016" t="str">
        <f t="shared" si="71"/>
        <v/>
      </c>
      <c r="G105" s="1016" t="str">
        <f t="shared" si="72"/>
        <v/>
      </c>
      <c r="H105" s="1016" t="str">
        <f t="shared" si="72"/>
        <v/>
      </c>
      <c r="I105" s="211" t="str">
        <f t="shared" si="73"/>
        <v/>
      </c>
      <c r="J105" s="1016" t="str">
        <f t="shared" si="74"/>
        <v/>
      </c>
      <c r="K105" s="213" t="str">
        <f t="shared" si="75"/>
        <v/>
      </c>
      <c r="L105" s="212" t="str">
        <f t="shared" si="76"/>
        <v/>
      </c>
      <c r="M105" s="1125" t="str">
        <f>IF(OR($C105="",$C105=0),"",INDEX(API1DENST,MATCH($C105,'Vessel Gauging Data'!$B$27:$B$56,0),$AA$1))</f>
        <v/>
      </c>
      <c r="N105" s="212" t="str">
        <f t="shared" si="77"/>
        <v/>
      </c>
      <c r="O105" s="1016" t="str">
        <f t="shared" si="78"/>
        <v/>
      </c>
      <c r="P105" s="1125" t="str">
        <f t="shared" si="79"/>
        <v/>
      </c>
      <c r="Q105" s="1016" t="str">
        <f t="shared" si="80"/>
        <v/>
      </c>
      <c r="R105" s="214" t="str">
        <f t="shared" si="81"/>
        <v/>
      </c>
      <c r="S105" s="1125" t="str">
        <f t="shared" si="82"/>
        <v/>
      </c>
      <c r="T105" s="236" t="str">
        <f t="shared" si="83"/>
        <v/>
      </c>
      <c r="V105" s="642" t="e">
        <f>INDEX('Vessel Gauging Data'!$B$26:$V$56,MATCH($C105,'Vessel Gauging Data'!$B$26:$B$56,0),$V$18)</f>
        <v>#N/A</v>
      </c>
      <c r="W105" s="642" t="e">
        <f>INDEX('Vessel Gauging Data'!$B$26:$V$56,MATCH($C105,'Vessel Gauging Data'!$B$26:$B$56,0),$W$18)</f>
        <v>#N/A</v>
      </c>
      <c r="X105" s="642" t="e">
        <f>INDEX('Vessel Gauging Data'!$B$26:$V$56,MATCH($C105,'Vessel Gauging Data'!$B$26:$B$56,0),$X$18)</f>
        <v>#N/A</v>
      </c>
      <c r="Y105" s="642" t="e">
        <f>INDEX('Vessel Gauging Data'!$B$26:$V$56,MATCH($C105,'Vessel Gauging Data'!$B$26:$B$56,0),$Y$18)</f>
        <v>#N/A</v>
      </c>
      <c r="Z105" s="642" t="e">
        <f>INDEX('Vessel Gauging Data'!$B$26:$V$56,MATCH($C105,'Vessel Gauging Data'!$B$26:$B$56,0),$Z$18)</f>
        <v>#N/A</v>
      </c>
      <c r="AB105" s="642" t="e">
        <f>INDEX(API1DENST,MATCH($C105,'Vessel Gauging Data'!$B$27:$B$56,0),1)</f>
        <v>#N/A</v>
      </c>
      <c r="AC105" s="642" t="e">
        <f t="shared" si="86"/>
        <v>#N/A</v>
      </c>
      <c r="AE105" s="661" t="e">
        <f t="shared" si="87"/>
        <v>#VALUE!</v>
      </c>
      <c r="AF105" s="661" t="e">
        <f t="shared" si="88"/>
        <v>#VALUE!</v>
      </c>
      <c r="AH105" s="662" t="str">
        <f t="shared" si="84"/>
        <v/>
      </c>
      <c r="AI105" s="662" t="str">
        <f t="shared" si="85"/>
        <v/>
      </c>
      <c r="AJ105" s="663">
        <f t="shared" si="89"/>
        <v>192.4571</v>
      </c>
      <c r="AK105" s="660">
        <f t="shared" si="90"/>
        <v>0.24379999999999999</v>
      </c>
      <c r="AL105" s="660" t="e">
        <f t="shared" si="91"/>
        <v>#VALUE!</v>
      </c>
      <c r="AM105" s="664" t="e">
        <f t="shared" si="92"/>
        <v>#VALUE!</v>
      </c>
      <c r="AN105" s="664" t="e">
        <f t="shared" si="93"/>
        <v>#VALUE!</v>
      </c>
      <c r="AO105" s="665" t="e">
        <f t="shared" si="94"/>
        <v>#VALUE!</v>
      </c>
      <c r="AP105" s="666" t="e">
        <f t="shared" si="95"/>
        <v>#VALUE!</v>
      </c>
      <c r="AQ105" s="660" t="e">
        <f t="shared" si="96"/>
        <v>#VALUE!</v>
      </c>
      <c r="AR105" s="667" t="e">
        <f t="shared" si="97"/>
        <v>#VALUE!</v>
      </c>
      <c r="AS105" s="667" t="e">
        <f t="shared" si="98"/>
        <v>#VALUE!</v>
      </c>
      <c r="AT105" s="668" t="e">
        <f t="shared" si="99"/>
        <v>#VALUE!</v>
      </c>
      <c r="AU105" s="667" t="e">
        <f t="shared" si="100"/>
        <v>#VALUE!</v>
      </c>
      <c r="AV105" s="669" t="e">
        <f t="shared" si="101"/>
        <v>#VALUE!</v>
      </c>
      <c r="AW105" s="667" t="e">
        <f t="shared" si="102"/>
        <v>#VALUE!</v>
      </c>
      <c r="AX105" s="667" t="e">
        <f t="shared" si="103"/>
        <v>#VALUE!</v>
      </c>
      <c r="AY105" s="660" t="e">
        <f t="shared" si="104"/>
        <v>#VALUE!</v>
      </c>
      <c r="AZ105" s="670" t="e">
        <f t="shared" si="105"/>
        <v>#VALUE!</v>
      </c>
      <c r="BB105" s="662" t="e">
        <f>INDEX('Vessel Gauging Data'!$B$26:$V$56,MATCH($C105,'Vessel Gauging Data'!$B$26:$B$56,0),$BB$18)</f>
        <v>#N/A</v>
      </c>
      <c r="BC105" s="662" t="e">
        <f>INDEX('Vessel Gauging Data'!$B$26:$V$56,MATCH($C105,'Vessel Gauging Data'!$B$26:$B$56,0),$BC$18)</f>
        <v>#N/A</v>
      </c>
      <c r="BD105" s="662" t="e">
        <f>INDEX('Vessel Gauging Data'!$B$26:$V$56,MATCH($C105,'Vessel Gauging Data'!$B$26:$B$56,0),$BD$18)</f>
        <v>#N/A</v>
      </c>
      <c r="BE105" s="662" t="e">
        <f>INDEX('Vessel Gauging Data'!$B$26:$V$56,MATCH($C105,'Vessel Gauging Data'!$B$26:$B$56,0),$BE$18)</f>
        <v>#N/A</v>
      </c>
    </row>
    <row r="106" spans="1:57" hidden="1">
      <c r="A106" s="641" t="str">
        <f t="shared" si="69"/>
        <v>N</v>
      </c>
      <c r="C106" s="235" t="str">
        <f t="array" ref="C106">IF(OR($E$90="",SUMPRODUCT(('Vessel Gauging Data'!$C$27:$C$56=$E$90)*('Vessel Gauging Data'!$D$27:$D$56=NOMY))&lt;ROWS($C$91:$C106)),"",INDEX('Vessel Gauging Data'!$B$27:$B$56,SMALL(IF(('Vessel Gauging Data'!$C$27:$C$56=$E$90)+('Vessel Gauging Data'!$D$27:$D$56=NOMY)=2,ROW('Vessel Gauging Data'!$B$27:$B$56)-ROW('Vessel Gauging Data'!$C$26)),ROW()-ROW(C$90))))</f>
        <v/>
      </c>
      <c r="D106" s="211" t="str">
        <f>IF(OR($C106="",$C106=0),"",INDEX('Vessel Gauging Data'!$B$26:$V$56,MATCH($C106,'Vessel Gauging Data'!$B$27:$B$56,0)+1,2))</f>
        <v/>
      </c>
      <c r="E106" s="1016" t="str">
        <f t="shared" si="70"/>
        <v/>
      </c>
      <c r="F106" s="1016" t="str">
        <f t="shared" si="71"/>
        <v/>
      </c>
      <c r="G106" s="1016" t="str">
        <f t="shared" si="72"/>
        <v/>
      </c>
      <c r="H106" s="1016" t="str">
        <f t="shared" si="72"/>
        <v/>
      </c>
      <c r="I106" s="211" t="str">
        <f t="shared" si="73"/>
        <v/>
      </c>
      <c r="J106" s="1016" t="str">
        <f t="shared" si="74"/>
        <v/>
      </c>
      <c r="K106" s="213" t="str">
        <f t="shared" si="75"/>
        <v/>
      </c>
      <c r="L106" s="212" t="str">
        <f t="shared" si="76"/>
        <v/>
      </c>
      <c r="M106" s="1125" t="str">
        <f>IF(OR($C106="",$C106=0),"",INDEX(API1DENST,MATCH($C106,'Vessel Gauging Data'!$B$27:$B$56,0),$AA$1))</f>
        <v/>
      </c>
      <c r="N106" s="212" t="str">
        <f t="shared" si="77"/>
        <v/>
      </c>
      <c r="O106" s="1016" t="str">
        <f t="shared" si="78"/>
        <v/>
      </c>
      <c r="P106" s="1125" t="str">
        <f t="shared" si="79"/>
        <v/>
      </c>
      <c r="Q106" s="1016" t="str">
        <f t="shared" si="80"/>
        <v/>
      </c>
      <c r="R106" s="214" t="str">
        <f t="shared" si="81"/>
        <v/>
      </c>
      <c r="S106" s="1125" t="str">
        <f t="shared" si="82"/>
        <v/>
      </c>
      <c r="T106" s="236" t="str">
        <f t="shared" si="83"/>
        <v/>
      </c>
      <c r="V106" s="642" t="e">
        <f>INDEX('Vessel Gauging Data'!$B$26:$V$56,MATCH($C106,'Vessel Gauging Data'!$B$26:$B$56,0),$V$18)</f>
        <v>#N/A</v>
      </c>
      <c r="W106" s="642" t="e">
        <f>INDEX('Vessel Gauging Data'!$B$26:$V$56,MATCH($C106,'Vessel Gauging Data'!$B$26:$B$56,0),$W$18)</f>
        <v>#N/A</v>
      </c>
      <c r="X106" s="642" t="e">
        <f>INDEX('Vessel Gauging Data'!$B$26:$V$56,MATCH($C106,'Vessel Gauging Data'!$B$26:$B$56,0),$X$18)</f>
        <v>#N/A</v>
      </c>
      <c r="Y106" s="642" t="e">
        <f>INDEX('Vessel Gauging Data'!$B$26:$V$56,MATCH($C106,'Vessel Gauging Data'!$B$26:$B$56,0),$Y$18)</f>
        <v>#N/A</v>
      </c>
      <c r="Z106" s="642" t="e">
        <f>INDEX('Vessel Gauging Data'!$B$26:$V$56,MATCH($C106,'Vessel Gauging Data'!$B$26:$B$56,0),$Z$18)</f>
        <v>#N/A</v>
      </c>
      <c r="AB106" s="642" t="e">
        <f>INDEX(API1DENST,MATCH($C106,'Vessel Gauging Data'!$B$27:$B$56,0),1)</f>
        <v>#N/A</v>
      </c>
      <c r="AC106" s="642" t="e">
        <f t="shared" si="86"/>
        <v>#N/A</v>
      </c>
      <c r="AE106" s="661" t="e">
        <f t="shared" si="87"/>
        <v>#VALUE!</v>
      </c>
      <c r="AF106" s="661" t="e">
        <f t="shared" si="88"/>
        <v>#VALUE!</v>
      </c>
      <c r="AH106" s="662" t="str">
        <f t="shared" si="84"/>
        <v/>
      </c>
      <c r="AI106" s="662" t="str">
        <f t="shared" si="85"/>
        <v/>
      </c>
      <c r="AJ106" s="663">
        <f t="shared" si="89"/>
        <v>192.4571</v>
      </c>
      <c r="AK106" s="660">
        <f t="shared" si="90"/>
        <v>0.24379999999999999</v>
      </c>
      <c r="AL106" s="660" t="e">
        <f t="shared" si="91"/>
        <v>#VALUE!</v>
      </c>
      <c r="AM106" s="664" t="e">
        <f t="shared" si="92"/>
        <v>#VALUE!</v>
      </c>
      <c r="AN106" s="664" t="e">
        <f t="shared" si="93"/>
        <v>#VALUE!</v>
      </c>
      <c r="AO106" s="665" t="e">
        <f t="shared" si="94"/>
        <v>#VALUE!</v>
      </c>
      <c r="AP106" s="666" t="e">
        <f t="shared" si="95"/>
        <v>#VALUE!</v>
      </c>
      <c r="AQ106" s="660" t="e">
        <f t="shared" si="96"/>
        <v>#VALUE!</v>
      </c>
      <c r="AR106" s="667" t="e">
        <f t="shared" si="97"/>
        <v>#VALUE!</v>
      </c>
      <c r="AS106" s="667" t="e">
        <f t="shared" si="98"/>
        <v>#VALUE!</v>
      </c>
      <c r="AT106" s="668" t="e">
        <f t="shared" si="99"/>
        <v>#VALUE!</v>
      </c>
      <c r="AU106" s="667" t="e">
        <f t="shared" si="100"/>
        <v>#VALUE!</v>
      </c>
      <c r="AV106" s="669" t="e">
        <f t="shared" si="101"/>
        <v>#VALUE!</v>
      </c>
      <c r="AW106" s="667" t="e">
        <f t="shared" si="102"/>
        <v>#VALUE!</v>
      </c>
      <c r="AX106" s="667" t="e">
        <f t="shared" si="103"/>
        <v>#VALUE!</v>
      </c>
      <c r="AY106" s="660" t="e">
        <f t="shared" si="104"/>
        <v>#VALUE!</v>
      </c>
      <c r="AZ106" s="670" t="e">
        <f t="shared" si="105"/>
        <v>#VALUE!</v>
      </c>
      <c r="BB106" s="662" t="e">
        <f>INDEX('Vessel Gauging Data'!$B$26:$V$56,MATCH($C106,'Vessel Gauging Data'!$B$26:$B$56,0),$BB$18)</f>
        <v>#N/A</v>
      </c>
      <c r="BC106" s="662" t="e">
        <f>INDEX('Vessel Gauging Data'!$B$26:$V$56,MATCH($C106,'Vessel Gauging Data'!$B$26:$B$56,0),$BC$18)</f>
        <v>#N/A</v>
      </c>
      <c r="BD106" s="662" t="e">
        <f>INDEX('Vessel Gauging Data'!$B$26:$V$56,MATCH($C106,'Vessel Gauging Data'!$B$26:$B$56,0),$BD$18)</f>
        <v>#N/A</v>
      </c>
      <c r="BE106" s="662" t="e">
        <f>INDEX('Vessel Gauging Data'!$B$26:$V$56,MATCH($C106,'Vessel Gauging Data'!$B$26:$B$56,0),$BE$18)</f>
        <v>#N/A</v>
      </c>
    </row>
    <row r="107" spans="1:57" hidden="1">
      <c r="A107" s="641" t="str">
        <f t="shared" si="69"/>
        <v>N</v>
      </c>
      <c r="C107" s="235" t="str">
        <f t="array" ref="C107">IF(OR($E$90="",SUMPRODUCT(('Vessel Gauging Data'!$C$27:$C$56=$E$90)*('Vessel Gauging Data'!$D$27:$D$56=NOMY))&lt;ROWS($C$91:$C107)),"",INDEX('Vessel Gauging Data'!$B$27:$B$56,SMALL(IF(('Vessel Gauging Data'!$C$27:$C$56=$E$90)+('Vessel Gauging Data'!$D$27:$D$56=NOMY)=2,ROW('Vessel Gauging Data'!$B$27:$B$56)-ROW('Vessel Gauging Data'!$C$26)),ROW()-ROW(C$90))))</f>
        <v/>
      </c>
      <c r="D107" s="211" t="str">
        <f>IF(OR($C107="",$C107=0),"",INDEX('Vessel Gauging Data'!$B$26:$V$56,MATCH($C107,'Vessel Gauging Data'!$B$27:$B$56,0)+1,2))</f>
        <v/>
      </c>
      <c r="E107" s="1016" t="str">
        <f t="shared" si="70"/>
        <v/>
      </c>
      <c r="F107" s="1016" t="str">
        <f t="shared" si="71"/>
        <v/>
      </c>
      <c r="G107" s="1016" t="str">
        <f t="shared" si="72"/>
        <v/>
      </c>
      <c r="H107" s="1016" t="str">
        <f t="shared" si="72"/>
        <v/>
      </c>
      <c r="I107" s="211" t="str">
        <f t="shared" si="73"/>
        <v/>
      </c>
      <c r="J107" s="1016" t="str">
        <f t="shared" si="74"/>
        <v/>
      </c>
      <c r="K107" s="213" t="str">
        <f t="shared" si="75"/>
        <v/>
      </c>
      <c r="L107" s="212" t="str">
        <f t="shared" si="76"/>
        <v/>
      </c>
      <c r="M107" s="1125" t="str">
        <f>IF(OR($C107="",$C107=0),"",INDEX(API1DENST,MATCH($C107,'Vessel Gauging Data'!$B$27:$B$56,0),$AA$1))</f>
        <v/>
      </c>
      <c r="N107" s="212" t="str">
        <f t="shared" si="77"/>
        <v/>
      </c>
      <c r="O107" s="1016" t="str">
        <f t="shared" si="78"/>
        <v/>
      </c>
      <c r="P107" s="1125" t="str">
        <f t="shared" si="79"/>
        <v/>
      </c>
      <c r="Q107" s="1016" t="str">
        <f t="shared" si="80"/>
        <v/>
      </c>
      <c r="R107" s="214" t="str">
        <f t="shared" si="81"/>
        <v/>
      </c>
      <c r="S107" s="1125" t="str">
        <f t="shared" si="82"/>
        <v/>
      </c>
      <c r="T107" s="236" t="str">
        <f t="shared" si="83"/>
        <v/>
      </c>
      <c r="V107" s="642" t="e">
        <f>INDEX('Vessel Gauging Data'!$B$26:$V$56,MATCH($C107,'Vessel Gauging Data'!$B$26:$B$56,0),$V$18)</f>
        <v>#N/A</v>
      </c>
      <c r="W107" s="642" t="e">
        <f>INDEX('Vessel Gauging Data'!$B$26:$V$56,MATCH($C107,'Vessel Gauging Data'!$B$26:$B$56,0),$W$18)</f>
        <v>#N/A</v>
      </c>
      <c r="X107" s="642" t="e">
        <f>INDEX('Vessel Gauging Data'!$B$26:$V$56,MATCH($C107,'Vessel Gauging Data'!$B$26:$B$56,0),$X$18)</f>
        <v>#N/A</v>
      </c>
      <c r="Y107" s="642" t="e">
        <f>INDEX('Vessel Gauging Data'!$B$26:$V$56,MATCH($C107,'Vessel Gauging Data'!$B$26:$B$56,0),$Y$18)</f>
        <v>#N/A</v>
      </c>
      <c r="Z107" s="642" t="e">
        <f>INDEX('Vessel Gauging Data'!$B$26:$V$56,MATCH($C107,'Vessel Gauging Data'!$B$26:$B$56,0),$Z$18)</f>
        <v>#N/A</v>
      </c>
      <c r="AB107" s="642" t="e">
        <f>INDEX(API1DENST,MATCH($C107,'Vessel Gauging Data'!$B$27:$B$56,0),1)</f>
        <v>#N/A</v>
      </c>
      <c r="AC107" s="642" t="e">
        <f t="shared" si="86"/>
        <v>#N/A</v>
      </c>
      <c r="AE107" s="661" t="e">
        <f t="shared" si="87"/>
        <v>#VALUE!</v>
      </c>
      <c r="AF107" s="661" t="e">
        <f t="shared" si="88"/>
        <v>#VALUE!</v>
      </c>
      <c r="AH107" s="662" t="str">
        <f t="shared" si="84"/>
        <v/>
      </c>
      <c r="AI107" s="662" t="str">
        <f t="shared" si="85"/>
        <v/>
      </c>
      <c r="AJ107" s="663">
        <f t="shared" si="89"/>
        <v>192.4571</v>
      </c>
      <c r="AK107" s="660">
        <f t="shared" si="90"/>
        <v>0.24379999999999999</v>
      </c>
      <c r="AL107" s="660" t="e">
        <f t="shared" si="91"/>
        <v>#VALUE!</v>
      </c>
      <c r="AM107" s="664" t="e">
        <f t="shared" si="92"/>
        <v>#VALUE!</v>
      </c>
      <c r="AN107" s="664" t="e">
        <f t="shared" si="93"/>
        <v>#VALUE!</v>
      </c>
      <c r="AO107" s="665" t="e">
        <f t="shared" si="94"/>
        <v>#VALUE!</v>
      </c>
      <c r="AP107" s="666" t="e">
        <f t="shared" si="95"/>
        <v>#VALUE!</v>
      </c>
      <c r="AQ107" s="660" t="e">
        <f t="shared" si="96"/>
        <v>#VALUE!</v>
      </c>
      <c r="AR107" s="667" t="e">
        <f t="shared" si="97"/>
        <v>#VALUE!</v>
      </c>
      <c r="AS107" s="667" t="e">
        <f t="shared" si="98"/>
        <v>#VALUE!</v>
      </c>
      <c r="AT107" s="668" t="e">
        <f t="shared" si="99"/>
        <v>#VALUE!</v>
      </c>
      <c r="AU107" s="667" t="e">
        <f t="shared" si="100"/>
        <v>#VALUE!</v>
      </c>
      <c r="AV107" s="669" t="e">
        <f t="shared" si="101"/>
        <v>#VALUE!</v>
      </c>
      <c r="AW107" s="667" t="e">
        <f t="shared" si="102"/>
        <v>#VALUE!</v>
      </c>
      <c r="AX107" s="667" t="e">
        <f t="shared" si="103"/>
        <v>#VALUE!</v>
      </c>
      <c r="AY107" s="660" t="e">
        <f t="shared" si="104"/>
        <v>#VALUE!</v>
      </c>
      <c r="AZ107" s="670" t="e">
        <f t="shared" si="105"/>
        <v>#VALUE!</v>
      </c>
      <c r="BB107" s="662" t="e">
        <f>INDEX('Vessel Gauging Data'!$B$26:$V$56,MATCH($C107,'Vessel Gauging Data'!$B$26:$B$56,0),$BB$18)</f>
        <v>#N/A</v>
      </c>
      <c r="BC107" s="662" t="e">
        <f>INDEX('Vessel Gauging Data'!$B$26:$V$56,MATCH($C107,'Vessel Gauging Data'!$B$26:$B$56,0),$BC$18)</f>
        <v>#N/A</v>
      </c>
      <c r="BD107" s="662" t="e">
        <f>INDEX('Vessel Gauging Data'!$B$26:$V$56,MATCH($C107,'Vessel Gauging Data'!$B$26:$B$56,0),$BD$18)</f>
        <v>#N/A</v>
      </c>
      <c r="BE107" s="662" t="e">
        <f>INDEX('Vessel Gauging Data'!$B$26:$V$56,MATCH($C107,'Vessel Gauging Data'!$B$26:$B$56,0),$BE$18)</f>
        <v>#N/A</v>
      </c>
    </row>
    <row r="108" spans="1:57" hidden="1">
      <c r="A108" s="641" t="str">
        <f t="shared" si="69"/>
        <v>N</v>
      </c>
      <c r="C108" s="235" t="str">
        <f t="array" ref="C108">IF(OR($E$90="",SUMPRODUCT(('Vessel Gauging Data'!$C$27:$C$56=$E$90)*('Vessel Gauging Data'!$D$27:$D$56=NOMY))&lt;ROWS($C$91:$C108)),"",INDEX('Vessel Gauging Data'!$B$27:$B$56,SMALL(IF(('Vessel Gauging Data'!$C$27:$C$56=$E$90)+('Vessel Gauging Data'!$D$27:$D$56=NOMY)=2,ROW('Vessel Gauging Data'!$B$27:$B$56)-ROW('Vessel Gauging Data'!$C$26)),ROW()-ROW(C$90))))</f>
        <v/>
      </c>
      <c r="D108" s="211" t="str">
        <f>IF(OR($C108="",$C108=0),"",INDEX('Vessel Gauging Data'!$B$26:$V$56,MATCH($C108,'Vessel Gauging Data'!$B$27:$B$56,0)+1,2))</f>
        <v/>
      </c>
      <c r="E108" s="1016" t="str">
        <f t="shared" si="70"/>
        <v/>
      </c>
      <c r="F108" s="1016" t="str">
        <f t="shared" si="71"/>
        <v/>
      </c>
      <c r="G108" s="1016" t="str">
        <f t="shared" si="72"/>
        <v/>
      </c>
      <c r="H108" s="1016" t="str">
        <f t="shared" si="72"/>
        <v/>
      </c>
      <c r="I108" s="211" t="str">
        <f t="shared" si="73"/>
        <v/>
      </c>
      <c r="J108" s="1016" t="str">
        <f t="shared" si="74"/>
        <v/>
      </c>
      <c r="K108" s="213" t="str">
        <f t="shared" si="75"/>
        <v/>
      </c>
      <c r="L108" s="212" t="str">
        <f t="shared" si="76"/>
        <v/>
      </c>
      <c r="M108" s="1125" t="str">
        <f>IF(OR($C108="",$C108=0),"",INDEX(API1DENST,MATCH($C108,'Vessel Gauging Data'!$B$27:$B$56,0),$AA$1))</f>
        <v/>
      </c>
      <c r="N108" s="212" t="str">
        <f t="shared" si="77"/>
        <v/>
      </c>
      <c r="O108" s="1016" t="str">
        <f t="shared" si="78"/>
        <v/>
      </c>
      <c r="P108" s="1125" t="str">
        <f t="shared" si="79"/>
        <v/>
      </c>
      <c r="Q108" s="1016" t="str">
        <f t="shared" si="80"/>
        <v/>
      </c>
      <c r="R108" s="214" t="str">
        <f t="shared" si="81"/>
        <v/>
      </c>
      <c r="S108" s="1125" t="str">
        <f t="shared" si="82"/>
        <v/>
      </c>
      <c r="T108" s="236" t="str">
        <f t="shared" si="83"/>
        <v/>
      </c>
      <c r="V108" s="642" t="e">
        <f>INDEX('Vessel Gauging Data'!$B$26:$V$56,MATCH($C108,'Vessel Gauging Data'!$B$26:$B$56,0),$V$18)</f>
        <v>#N/A</v>
      </c>
      <c r="W108" s="642" t="e">
        <f>INDEX('Vessel Gauging Data'!$B$26:$V$56,MATCH($C108,'Vessel Gauging Data'!$B$26:$B$56,0),$W$18)</f>
        <v>#N/A</v>
      </c>
      <c r="X108" s="642" t="e">
        <f>INDEX('Vessel Gauging Data'!$B$26:$V$56,MATCH($C108,'Vessel Gauging Data'!$B$26:$B$56,0),$X$18)</f>
        <v>#N/A</v>
      </c>
      <c r="Y108" s="642" t="e">
        <f>INDEX('Vessel Gauging Data'!$B$26:$V$56,MATCH($C108,'Vessel Gauging Data'!$B$26:$B$56,0),$Y$18)</f>
        <v>#N/A</v>
      </c>
      <c r="Z108" s="642" t="e">
        <f>INDEX('Vessel Gauging Data'!$B$26:$V$56,MATCH($C108,'Vessel Gauging Data'!$B$26:$B$56,0),$Z$18)</f>
        <v>#N/A</v>
      </c>
      <c r="AB108" s="642" t="e">
        <f>INDEX(API1DENST,MATCH($C108,'Vessel Gauging Data'!$B$27:$B$56,0),1)</f>
        <v>#N/A</v>
      </c>
      <c r="AC108" s="642" t="e">
        <f t="shared" si="86"/>
        <v>#N/A</v>
      </c>
      <c r="AE108" s="661" t="e">
        <f t="shared" si="87"/>
        <v>#VALUE!</v>
      </c>
      <c r="AF108" s="661" t="e">
        <f t="shared" si="88"/>
        <v>#VALUE!</v>
      </c>
      <c r="AH108" s="662" t="str">
        <f t="shared" si="84"/>
        <v/>
      </c>
      <c r="AI108" s="662" t="str">
        <f t="shared" si="85"/>
        <v/>
      </c>
      <c r="AJ108" s="663">
        <f t="shared" si="89"/>
        <v>192.4571</v>
      </c>
      <c r="AK108" s="660">
        <f t="shared" si="90"/>
        <v>0.24379999999999999</v>
      </c>
      <c r="AL108" s="660" t="e">
        <f t="shared" si="91"/>
        <v>#VALUE!</v>
      </c>
      <c r="AM108" s="664" t="e">
        <f t="shared" si="92"/>
        <v>#VALUE!</v>
      </c>
      <c r="AN108" s="664" t="e">
        <f t="shared" si="93"/>
        <v>#VALUE!</v>
      </c>
      <c r="AO108" s="665" t="e">
        <f t="shared" si="94"/>
        <v>#VALUE!</v>
      </c>
      <c r="AP108" s="666" t="e">
        <f t="shared" si="95"/>
        <v>#VALUE!</v>
      </c>
      <c r="AQ108" s="660" t="e">
        <f t="shared" si="96"/>
        <v>#VALUE!</v>
      </c>
      <c r="AR108" s="667" t="e">
        <f t="shared" si="97"/>
        <v>#VALUE!</v>
      </c>
      <c r="AS108" s="667" t="e">
        <f t="shared" si="98"/>
        <v>#VALUE!</v>
      </c>
      <c r="AT108" s="668" t="e">
        <f t="shared" si="99"/>
        <v>#VALUE!</v>
      </c>
      <c r="AU108" s="667" t="e">
        <f t="shared" si="100"/>
        <v>#VALUE!</v>
      </c>
      <c r="AV108" s="669" t="e">
        <f t="shared" si="101"/>
        <v>#VALUE!</v>
      </c>
      <c r="AW108" s="667" t="e">
        <f t="shared" si="102"/>
        <v>#VALUE!</v>
      </c>
      <c r="AX108" s="667" t="e">
        <f t="shared" si="103"/>
        <v>#VALUE!</v>
      </c>
      <c r="AY108" s="660" t="e">
        <f t="shared" si="104"/>
        <v>#VALUE!</v>
      </c>
      <c r="AZ108" s="670" t="e">
        <f t="shared" si="105"/>
        <v>#VALUE!</v>
      </c>
      <c r="BB108" s="662" t="e">
        <f>INDEX('Vessel Gauging Data'!$B$26:$V$56,MATCH($C108,'Vessel Gauging Data'!$B$26:$B$56,0),$BB$18)</f>
        <v>#N/A</v>
      </c>
      <c r="BC108" s="662" t="e">
        <f>INDEX('Vessel Gauging Data'!$B$26:$V$56,MATCH($C108,'Vessel Gauging Data'!$B$26:$B$56,0),$BC$18)</f>
        <v>#N/A</v>
      </c>
      <c r="BD108" s="662" t="e">
        <f>INDEX('Vessel Gauging Data'!$B$26:$V$56,MATCH($C108,'Vessel Gauging Data'!$B$26:$B$56,0),$BD$18)</f>
        <v>#N/A</v>
      </c>
      <c r="BE108" s="662" t="e">
        <f>INDEX('Vessel Gauging Data'!$B$26:$V$56,MATCH($C108,'Vessel Gauging Data'!$B$26:$B$56,0),$BE$18)</f>
        <v>#N/A</v>
      </c>
    </row>
    <row r="109" spans="1:57" hidden="1">
      <c r="A109" s="641" t="str">
        <f t="shared" si="69"/>
        <v>N</v>
      </c>
      <c r="C109" s="235" t="str">
        <f t="array" ref="C109">IF(OR($E$90="",SUMPRODUCT(('Vessel Gauging Data'!$C$27:$C$56=$E$90)*('Vessel Gauging Data'!$D$27:$D$56=NOMY))&lt;ROWS($C$91:$C109)),"",INDEX('Vessel Gauging Data'!$B$27:$B$56,SMALL(IF(('Vessel Gauging Data'!$C$27:$C$56=$E$90)+('Vessel Gauging Data'!$D$27:$D$56=NOMY)=2,ROW('Vessel Gauging Data'!$B$27:$B$56)-ROW('Vessel Gauging Data'!$C$26)),ROW()-ROW(C$90))))</f>
        <v/>
      </c>
      <c r="D109" s="211" t="str">
        <f>IF(OR($C109="",$C109=0),"",INDEX('Vessel Gauging Data'!$B$26:$V$56,MATCH($C109,'Vessel Gauging Data'!$B$27:$B$56,0)+1,2))</f>
        <v/>
      </c>
      <c r="E109" s="1016" t="str">
        <f t="shared" si="70"/>
        <v/>
      </c>
      <c r="F109" s="1016" t="str">
        <f t="shared" si="71"/>
        <v/>
      </c>
      <c r="G109" s="1016" t="str">
        <f t="shared" si="72"/>
        <v/>
      </c>
      <c r="H109" s="1016" t="str">
        <f t="shared" si="72"/>
        <v/>
      </c>
      <c r="I109" s="211" t="str">
        <f t="shared" si="73"/>
        <v/>
      </c>
      <c r="J109" s="1016" t="str">
        <f t="shared" si="74"/>
        <v/>
      </c>
      <c r="K109" s="213" t="str">
        <f t="shared" si="75"/>
        <v/>
      </c>
      <c r="L109" s="212" t="str">
        <f t="shared" si="76"/>
        <v/>
      </c>
      <c r="M109" s="1125" t="str">
        <f>IF(OR($C109="",$C109=0),"",INDEX(API1DENST,MATCH($C109,'Vessel Gauging Data'!$B$27:$B$56,0),$AA$1))</f>
        <v/>
      </c>
      <c r="N109" s="212" t="str">
        <f t="shared" si="77"/>
        <v/>
      </c>
      <c r="O109" s="1016" t="str">
        <f t="shared" si="78"/>
        <v/>
      </c>
      <c r="P109" s="1125" t="str">
        <f t="shared" si="79"/>
        <v/>
      </c>
      <c r="Q109" s="1016" t="str">
        <f t="shared" si="80"/>
        <v/>
      </c>
      <c r="R109" s="214" t="str">
        <f t="shared" si="81"/>
        <v/>
      </c>
      <c r="S109" s="1125" t="str">
        <f t="shared" si="82"/>
        <v/>
      </c>
      <c r="T109" s="236" t="str">
        <f t="shared" si="83"/>
        <v/>
      </c>
      <c r="V109" s="642" t="e">
        <f>INDEX('Vessel Gauging Data'!$B$26:$V$56,MATCH($C109,'Vessel Gauging Data'!$B$26:$B$56,0),$V$18)</f>
        <v>#N/A</v>
      </c>
      <c r="W109" s="642" t="e">
        <f>INDEX('Vessel Gauging Data'!$B$26:$V$56,MATCH($C109,'Vessel Gauging Data'!$B$26:$B$56,0),$W$18)</f>
        <v>#N/A</v>
      </c>
      <c r="X109" s="642" t="e">
        <f>INDEX('Vessel Gauging Data'!$B$26:$V$56,MATCH($C109,'Vessel Gauging Data'!$B$26:$B$56,0),$X$18)</f>
        <v>#N/A</v>
      </c>
      <c r="Y109" s="642" t="e">
        <f>INDEX('Vessel Gauging Data'!$B$26:$V$56,MATCH($C109,'Vessel Gauging Data'!$B$26:$B$56,0),$Y$18)</f>
        <v>#N/A</v>
      </c>
      <c r="Z109" s="642" t="e">
        <f>INDEX('Vessel Gauging Data'!$B$26:$V$56,MATCH($C109,'Vessel Gauging Data'!$B$26:$B$56,0),$Z$18)</f>
        <v>#N/A</v>
      </c>
      <c r="AB109" s="642" t="e">
        <f>INDEX(API1DENST,MATCH($C109,'Vessel Gauging Data'!$B$27:$B$56,0),1)</f>
        <v>#N/A</v>
      </c>
      <c r="AC109" s="642" t="e">
        <f t="shared" si="86"/>
        <v>#N/A</v>
      </c>
      <c r="AE109" s="661" t="e">
        <f t="shared" si="87"/>
        <v>#VALUE!</v>
      </c>
      <c r="AF109" s="661" t="e">
        <f t="shared" si="88"/>
        <v>#VALUE!</v>
      </c>
      <c r="AH109" s="662" t="str">
        <f t="shared" si="84"/>
        <v/>
      </c>
      <c r="AI109" s="662" t="str">
        <f t="shared" si="85"/>
        <v/>
      </c>
      <c r="AJ109" s="663">
        <f t="shared" si="89"/>
        <v>192.4571</v>
      </c>
      <c r="AK109" s="660">
        <f t="shared" si="90"/>
        <v>0.24379999999999999</v>
      </c>
      <c r="AL109" s="660" t="e">
        <f t="shared" si="91"/>
        <v>#VALUE!</v>
      </c>
      <c r="AM109" s="664" t="e">
        <f t="shared" si="92"/>
        <v>#VALUE!</v>
      </c>
      <c r="AN109" s="664" t="e">
        <f t="shared" si="93"/>
        <v>#VALUE!</v>
      </c>
      <c r="AO109" s="665" t="e">
        <f t="shared" si="94"/>
        <v>#VALUE!</v>
      </c>
      <c r="AP109" s="666" t="e">
        <f t="shared" si="95"/>
        <v>#VALUE!</v>
      </c>
      <c r="AQ109" s="660" t="e">
        <f t="shared" si="96"/>
        <v>#VALUE!</v>
      </c>
      <c r="AR109" s="667" t="e">
        <f t="shared" si="97"/>
        <v>#VALUE!</v>
      </c>
      <c r="AS109" s="667" t="e">
        <f t="shared" si="98"/>
        <v>#VALUE!</v>
      </c>
      <c r="AT109" s="668" t="e">
        <f t="shared" si="99"/>
        <v>#VALUE!</v>
      </c>
      <c r="AU109" s="667" t="e">
        <f t="shared" si="100"/>
        <v>#VALUE!</v>
      </c>
      <c r="AV109" s="669" t="e">
        <f t="shared" si="101"/>
        <v>#VALUE!</v>
      </c>
      <c r="AW109" s="667" t="e">
        <f t="shared" si="102"/>
        <v>#VALUE!</v>
      </c>
      <c r="AX109" s="667" t="e">
        <f t="shared" si="103"/>
        <v>#VALUE!</v>
      </c>
      <c r="AY109" s="660" t="e">
        <f t="shared" si="104"/>
        <v>#VALUE!</v>
      </c>
      <c r="AZ109" s="670" t="e">
        <f t="shared" si="105"/>
        <v>#VALUE!</v>
      </c>
      <c r="BB109" s="662" t="e">
        <f>INDEX('Vessel Gauging Data'!$B$26:$V$56,MATCH($C109,'Vessel Gauging Data'!$B$26:$B$56,0),$BB$18)</f>
        <v>#N/A</v>
      </c>
      <c r="BC109" s="662" t="e">
        <f>INDEX('Vessel Gauging Data'!$B$26:$V$56,MATCH($C109,'Vessel Gauging Data'!$B$26:$B$56,0),$BC$18)</f>
        <v>#N/A</v>
      </c>
      <c r="BD109" s="662" t="e">
        <f>INDEX('Vessel Gauging Data'!$B$26:$V$56,MATCH($C109,'Vessel Gauging Data'!$B$26:$B$56,0),$BD$18)</f>
        <v>#N/A</v>
      </c>
      <c r="BE109" s="662" t="e">
        <f>INDEX('Vessel Gauging Data'!$B$26:$V$56,MATCH($C109,'Vessel Gauging Data'!$B$26:$B$56,0),$BE$18)</f>
        <v>#N/A</v>
      </c>
    </row>
    <row r="110" spans="1:57" hidden="1">
      <c r="A110" s="641" t="str">
        <f t="shared" si="69"/>
        <v>N</v>
      </c>
      <c r="C110" s="237" t="str">
        <f t="array" ref="C110">IF(OR($E$90="",SUMPRODUCT(('Vessel Gauging Data'!$C$27:$C$56=$E$90)*('Vessel Gauging Data'!$D$27:$D$56=NOMY))&lt;ROWS($C$91:$C110)),"",INDEX('Vessel Gauging Data'!$B$27:$B$56,SMALL(IF(('Vessel Gauging Data'!$C$27:$C$56=$E$90)+('Vessel Gauging Data'!$D$27:$D$56=NOMY)=2,ROW('Vessel Gauging Data'!$B$27:$B$56)-ROW('Vessel Gauging Data'!$C$26)),ROW()-ROW(C$90))))</f>
        <v/>
      </c>
      <c r="D110" s="238" t="str">
        <f>IF(OR($C110="",$C110=0),"",INDEX('Vessel Gauging Data'!$B$26:$V$56,MATCH($C110,'Vessel Gauging Data'!$B$27:$B$56,0)+1,2))</f>
        <v/>
      </c>
      <c r="E110" s="1017" t="str">
        <f t="shared" si="70"/>
        <v/>
      </c>
      <c r="F110" s="1017" t="str">
        <f t="shared" si="71"/>
        <v/>
      </c>
      <c r="G110" s="1017" t="str">
        <f t="shared" si="72"/>
        <v/>
      </c>
      <c r="H110" s="1017" t="str">
        <f t="shared" si="72"/>
        <v/>
      </c>
      <c r="I110" s="238" t="str">
        <f t="shared" si="73"/>
        <v/>
      </c>
      <c r="J110" s="1017" t="str">
        <f t="shared" si="74"/>
        <v/>
      </c>
      <c r="K110" s="240" t="str">
        <f t="shared" si="75"/>
        <v/>
      </c>
      <c r="L110" s="239" t="str">
        <f t="shared" si="76"/>
        <v/>
      </c>
      <c r="M110" s="1126" t="str">
        <f>IF(OR($C110="",$C110=0),"",INDEX(API1DENST,MATCH($C110,'Vessel Gauging Data'!$B$27:$B$56,0),$AA$1))</f>
        <v/>
      </c>
      <c r="N110" s="239" t="str">
        <f t="shared" si="77"/>
        <v/>
      </c>
      <c r="O110" s="1017" t="str">
        <f t="shared" si="78"/>
        <v/>
      </c>
      <c r="P110" s="1126" t="str">
        <f t="shared" si="79"/>
        <v/>
      </c>
      <c r="Q110" s="1017" t="str">
        <f t="shared" si="80"/>
        <v/>
      </c>
      <c r="R110" s="241" t="str">
        <f t="shared" si="81"/>
        <v/>
      </c>
      <c r="S110" s="1126" t="str">
        <f t="shared" si="82"/>
        <v/>
      </c>
      <c r="T110" s="242" t="str">
        <f t="shared" si="83"/>
        <v/>
      </c>
      <c r="V110" s="642" t="e">
        <f>INDEX('Vessel Gauging Data'!$B$26:$V$56,MATCH($C110,'Vessel Gauging Data'!$B$26:$B$56,0),$V$18)</f>
        <v>#N/A</v>
      </c>
      <c r="W110" s="642" t="e">
        <f>INDEX('Vessel Gauging Data'!$B$26:$V$56,MATCH($C110,'Vessel Gauging Data'!$B$26:$B$56,0),$W$18)</f>
        <v>#N/A</v>
      </c>
      <c r="X110" s="642" t="e">
        <f>INDEX('Vessel Gauging Data'!$B$26:$V$56,MATCH($C110,'Vessel Gauging Data'!$B$26:$B$56,0),$X$18)</f>
        <v>#N/A</v>
      </c>
      <c r="Y110" s="642" t="e">
        <f>INDEX('Vessel Gauging Data'!$B$26:$V$56,MATCH($C110,'Vessel Gauging Data'!$B$26:$B$56,0),$Y$18)</f>
        <v>#N/A</v>
      </c>
      <c r="Z110" s="642" t="e">
        <f>INDEX('Vessel Gauging Data'!$B$26:$V$56,MATCH($C110,'Vessel Gauging Data'!$B$26:$B$56,0),$Z$18)</f>
        <v>#N/A</v>
      </c>
      <c r="AB110" s="642" t="e">
        <f>INDEX(API1DENST,MATCH($C110,'Vessel Gauging Data'!$B$27:$B$56,0),1)</f>
        <v>#N/A</v>
      </c>
      <c r="AC110" s="642" t="e">
        <f t="shared" si="86"/>
        <v>#N/A</v>
      </c>
      <c r="AE110" s="661" t="e">
        <f t="shared" si="87"/>
        <v>#VALUE!</v>
      </c>
      <c r="AF110" s="661" t="e">
        <f t="shared" si="88"/>
        <v>#VALUE!</v>
      </c>
      <c r="AH110" s="662" t="str">
        <f t="shared" si="84"/>
        <v/>
      </c>
      <c r="AI110" s="662" t="str">
        <f t="shared" si="85"/>
        <v/>
      </c>
      <c r="AJ110" s="663">
        <f t="shared" si="89"/>
        <v>192.4571</v>
      </c>
      <c r="AK110" s="660">
        <f t="shared" si="90"/>
        <v>0.24379999999999999</v>
      </c>
      <c r="AL110" s="660" t="e">
        <f t="shared" si="91"/>
        <v>#VALUE!</v>
      </c>
      <c r="AM110" s="664" t="e">
        <f t="shared" si="92"/>
        <v>#VALUE!</v>
      </c>
      <c r="AN110" s="664" t="e">
        <f t="shared" si="93"/>
        <v>#VALUE!</v>
      </c>
      <c r="AO110" s="665" t="e">
        <f t="shared" si="94"/>
        <v>#VALUE!</v>
      </c>
      <c r="AP110" s="666" t="e">
        <f t="shared" si="95"/>
        <v>#VALUE!</v>
      </c>
      <c r="AQ110" s="660" t="e">
        <f t="shared" si="96"/>
        <v>#VALUE!</v>
      </c>
      <c r="AR110" s="667" t="e">
        <f t="shared" si="97"/>
        <v>#VALUE!</v>
      </c>
      <c r="AS110" s="667" t="e">
        <f t="shared" si="98"/>
        <v>#VALUE!</v>
      </c>
      <c r="AT110" s="668" t="e">
        <f t="shared" si="99"/>
        <v>#VALUE!</v>
      </c>
      <c r="AU110" s="667" t="e">
        <f t="shared" si="100"/>
        <v>#VALUE!</v>
      </c>
      <c r="AV110" s="669" t="e">
        <f t="shared" si="101"/>
        <v>#VALUE!</v>
      </c>
      <c r="AW110" s="667" t="e">
        <f t="shared" si="102"/>
        <v>#VALUE!</v>
      </c>
      <c r="AX110" s="667" t="e">
        <f t="shared" si="103"/>
        <v>#VALUE!</v>
      </c>
      <c r="AY110" s="660" t="e">
        <f t="shared" si="104"/>
        <v>#VALUE!</v>
      </c>
      <c r="AZ110" s="670" t="e">
        <f t="shared" si="105"/>
        <v>#VALUE!</v>
      </c>
      <c r="BB110" s="662" t="e">
        <f>INDEX('Vessel Gauging Data'!$B$26:$V$56,MATCH($C110,'Vessel Gauging Data'!$B$26:$B$56,0),$BB$18)</f>
        <v>#N/A</v>
      </c>
      <c r="BC110" s="662" t="e">
        <f>INDEX('Vessel Gauging Data'!$B$26:$V$56,MATCH($C110,'Vessel Gauging Data'!$B$26:$B$56,0),$BC$18)</f>
        <v>#N/A</v>
      </c>
      <c r="BD110" s="662" t="e">
        <f>INDEX('Vessel Gauging Data'!$B$26:$V$56,MATCH($C110,'Vessel Gauging Data'!$B$26:$B$56,0),$BD$18)</f>
        <v>#N/A</v>
      </c>
      <c r="BE110" s="662" t="e">
        <f>INDEX('Vessel Gauging Data'!$B$26:$V$56,MATCH($C110,'Vessel Gauging Data'!$B$26:$B$56,0),$BE$18)</f>
        <v>#N/A</v>
      </c>
    </row>
    <row r="111" spans="1:57" hidden="1">
      <c r="A111" s="641" t="str">
        <f>A90</f>
        <v>N</v>
      </c>
      <c r="C111" s="671"/>
      <c r="D111" s="671"/>
      <c r="E111" s="672"/>
      <c r="F111" s="672"/>
      <c r="G111" s="672"/>
      <c r="H111" s="1501"/>
      <c r="I111" s="671"/>
      <c r="J111" s="672"/>
      <c r="K111" s="673"/>
      <c r="L111" s="672"/>
      <c r="M111" s="674"/>
      <c r="N111" s="672"/>
      <c r="O111" s="672"/>
      <c r="P111" s="1127"/>
      <c r="Q111" s="672"/>
      <c r="R111" s="675"/>
      <c r="S111" s="1137" t="s">
        <v>401</v>
      </c>
      <c r="T111" s="619">
        <f>SUM(T91:T110)</f>
        <v>0</v>
      </c>
      <c r="V111" s="719"/>
      <c r="W111" s="719"/>
      <c r="X111" s="719"/>
      <c r="Y111" s="719"/>
      <c r="Z111" s="719"/>
      <c r="AA111" s="676"/>
      <c r="AB111" s="719"/>
      <c r="AC111" s="719"/>
      <c r="AD111" s="676"/>
      <c r="AE111" s="720"/>
      <c r="AF111" s="720"/>
      <c r="AG111" s="676"/>
      <c r="AH111" s="721"/>
      <c r="AI111" s="721"/>
      <c r="AJ111" s="722"/>
      <c r="AK111" s="723"/>
      <c r="AL111" s="723"/>
      <c r="AM111" s="724"/>
      <c r="AN111" s="724"/>
      <c r="AO111" s="725"/>
      <c r="AP111" s="726"/>
      <c r="AQ111" s="723"/>
      <c r="AR111" s="727"/>
      <c r="AS111" s="727"/>
      <c r="AT111" s="728"/>
      <c r="AU111" s="727"/>
      <c r="AV111" s="729"/>
      <c r="AW111" s="727"/>
      <c r="AX111" s="727"/>
      <c r="AY111" s="723"/>
      <c r="AZ111" s="730"/>
      <c r="BA111" s="676"/>
      <c r="BB111" s="721"/>
      <c r="BC111" s="721"/>
      <c r="BD111" s="721"/>
      <c r="BE111" s="721"/>
    </row>
    <row r="112" spans="1:57" s="702" customFormat="1" ht="5.25" hidden="1">
      <c r="A112" s="702" t="str">
        <f>IF(A113="N",A113,IF(COUNTIF($A$21:$A110,"Y")&gt;0,A113,"N"))</f>
        <v>N</v>
      </c>
      <c r="C112" s="704"/>
      <c r="D112" s="704"/>
      <c r="E112" s="704"/>
      <c r="F112" s="704"/>
      <c r="G112" s="704"/>
      <c r="H112" s="704"/>
      <c r="I112" s="704"/>
      <c r="J112" s="705"/>
      <c r="K112" s="705"/>
      <c r="L112" s="705"/>
      <c r="M112" s="705"/>
      <c r="N112" s="705"/>
      <c r="O112" s="705"/>
      <c r="P112" s="1128"/>
      <c r="Q112" s="705"/>
      <c r="R112" s="705"/>
      <c r="S112" s="1136"/>
      <c r="T112" s="706"/>
      <c r="V112" s="707"/>
      <c r="W112" s="707"/>
      <c r="X112" s="707"/>
      <c r="Y112" s="707"/>
      <c r="Z112" s="707"/>
      <c r="AA112" s="707"/>
      <c r="AB112" s="707"/>
      <c r="AC112" s="707"/>
      <c r="AD112" s="707"/>
      <c r="AE112" s="708"/>
      <c r="AF112" s="708"/>
      <c r="AG112" s="707"/>
      <c r="AH112" s="709"/>
      <c r="AI112" s="709"/>
      <c r="AJ112" s="710"/>
      <c r="AK112" s="711"/>
      <c r="AL112" s="711"/>
      <c r="AM112" s="712"/>
      <c r="AN112" s="712"/>
      <c r="AO112" s="713"/>
      <c r="AP112" s="714"/>
      <c r="AQ112" s="711"/>
      <c r="AR112" s="715"/>
      <c r="AS112" s="715"/>
      <c r="AT112" s="716"/>
      <c r="AU112" s="715"/>
      <c r="AV112" s="717"/>
      <c r="AW112" s="715"/>
      <c r="AX112" s="715"/>
      <c r="AY112" s="711"/>
      <c r="AZ112" s="718"/>
      <c r="BA112" s="707"/>
      <c r="BB112" s="709"/>
      <c r="BC112" s="709"/>
      <c r="BD112" s="709"/>
      <c r="BE112" s="709"/>
    </row>
    <row r="113" spans="1:57" ht="15.75" hidden="1">
      <c r="A113" s="641" t="str">
        <f>A114</f>
        <v>N</v>
      </c>
      <c r="B113" s="641">
        <v>5</v>
      </c>
      <c r="C113" s="2797" t="s">
        <v>163</v>
      </c>
      <c r="D113" s="2798"/>
      <c r="E113" s="2799" t="str">
        <f>'Preliminary Report'!I1</f>
        <v>MGO</v>
      </c>
      <c r="F113" s="2800"/>
      <c r="G113" s="2800"/>
      <c r="H113" s="2800"/>
      <c r="I113" s="2801"/>
      <c r="J113" s="698"/>
      <c r="K113" s="699"/>
      <c r="L113" s="700"/>
      <c r="M113" s="699"/>
      <c r="N113" s="699"/>
      <c r="O113" s="700"/>
      <c r="P113" s="1129"/>
      <c r="Q113" s="700"/>
      <c r="R113" s="701"/>
      <c r="S113" s="1129"/>
      <c r="T113" s="701"/>
      <c r="V113" s="731"/>
      <c r="W113" s="731"/>
      <c r="X113" s="731"/>
      <c r="Y113" s="731"/>
      <c r="Z113" s="731"/>
      <c r="AA113" s="676"/>
      <c r="AB113" s="731"/>
      <c r="AC113" s="731"/>
      <c r="AD113" s="676"/>
      <c r="AE113" s="732"/>
      <c r="AF113" s="732"/>
      <c r="AG113" s="676"/>
      <c r="AH113" s="733"/>
      <c r="AI113" s="733"/>
      <c r="AJ113" s="734"/>
      <c r="AK113" s="735"/>
      <c r="AL113" s="735"/>
      <c r="AM113" s="736"/>
      <c r="AN113" s="736"/>
      <c r="AO113" s="737"/>
      <c r="AP113" s="738"/>
      <c r="AQ113" s="735"/>
      <c r="AR113" s="739"/>
      <c r="AS113" s="739"/>
      <c r="AT113" s="740"/>
      <c r="AU113" s="739"/>
      <c r="AV113" s="741"/>
      <c r="AW113" s="739"/>
      <c r="AX113" s="739"/>
      <c r="AY113" s="735"/>
      <c r="AZ113" s="742"/>
      <c r="BA113" s="676"/>
      <c r="BB113" s="733"/>
      <c r="BC113" s="733"/>
      <c r="BD113" s="733"/>
      <c r="BE113" s="733"/>
    </row>
    <row r="114" spans="1:57" hidden="1">
      <c r="A114" s="641" t="str">
        <f t="shared" ref="A114:A133" si="106">IF(C114="","N",IF(ISERROR(MATCH($E$113,IF($Z$1=1,GRADESLIST,IF($Z$1=2,RESIDUALS,DISTILLATES)),0)),"N","Y"))</f>
        <v>N</v>
      </c>
      <c r="B114" s="655"/>
      <c r="C114" s="622" t="str">
        <f t="array" ref="C114">IF(OR($E$113="",SUMPRODUCT(('Vessel Gauging Data'!$C$27:$C$56=$E$113)*('Vessel Gauging Data'!$D$27:$D$56=NOMY))&lt;ROWS($C$114:$C114)),"",INDEX('Vessel Gauging Data'!$B$27:$B$56,SMALL(IF(('Vessel Gauging Data'!$C$27:$C$56=$E$113)+('Vessel Gauging Data'!$D$27:$D$56=NOMY)=2,ROW('Vessel Gauging Data'!$B$27:$B$56)-ROW('Vessel Gauging Data'!$C$26)),ROW()-ROW(C$113))))</f>
        <v/>
      </c>
      <c r="D114" s="623" t="str">
        <f>IF(OR($C114="",$C114=0),"",INDEX('Vessel Gauging Data'!$B$26:$V$56,MATCH($C114,'Vessel Gauging Data'!$B$27:$B$56,0)+1,2))</f>
        <v/>
      </c>
      <c r="E114" s="1018" t="str">
        <f t="shared" ref="E114:E133" si="107">IF(ISERROR(V114),"",IF(OR($C114="",$C114=0),"",IF(ISTEXT(V114),V114,IF($AB$1=1,V114*UNITOR_1,INT(V114*UNITOR_1)&amp;"'-"&amp;TRIM(TEXT(ROUND(MOD(V114*UNITOR_1,1)*12,1),"# ???/???"))&amp;""""))))</f>
        <v/>
      </c>
      <c r="F114" s="1018" t="str">
        <f t="shared" ref="F114:F133" si="108">IF(ISERROR(W114),"",IF(OR($C114="",$C114=0),"",IF(ISTEXT(W114),W114,IF($AB$1=1,W114*UNITOR_1,INT(W114*UNITOR_1)&amp;"'-"&amp;TRIM(TEXT(ROUND(MOD(W114*UNITOR_1,1)*12,1),"# ???/???"))&amp;""""))))</f>
        <v/>
      </c>
      <c r="G114" s="1018" t="str">
        <f t="shared" ref="G114:H133" si="109">IF(ISERROR(X114),"",IF(OR($C114="",$C114=0),"",IF(ISTEXT(X114),X114,IF($AB$1=1,X114*UNITOR_1,INT(X114*UNITOR_1)&amp;"'-"&amp;TRIM(TEXT(ROUND(MOD(X114*UNITOR_1,1)*12,1),"# ???/???"))&amp;""""))))</f>
        <v/>
      </c>
      <c r="H114" s="1018" t="str">
        <f t="shared" si="109"/>
        <v/>
      </c>
      <c r="I114" s="623" t="str">
        <f t="shared" ref="I114:I133" si="110">IF(ISERROR($BB114),"",IF(OR($C114="",$C114=0,$BB114=0),"",$BB114))</f>
        <v/>
      </c>
      <c r="J114" s="1018" t="str">
        <f t="shared" ref="J114:J133" si="111">IF(ISERROR($BC114),"",IF(OR($C114="",$C114=0,$BC114=""),"",IF(ISTEXT($BC114),$BC114,$BC114*IF($AA$1=B1SEL,1,IF($AA$1=2,FBBLS,1/FBBLS)))))</f>
        <v/>
      </c>
      <c r="K114" s="625" t="str">
        <f t="shared" ref="K114:K133" si="112">IF(ISERROR($BD114),"",IF(OR($C114="",$C114=0,$BD114=""),0,IF(ISTEXT($BD114),$BD114,$BD114*IF($AB$1=W1SEL,1,IF($AB$1=2,FINCH,1/FINCH)))))</f>
        <v/>
      </c>
      <c r="L114" s="624" t="str">
        <f t="shared" ref="L114:L133" si="113">IF(ISERROR($BE114),"",IF(OR($C114="",$C114=0,$BE114=""),0,IF(ISTEXT($BE114),$BE114,$BE114*IF($AA$1=B1SEL,1,IF($AA$1=2,FBBLS,1/FBBLS)))))</f>
        <v/>
      </c>
      <c r="M114" s="1124" t="str">
        <f>IF(OR($C114="",$C114=0),"",INDEX(API1DENST,MATCH($C114,'Vessel Gauging Data'!$B$27:$B$56,0),$AA$1))</f>
        <v/>
      </c>
      <c r="N114" s="624" t="str">
        <f t="shared" ref="N114:N133" si="114">IF(ISERROR(Z114),"",IF(OR($C114="",$C114=0,Z114=""),"",IF(ISTEXT(Z114),Z114,IF($AA$1=T1SEL,Z114,IF($AA$1=2,(Z114*9/5)+32,(Z114-32)*5/9)))))</f>
        <v/>
      </c>
      <c r="O114" s="1018" t="str">
        <f t="shared" ref="O114:O133" si="115">IF(OR(J114="",L114=""),"",IF(ISTEXT(J114),"N/A",IF(ISTEXT(L114),J114,J114-L114)))</f>
        <v/>
      </c>
      <c r="P114" s="1124" t="str">
        <f t="shared" ref="P114:P133" si="116">IF(OR(M114="",N114=""),"",IF(OR(ISTEXT(M114),ISTEXT(N114)),"N/A",IF($AA$1=1,ROUND(EXP(-AF114*(N114-15)*(1+0.8*AF114*(N114-15))),5),AZ114)))</f>
        <v/>
      </c>
      <c r="Q114" s="1018" t="str">
        <f t="shared" ref="Q114:Q133" si="117">IF(OR(M114="",N114=""),"",IF(OR(ISTEXT(M114),ISTEXT(N114)),"N/A",ROUND(O114*P114,3)))</f>
        <v/>
      </c>
      <c r="R114" s="626" t="str">
        <f t="shared" ref="R114:R133" si="118">IF(M114="","",IF($AA$1=1,IF(ISTEXT(Q114),"N/A",ROUND(Q114*M114,3)),IF(ISTEXT(T114),"N/A",ROUND(T114*AC114,3))))</f>
        <v/>
      </c>
      <c r="S114" s="1124" t="str">
        <f t="shared" ref="S114:S133" si="119">IF(M114="","",IF($AA$1=1,ROUND(M114-0.0011,5),ROUND((1.00122697*(141.5/(M114+131.5))-1.22269727*10^-3)*8.32823*42/2204.62,5+2)))</f>
        <v/>
      </c>
      <c r="T114" s="627" t="str">
        <f t="shared" ref="T114:T133" si="120">IF(OR(M114="",N114=""),"",IF(ISTEXT(Q114),"N/A",IF($AA$1=1,ROUND((Q114*(M114-0.0011)),3),ROUND(Q114*S114,3))))</f>
        <v/>
      </c>
      <c r="V114" s="642" t="e">
        <f>INDEX('Vessel Gauging Data'!$B$26:$V$56,MATCH($C114,'Vessel Gauging Data'!$B$26:$B$56,0),$V$18)</f>
        <v>#N/A</v>
      </c>
      <c r="W114" s="642" t="e">
        <f>INDEX('Vessel Gauging Data'!$B$26:$V$56,MATCH($C114,'Vessel Gauging Data'!$B$26:$B$56,0),$W$18)</f>
        <v>#N/A</v>
      </c>
      <c r="X114" s="642" t="e">
        <f>INDEX('Vessel Gauging Data'!$B$26:$V$56,MATCH($C114,'Vessel Gauging Data'!$B$26:$B$56,0),$X$18)</f>
        <v>#N/A</v>
      </c>
      <c r="Y114" s="642" t="e">
        <f>INDEX('Vessel Gauging Data'!$B$26:$V$56,MATCH($C114,'Vessel Gauging Data'!$B$26:$B$56,0),$Y$18)</f>
        <v>#N/A</v>
      </c>
      <c r="Z114" s="642" t="e">
        <f>INDEX('Vessel Gauging Data'!$B$26:$V$56,MATCH($C114,'Vessel Gauging Data'!$B$26:$B$56,0),$Z$18)</f>
        <v>#N/A</v>
      </c>
      <c r="AB114" s="642" t="e">
        <f>INDEX(API1DENST,MATCH($C114,'Vessel Gauging Data'!$B$27:$B$56,0),1)</f>
        <v>#N/A</v>
      </c>
      <c r="AC114" s="642" t="e">
        <f t="shared" si="86"/>
        <v>#N/A</v>
      </c>
      <c r="AE114" s="661" t="e">
        <f t="shared" si="87"/>
        <v>#VALUE!</v>
      </c>
      <c r="AF114" s="661" t="e">
        <f t="shared" si="88"/>
        <v>#VALUE!</v>
      </c>
      <c r="AH114" s="662" t="str">
        <f t="shared" si="84"/>
        <v/>
      </c>
      <c r="AI114" s="662" t="str">
        <f t="shared" si="85"/>
        <v/>
      </c>
      <c r="AJ114" s="663">
        <f t="shared" si="89"/>
        <v>192.4571</v>
      </c>
      <c r="AK114" s="660">
        <f t="shared" si="90"/>
        <v>0.24379999999999999</v>
      </c>
      <c r="AL114" s="660" t="e">
        <f t="shared" si="91"/>
        <v>#VALUE!</v>
      </c>
      <c r="AM114" s="664" t="e">
        <f t="shared" si="92"/>
        <v>#VALUE!</v>
      </c>
      <c r="AN114" s="664" t="e">
        <f t="shared" si="93"/>
        <v>#VALUE!</v>
      </c>
      <c r="AO114" s="665" t="e">
        <f t="shared" si="94"/>
        <v>#VALUE!</v>
      </c>
      <c r="AP114" s="666" t="e">
        <f t="shared" si="95"/>
        <v>#VALUE!</v>
      </c>
      <c r="AQ114" s="660" t="e">
        <f t="shared" si="96"/>
        <v>#VALUE!</v>
      </c>
      <c r="AR114" s="667" t="e">
        <f t="shared" si="97"/>
        <v>#VALUE!</v>
      </c>
      <c r="AS114" s="667" t="e">
        <f t="shared" si="98"/>
        <v>#VALUE!</v>
      </c>
      <c r="AT114" s="668" t="e">
        <f t="shared" si="99"/>
        <v>#VALUE!</v>
      </c>
      <c r="AU114" s="667" t="e">
        <f t="shared" si="100"/>
        <v>#VALUE!</v>
      </c>
      <c r="AV114" s="669" t="e">
        <f t="shared" si="101"/>
        <v>#VALUE!</v>
      </c>
      <c r="AW114" s="667" t="e">
        <f t="shared" si="102"/>
        <v>#VALUE!</v>
      </c>
      <c r="AX114" s="667" t="e">
        <f t="shared" si="103"/>
        <v>#VALUE!</v>
      </c>
      <c r="AY114" s="660" t="e">
        <f t="shared" si="104"/>
        <v>#VALUE!</v>
      </c>
      <c r="AZ114" s="670" t="e">
        <f t="shared" si="105"/>
        <v>#VALUE!</v>
      </c>
      <c r="BB114" s="662" t="e">
        <f>INDEX('Vessel Gauging Data'!$B$26:$V$56,MATCH($C114,'Vessel Gauging Data'!$B$26:$B$56,0),$BB$18)</f>
        <v>#N/A</v>
      </c>
      <c r="BC114" s="662" t="e">
        <f>INDEX('Vessel Gauging Data'!$B$26:$V$56,MATCH($C114,'Vessel Gauging Data'!$B$26:$B$56,0),$BC$18)</f>
        <v>#N/A</v>
      </c>
      <c r="BD114" s="662" t="e">
        <f>INDEX('Vessel Gauging Data'!$B$26:$V$56,MATCH($C114,'Vessel Gauging Data'!$B$26:$B$56,0),$BD$18)</f>
        <v>#N/A</v>
      </c>
      <c r="BE114" s="662" t="e">
        <f>INDEX('Vessel Gauging Data'!$B$26:$V$56,MATCH($C114,'Vessel Gauging Data'!$B$26:$B$56,0),$BE$18)</f>
        <v>#N/A</v>
      </c>
    </row>
    <row r="115" spans="1:57" hidden="1">
      <c r="A115" s="641" t="str">
        <f t="shared" si="106"/>
        <v>N</v>
      </c>
      <c r="C115" s="235" t="str">
        <f t="array" ref="C115">IF(OR($E$113="",SUMPRODUCT(('Vessel Gauging Data'!$C$27:$C$56=$E$113)*('Vessel Gauging Data'!$D$27:$D$56=NOMY))&lt;ROWS($C$114:$C115)),"",INDEX('Vessel Gauging Data'!$B$27:$B$56,SMALL(IF(('Vessel Gauging Data'!$C$27:$C$56=$E$113)+('Vessel Gauging Data'!$D$27:$D$56=NOMY)=2,ROW('Vessel Gauging Data'!$B$27:$B$56)-ROW('Vessel Gauging Data'!$C$26)),ROW()-ROW(C$113))))</f>
        <v/>
      </c>
      <c r="D115" s="211" t="str">
        <f>IF(OR($C115="",$C115=0),"",INDEX('Vessel Gauging Data'!$B$26:$V$56,MATCH($C115,'Vessel Gauging Data'!$B$27:$B$56,0)+1,2))</f>
        <v/>
      </c>
      <c r="E115" s="1016" t="str">
        <f t="shared" si="107"/>
        <v/>
      </c>
      <c r="F115" s="1016" t="str">
        <f t="shared" si="108"/>
        <v/>
      </c>
      <c r="G115" s="1016" t="str">
        <f t="shared" si="109"/>
        <v/>
      </c>
      <c r="H115" s="1016" t="str">
        <f t="shared" si="109"/>
        <v/>
      </c>
      <c r="I115" s="211" t="str">
        <f t="shared" si="110"/>
        <v/>
      </c>
      <c r="J115" s="1016" t="str">
        <f t="shared" si="111"/>
        <v/>
      </c>
      <c r="K115" s="213" t="str">
        <f t="shared" si="112"/>
        <v/>
      </c>
      <c r="L115" s="212" t="str">
        <f t="shared" si="113"/>
        <v/>
      </c>
      <c r="M115" s="1125" t="str">
        <f>IF(OR($C115="",$C115=0),"",INDEX(API1DENST,MATCH($C115,'Vessel Gauging Data'!$B$27:$B$56,0),$AA$1))</f>
        <v/>
      </c>
      <c r="N115" s="212" t="str">
        <f t="shared" si="114"/>
        <v/>
      </c>
      <c r="O115" s="1016" t="str">
        <f t="shared" si="115"/>
        <v/>
      </c>
      <c r="P115" s="1125" t="str">
        <f t="shared" si="116"/>
        <v/>
      </c>
      <c r="Q115" s="1016" t="str">
        <f t="shared" si="117"/>
        <v/>
      </c>
      <c r="R115" s="214" t="str">
        <f t="shared" si="118"/>
        <v/>
      </c>
      <c r="S115" s="1125" t="str">
        <f t="shared" si="119"/>
        <v/>
      </c>
      <c r="T115" s="236" t="str">
        <f t="shared" si="120"/>
        <v/>
      </c>
      <c r="V115" s="642" t="e">
        <f>INDEX('Vessel Gauging Data'!$B$26:$V$56,MATCH($C115,'Vessel Gauging Data'!$B$26:$B$56,0),$V$18)</f>
        <v>#N/A</v>
      </c>
      <c r="W115" s="642" t="e">
        <f>INDEX('Vessel Gauging Data'!$B$26:$V$56,MATCH($C115,'Vessel Gauging Data'!$B$26:$B$56,0),$W$18)</f>
        <v>#N/A</v>
      </c>
      <c r="X115" s="642" t="e">
        <f>INDEX('Vessel Gauging Data'!$B$26:$V$56,MATCH($C115,'Vessel Gauging Data'!$B$26:$B$56,0),$X$18)</f>
        <v>#N/A</v>
      </c>
      <c r="Y115" s="642" t="e">
        <f>INDEX('Vessel Gauging Data'!$B$26:$V$56,MATCH($C115,'Vessel Gauging Data'!$B$26:$B$56,0),$Y$18)</f>
        <v>#N/A</v>
      </c>
      <c r="Z115" s="642" t="e">
        <f>INDEX('Vessel Gauging Data'!$B$26:$V$56,MATCH($C115,'Vessel Gauging Data'!$B$26:$B$56,0),$Z$18)</f>
        <v>#N/A</v>
      </c>
      <c r="AB115" s="642" t="e">
        <f>INDEX(API1DENST,MATCH($C115,'Vessel Gauging Data'!$B$27:$B$56,0),1)</f>
        <v>#N/A</v>
      </c>
      <c r="AC115" s="642" t="e">
        <f t="shared" si="86"/>
        <v>#N/A</v>
      </c>
      <c r="AE115" s="661" t="e">
        <f t="shared" si="87"/>
        <v>#VALUE!</v>
      </c>
      <c r="AF115" s="661" t="e">
        <f t="shared" si="88"/>
        <v>#VALUE!</v>
      </c>
      <c r="AH115" s="662" t="str">
        <f t="shared" si="84"/>
        <v/>
      </c>
      <c r="AI115" s="662" t="str">
        <f t="shared" si="85"/>
        <v/>
      </c>
      <c r="AJ115" s="663">
        <f t="shared" si="89"/>
        <v>192.4571</v>
      </c>
      <c r="AK115" s="660">
        <f t="shared" si="90"/>
        <v>0.24379999999999999</v>
      </c>
      <c r="AL115" s="660" t="e">
        <f t="shared" si="91"/>
        <v>#VALUE!</v>
      </c>
      <c r="AM115" s="664" t="e">
        <f t="shared" si="92"/>
        <v>#VALUE!</v>
      </c>
      <c r="AN115" s="664" t="e">
        <f t="shared" si="93"/>
        <v>#VALUE!</v>
      </c>
      <c r="AO115" s="665" t="e">
        <f t="shared" si="94"/>
        <v>#VALUE!</v>
      </c>
      <c r="AP115" s="666" t="e">
        <f t="shared" si="95"/>
        <v>#VALUE!</v>
      </c>
      <c r="AQ115" s="660" t="e">
        <f t="shared" si="96"/>
        <v>#VALUE!</v>
      </c>
      <c r="AR115" s="667" t="e">
        <f t="shared" si="97"/>
        <v>#VALUE!</v>
      </c>
      <c r="AS115" s="667" t="e">
        <f t="shared" si="98"/>
        <v>#VALUE!</v>
      </c>
      <c r="AT115" s="668" t="e">
        <f t="shared" si="99"/>
        <v>#VALUE!</v>
      </c>
      <c r="AU115" s="667" t="e">
        <f t="shared" si="100"/>
        <v>#VALUE!</v>
      </c>
      <c r="AV115" s="669" t="e">
        <f t="shared" si="101"/>
        <v>#VALUE!</v>
      </c>
      <c r="AW115" s="667" t="e">
        <f t="shared" si="102"/>
        <v>#VALUE!</v>
      </c>
      <c r="AX115" s="667" t="e">
        <f t="shared" si="103"/>
        <v>#VALUE!</v>
      </c>
      <c r="AY115" s="660" t="e">
        <f t="shared" si="104"/>
        <v>#VALUE!</v>
      </c>
      <c r="AZ115" s="670" t="e">
        <f t="shared" si="105"/>
        <v>#VALUE!</v>
      </c>
      <c r="BB115" s="662" t="e">
        <f>INDEX('Vessel Gauging Data'!$B$26:$V$56,MATCH($C115,'Vessel Gauging Data'!$B$26:$B$56,0),$BB$18)</f>
        <v>#N/A</v>
      </c>
      <c r="BC115" s="662" t="e">
        <f>INDEX('Vessel Gauging Data'!$B$26:$V$56,MATCH($C115,'Vessel Gauging Data'!$B$26:$B$56,0),$BC$18)</f>
        <v>#N/A</v>
      </c>
      <c r="BD115" s="662" t="e">
        <f>INDEX('Vessel Gauging Data'!$B$26:$V$56,MATCH($C115,'Vessel Gauging Data'!$B$26:$B$56,0),$BD$18)</f>
        <v>#N/A</v>
      </c>
      <c r="BE115" s="662" t="e">
        <f>INDEX('Vessel Gauging Data'!$B$26:$V$56,MATCH($C115,'Vessel Gauging Data'!$B$26:$B$56,0),$BE$18)</f>
        <v>#N/A</v>
      </c>
    </row>
    <row r="116" spans="1:57" hidden="1">
      <c r="A116" s="641" t="str">
        <f t="shared" si="106"/>
        <v>N</v>
      </c>
      <c r="C116" s="235" t="str">
        <f t="array" ref="C116">IF(OR($E$113="",SUMPRODUCT(('Vessel Gauging Data'!$C$27:$C$56=$E$113)*('Vessel Gauging Data'!$D$27:$D$56=NOMY))&lt;ROWS($C$114:$C116)),"",INDEX('Vessel Gauging Data'!$B$27:$B$56,SMALL(IF(('Vessel Gauging Data'!$C$27:$C$56=$E$113)+('Vessel Gauging Data'!$D$27:$D$56=NOMY)=2,ROW('Vessel Gauging Data'!$B$27:$B$56)-ROW('Vessel Gauging Data'!$C$26)),ROW()-ROW(C$113))))</f>
        <v/>
      </c>
      <c r="D116" s="211" t="str">
        <f>IF(OR($C116="",$C116=0),"",INDEX('Vessel Gauging Data'!$B$26:$V$56,MATCH($C116,'Vessel Gauging Data'!$B$27:$B$56,0)+1,2))</f>
        <v/>
      </c>
      <c r="E116" s="1016" t="str">
        <f t="shared" si="107"/>
        <v/>
      </c>
      <c r="F116" s="1016" t="str">
        <f t="shared" si="108"/>
        <v/>
      </c>
      <c r="G116" s="1016" t="str">
        <f t="shared" si="109"/>
        <v/>
      </c>
      <c r="H116" s="1016" t="str">
        <f t="shared" si="109"/>
        <v/>
      </c>
      <c r="I116" s="211" t="str">
        <f t="shared" si="110"/>
        <v/>
      </c>
      <c r="J116" s="1016" t="str">
        <f t="shared" si="111"/>
        <v/>
      </c>
      <c r="K116" s="213" t="str">
        <f t="shared" si="112"/>
        <v/>
      </c>
      <c r="L116" s="212" t="str">
        <f t="shared" si="113"/>
        <v/>
      </c>
      <c r="M116" s="1125" t="str">
        <f>IF(OR($C116="",$C116=0),"",INDEX(API1DENST,MATCH($C116,'Vessel Gauging Data'!$B$27:$B$56,0),$AA$1))</f>
        <v/>
      </c>
      <c r="N116" s="212" t="str">
        <f t="shared" si="114"/>
        <v/>
      </c>
      <c r="O116" s="1016" t="str">
        <f t="shared" si="115"/>
        <v/>
      </c>
      <c r="P116" s="1125" t="str">
        <f t="shared" si="116"/>
        <v/>
      </c>
      <c r="Q116" s="1016" t="str">
        <f t="shared" si="117"/>
        <v/>
      </c>
      <c r="R116" s="214" t="str">
        <f t="shared" si="118"/>
        <v/>
      </c>
      <c r="S116" s="1125" t="str">
        <f t="shared" si="119"/>
        <v/>
      </c>
      <c r="T116" s="236" t="str">
        <f t="shared" si="120"/>
        <v/>
      </c>
      <c r="V116" s="642" t="e">
        <f>INDEX('Vessel Gauging Data'!$B$26:$V$56,MATCH($C116,'Vessel Gauging Data'!$B$26:$B$56,0),$V$18)</f>
        <v>#N/A</v>
      </c>
      <c r="W116" s="642" t="e">
        <f>INDEX('Vessel Gauging Data'!$B$26:$V$56,MATCH($C116,'Vessel Gauging Data'!$B$26:$B$56,0),$W$18)</f>
        <v>#N/A</v>
      </c>
      <c r="X116" s="642" t="e">
        <f>INDEX('Vessel Gauging Data'!$B$26:$V$56,MATCH($C116,'Vessel Gauging Data'!$B$26:$B$56,0),$X$18)</f>
        <v>#N/A</v>
      </c>
      <c r="Y116" s="642" t="e">
        <f>INDEX('Vessel Gauging Data'!$B$26:$V$56,MATCH($C116,'Vessel Gauging Data'!$B$26:$B$56,0),$Y$18)</f>
        <v>#N/A</v>
      </c>
      <c r="Z116" s="642" t="e">
        <f>INDEX('Vessel Gauging Data'!$B$26:$V$56,MATCH($C116,'Vessel Gauging Data'!$B$26:$B$56,0),$Z$18)</f>
        <v>#N/A</v>
      </c>
      <c r="AB116" s="642" t="e">
        <f>INDEX(API1DENST,MATCH($C116,'Vessel Gauging Data'!$B$27:$B$56,0),1)</f>
        <v>#N/A</v>
      </c>
      <c r="AC116" s="642" t="e">
        <f t="shared" si="86"/>
        <v>#N/A</v>
      </c>
      <c r="AE116" s="661" t="e">
        <f t="shared" si="87"/>
        <v>#VALUE!</v>
      </c>
      <c r="AF116" s="661" t="e">
        <f t="shared" si="88"/>
        <v>#VALUE!</v>
      </c>
      <c r="AH116" s="662" t="str">
        <f t="shared" si="84"/>
        <v/>
      </c>
      <c r="AI116" s="662" t="str">
        <f t="shared" si="85"/>
        <v/>
      </c>
      <c r="AJ116" s="663">
        <f t="shared" si="89"/>
        <v>192.4571</v>
      </c>
      <c r="AK116" s="660">
        <f t="shared" si="90"/>
        <v>0.24379999999999999</v>
      </c>
      <c r="AL116" s="660" t="e">
        <f t="shared" si="91"/>
        <v>#VALUE!</v>
      </c>
      <c r="AM116" s="664" t="e">
        <f t="shared" si="92"/>
        <v>#VALUE!</v>
      </c>
      <c r="AN116" s="664" t="e">
        <f t="shared" si="93"/>
        <v>#VALUE!</v>
      </c>
      <c r="AO116" s="665" t="e">
        <f t="shared" si="94"/>
        <v>#VALUE!</v>
      </c>
      <c r="AP116" s="666" t="e">
        <f t="shared" si="95"/>
        <v>#VALUE!</v>
      </c>
      <c r="AQ116" s="660" t="e">
        <f t="shared" si="96"/>
        <v>#VALUE!</v>
      </c>
      <c r="AR116" s="667" t="e">
        <f t="shared" si="97"/>
        <v>#VALUE!</v>
      </c>
      <c r="AS116" s="667" t="e">
        <f t="shared" si="98"/>
        <v>#VALUE!</v>
      </c>
      <c r="AT116" s="668" t="e">
        <f t="shared" si="99"/>
        <v>#VALUE!</v>
      </c>
      <c r="AU116" s="667" t="e">
        <f t="shared" si="100"/>
        <v>#VALUE!</v>
      </c>
      <c r="AV116" s="669" t="e">
        <f t="shared" si="101"/>
        <v>#VALUE!</v>
      </c>
      <c r="AW116" s="667" t="e">
        <f t="shared" si="102"/>
        <v>#VALUE!</v>
      </c>
      <c r="AX116" s="667" t="e">
        <f t="shared" si="103"/>
        <v>#VALUE!</v>
      </c>
      <c r="AY116" s="660" t="e">
        <f t="shared" si="104"/>
        <v>#VALUE!</v>
      </c>
      <c r="AZ116" s="670" t="e">
        <f t="shared" si="105"/>
        <v>#VALUE!</v>
      </c>
      <c r="BB116" s="662" t="e">
        <f>INDEX('Vessel Gauging Data'!$B$26:$V$56,MATCH($C116,'Vessel Gauging Data'!$B$26:$B$56,0),$BB$18)</f>
        <v>#N/A</v>
      </c>
      <c r="BC116" s="662" t="e">
        <f>INDEX('Vessel Gauging Data'!$B$26:$V$56,MATCH($C116,'Vessel Gauging Data'!$B$26:$B$56,0),$BC$18)</f>
        <v>#N/A</v>
      </c>
      <c r="BD116" s="662" t="e">
        <f>INDEX('Vessel Gauging Data'!$B$26:$V$56,MATCH($C116,'Vessel Gauging Data'!$B$26:$B$56,0),$BD$18)</f>
        <v>#N/A</v>
      </c>
      <c r="BE116" s="662" t="e">
        <f>INDEX('Vessel Gauging Data'!$B$26:$V$56,MATCH($C116,'Vessel Gauging Data'!$B$26:$B$56,0),$BE$18)</f>
        <v>#N/A</v>
      </c>
    </row>
    <row r="117" spans="1:57" hidden="1">
      <c r="A117" s="641" t="str">
        <f t="shared" si="106"/>
        <v>N</v>
      </c>
      <c r="C117" s="235" t="str">
        <f t="array" ref="C117">IF(OR($E$113="",SUMPRODUCT(('Vessel Gauging Data'!$C$27:$C$56=$E$113)*('Vessel Gauging Data'!$D$27:$D$56=NOMY))&lt;ROWS($C$114:$C117)),"",INDEX('Vessel Gauging Data'!$B$27:$B$56,SMALL(IF(('Vessel Gauging Data'!$C$27:$C$56=$E$113)+('Vessel Gauging Data'!$D$27:$D$56=NOMY)=2,ROW('Vessel Gauging Data'!$B$27:$B$56)-ROW('Vessel Gauging Data'!$C$26)),ROW()-ROW(C$113))))</f>
        <v/>
      </c>
      <c r="D117" s="211" t="str">
        <f>IF(OR($C117="",$C117=0),"",INDEX('Vessel Gauging Data'!$B$26:$V$56,MATCH($C117,'Vessel Gauging Data'!$B$27:$B$56,0)+1,2))</f>
        <v/>
      </c>
      <c r="E117" s="1016" t="str">
        <f t="shared" si="107"/>
        <v/>
      </c>
      <c r="F117" s="1016" t="str">
        <f t="shared" si="108"/>
        <v/>
      </c>
      <c r="G117" s="1016" t="str">
        <f t="shared" si="109"/>
        <v/>
      </c>
      <c r="H117" s="1016" t="str">
        <f t="shared" si="109"/>
        <v/>
      </c>
      <c r="I117" s="211" t="str">
        <f t="shared" si="110"/>
        <v/>
      </c>
      <c r="J117" s="1016" t="str">
        <f t="shared" si="111"/>
        <v/>
      </c>
      <c r="K117" s="213" t="str">
        <f t="shared" si="112"/>
        <v/>
      </c>
      <c r="L117" s="212" t="str">
        <f t="shared" si="113"/>
        <v/>
      </c>
      <c r="M117" s="1125" t="str">
        <f>IF(OR($C117="",$C117=0),"",INDEX(API1DENST,MATCH($C117,'Vessel Gauging Data'!$B$27:$B$56,0),$AA$1))</f>
        <v/>
      </c>
      <c r="N117" s="212" t="str">
        <f t="shared" si="114"/>
        <v/>
      </c>
      <c r="O117" s="1016" t="str">
        <f t="shared" si="115"/>
        <v/>
      </c>
      <c r="P117" s="1125" t="str">
        <f t="shared" si="116"/>
        <v/>
      </c>
      <c r="Q117" s="1016" t="str">
        <f t="shared" si="117"/>
        <v/>
      </c>
      <c r="R117" s="214" t="str">
        <f t="shared" si="118"/>
        <v/>
      </c>
      <c r="S117" s="1125" t="str">
        <f t="shared" si="119"/>
        <v/>
      </c>
      <c r="T117" s="236" t="str">
        <f t="shared" si="120"/>
        <v/>
      </c>
      <c r="V117" s="642" t="e">
        <f>INDEX('Vessel Gauging Data'!$B$26:$V$56,MATCH($C117,'Vessel Gauging Data'!$B$26:$B$56,0),$V$18)</f>
        <v>#N/A</v>
      </c>
      <c r="W117" s="642" t="e">
        <f>INDEX('Vessel Gauging Data'!$B$26:$V$56,MATCH($C117,'Vessel Gauging Data'!$B$26:$B$56,0),$W$18)</f>
        <v>#N/A</v>
      </c>
      <c r="X117" s="642" t="e">
        <f>INDEX('Vessel Gauging Data'!$B$26:$V$56,MATCH($C117,'Vessel Gauging Data'!$B$26:$B$56,0),$X$18)</f>
        <v>#N/A</v>
      </c>
      <c r="Y117" s="642" t="e">
        <f>INDEX('Vessel Gauging Data'!$B$26:$V$56,MATCH($C117,'Vessel Gauging Data'!$B$26:$B$56,0),$Y$18)</f>
        <v>#N/A</v>
      </c>
      <c r="Z117" s="642" t="e">
        <f>INDEX('Vessel Gauging Data'!$B$26:$V$56,MATCH($C117,'Vessel Gauging Data'!$B$26:$B$56,0),$Z$18)</f>
        <v>#N/A</v>
      </c>
      <c r="AB117" s="642" t="e">
        <f>INDEX(API1DENST,MATCH($C117,'Vessel Gauging Data'!$B$27:$B$56,0),1)</f>
        <v>#N/A</v>
      </c>
      <c r="AC117" s="642" t="e">
        <f t="shared" si="86"/>
        <v>#N/A</v>
      </c>
      <c r="AE117" s="661" t="e">
        <f t="shared" si="87"/>
        <v>#VALUE!</v>
      </c>
      <c r="AF117" s="661" t="e">
        <f t="shared" si="88"/>
        <v>#VALUE!</v>
      </c>
      <c r="AH117" s="662" t="str">
        <f t="shared" si="84"/>
        <v/>
      </c>
      <c r="AI117" s="662" t="str">
        <f t="shared" si="85"/>
        <v/>
      </c>
      <c r="AJ117" s="663">
        <f t="shared" si="89"/>
        <v>192.4571</v>
      </c>
      <c r="AK117" s="660">
        <f t="shared" si="90"/>
        <v>0.24379999999999999</v>
      </c>
      <c r="AL117" s="660" t="e">
        <f t="shared" si="91"/>
        <v>#VALUE!</v>
      </c>
      <c r="AM117" s="664" t="e">
        <f t="shared" si="92"/>
        <v>#VALUE!</v>
      </c>
      <c r="AN117" s="664" t="e">
        <f t="shared" si="93"/>
        <v>#VALUE!</v>
      </c>
      <c r="AO117" s="665" t="e">
        <f t="shared" si="94"/>
        <v>#VALUE!</v>
      </c>
      <c r="AP117" s="666" t="e">
        <f t="shared" si="95"/>
        <v>#VALUE!</v>
      </c>
      <c r="AQ117" s="660" t="e">
        <f t="shared" si="96"/>
        <v>#VALUE!</v>
      </c>
      <c r="AR117" s="667" t="e">
        <f t="shared" si="97"/>
        <v>#VALUE!</v>
      </c>
      <c r="AS117" s="667" t="e">
        <f t="shared" si="98"/>
        <v>#VALUE!</v>
      </c>
      <c r="AT117" s="668" t="e">
        <f t="shared" si="99"/>
        <v>#VALUE!</v>
      </c>
      <c r="AU117" s="667" t="e">
        <f t="shared" si="100"/>
        <v>#VALUE!</v>
      </c>
      <c r="AV117" s="669" t="e">
        <f t="shared" si="101"/>
        <v>#VALUE!</v>
      </c>
      <c r="AW117" s="667" t="e">
        <f t="shared" si="102"/>
        <v>#VALUE!</v>
      </c>
      <c r="AX117" s="667" t="e">
        <f t="shared" si="103"/>
        <v>#VALUE!</v>
      </c>
      <c r="AY117" s="660" t="e">
        <f t="shared" si="104"/>
        <v>#VALUE!</v>
      </c>
      <c r="AZ117" s="670" t="e">
        <f t="shared" si="105"/>
        <v>#VALUE!</v>
      </c>
      <c r="BB117" s="662" t="e">
        <f>INDEX('Vessel Gauging Data'!$B$26:$V$56,MATCH($C117,'Vessel Gauging Data'!$B$26:$B$56,0),$BB$18)</f>
        <v>#N/A</v>
      </c>
      <c r="BC117" s="662" t="e">
        <f>INDEX('Vessel Gauging Data'!$B$26:$V$56,MATCH($C117,'Vessel Gauging Data'!$B$26:$B$56,0),$BC$18)</f>
        <v>#N/A</v>
      </c>
      <c r="BD117" s="662" t="e">
        <f>INDEX('Vessel Gauging Data'!$B$26:$V$56,MATCH($C117,'Vessel Gauging Data'!$B$26:$B$56,0),$BD$18)</f>
        <v>#N/A</v>
      </c>
      <c r="BE117" s="662" t="e">
        <f>INDEX('Vessel Gauging Data'!$B$26:$V$56,MATCH($C117,'Vessel Gauging Data'!$B$26:$B$56,0),$BE$18)</f>
        <v>#N/A</v>
      </c>
    </row>
    <row r="118" spans="1:57" hidden="1">
      <c r="A118" s="641" t="str">
        <f t="shared" si="106"/>
        <v>N</v>
      </c>
      <c r="C118" s="235" t="str">
        <f t="array" ref="C118">IF(OR($E$113="",SUMPRODUCT(('Vessel Gauging Data'!$C$27:$C$56=$E$113)*('Vessel Gauging Data'!$D$27:$D$56=NOMY))&lt;ROWS($C$114:$C118)),"",INDEX('Vessel Gauging Data'!$B$27:$B$56,SMALL(IF(('Vessel Gauging Data'!$C$27:$C$56=$E$113)+('Vessel Gauging Data'!$D$27:$D$56=NOMY)=2,ROW('Vessel Gauging Data'!$B$27:$B$56)-ROW('Vessel Gauging Data'!$C$26)),ROW()-ROW(C$113))))</f>
        <v/>
      </c>
      <c r="D118" s="211" t="str">
        <f>IF(OR($C118="",$C118=0),"",INDEX('Vessel Gauging Data'!$B$26:$V$56,MATCH($C118,'Vessel Gauging Data'!$B$27:$B$56,0)+1,2))</f>
        <v/>
      </c>
      <c r="E118" s="1016" t="str">
        <f t="shared" si="107"/>
        <v/>
      </c>
      <c r="F118" s="1016" t="str">
        <f t="shared" si="108"/>
        <v/>
      </c>
      <c r="G118" s="1016" t="str">
        <f t="shared" si="109"/>
        <v/>
      </c>
      <c r="H118" s="1016" t="str">
        <f t="shared" si="109"/>
        <v/>
      </c>
      <c r="I118" s="211" t="str">
        <f t="shared" si="110"/>
        <v/>
      </c>
      <c r="J118" s="1016" t="str">
        <f t="shared" si="111"/>
        <v/>
      </c>
      <c r="K118" s="213" t="str">
        <f t="shared" si="112"/>
        <v/>
      </c>
      <c r="L118" s="212" t="str">
        <f t="shared" si="113"/>
        <v/>
      </c>
      <c r="M118" s="1125" t="str">
        <f>IF(OR($C118="",$C118=0),"",INDEX(API1DENST,MATCH($C118,'Vessel Gauging Data'!$B$27:$B$56,0),$AA$1))</f>
        <v/>
      </c>
      <c r="N118" s="212" t="str">
        <f t="shared" si="114"/>
        <v/>
      </c>
      <c r="O118" s="1016" t="str">
        <f t="shared" si="115"/>
        <v/>
      </c>
      <c r="P118" s="1125" t="str">
        <f t="shared" si="116"/>
        <v/>
      </c>
      <c r="Q118" s="1016" t="str">
        <f t="shared" si="117"/>
        <v/>
      </c>
      <c r="R118" s="214" t="str">
        <f t="shared" si="118"/>
        <v/>
      </c>
      <c r="S118" s="1125" t="str">
        <f t="shared" si="119"/>
        <v/>
      </c>
      <c r="T118" s="236" t="str">
        <f t="shared" si="120"/>
        <v/>
      </c>
      <c r="V118" s="642" t="e">
        <f>INDEX('Vessel Gauging Data'!$B$26:$V$56,MATCH($C118,'Vessel Gauging Data'!$B$26:$B$56,0),$V$18)</f>
        <v>#N/A</v>
      </c>
      <c r="W118" s="642" t="e">
        <f>INDEX('Vessel Gauging Data'!$B$26:$V$56,MATCH($C118,'Vessel Gauging Data'!$B$26:$B$56,0),$W$18)</f>
        <v>#N/A</v>
      </c>
      <c r="X118" s="642" t="e">
        <f>INDEX('Vessel Gauging Data'!$B$26:$V$56,MATCH($C118,'Vessel Gauging Data'!$B$26:$B$56,0),$X$18)</f>
        <v>#N/A</v>
      </c>
      <c r="Y118" s="642" t="e">
        <f>INDEX('Vessel Gauging Data'!$B$26:$V$56,MATCH($C118,'Vessel Gauging Data'!$B$26:$B$56,0),$Y$18)</f>
        <v>#N/A</v>
      </c>
      <c r="Z118" s="642" t="e">
        <f>INDEX('Vessel Gauging Data'!$B$26:$V$56,MATCH($C118,'Vessel Gauging Data'!$B$26:$B$56,0),$Z$18)</f>
        <v>#N/A</v>
      </c>
      <c r="AB118" s="642" t="e">
        <f>INDEX(API1DENST,MATCH($C118,'Vessel Gauging Data'!$B$27:$B$56,0),1)</f>
        <v>#N/A</v>
      </c>
      <c r="AC118" s="642" t="e">
        <f t="shared" si="86"/>
        <v>#N/A</v>
      </c>
      <c r="AE118" s="661" t="e">
        <f t="shared" si="87"/>
        <v>#VALUE!</v>
      </c>
      <c r="AF118" s="661" t="e">
        <f t="shared" si="88"/>
        <v>#VALUE!</v>
      </c>
      <c r="AH118" s="662" t="str">
        <f t="shared" si="84"/>
        <v/>
      </c>
      <c r="AI118" s="662" t="str">
        <f t="shared" si="85"/>
        <v/>
      </c>
      <c r="AJ118" s="663">
        <f t="shared" si="89"/>
        <v>192.4571</v>
      </c>
      <c r="AK118" s="660">
        <f t="shared" si="90"/>
        <v>0.24379999999999999</v>
      </c>
      <c r="AL118" s="660" t="e">
        <f t="shared" si="91"/>
        <v>#VALUE!</v>
      </c>
      <c r="AM118" s="664" t="e">
        <f t="shared" si="92"/>
        <v>#VALUE!</v>
      </c>
      <c r="AN118" s="664" t="e">
        <f t="shared" si="93"/>
        <v>#VALUE!</v>
      </c>
      <c r="AO118" s="665" t="e">
        <f t="shared" si="94"/>
        <v>#VALUE!</v>
      </c>
      <c r="AP118" s="666" t="e">
        <f t="shared" si="95"/>
        <v>#VALUE!</v>
      </c>
      <c r="AQ118" s="660" t="e">
        <f t="shared" si="96"/>
        <v>#VALUE!</v>
      </c>
      <c r="AR118" s="667" t="e">
        <f t="shared" si="97"/>
        <v>#VALUE!</v>
      </c>
      <c r="AS118" s="667" t="e">
        <f t="shared" si="98"/>
        <v>#VALUE!</v>
      </c>
      <c r="AT118" s="668" t="e">
        <f t="shared" si="99"/>
        <v>#VALUE!</v>
      </c>
      <c r="AU118" s="667" t="e">
        <f t="shared" si="100"/>
        <v>#VALUE!</v>
      </c>
      <c r="AV118" s="669" t="e">
        <f t="shared" si="101"/>
        <v>#VALUE!</v>
      </c>
      <c r="AW118" s="667" t="e">
        <f t="shared" si="102"/>
        <v>#VALUE!</v>
      </c>
      <c r="AX118" s="667" t="e">
        <f t="shared" si="103"/>
        <v>#VALUE!</v>
      </c>
      <c r="AY118" s="660" t="e">
        <f t="shared" si="104"/>
        <v>#VALUE!</v>
      </c>
      <c r="AZ118" s="670" t="e">
        <f t="shared" si="105"/>
        <v>#VALUE!</v>
      </c>
      <c r="BB118" s="662" t="e">
        <f>INDEX('Vessel Gauging Data'!$B$26:$V$56,MATCH($C118,'Vessel Gauging Data'!$B$26:$B$56,0),$BB$18)</f>
        <v>#N/A</v>
      </c>
      <c r="BC118" s="662" t="e">
        <f>INDEX('Vessel Gauging Data'!$B$26:$V$56,MATCH($C118,'Vessel Gauging Data'!$B$26:$B$56,0),$BC$18)</f>
        <v>#N/A</v>
      </c>
      <c r="BD118" s="662" t="e">
        <f>INDEX('Vessel Gauging Data'!$B$26:$V$56,MATCH($C118,'Vessel Gauging Data'!$B$26:$B$56,0),$BD$18)</f>
        <v>#N/A</v>
      </c>
      <c r="BE118" s="662" t="e">
        <f>INDEX('Vessel Gauging Data'!$B$26:$V$56,MATCH($C118,'Vessel Gauging Data'!$B$26:$B$56,0),$BE$18)</f>
        <v>#N/A</v>
      </c>
    </row>
    <row r="119" spans="1:57" hidden="1">
      <c r="A119" s="641" t="str">
        <f t="shared" si="106"/>
        <v>N</v>
      </c>
      <c r="C119" s="235" t="str">
        <f t="array" ref="C119">IF(OR($E$113="",SUMPRODUCT(('Vessel Gauging Data'!$C$27:$C$56=$E$113)*('Vessel Gauging Data'!$D$27:$D$56=NOMY))&lt;ROWS($C$114:$C119)),"",INDEX('Vessel Gauging Data'!$B$27:$B$56,SMALL(IF(('Vessel Gauging Data'!$C$27:$C$56=$E$113)+('Vessel Gauging Data'!$D$27:$D$56=NOMY)=2,ROW('Vessel Gauging Data'!$B$27:$B$56)-ROW('Vessel Gauging Data'!$C$26)),ROW()-ROW(C$113))))</f>
        <v/>
      </c>
      <c r="D119" s="211" t="str">
        <f>IF(OR($C119="",$C119=0),"",INDEX('Vessel Gauging Data'!$B$26:$V$56,MATCH($C119,'Vessel Gauging Data'!$B$27:$B$56,0)+1,2))</f>
        <v/>
      </c>
      <c r="E119" s="1016" t="str">
        <f t="shared" si="107"/>
        <v/>
      </c>
      <c r="F119" s="1016" t="str">
        <f t="shared" si="108"/>
        <v/>
      </c>
      <c r="G119" s="1016" t="str">
        <f t="shared" si="109"/>
        <v/>
      </c>
      <c r="H119" s="1016" t="str">
        <f t="shared" si="109"/>
        <v/>
      </c>
      <c r="I119" s="211" t="str">
        <f t="shared" si="110"/>
        <v/>
      </c>
      <c r="J119" s="1016" t="str">
        <f t="shared" si="111"/>
        <v/>
      </c>
      <c r="K119" s="213" t="str">
        <f t="shared" si="112"/>
        <v/>
      </c>
      <c r="L119" s="212" t="str">
        <f t="shared" si="113"/>
        <v/>
      </c>
      <c r="M119" s="1125" t="str">
        <f>IF(OR($C119="",$C119=0),"",INDEX(API1DENST,MATCH($C119,'Vessel Gauging Data'!$B$27:$B$56,0),$AA$1))</f>
        <v/>
      </c>
      <c r="N119" s="212" t="str">
        <f t="shared" si="114"/>
        <v/>
      </c>
      <c r="O119" s="1016" t="str">
        <f t="shared" si="115"/>
        <v/>
      </c>
      <c r="P119" s="1125" t="str">
        <f t="shared" si="116"/>
        <v/>
      </c>
      <c r="Q119" s="1016" t="str">
        <f t="shared" si="117"/>
        <v/>
      </c>
      <c r="R119" s="214" t="str">
        <f t="shared" si="118"/>
        <v/>
      </c>
      <c r="S119" s="1125" t="str">
        <f t="shared" si="119"/>
        <v/>
      </c>
      <c r="T119" s="236" t="str">
        <f t="shared" si="120"/>
        <v/>
      </c>
      <c r="V119" s="642" t="e">
        <f>INDEX('Vessel Gauging Data'!$B$26:$V$56,MATCH($C119,'Vessel Gauging Data'!$B$26:$B$56,0),$V$18)</f>
        <v>#N/A</v>
      </c>
      <c r="W119" s="642" t="e">
        <f>INDEX('Vessel Gauging Data'!$B$26:$V$56,MATCH($C119,'Vessel Gauging Data'!$B$26:$B$56,0),$W$18)</f>
        <v>#N/A</v>
      </c>
      <c r="X119" s="642" t="e">
        <f>INDEX('Vessel Gauging Data'!$B$26:$V$56,MATCH($C119,'Vessel Gauging Data'!$B$26:$B$56,0),$X$18)</f>
        <v>#N/A</v>
      </c>
      <c r="Y119" s="642" t="e">
        <f>INDEX('Vessel Gauging Data'!$B$26:$V$56,MATCH($C119,'Vessel Gauging Data'!$B$26:$B$56,0),$Y$18)</f>
        <v>#N/A</v>
      </c>
      <c r="Z119" s="642" t="e">
        <f>INDEX('Vessel Gauging Data'!$B$26:$V$56,MATCH($C119,'Vessel Gauging Data'!$B$26:$B$56,0),$Z$18)</f>
        <v>#N/A</v>
      </c>
      <c r="AB119" s="642" t="e">
        <f>INDEX(API1DENST,MATCH($C119,'Vessel Gauging Data'!$B$27:$B$56,0),1)</f>
        <v>#N/A</v>
      </c>
      <c r="AC119" s="642" t="e">
        <f t="shared" si="86"/>
        <v>#N/A</v>
      </c>
      <c r="AE119" s="661" t="e">
        <f t="shared" si="87"/>
        <v>#VALUE!</v>
      </c>
      <c r="AF119" s="661" t="e">
        <f t="shared" si="88"/>
        <v>#VALUE!</v>
      </c>
      <c r="AH119" s="662" t="str">
        <f t="shared" si="84"/>
        <v/>
      </c>
      <c r="AI119" s="662" t="str">
        <f t="shared" si="85"/>
        <v/>
      </c>
      <c r="AJ119" s="663">
        <f t="shared" si="89"/>
        <v>192.4571</v>
      </c>
      <c r="AK119" s="660">
        <f t="shared" si="90"/>
        <v>0.24379999999999999</v>
      </c>
      <c r="AL119" s="660" t="e">
        <f t="shared" si="91"/>
        <v>#VALUE!</v>
      </c>
      <c r="AM119" s="664" t="e">
        <f t="shared" si="92"/>
        <v>#VALUE!</v>
      </c>
      <c r="AN119" s="664" t="e">
        <f t="shared" si="93"/>
        <v>#VALUE!</v>
      </c>
      <c r="AO119" s="665" t="e">
        <f t="shared" si="94"/>
        <v>#VALUE!</v>
      </c>
      <c r="AP119" s="666" t="e">
        <f t="shared" si="95"/>
        <v>#VALUE!</v>
      </c>
      <c r="AQ119" s="660" t="e">
        <f t="shared" si="96"/>
        <v>#VALUE!</v>
      </c>
      <c r="AR119" s="667" t="e">
        <f t="shared" si="97"/>
        <v>#VALUE!</v>
      </c>
      <c r="AS119" s="667" t="e">
        <f t="shared" si="98"/>
        <v>#VALUE!</v>
      </c>
      <c r="AT119" s="668" t="e">
        <f t="shared" si="99"/>
        <v>#VALUE!</v>
      </c>
      <c r="AU119" s="667" t="e">
        <f t="shared" si="100"/>
        <v>#VALUE!</v>
      </c>
      <c r="AV119" s="669" t="e">
        <f t="shared" si="101"/>
        <v>#VALUE!</v>
      </c>
      <c r="AW119" s="667" t="e">
        <f t="shared" si="102"/>
        <v>#VALUE!</v>
      </c>
      <c r="AX119" s="667" t="e">
        <f t="shared" si="103"/>
        <v>#VALUE!</v>
      </c>
      <c r="AY119" s="660" t="e">
        <f t="shared" si="104"/>
        <v>#VALUE!</v>
      </c>
      <c r="AZ119" s="670" t="e">
        <f t="shared" si="105"/>
        <v>#VALUE!</v>
      </c>
      <c r="BB119" s="662" t="e">
        <f>INDEX('Vessel Gauging Data'!$B$26:$V$56,MATCH($C119,'Vessel Gauging Data'!$B$26:$B$56,0),$BB$18)</f>
        <v>#N/A</v>
      </c>
      <c r="BC119" s="662" t="e">
        <f>INDEX('Vessel Gauging Data'!$B$26:$V$56,MATCH($C119,'Vessel Gauging Data'!$B$26:$B$56,0),$BC$18)</f>
        <v>#N/A</v>
      </c>
      <c r="BD119" s="662" t="e">
        <f>INDEX('Vessel Gauging Data'!$B$26:$V$56,MATCH($C119,'Vessel Gauging Data'!$B$26:$B$56,0),$BD$18)</f>
        <v>#N/A</v>
      </c>
      <c r="BE119" s="662" t="e">
        <f>INDEX('Vessel Gauging Data'!$B$26:$V$56,MATCH($C119,'Vessel Gauging Data'!$B$26:$B$56,0),$BE$18)</f>
        <v>#N/A</v>
      </c>
    </row>
    <row r="120" spans="1:57" hidden="1">
      <c r="A120" s="641" t="str">
        <f t="shared" si="106"/>
        <v>N</v>
      </c>
      <c r="C120" s="235" t="str">
        <f t="array" ref="C120">IF(OR($E$113="",SUMPRODUCT(('Vessel Gauging Data'!$C$27:$C$56=$E$113)*('Vessel Gauging Data'!$D$27:$D$56=NOMY))&lt;ROWS($C$114:$C120)),"",INDEX('Vessel Gauging Data'!$B$27:$B$56,SMALL(IF(('Vessel Gauging Data'!$C$27:$C$56=$E$113)+('Vessel Gauging Data'!$D$27:$D$56=NOMY)=2,ROW('Vessel Gauging Data'!$B$27:$B$56)-ROW('Vessel Gauging Data'!$C$26)),ROW()-ROW(C$113))))</f>
        <v/>
      </c>
      <c r="D120" s="211" t="str">
        <f>IF(OR($C120="",$C120=0),"",INDEX('Vessel Gauging Data'!$B$26:$V$56,MATCH($C120,'Vessel Gauging Data'!$B$27:$B$56,0)+1,2))</f>
        <v/>
      </c>
      <c r="E120" s="1016" t="str">
        <f t="shared" si="107"/>
        <v/>
      </c>
      <c r="F120" s="1016" t="str">
        <f t="shared" si="108"/>
        <v/>
      </c>
      <c r="G120" s="1016" t="str">
        <f t="shared" si="109"/>
        <v/>
      </c>
      <c r="H120" s="1016" t="str">
        <f t="shared" si="109"/>
        <v/>
      </c>
      <c r="I120" s="211" t="str">
        <f t="shared" si="110"/>
        <v/>
      </c>
      <c r="J120" s="1016" t="str">
        <f t="shared" si="111"/>
        <v/>
      </c>
      <c r="K120" s="213" t="str">
        <f t="shared" si="112"/>
        <v/>
      </c>
      <c r="L120" s="212" t="str">
        <f t="shared" si="113"/>
        <v/>
      </c>
      <c r="M120" s="1125" t="str">
        <f>IF(OR($C120="",$C120=0),"",INDEX(API1DENST,MATCH($C120,'Vessel Gauging Data'!$B$27:$B$56,0),$AA$1))</f>
        <v/>
      </c>
      <c r="N120" s="212" t="str">
        <f t="shared" si="114"/>
        <v/>
      </c>
      <c r="O120" s="1016" t="str">
        <f t="shared" si="115"/>
        <v/>
      </c>
      <c r="P120" s="1125" t="str">
        <f t="shared" si="116"/>
        <v/>
      </c>
      <c r="Q120" s="1016" t="str">
        <f t="shared" si="117"/>
        <v/>
      </c>
      <c r="R120" s="214" t="str">
        <f t="shared" si="118"/>
        <v/>
      </c>
      <c r="S120" s="1125" t="str">
        <f t="shared" si="119"/>
        <v/>
      </c>
      <c r="T120" s="236" t="str">
        <f t="shared" si="120"/>
        <v/>
      </c>
      <c r="V120" s="642" t="e">
        <f>INDEX('Vessel Gauging Data'!$B$26:$V$56,MATCH($C120,'Vessel Gauging Data'!$B$26:$B$56,0),$V$18)</f>
        <v>#N/A</v>
      </c>
      <c r="W120" s="642" t="e">
        <f>INDEX('Vessel Gauging Data'!$B$26:$V$56,MATCH($C120,'Vessel Gauging Data'!$B$26:$B$56,0),$W$18)</f>
        <v>#N/A</v>
      </c>
      <c r="X120" s="642" t="e">
        <f>INDEX('Vessel Gauging Data'!$B$26:$V$56,MATCH($C120,'Vessel Gauging Data'!$B$26:$B$56,0),$X$18)</f>
        <v>#N/A</v>
      </c>
      <c r="Y120" s="642" t="e">
        <f>INDEX('Vessel Gauging Data'!$B$26:$V$56,MATCH($C120,'Vessel Gauging Data'!$B$26:$B$56,0),$Y$18)</f>
        <v>#N/A</v>
      </c>
      <c r="Z120" s="642" t="e">
        <f>INDEX('Vessel Gauging Data'!$B$26:$V$56,MATCH($C120,'Vessel Gauging Data'!$B$26:$B$56,0),$Z$18)</f>
        <v>#N/A</v>
      </c>
      <c r="AB120" s="642" t="e">
        <f>INDEX(API1DENST,MATCH($C120,'Vessel Gauging Data'!$B$27:$B$56,0),1)</f>
        <v>#N/A</v>
      </c>
      <c r="AC120" s="642" t="e">
        <f t="shared" si="86"/>
        <v>#N/A</v>
      </c>
      <c r="AE120" s="661" t="e">
        <f t="shared" si="87"/>
        <v>#VALUE!</v>
      </c>
      <c r="AF120" s="661" t="e">
        <f t="shared" si="88"/>
        <v>#VALUE!</v>
      </c>
      <c r="AH120" s="662" t="str">
        <f t="shared" si="84"/>
        <v/>
      </c>
      <c r="AI120" s="662" t="str">
        <f t="shared" si="85"/>
        <v/>
      </c>
      <c r="AJ120" s="663">
        <f t="shared" si="89"/>
        <v>192.4571</v>
      </c>
      <c r="AK120" s="660">
        <f t="shared" si="90"/>
        <v>0.24379999999999999</v>
      </c>
      <c r="AL120" s="660" t="e">
        <f t="shared" si="91"/>
        <v>#VALUE!</v>
      </c>
      <c r="AM120" s="664" t="e">
        <f t="shared" si="92"/>
        <v>#VALUE!</v>
      </c>
      <c r="AN120" s="664" t="e">
        <f t="shared" si="93"/>
        <v>#VALUE!</v>
      </c>
      <c r="AO120" s="665" t="e">
        <f t="shared" si="94"/>
        <v>#VALUE!</v>
      </c>
      <c r="AP120" s="666" t="e">
        <f t="shared" si="95"/>
        <v>#VALUE!</v>
      </c>
      <c r="AQ120" s="660" t="e">
        <f t="shared" si="96"/>
        <v>#VALUE!</v>
      </c>
      <c r="AR120" s="667" t="e">
        <f t="shared" si="97"/>
        <v>#VALUE!</v>
      </c>
      <c r="AS120" s="667" t="e">
        <f t="shared" si="98"/>
        <v>#VALUE!</v>
      </c>
      <c r="AT120" s="668" t="e">
        <f t="shared" si="99"/>
        <v>#VALUE!</v>
      </c>
      <c r="AU120" s="667" t="e">
        <f t="shared" si="100"/>
        <v>#VALUE!</v>
      </c>
      <c r="AV120" s="669" t="e">
        <f t="shared" si="101"/>
        <v>#VALUE!</v>
      </c>
      <c r="AW120" s="667" t="e">
        <f t="shared" si="102"/>
        <v>#VALUE!</v>
      </c>
      <c r="AX120" s="667" t="e">
        <f t="shared" si="103"/>
        <v>#VALUE!</v>
      </c>
      <c r="AY120" s="660" t="e">
        <f t="shared" si="104"/>
        <v>#VALUE!</v>
      </c>
      <c r="AZ120" s="670" t="e">
        <f t="shared" si="105"/>
        <v>#VALUE!</v>
      </c>
      <c r="BB120" s="662" t="e">
        <f>INDEX('Vessel Gauging Data'!$B$26:$V$56,MATCH($C120,'Vessel Gauging Data'!$B$26:$B$56,0),$BB$18)</f>
        <v>#N/A</v>
      </c>
      <c r="BC120" s="662" t="e">
        <f>INDEX('Vessel Gauging Data'!$B$26:$V$56,MATCH($C120,'Vessel Gauging Data'!$B$26:$B$56,0),$BC$18)</f>
        <v>#N/A</v>
      </c>
      <c r="BD120" s="662" t="e">
        <f>INDEX('Vessel Gauging Data'!$B$26:$V$56,MATCH($C120,'Vessel Gauging Data'!$B$26:$B$56,0),$BD$18)</f>
        <v>#N/A</v>
      </c>
      <c r="BE120" s="662" t="e">
        <f>INDEX('Vessel Gauging Data'!$B$26:$V$56,MATCH($C120,'Vessel Gauging Data'!$B$26:$B$56,0),$BE$18)</f>
        <v>#N/A</v>
      </c>
    </row>
    <row r="121" spans="1:57" hidden="1">
      <c r="A121" s="641" t="str">
        <f t="shared" si="106"/>
        <v>N</v>
      </c>
      <c r="C121" s="235" t="str">
        <f t="array" ref="C121">IF(OR($E$113="",SUMPRODUCT(('Vessel Gauging Data'!$C$27:$C$56=$E$113)*('Vessel Gauging Data'!$D$27:$D$56=NOMY))&lt;ROWS($C$114:$C121)),"",INDEX('Vessel Gauging Data'!$B$27:$B$56,SMALL(IF(('Vessel Gauging Data'!$C$27:$C$56=$E$113)+('Vessel Gauging Data'!$D$27:$D$56=NOMY)=2,ROW('Vessel Gauging Data'!$B$27:$B$56)-ROW('Vessel Gauging Data'!$C$26)),ROW()-ROW(C$113))))</f>
        <v/>
      </c>
      <c r="D121" s="211" t="str">
        <f>IF(OR($C121="",$C121=0),"",INDEX('Vessel Gauging Data'!$B$26:$V$56,MATCH($C121,'Vessel Gauging Data'!$B$27:$B$56,0)+1,2))</f>
        <v/>
      </c>
      <c r="E121" s="1016" t="str">
        <f t="shared" si="107"/>
        <v/>
      </c>
      <c r="F121" s="1016" t="str">
        <f t="shared" si="108"/>
        <v/>
      </c>
      <c r="G121" s="1016" t="str">
        <f t="shared" si="109"/>
        <v/>
      </c>
      <c r="H121" s="1016" t="str">
        <f t="shared" si="109"/>
        <v/>
      </c>
      <c r="I121" s="211" t="str">
        <f t="shared" si="110"/>
        <v/>
      </c>
      <c r="J121" s="1016" t="str">
        <f t="shared" si="111"/>
        <v/>
      </c>
      <c r="K121" s="213" t="str">
        <f t="shared" si="112"/>
        <v/>
      </c>
      <c r="L121" s="212" t="str">
        <f t="shared" si="113"/>
        <v/>
      </c>
      <c r="M121" s="1125" t="str">
        <f>IF(OR($C121="",$C121=0),"",INDEX(API1DENST,MATCH($C121,'Vessel Gauging Data'!$B$27:$B$56,0),$AA$1))</f>
        <v/>
      </c>
      <c r="N121" s="212" t="str">
        <f t="shared" si="114"/>
        <v/>
      </c>
      <c r="O121" s="1016" t="str">
        <f t="shared" si="115"/>
        <v/>
      </c>
      <c r="P121" s="1125" t="str">
        <f t="shared" si="116"/>
        <v/>
      </c>
      <c r="Q121" s="1016" t="str">
        <f t="shared" si="117"/>
        <v/>
      </c>
      <c r="R121" s="214" t="str">
        <f t="shared" si="118"/>
        <v/>
      </c>
      <c r="S121" s="1125" t="str">
        <f t="shared" si="119"/>
        <v/>
      </c>
      <c r="T121" s="236" t="str">
        <f t="shared" si="120"/>
        <v/>
      </c>
      <c r="V121" s="642" t="e">
        <f>INDEX('Vessel Gauging Data'!$B$26:$V$56,MATCH($C121,'Vessel Gauging Data'!$B$26:$B$56,0),$V$18)</f>
        <v>#N/A</v>
      </c>
      <c r="W121" s="642" t="e">
        <f>INDEX('Vessel Gauging Data'!$B$26:$V$56,MATCH($C121,'Vessel Gauging Data'!$B$26:$B$56,0),$W$18)</f>
        <v>#N/A</v>
      </c>
      <c r="X121" s="642" t="e">
        <f>INDEX('Vessel Gauging Data'!$B$26:$V$56,MATCH($C121,'Vessel Gauging Data'!$B$26:$B$56,0),$X$18)</f>
        <v>#N/A</v>
      </c>
      <c r="Y121" s="642" t="e">
        <f>INDEX('Vessel Gauging Data'!$B$26:$V$56,MATCH($C121,'Vessel Gauging Data'!$B$26:$B$56,0),$Y$18)</f>
        <v>#N/A</v>
      </c>
      <c r="Z121" s="642" t="e">
        <f>INDEX('Vessel Gauging Data'!$B$26:$V$56,MATCH($C121,'Vessel Gauging Data'!$B$26:$B$56,0),$Z$18)</f>
        <v>#N/A</v>
      </c>
      <c r="AB121" s="642" t="e">
        <f>INDEX(API1DENST,MATCH($C121,'Vessel Gauging Data'!$B$27:$B$56,0),1)</f>
        <v>#N/A</v>
      </c>
      <c r="AC121" s="642" t="e">
        <f t="shared" si="86"/>
        <v>#N/A</v>
      </c>
      <c r="AE121" s="661" t="e">
        <f t="shared" si="87"/>
        <v>#VALUE!</v>
      </c>
      <c r="AF121" s="661" t="e">
        <f t="shared" si="88"/>
        <v>#VALUE!</v>
      </c>
      <c r="AH121" s="662" t="str">
        <f t="shared" si="84"/>
        <v/>
      </c>
      <c r="AI121" s="662" t="str">
        <f t="shared" si="85"/>
        <v/>
      </c>
      <c r="AJ121" s="663">
        <f t="shared" si="89"/>
        <v>192.4571</v>
      </c>
      <c r="AK121" s="660">
        <f t="shared" si="90"/>
        <v>0.24379999999999999</v>
      </c>
      <c r="AL121" s="660" t="e">
        <f t="shared" si="91"/>
        <v>#VALUE!</v>
      </c>
      <c r="AM121" s="664" t="e">
        <f t="shared" si="92"/>
        <v>#VALUE!</v>
      </c>
      <c r="AN121" s="664" t="e">
        <f t="shared" si="93"/>
        <v>#VALUE!</v>
      </c>
      <c r="AO121" s="665" t="e">
        <f t="shared" si="94"/>
        <v>#VALUE!</v>
      </c>
      <c r="AP121" s="666" t="e">
        <f t="shared" si="95"/>
        <v>#VALUE!</v>
      </c>
      <c r="AQ121" s="660" t="e">
        <f t="shared" si="96"/>
        <v>#VALUE!</v>
      </c>
      <c r="AR121" s="667" t="e">
        <f t="shared" si="97"/>
        <v>#VALUE!</v>
      </c>
      <c r="AS121" s="667" t="e">
        <f t="shared" si="98"/>
        <v>#VALUE!</v>
      </c>
      <c r="AT121" s="668" t="e">
        <f t="shared" si="99"/>
        <v>#VALUE!</v>
      </c>
      <c r="AU121" s="667" t="e">
        <f t="shared" si="100"/>
        <v>#VALUE!</v>
      </c>
      <c r="AV121" s="669" t="e">
        <f t="shared" si="101"/>
        <v>#VALUE!</v>
      </c>
      <c r="AW121" s="667" t="e">
        <f t="shared" si="102"/>
        <v>#VALUE!</v>
      </c>
      <c r="AX121" s="667" t="e">
        <f t="shared" si="103"/>
        <v>#VALUE!</v>
      </c>
      <c r="AY121" s="660" t="e">
        <f t="shared" si="104"/>
        <v>#VALUE!</v>
      </c>
      <c r="AZ121" s="670" t="e">
        <f t="shared" si="105"/>
        <v>#VALUE!</v>
      </c>
      <c r="BB121" s="662" t="e">
        <f>INDEX('Vessel Gauging Data'!$B$26:$V$56,MATCH($C121,'Vessel Gauging Data'!$B$26:$B$56,0),$BB$18)</f>
        <v>#N/A</v>
      </c>
      <c r="BC121" s="662" t="e">
        <f>INDEX('Vessel Gauging Data'!$B$26:$V$56,MATCH($C121,'Vessel Gauging Data'!$B$26:$B$56,0),$BC$18)</f>
        <v>#N/A</v>
      </c>
      <c r="BD121" s="662" t="e">
        <f>INDEX('Vessel Gauging Data'!$B$26:$V$56,MATCH($C121,'Vessel Gauging Data'!$B$26:$B$56,0),$BD$18)</f>
        <v>#N/A</v>
      </c>
      <c r="BE121" s="662" t="e">
        <f>INDEX('Vessel Gauging Data'!$B$26:$V$56,MATCH($C121,'Vessel Gauging Data'!$B$26:$B$56,0),$BE$18)</f>
        <v>#N/A</v>
      </c>
    </row>
    <row r="122" spans="1:57" hidden="1">
      <c r="A122" s="641" t="str">
        <f t="shared" si="106"/>
        <v>N</v>
      </c>
      <c r="C122" s="235" t="str">
        <f t="array" ref="C122">IF(OR($E$113="",SUMPRODUCT(('Vessel Gauging Data'!$C$27:$C$56=$E$113)*('Vessel Gauging Data'!$D$27:$D$56=NOMY))&lt;ROWS($C$114:$C122)),"",INDEX('Vessel Gauging Data'!$B$27:$B$56,SMALL(IF(('Vessel Gauging Data'!$C$27:$C$56=$E$113)+('Vessel Gauging Data'!$D$27:$D$56=NOMY)=2,ROW('Vessel Gauging Data'!$B$27:$B$56)-ROW('Vessel Gauging Data'!$C$26)),ROW()-ROW(C$113))))</f>
        <v/>
      </c>
      <c r="D122" s="211" t="str">
        <f>IF(OR($C122="",$C122=0),"",INDEX('Vessel Gauging Data'!$B$26:$V$56,MATCH($C122,'Vessel Gauging Data'!$B$27:$B$56,0)+1,2))</f>
        <v/>
      </c>
      <c r="E122" s="1016" t="str">
        <f t="shared" si="107"/>
        <v/>
      </c>
      <c r="F122" s="1016" t="str">
        <f t="shared" si="108"/>
        <v/>
      </c>
      <c r="G122" s="1016" t="str">
        <f t="shared" si="109"/>
        <v/>
      </c>
      <c r="H122" s="1016" t="str">
        <f t="shared" si="109"/>
        <v/>
      </c>
      <c r="I122" s="211" t="str">
        <f t="shared" si="110"/>
        <v/>
      </c>
      <c r="J122" s="1016" t="str">
        <f t="shared" si="111"/>
        <v/>
      </c>
      <c r="K122" s="213" t="str">
        <f t="shared" si="112"/>
        <v/>
      </c>
      <c r="L122" s="212" t="str">
        <f t="shared" si="113"/>
        <v/>
      </c>
      <c r="M122" s="1125" t="str">
        <f>IF(OR($C122="",$C122=0),"",INDEX(API1DENST,MATCH($C122,'Vessel Gauging Data'!$B$27:$B$56,0),$AA$1))</f>
        <v/>
      </c>
      <c r="N122" s="212" t="str">
        <f t="shared" si="114"/>
        <v/>
      </c>
      <c r="O122" s="1016" t="str">
        <f t="shared" si="115"/>
        <v/>
      </c>
      <c r="P122" s="1125" t="str">
        <f t="shared" si="116"/>
        <v/>
      </c>
      <c r="Q122" s="1016" t="str">
        <f t="shared" si="117"/>
        <v/>
      </c>
      <c r="R122" s="214" t="str">
        <f t="shared" si="118"/>
        <v/>
      </c>
      <c r="S122" s="1125" t="str">
        <f t="shared" si="119"/>
        <v/>
      </c>
      <c r="T122" s="236" t="str">
        <f t="shared" si="120"/>
        <v/>
      </c>
      <c r="V122" s="642" t="e">
        <f>INDEX('Vessel Gauging Data'!$B$26:$V$56,MATCH($C122,'Vessel Gauging Data'!$B$26:$B$56,0),$V$18)</f>
        <v>#N/A</v>
      </c>
      <c r="W122" s="642" t="e">
        <f>INDEX('Vessel Gauging Data'!$B$26:$V$56,MATCH($C122,'Vessel Gauging Data'!$B$26:$B$56,0),$W$18)</f>
        <v>#N/A</v>
      </c>
      <c r="X122" s="642" t="e">
        <f>INDEX('Vessel Gauging Data'!$B$26:$V$56,MATCH($C122,'Vessel Gauging Data'!$B$26:$B$56,0),$X$18)</f>
        <v>#N/A</v>
      </c>
      <c r="Y122" s="642" t="e">
        <f>INDEX('Vessel Gauging Data'!$B$26:$V$56,MATCH($C122,'Vessel Gauging Data'!$B$26:$B$56,0),$Y$18)</f>
        <v>#N/A</v>
      </c>
      <c r="Z122" s="642" t="e">
        <f>INDEX('Vessel Gauging Data'!$B$26:$V$56,MATCH($C122,'Vessel Gauging Data'!$B$26:$B$56,0),$Z$18)</f>
        <v>#N/A</v>
      </c>
      <c r="AB122" s="642" t="e">
        <f>INDEX(API1DENST,MATCH($C122,'Vessel Gauging Data'!$B$27:$B$56,0),1)</f>
        <v>#N/A</v>
      </c>
      <c r="AC122" s="642" t="e">
        <f t="shared" si="86"/>
        <v>#N/A</v>
      </c>
      <c r="AE122" s="661" t="e">
        <f t="shared" si="87"/>
        <v>#VALUE!</v>
      </c>
      <c r="AF122" s="661" t="e">
        <f t="shared" si="88"/>
        <v>#VALUE!</v>
      </c>
      <c r="AH122" s="662" t="str">
        <f t="shared" si="84"/>
        <v/>
      </c>
      <c r="AI122" s="662" t="str">
        <f t="shared" si="85"/>
        <v/>
      </c>
      <c r="AJ122" s="663">
        <f t="shared" si="89"/>
        <v>192.4571</v>
      </c>
      <c r="AK122" s="660">
        <f t="shared" si="90"/>
        <v>0.24379999999999999</v>
      </c>
      <c r="AL122" s="660" t="e">
        <f t="shared" si="91"/>
        <v>#VALUE!</v>
      </c>
      <c r="AM122" s="664" t="e">
        <f t="shared" si="92"/>
        <v>#VALUE!</v>
      </c>
      <c r="AN122" s="664" t="e">
        <f t="shared" si="93"/>
        <v>#VALUE!</v>
      </c>
      <c r="AO122" s="665" t="e">
        <f t="shared" si="94"/>
        <v>#VALUE!</v>
      </c>
      <c r="AP122" s="666" t="e">
        <f t="shared" si="95"/>
        <v>#VALUE!</v>
      </c>
      <c r="AQ122" s="660" t="e">
        <f t="shared" si="96"/>
        <v>#VALUE!</v>
      </c>
      <c r="AR122" s="667" t="e">
        <f t="shared" si="97"/>
        <v>#VALUE!</v>
      </c>
      <c r="AS122" s="667" t="e">
        <f t="shared" si="98"/>
        <v>#VALUE!</v>
      </c>
      <c r="AT122" s="668" t="e">
        <f t="shared" si="99"/>
        <v>#VALUE!</v>
      </c>
      <c r="AU122" s="667" t="e">
        <f t="shared" si="100"/>
        <v>#VALUE!</v>
      </c>
      <c r="AV122" s="669" t="e">
        <f t="shared" si="101"/>
        <v>#VALUE!</v>
      </c>
      <c r="AW122" s="667" t="e">
        <f t="shared" si="102"/>
        <v>#VALUE!</v>
      </c>
      <c r="AX122" s="667" t="e">
        <f t="shared" si="103"/>
        <v>#VALUE!</v>
      </c>
      <c r="AY122" s="660" t="e">
        <f t="shared" si="104"/>
        <v>#VALUE!</v>
      </c>
      <c r="AZ122" s="670" t="e">
        <f t="shared" si="105"/>
        <v>#VALUE!</v>
      </c>
      <c r="BB122" s="662" t="e">
        <f>INDEX('Vessel Gauging Data'!$B$26:$V$56,MATCH($C122,'Vessel Gauging Data'!$B$26:$B$56,0),$BB$18)</f>
        <v>#N/A</v>
      </c>
      <c r="BC122" s="662" t="e">
        <f>INDEX('Vessel Gauging Data'!$B$26:$V$56,MATCH($C122,'Vessel Gauging Data'!$B$26:$B$56,0),$BC$18)</f>
        <v>#N/A</v>
      </c>
      <c r="BD122" s="662" t="e">
        <f>INDEX('Vessel Gauging Data'!$B$26:$V$56,MATCH($C122,'Vessel Gauging Data'!$B$26:$B$56,0),$BD$18)</f>
        <v>#N/A</v>
      </c>
      <c r="BE122" s="662" t="e">
        <f>INDEX('Vessel Gauging Data'!$B$26:$V$56,MATCH($C122,'Vessel Gauging Data'!$B$26:$B$56,0),$BE$18)</f>
        <v>#N/A</v>
      </c>
    </row>
    <row r="123" spans="1:57" hidden="1">
      <c r="A123" s="641" t="str">
        <f t="shared" si="106"/>
        <v>N</v>
      </c>
      <c r="C123" s="235" t="str">
        <f t="array" ref="C123">IF(OR($E$113="",SUMPRODUCT(('Vessel Gauging Data'!$C$27:$C$56=$E$113)*('Vessel Gauging Data'!$D$27:$D$56=NOMY))&lt;ROWS($C$114:$C123)),"",INDEX('Vessel Gauging Data'!$B$27:$B$56,SMALL(IF(('Vessel Gauging Data'!$C$27:$C$56=$E$113)+('Vessel Gauging Data'!$D$27:$D$56=NOMY)=2,ROW('Vessel Gauging Data'!$B$27:$B$56)-ROW('Vessel Gauging Data'!$C$26)),ROW()-ROW(C$113))))</f>
        <v/>
      </c>
      <c r="D123" s="211" t="str">
        <f>IF(OR($C123="",$C123=0),"",INDEX('Vessel Gauging Data'!$B$26:$V$56,MATCH($C123,'Vessel Gauging Data'!$B$27:$B$56,0)+1,2))</f>
        <v/>
      </c>
      <c r="E123" s="1016" t="str">
        <f t="shared" si="107"/>
        <v/>
      </c>
      <c r="F123" s="1016" t="str">
        <f t="shared" si="108"/>
        <v/>
      </c>
      <c r="G123" s="1016" t="str">
        <f t="shared" si="109"/>
        <v/>
      </c>
      <c r="H123" s="1016" t="str">
        <f t="shared" si="109"/>
        <v/>
      </c>
      <c r="I123" s="211" t="str">
        <f t="shared" si="110"/>
        <v/>
      </c>
      <c r="J123" s="1016" t="str">
        <f t="shared" si="111"/>
        <v/>
      </c>
      <c r="K123" s="213" t="str">
        <f t="shared" si="112"/>
        <v/>
      </c>
      <c r="L123" s="212" t="str">
        <f t="shared" si="113"/>
        <v/>
      </c>
      <c r="M123" s="1125" t="str">
        <f>IF(OR($C123="",$C123=0),"",INDEX(API1DENST,MATCH($C123,'Vessel Gauging Data'!$B$27:$B$56,0),$AA$1))</f>
        <v/>
      </c>
      <c r="N123" s="212" t="str">
        <f t="shared" si="114"/>
        <v/>
      </c>
      <c r="O123" s="1016" t="str">
        <f t="shared" si="115"/>
        <v/>
      </c>
      <c r="P123" s="1125" t="str">
        <f t="shared" si="116"/>
        <v/>
      </c>
      <c r="Q123" s="1016" t="str">
        <f t="shared" si="117"/>
        <v/>
      </c>
      <c r="R123" s="214" t="str">
        <f t="shared" si="118"/>
        <v/>
      </c>
      <c r="S123" s="1125" t="str">
        <f t="shared" si="119"/>
        <v/>
      </c>
      <c r="T123" s="236" t="str">
        <f t="shared" si="120"/>
        <v/>
      </c>
      <c r="V123" s="642" t="e">
        <f>INDEX('Vessel Gauging Data'!$B$26:$V$56,MATCH($C123,'Vessel Gauging Data'!$B$26:$B$56,0),$V$18)</f>
        <v>#N/A</v>
      </c>
      <c r="W123" s="642" t="e">
        <f>INDEX('Vessel Gauging Data'!$B$26:$V$56,MATCH($C123,'Vessel Gauging Data'!$B$26:$B$56,0),$W$18)</f>
        <v>#N/A</v>
      </c>
      <c r="X123" s="642" t="e">
        <f>INDEX('Vessel Gauging Data'!$B$26:$V$56,MATCH($C123,'Vessel Gauging Data'!$B$26:$B$56,0),$X$18)</f>
        <v>#N/A</v>
      </c>
      <c r="Y123" s="642" t="e">
        <f>INDEX('Vessel Gauging Data'!$B$26:$V$56,MATCH($C123,'Vessel Gauging Data'!$B$26:$B$56,0),$Y$18)</f>
        <v>#N/A</v>
      </c>
      <c r="Z123" s="642" t="e">
        <f>INDEX('Vessel Gauging Data'!$B$26:$V$56,MATCH($C123,'Vessel Gauging Data'!$B$26:$B$56,0),$Z$18)</f>
        <v>#N/A</v>
      </c>
      <c r="AB123" s="642" t="e">
        <f>INDEX(API1DENST,MATCH($C123,'Vessel Gauging Data'!$B$27:$B$56,0),1)</f>
        <v>#N/A</v>
      </c>
      <c r="AC123" s="642" t="e">
        <f t="shared" si="86"/>
        <v>#N/A</v>
      </c>
      <c r="AE123" s="661" t="e">
        <f t="shared" si="87"/>
        <v>#VALUE!</v>
      </c>
      <c r="AF123" s="661" t="e">
        <f t="shared" si="88"/>
        <v>#VALUE!</v>
      </c>
      <c r="AH123" s="662" t="str">
        <f t="shared" si="84"/>
        <v/>
      </c>
      <c r="AI123" s="662" t="str">
        <f t="shared" si="85"/>
        <v/>
      </c>
      <c r="AJ123" s="663">
        <f t="shared" si="89"/>
        <v>192.4571</v>
      </c>
      <c r="AK123" s="660">
        <f t="shared" si="90"/>
        <v>0.24379999999999999</v>
      </c>
      <c r="AL123" s="660" t="e">
        <f t="shared" si="91"/>
        <v>#VALUE!</v>
      </c>
      <c r="AM123" s="664" t="e">
        <f t="shared" si="92"/>
        <v>#VALUE!</v>
      </c>
      <c r="AN123" s="664" t="e">
        <f t="shared" si="93"/>
        <v>#VALUE!</v>
      </c>
      <c r="AO123" s="665" t="e">
        <f t="shared" si="94"/>
        <v>#VALUE!</v>
      </c>
      <c r="AP123" s="666" t="e">
        <f t="shared" si="95"/>
        <v>#VALUE!</v>
      </c>
      <c r="AQ123" s="660" t="e">
        <f t="shared" si="96"/>
        <v>#VALUE!</v>
      </c>
      <c r="AR123" s="667" t="e">
        <f t="shared" si="97"/>
        <v>#VALUE!</v>
      </c>
      <c r="AS123" s="667" t="e">
        <f t="shared" si="98"/>
        <v>#VALUE!</v>
      </c>
      <c r="AT123" s="668" t="e">
        <f t="shared" si="99"/>
        <v>#VALUE!</v>
      </c>
      <c r="AU123" s="667" t="e">
        <f t="shared" si="100"/>
        <v>#VALUE!</v>
      </c>
      <c r="AV123" s="669" t="e">
        <f t="shared" si="101"/>
        <v>#VALUE!</v>
      </c>
      <c r="AW123" s="667" t="e">
        <f t="shared" si="102"/>
        <v>#VALUE!</v>
      </c>
      <c r="AX123" s="667" t="e">
        <f t="shared" si="103"/>
        <v>#VALUE!</v>
      </c>
      <c r="AY123" s="660" t="e">
        <f t="shared" si="104"/>
        <v>#VALUE!</v>
      </c>
      <c r="AZ123" s="670" t="e">
        <f t="shared" si="105"/>
        <v>#VALUE!</v>
      </c>
      <c r="BB123" s="662" t="e">
        <f>INDEX('Vessel Gauging Data'!$B$26:$V$56,MATCH($C123,'Vessel Gauging Data'!$B$26:$B$56,0),$BB$18)</f>
        <v>#N/A</v>
      </c>
      <c r="BC123" s="662" t="e">
        <f>INDEX('Vessel Gauging Data'!$B$26:$V$56,MATCH($C123,'Vessel Gauging Data'!$B$26:$B$56,0),$BC$18)</f>
        <v>#N/A</v>
      </c>
      <c r="BD123" s="662" t="e">
        <f>INDEX('Vessel Gauging Data'!$B$26:$V$56,MATCH($C123,'Vessel Gauging Data'!$B$26:$B$56,0),$BD$18)</f>
        <v>#N/A</v>
      </c>
      <c r="BE123" s="662" t="e">
        <f>INDEX('Vessel Gauging Data'!$B$26:$V$56,MATCH($C123,'Vessel Gauging Data'!$B$26:$B$56,0),$BE$18)</f>
        <v>#N/A</v>
      </c>
    </row>
    <row r="124" spans="1:57" hidden="1">
      <c r="A124" s="641" t="str">
        <f t="shared" si="106"/>
        <v>N</v>
      </c>
      <c r="C124" s="235" t="str">
        <f t="array" ref="C124">IF(OR($E$113="",SUMPRODUCT(('Vessel Gauging Data'!$C$27:$C$56=$E$113)*('Vessel Gauging Data'!$D$27:$D$56=NOMY))&lt;ROWS($C$114:$C124)),"",INDEX('Vessel Gauging Data'!$B$27:$B$56,SMALL(IF(('Vessel Gauging Data'!$C$27:$C$56=$E$113)+('Vessel Gauging Data'!$D$27:$D$56=NOMY)=2,ROW('Vessel Gauging Data'!$B$27:$B$56)-ROW('Vessel Gauging Data'!$C$26)),ROW()-ROW(C$113))))</f>
        <v/>
      </c>
      <c r="D124" s="211" t="str">
        <f>IF(OR($C124="",$C124=0),"",INDEX('Vessel Gauging Data'!$B$26:$V$56,MATCH($C124,'Vessel Gauging Data'!$B$27:$B$56,0)+1,2))</f>
        <v/>
      </c>
      <c r="E124" s="1016" t="str">
        <f t="shared" si="107"/>
        <v/>
      </c>
      <c r="F124" s="1016" t="str">
        <f t="shared" si="108"/>
        <v/>
      </c>
      <c r="G124" s="1016" t="str">
        <f t="shared" si="109"/>
        <v/>
      </c>
      <c r="H124" s="1016" t="str">
        <f t="shared" si="109"/>
        <v/>
      </c>
      <c r="I124" s="211" t="str">
        <f t="shared" si="110"/>
        <v/>
      </c>
      <c r="J124" s="1016" t="str">
        <f t="shared" si="111"/>
        <v/>
      </c>
      <c r="K124" s="213" t="str">
        <f t="shared" si="112"/>
        <v/>
      </c>
      <c r="L124" s="212" t="str">
        <f t="shared" si="113"/>
        <v/>
      </c>
      <c r="M124" s="1125" t="str">
        <f>IF(OR($C124="",$C124=0),"",INDEX(API1DENST,MATCH($C124,'Vessel Gauging Data'!$B$27:$B$56,0),$AA$1))</f>
        <v/>
      </c>
      <c r="N124" s="212" t="str">
        <f t="shared" si="114"/>
        <v/>
      </c>
      <c r="O124" s="1016" t="str">
        <f t="shared" si="115"/>
        <v/>
      </c>
      <c r="P124" s="1125" t="str">
        <f t="shared" si="116"/>
        <v/>
      </c>
      <c r="Q124" s="1016" t="str">
        <f t="shared" si="117"/>
        <v/>
      </c>
      <c r="R124" s="214" t="str">
        <f t="shared" si="118"/>
        <v/>
      </c>
      <c r="S124" s="1125" t="str">
        <f t="shared" si="119"/>
        <v/>
      </c>
      <c r="T124" s="236" t="str">
        <f t="shared" si="120"/>
        <v/>
      </c>
      <c r="V124" s="642" t="e">
        <f>INDEX('Vessel Gauging Data'!$B$26:$V$56,MATCH($C124,'Vessel Gauging Data'!$B$26:$B$56,0),$V$18)</f>
        <v>#N/A</v>
      </c>
      <c r="W124" s="642" t="e">
        <f>INDEX('Vessel Gauging Data'!$B$26:$V$56,MATCH($C124,'Vessel Gauging Data'!$B$26:$B$56,0),$W$18)</f>
        <v>#N/A</v>
      </c>
      <c r="X124" s="642" t="e">
        <f>INDEX('Vessel Gauging Data'!$B$26:$V$56,MATCH($C124,'Vessel Gauging Data'!$B$26:$B$56,0),$X$18)</f>
        <v>#N/A</v>
      </c>
      <c r="Y124" s="642" t="e">
        <f>INDEX('Vessel Gauging Data'!$B$26:$V$56,MATCH($C124,'Vessel Gauging Data'!$B$26:$B$56,0),$Y$18)</f>
        <v>#N/A</v>
      </c>
      <c r="Z124" s="642" t="e">
        <f>INDEX('Vessel Gauging Data'!$B$26:$V$56,MATCH($C124,'Vessel Gauging Data'!$B$26:$B$56,0),$Z$18)</f>
        <v>#N/A</v>
      </c>
      <c r="AB124" s="642" t="e">
        <f>INDEX(API1DENST,MATCH($C124,'Vessel Gauging Data'!$B$27:$B$56,0),1)</f>
        <v>#N/A</v>
      </c>
      <c r="AC124" s="642" t="e">
        <f t="shared" si="86"/>
        <v>#N/A</v>
      </c>
      <c r="AE124" s="661" t="e">
        <f t="shared" si="87"/>
        <v>#VALUE!</v>
      </c>
      <c r="AF124" s="661" t="e">
        <f t="shared" si="88"/>
        <v>#VALUE!</v>
      </c>
      <c r="AH124" s="662" t="str">
        <f t="shared" si="84"/>
        <v/>
      </c>
      <c r="AI124" s="662" t="str">
        <f t="shared" si="85"/>
        <v/>
      </c>
      <c r="AJ124" s="663">
        <f t="shared" si="89"/>
        <v>192.4571</v>
      </c>
      <c r="AK124" s="660">
        <f t="shared" si="90"/>
        <v>0.24379999999999999</v>
      </c>
      <c r="AL124" s="660" t="e">
        <f t="shared" si="91"/>
        <v>#VALUE!</v>
      </c>
      <c r="AM124" s="664" t="e">
        <f t="shared" si="92"/>
        <v>#VALUE!</v>
      </c>
      <c r="AN124" s="664" t="e">
        <f t="shared" si="93"/>
        <v>#VALUE!</v>
      </c>
      <c r="AO124" s="665" t="e">
        <f t="shared" si="94"/>
        <v>#VALUE!</v>
      </c>
      <c r="AP124" s="666" t="e">
        <f t="shared" si="95"/>
        <v>#VALUE!</v>
      </c>
      <c r="AQ124" s="660" t="e">
        <f t="shared" si="96"/>
        <v>#VALUE!</v>
      </c>
      <c r="AR124" s="667" t="e">
        <f t="shared" si="97"/>
        <v>#VALUE!</v>
      </c>
      <c r="AS124" s="667" t="e">
        <f t="shared" si="98"/>
        <v>#VALUE!</v>
      </c>
      <c r="AT124" s="668" t="e">
        <f t="shared" si="99"/>
        <v>#VALUE!</v>
      </c>
      <c r="AU124" s="667" t="e">
        <f t="shared" si="100"/>
        <v>#VALUE!</v>
      </c>
      <c r="AV124" s="669" t="e">
        <f t="shared" si="101"/>
        <v>#VALUE!</v>
      </c>
      <c r="AW124" s="667" t="e">
        <f t="shared" si="102"/>
        <v>#VALUE!</v>
      </c>
      <c r="AX124" s="667" t="e">
        <f t="shared" si="103"/>
        <v>#VALUE!</v>
      </c>
      <c r="AY124" s="660" t="e">
        <f t="shared" si="104"/>
        <v>#VALUE!</v>
      </c>
      <c r="AZ124" s="670" t="e">
        <f t="shared" si="105"/>
        <v>#VALUE!</v>
      </c>
      <c r="BB124" s="662" t="e">
        <f>INDEX('Vessel Gauging Data'!$B$26:$V$56,MATCH($C124,'Vessel Gauging Data'!$B$26:$B$56,0),$BB$18)</f>
        <v>#N/A</v>
      </c>
      <c r="BC124" s="662" t="e">
        <f>INDEX('Vessel Gauging Data'!$B$26:$V$56,MATCH($C124,'Vessel Gauging Data'!$B$26:$B$56,0),$BC$18)</f>
        <v>#N/A</v>
      </c>
      <c r="BD124" s="662" t="e">
        <f>INDEX('Vessel Gauging Data'!$B$26:$V$56,MATCH($C124,'Vessel Gauging Data'!$B$26:$B$56,0),$BD$18)</f>
        <v>#N/A</v>
      </c>
      <c r="BE124" s="662" t="e">
        <f>INDEX('Vessel Gauging Data'!$B$26:$V$56,MATCH($C124,'Vessel Gauging Data'!$B$26:$B$56,0),$BE$18)</f>
        <v>#N/A</v>
      </c>
    </row>
    <row r="125" spans="1:57" hidden="1">
      <c r="A125" s="641" t="str">
        <f t="shared" si="106"/>
        <v>N</v>
      </c>
      <c r="C125" s="235" t="str">
        <f t="array" ref="C125">IF(OR($E$113="",SUMPRODUCT(('Vessel Gauging Data'!$C$27:$C$56=$E$113)*('Vessel Gauging Data'!$D$27:$D$56=NOMY))&lt;ROWS($C$114:$C125)),"",INDEX('Vessel Gauging Data'!$B$27:$B$56,SMALL(IF(('Vessel Gauging Data'!$C$27:$C$56=$E$113)+('Vessel Gauging Data'!$D$27:$D$56=NOMY)=2,ROW('Vessel Gauging Data'!$B$27:$B$56)-ROW('Vessel Gauging Data'!$C$26)),ROW()-ROW(C$113))))</f>
        <v/>
      </c>
      <c r="D125" s="211" t="str">
        <f>IF(OR($C125="",$C125=0),"",INDEX('Vessel Gauging Data'!$B$26:$V$56,MATCH($C125,'Vessel Gauging Data'!$B$27:$B$56,0)+1,2))</f>
        <v/>
      </c>
      <c r="E125" s="1016" t="str">
        <f t="shared" si="107"/>
        <v/>
      </c>
      <c r="F125" s="1016" t="str">
        <f t="shared" si="108"/>
        <v/>
      </c>
      <c r="G125" s="1016" t="str">
        <f t="shared" si="109"/>
        <v/>
      </c>
      <c r="H125" s="1016" t="str">
        <f t="shared" si="109"/>
        <v/>
      </c>
      <c r="I125" s="211" t="str">
        <f t="shared" si="110"/>
        <v/>
      </c>
      <c r="J125" s="1016" t="str">
        <f t="shared" si="111"/>
        <v/>
      </c>
      <c r="K125" s="213" t="str">
        <f t="shared" si="112"/>
        <v/>
      </c>
      <c r="L125" s="212" t="str">
        <f t="shared" si="113"/>
        <v/>
      </c>
      <c r="M125" s="1125" t="str">
        <f>IF(OR($C125="",$C125=0),"",INDEX(API1DENST,MATCH($C125,'Vessel Gauging Data'!$B$27:$B$56,0),$AA$1))</f>
        <v/>
      </c>
      <c r="N125" s="212" t="str">
        <f t="shared" si="114"/>
        <v/>
      </c>
      <c r="O125" s="1016" t="str">
        <f t="shared" si="115"/>
        <v/>
      </c>
      <c r="P125" s="1125" t="str">
        <f t="shared" si="116"/>
        <v/>
      </c>
      <c r="Q125" s="1016" t="str">
        <f t="shared" si="117"/>
        <v/>
      </c>
      <c r="R125" s="214" t="str">
        <f t="shared" si="118"/>
        <v/>
      </c>
      <c r="S125" s="1125" t="str">
        <f t="shared" si="119"/>
        <v/>
      </c>
      <c r="T125" s="236" t="str">
        <f t="shared" si="120"/>
        <v/>
      </c>
      <c r="V125" s="642" t="e">
        <f>INDEX('Vessel Gauging Data'!$B$26:$V$56,MATCH($C125,'Vessel Gauging Data'!$B$26:$B$56,0),$V$18)</f>
        <v>#N/A</v>
      </c>
      <c r="W125" s="642" t="e">
        <f>INDEX('Vessel Gauging Data'!$B$26:$V$56,MATCH($C125,'Vessel Gauging Data'!$B$26:$B$56,0),$W$18)</f>
        <v>#N/A</v>
      </c>
      <c r="X125" s="642" t="e">
        <f>INDEX('Vessel Gauging Data'!$B$26:$V$56,MATCH($C125,'Vessel Gauging Data'!$B$26:$B$56,0),$X$18)</f>
        <v>#N/A</v>
      </c>
      <c r="Y125" s="642" t="e">
        <f>INDEX('Vessel Gauging Data'!$B$26:$V$56,MATCH($C125,'Vessel Gauging Data'!$B$26:$B$56,0),$Y$18)</f>
        <v>#N/A</v>
      </c>
      <c r="Z125" s="642" t="e">
        <f>INDEX('Vessel Gauging Data'!$B$26:$V$56,MATCH($C125,'Vessel Gauging Data'!$B$26:$B$56,0),$Z$18)</f>
        <v>#N/A</v>
      </c>
      <c r="AB125" s="642" t="e">
        <f>INDEX(API1DENST,MATCH($C125,'Vessel Gauging Data'!$B$27:$B$56,0),1)</f>
        <v>#N/A</v>
      </c>
      <c r="AC125" s="642" t="e">
        <f t="shared" si="86"/>
        <v>#N/A</v>
      </c>
      <c r="AE125" s="661" t="e">
        <f t="shared" si="87"/>
        <v>#VALUE!</v>
      </c>
      <c r="AF125" s="661" t="e">
        <f t="shared" si="88"/>
        <v>#VALUE!</v>
      </c>
      <c r="AH125" s="662" t="str">
        <f t="shared" si="84"/>
        <v/>
      </c>
      <c r="AI125" s="662" t="str">
        <f t="shared" si="85"/>
        <v/>
      </c>
      <c r="AJ125" s="663">
        <f t="shared" si="89"/>
        <v>192.4571</v>
      </c>
      <c r="AK125" s="660">
        <f t="shared" si="90"/>
        <v>0.24379999999999999</v>
      </c>
      <c r="AL125" s="660" t="e">
        <f t="shared" si="91"/>
        <v>#VALUE!</v>
      </c>
      <c r="AM125" s="664" t="e">
        <f t="shared" si="92"/>
        <v>#VALUE!</v>
      </c>
      <c r="AN125" s="664" t="e">
        <f t="shared" si="93"/>
        <v>#VALUE!</v>
      </c>
      <c r="AO125" s="665" t="e">
        <f t="shared" si="94"/>
        <v>#VALUE!</v>
      </c>
      <c r="AP125" s="666" t="e">
        <f t="shared" si="95"/>
        <v>#VALUE!</v>
      </c>
      <c r="AQ125" s="660" t="e">
        <f t="shared" si="96"/>
        <v>#VALUE!</v>
      </c>
      <c r="AR125" s="667" t="e">
        <f t="shared" si="97"/>
        <v>#VALUE!</v>
      </c>
      <c r="AS125" s="667" t="e">
        <f t="shared" si="98"/>
        <v>#VALUE!</v>
      </c>
      <c r="AT125" s="668" t="e">
        <f t="shared" si="99"/>
        <v>#VALUE!</v>
      </c>
      <c r="AU125" s="667" t="e">
        <f t="shared" si="100"/>
        <v>#VALUE!</v>
      </c>
      <c r="AV125" s="669" t="e">
        <f t="shared" si="101"/>
        <v>#VALUE!</v>
      </c>
      <c r="AW125" s="667" t="e">
        <f t="shared" si="102"/>
        <v>#VALUE!</v>
      </c>
      <c r="AX125" s="667" t="e">
        <f t="shared" si="103"/>
        <v>#VALUE!</v>
      </c>
      <c r="AY125" s="660" t="e">
        <f t="shared" si="104"/>
        <v>#VALUE!</v>
      </c>
      <c r="AZ125" s="670" t="e">
        <f t="shared" si="105"/>
        <v>#VALUE!</v>
      </c>
      <c r="BB125" s="662" t="e">
        <f>INDEX('Vessel Gauging Data'!$B$26:$V$56,MATCH($C125,'Vessel Gauging Data'!$B$26:$B$56,0),$BB$18)</f>
        <v>#N/A</v>
      </c>
      <c r="BC125" s="662" t="e">
        <f>INDEX('Vessel Gauging Data'!$B$26:$V$56,MATCH($C125,'Vessel Gauging Data'!$B$26:$B$56,0),$BC$18)</f>
        <v>#N/A</v>
      </c>
      <c r="BD125" s="662" t="e">
        <f>INDEX('Vessel Gauging Data'!$B$26:$V$56,MATCH($C125,'Vessel Gauging Data'!$B$26:$B$56,0),$BD$18)</f>
        <v>#N/A</v>
      </c>
      <c r="BE125" s="662" t="e">
        <f>INDEX('Vessel Gauging Data'!$B$26:$V$56,MATCH($C125,'Vessel Gauging Data'!$B$26:$B$56,0),$BE$18)</f>
        <v>#N/A</v>
      </c>
    </row>
    <row r="126" spans="1:57" hidden="1">
      <c r="A126" s="641" t="str">
        <f t="shared" si="106"/>
        <v>N</v>
      </c>
      <c r="C126" s="235" t="str">
        <f t="array" ref="C126">IF(OR($E$113="",SUMPRODUCT(('Vessel Gauging Data'!$C$27:$C$56=$E$113)*('Vessel Gauging Data'!$D$27:$D$56=NOMY))&lt;ROWS($C$114:$C126)),"",INDEX('Vessel Gauging Data'!$B$27:$B$56,SMALL(IF(('Vessel Gauging Data'!$C$27:$C$56=$E$113)+('Vessel Gauging Data'!$D$27:$D$56=NOMY)=2,ROW('Vessel Gauging Data'!$B$27:$B$56)-ROW('Vessel Gauging Data'!$C$26)),ROW()-ROW(C$113))))</f>
        <v/>
      </c>
      <c r="D126" s="211" t="str">
        <f>IF(OR($C126="",$C126=0),"",INDEX('Vessel Gauging Data'!$B$26:$V$56,MATCH($C126,'Vessel Gauging Data'!$B$27:$B$56,0)+1,2))</f>
        <v/>
      </c>
      <c r="E126" s="1016" t="str">
        <f t="shared" si="107"/>
        <v/>
      </c>
      <c r="F126" s="1016" t="str">
        <f t="shared" si="108"/>
        <v/>
      </c>
      <c r="G126" s="1016" t="str">
        <f t="shared" si="109"/>
        <v/>
      </c>
      <c r="H126" s="1016" t="str">
        <f t="shared" si="109"/>
        <v/>
      </c>
      <c r="I126" s="211" t="str">
        <f t="shared" si="110"/>
        <v/>
      </c>
      <c r="J126" s="1016" t="str">
        <f t="shared" si="111"/>
        <v/>
      </c>
      <c r="K126" s="213" t="str">
        <f t="shared" si="112"/>
        <v/>
      </c>
      <c r="L126" s="212" t="str">
        <f t="shared" si="113"/>
        <v/>
      </c>
      <c r="M126" s="1125" t="str">
        <f>IF(OR($C126="",$C126=0),"",INDEX(API1DENST,MATCH($C126,'Vessel Gauging Data'!$B$27:$B$56,0),$AA$1))</f>
        <v/>
      </c>
      <c r="N126" s="212" t="str">
        <f t="shared" si="114"/>
        <v/>
      </c>
      <c r="O126" s="1016" t="str">
        <f t="shared" si="115"/>
        <v/>
      </c>
      <c r="P126" s="1125" t="str">
        <f t="shared" si="116"/>
        <v/>
      </c>
      <c r="Q126" s="1016" t="str">
        <f t="shared" si="117"/>
        <v/>
      </c>
      <c r="R126" s="214" t="str">
        <f t="shared" si="118"/>
        <v/>
      </c>
      <c r="S126" s="1125" t="str">
        <f t="shared" si="119"/>
        <v/>
      </c>
      <c r="T126" s="236" t="str">
        <f t="shared" si="120"/>
        <v/>
      </c>
      <c r="V126" s="642" t="e">
        <f>INDEX('Vessel Gauging Data'!$B$26:$V$56,MATCH($C126,'Vessel Gauging Data'!$B$26:$B$56,0),$V$18)</f>
        <v>#N/A</v>
      </c>
      <c r="W126" s="642" t="e">
        <f>INDEX('Vessel Gauging Data'!$B$26:$V$56,MATCH($C126,'Vessel Gauging Data'!$B$26:$B$56,0),$W$18)</f>
        <v>#N/A</v>
      </c>
      <c r="X126" s="642" t="e">
        <f>INDEX('Vessel Gauging Data'!$B$26:$V$56,MATCH($C126,'Vessel Gauging Data'!$B$26:$B$56,0),$X$18)</f>
        <v>#N/A</v>
      </c>
      <c r="Y126" s="642" t="e">
        <f>INDEX('Vessel Gauging Data'!$B$26:$V$56,MATCH($C126,'Vessel Gauging Data'!$B$26:$B$56,0),$Y$18)</f>
        <v>#N/A</v>
      </c>
      <c r="Z126" s="642" t="e">
        <f>INDEX('Vessel Gauging Data'!$B$26:$V$56,MATCH($C126,'Vessel Gauging Data'!$B$26:$B$56,0),$Z$18)</f>
        <v>#N/A</v>
      </c>
      <c r="AB126" s="642" t="e">
        <f>INDEX(API1DENST,MATCH($C126,'Vessel Gauging Data'!$B$27:$B$56,0),1)</f>
        <v>#N/A</v>
      </c>
      <c r="AC126" s="642" t="e">
        <f t="shared" si="86"/>
        <v>#N/A</v>
      </c>
      <c r="AE126" s="661" t="e">
        <f t="shared" si="87"/>
        <v>#VALUE!</v>
      </c>
      <c r="AF126" s="661" t="e">
        <f t="shared" si="88"/>
        <v>#VALUE!</v>
      </c>
      <c r="AH126" s="662" t="str">
        <f t="shared" ref="AH126:AH161" si="121">N126</f>
        <v/>
      </c>
      <c r="AI126" s="662" t="str">
        <f t="shared" ref="AI126:AI161" si="122">M126</f>
        <v/>
      </c>
      <c r="AJ126" s="663">
        <f t="shared" si="89"/>
        <v>192.4571</v>
      </c>
      <c r="AK126" s="660">
        <f t="shared" si="90"/>
        <v>0.24379999999999999</v>
      </c>
      <c r="AL126" s="660" t="e">
        <f t="shared" si="91"/>
        <v>#VALUE!</v>
      </c>
      <c r="AM126" s="664" t="e">
        <f t="shared" si="92"/>
        <v>#VALUE!</v>
      </c>
      <c r="AN126" s="664" t="e">
        <f t="shared" si="93"/>
        <v>#VALUE!</v>
      </c>
      <c r="AO126" s="665" t="e">
        <f t="shared" si="94"/>
        <v>#VALUE!</v>
      </c>
      <c r="AP126" s="666" t="e">
        <f t="shared" si="95"/>
        <v>#VALUE!</v>
      </c>
      <c r="AQ126" s="660" t="e">
        <f t="shared" si="96"/>
        <v>#VALUE!</v>
      </c>
      <c r="AR126" s="667" t="e">
        <f t="shared" si="97"/>
        <v>#VALUE!</v>
      </c>
      <c r="AS126" s="667" t="e">
        <f t="shared" si="98"/>
        <v>#VALUE!</v>
      </c>
      <c r="AT126" s="668" t="e">
        <f t="shared" si="99"/>
        <v>#VALUE!</v>
      </c>
      <c r="AU126" s="667" t="e">
        <f t="shared" si="100"/>
        <v>#VALUE!</v>
      </c>
      <c r="AV126" s="669" t="e">
        <f t="shared" si="101"/>
        <v>#VALUE!</v>
      </c>
      <c r="AW126" s="667" t="e">
        <f t="shared" si="102"/>
        <v>#VALUE!</v>
      </c>
      <c r="AX126" s="667" t="e">
        <f t="shared" si="103"/>
        <v>#VALUE!</v>
      </c>
      <c r="AY126" s="660" t="e">
        <f t="shared" si="104"/>
        <v>#VALUE!</v>
      </c>
      <c r="AZ126" s="670" t="e">
        <f t="shared" si="105"/>
        <v>#VALUE!</v>
      </c>
      <c r="BB126" s="662" t="e">
        <f>INDEX('Vessel Gauging Data'!$B$26:$V$56,MATCH($C126,'Vessel Gauging Data'!$B$26:$B$56,0),$BB$18)</f>
        <v>#N/A</v>
      </c>
      <c r="BC126" s="662" t="e">
        <f>INDEX('Vessel Gauging Data'!$B$26:$V$56,MATCH($C126,'Vessel Gauging Data'!$B$26:$B$56,0),$BC$18)</f>
        <v>#N/A</v>
      </c>
      <c r="BD126" s="662" t="e">
        <f>INDEX('Vessel Gauging Data'!$B$26:$V$56,MATCH($C126,'Vessel Gauging Data'!$B$26:$B$56,0),$BD$18)</f>
        <v>#N/A</v>
      </c>
      <c r="BE126" s="662" t="e">
        <f>INDEX('Vessel Gauging Data'!$B$26:$V$56,MATCH($C126,'Vessel Gauging Data'!$B$26:$B$56,0),$BE$18)</f>
        <v>#N/A</v>
      </c>
    </row>
    <row r="127" spans="1:57" hidden="1">
      <c r="A127" s="641" t="str">
        <f t="shared" si="106"/>
        <v>N</v>
      </c>
      <c r="C127" s="235" t="str">
        <f t="array" ref="C127">IF(OR($E$113="",SUMPRODUCT(('Vessel Gauging Data'!$C$27:$C$56=$E$113)*('Vessel Gauging Data'!$D$27:$D$56=NOMY))&lt;ROWS($C$114:$C127)),"",INDEX('Vessel Gauging Data'!$B$27:$B$56,SMALL(IF(('Vessel Gauging Data'!$C$27:$C$56=$E$113)+('Vessel Gauging Data'!$D$27:$D$56=NOMY)=2,ROW('Vessel Gauging Data'!$B$27:$B$56)-ROW('Vessel Gauging Data'!$C$26)),ROW()-ROW(C$113))))</f>
        <v/>
      </c>
      <c r="D127" s="211" t="str">
        <f>IF(OR($C127="",$C127=0),"",INDEX('Vessel Gauging Data'!$B$26:$V$56,MATCH($C127,'Vessel Gauging Data'!$B$27:$B$56,0)+1,2))</f>
        <v/>
      </c>
      <c r="E127" s="1016" t="str">
        <f t="shared" si="107"/>
        <v/>
      </c>
      <c r="F127" s="1016" t="str">
        <f t="shared" si="108"/>
        <v/>
      </c>
      <c r="G127" s="1016" t="str">
        <f t="shared" si="109"/>
        <v/>
      </c>
      <c r="H127" s="1016" t="str">
        <f t="shared" si="109"/>
        <v/>
      </c>
      <c r="I127" s="211" t="str">
        <f t="shared" si="110"/>
        <v/>
      </c>
      <c r="J127" s="1016" t="str">
        <f t="shared" si="111"/>
        <v/>
      </c>
      <c r="K127" s="213" t="str">
        <f t="shared" si="112"/>
        <v/>
      </c>
      <c r="L127" s="212" t="str">
        <f t="shared" si="113"/>
        <v/>
      </c>
      <c r="M127" s="1125" t="str">
        <f>IF(OR($C127="",$C127=0),"",INDEX(API1DENST,MATCH($C127,'Vessel Gauging Data'!$B$27:$B$56,0),$AA$1))</f>
        <v/>
      </c>
      <c r="N127" s="212" t="str">
        <f t="shared" si="114"/>
        <v/>
      </c>
      <c r="O127" s="1016" t="str">
        <f t="shared" si="115"/>
        <v/>
      </c>
      <c r="P127" s="1125" t="str">
        <f t="shared" si="116"/>
        <v/>
      </c>
      <c r="Q127" s="1016" t="str">
        <f t="shared" si="117"/>
        <v/>
      </c>
      <c r="R127" s="214" t="str">
        <f t="shared" si="118"/>
        <v/>
      </c>
      <c r="S127" s="1125" t="str">
        <f t="shared" si="119"/>
        <v/>
      </c>
      <c r="T127" s="236" t="str">
        <f t="shared" si="120"/>
        <v/>
      </c>
      <c r="V127" s="642" t="e">
        <f>INDEX('Vessel Gauging Data'!$B$26:$V$56,MATCH($C127,'Vessel Gauging Data'!$B$26:$B$56,0),$V$18)</f>
        <v>#N/A</v>
      </c>
      <c r="W127" s="642" t="e">
        <f>INDEX('Vessel Gauging Data'!$B$26:$V$56,MATCH($C127,'Vessel Gauging Data'!$B$26:$B$56,0),$W$18)</f>
        <v>#N/A</v>
      </c>
      <c r="X127" s="642" t="e">
        <f>INDEX('Vessel Gauging Data'!$B$26:$V$56,MATCH($C127,'Vessel Gauging Data'!$B$26:$B$56,0),$X$18)</f>
        <v>#N/A</v>
      </c>
      <c r="Y127" s="642" t="e">
        <f>INDEX('Vessel Gauging Data'!$B$26:$V$56,MATCH($C127,'Vessel Gauging Data'!$B$26:$B$56,0),$Y$18)</f>
        <v>#N/A</v>
      </c>
      <c r="Z127" s="642" t="e">
        <f>INDEX('Vessel Gauging Data'!$B$26:$V$56,MATCH($C127,'Vessel Gauging Data'!$B$26:$B$56,0),$Z$18)</f>
        <v>#N/A</v>
      </c>
      <c r="AB127" s="642" t="e">
        <f>INDEX(API1DENST,MATCH($C127,'Vessel Gauging Data'!$B$27:$B$56,0),1)</f>
        <v>#N/A</v>
      </c>
      <c r="AC127" s="642" t="e">
        <f t="shared" si="86"/>
        <v>#N/A</v>
      </c>
      <c r="AE127" s="661" t="e">
        <f t="shared" si="87"/>
        <v>#VALUE!</v>
      </c>
      <c r="AF127" s="661" t="e">
        <f t="shared" si="88"/>
        <v>#VALUE!</v>
      </c>
      <c r="AH127" s="662" t="str">
        <f t="shared" si="121"/>
        <v/>
      </c>
      <c r="AI127" s="662" t="str">
        <f t="shared" si="122"/>
        <v/>
      </c>
      <c r="AJ127" s="663">
        <f t="shared" si="89"/>
        <v>192.4571</v>
      </c>
      <c r="AK127" s="660">
        <f t="shared" si="90"/>
        <v>0.24379999999999999</v>
      </c>
      <c r="AL127" s="660" t="e">
        <f t="shared" si="91"/>
        <v>#VALUE!</v>
      </c>
      <c r="AM127" s="664" t="e">
        <f t="shared" si="92"/>
        <v>#VALUE!</v>
      </c>
      <c r="AN127" s="664" t="e">
        <f t="shared" si="93"/>
        <v>#VALUE!</v>
      </c>
      <c r="AO127" s="665" t="e">
        <f t="shared" si="94"/>
        <v>#VALUE!</v>
      </c>
      <c r="AP127" s="666" t="e">
        <f t="shared" si="95"/>
        <v>#VALUE!</v>
      </c>
      <c r="AQ127" s="660" t="e">
        <f t="shared" si="96"/>
        <v>#VALUE!</v>
      </c>
      <c r="AR127" s="667" t="e">
        <f t="shared" si="97"/>
        <v>#VALUE!</v>
      </c>
      <c r="AS127" s="667" t="e">
        <f t="shared" si="98"/>
        <v>#VALUE!</v>
      </c>
      <c r="AT127" s="668" t="e">
        <f t="shared" si="99"/>
        <v>#VALUE!</v>
      </c>
      <c r="AU127" s="667" t="e">
        <f t="shared" si="100"/>
        <v>#VALUE!</v>
      </c>
      <c r="AV127" s="669" t="e">
        <f t="shared" si="101"/>
        <v>#VALUE!</v>
      </c>
      <c r="AW127" s="667" t="e">
        <f t="shared" si="102"/>
        <v>#VALUE!</v>
      </c>
      <c r="AX127" s="667" t="e">
        <f t="shared" si="103"/>
        <v>#VALUE!</v>
      </c>
      <c r="AY127" s="660" t="e">
        <f t="shared" si="104"/>
        <v>#VALUE!</v>
      </c>
      <c r="AZ127" s="670" t="e">
        <f t="shared" si="105"/>
        <v>#VALUE!</v>
      </c>
      <c r="BB127" s="662" t="e">
        <f>INDEX('Vessel Gauging Data'!$B$26:$V$56,MATCH($C127,'Vessel Gauging Data'!$B$26:$B$56,0),$BB$18)</f>
        <v>#N/A</v>
      </c>
      <c r="BC127" s="662" t="e">
        <f>INDEX('Vessel Gauging Data'!$B$26:$V$56,MATCH($C127,'Vessel Gauging Data'!$B$26:$B$56,0),$BC$18)</f>
        <v>#N/A</v>
      </c>
      <c r="BD127" s="662" t="e">
        <f>INDEX('Vessel Gauging Data'!$B$26:$V$56,MATCH($C127,'Vessel Gauging Data'!$B$26:$B$56,0),$BD$18)</f>
        <v>#N/A</v>
      </c>
      <c r="BE127" s="662" t="e">
        <f>INDEX('Vessel Gauging Data'!$B$26:$V$56,MATCH($C127,'Vessel Gauging Data'!$B$26:$B$56,0),$BE$18)</f>
        <v>#N/A</v>
      </c>
    </row>
    <row r="128" spans="1:57" hidden="1">
      <c r="A128" s="641" t="str">
        <f t="shared" si="106"/>
        <v>N</v>
      </c>
      <c r="C128" s="235" t="str">
        <f t="array" ref="C128">IF(OR($E$113="",SUMPRODUCT(('Vessel Gauging Data'!$C$27:$C$56=$E$113)*('Vessel Gauging Data'!$D$27:$D$56=NOMY))&lt;ROWS($C$114:$C128)),"",INDEX('Vessel Gauging Data'!$B$27:$B$56,SMALL(IF(('Vessel Gauging Data'!$C$27:$C$56=$E$113)+('Vessel Gauging Data'!$D$27:$D$56=NOMY)=2,ROW('Vessel Gauging Data'!$B$27:$B$56)-ROW('Vessel Gauging Data'!$C$26)),ROW()-ROW(C$113))))</f>
        <v/>
      </c>
      <c r="D128" s="211" t="str">
        <f>IF(OR($C128="",$C128=0),"",INDEX('Vessel Gauging Data'!$B$26:$V$56,MATCH($C128,'Vessel Gauging Data'!$B$27:$B$56,0)+1,2))</f>
        <v/>
      </c>
      <c r="E128" s="1016" t="str">
        <f t="shared" si="107"/>
        <v/>
      </c>
      <c r="F128" s="1016" t="str">
        <f t="shared" si="108"/>
        <v/>
      </c>
      <c r="G128" s="1016" t="str">
        <f t="shared" si="109"/>
        <v/>
      </c>
      <c r="H128" s="1016" t="str">
        <f t="shared" si="109"/>
        <v/>
      </c>
      <c r="I128" s="211" t="str">
        <f t="shared" si="110"/>
        <v/>
      </c>
      <c r="J128" s="1016" t="str">
        <f t="shared" si="111"/>
        <v/>
      </c>
      <c r="K128" s="213" t="str">
        <f t="shared" si="112"/>
        <v/>
      </c>
      <c r="L128" s="212" t="str">
        <f t="shared" si="113"/>
        <v/>
      </c>
      <c r="M128" s="1125" t="str">
        <f>IF(OR($C128="",$C128=0),"",INDEX(API1DENST,MATCH($C128,'Vessel Gauging Data'!$B$27:$B$56,0),$AA$1))</f>
        <v/>
      </c>
      <c r="N128" s="212" t="str">
        <f t="shared" si="114"/>
        <v/>
      </c>
      <c r="O128" s="1016" t="str">
        <f t="shared" si="115"/>
        <v/>
      </c>
      <c r="P128" s="1125" t="str">
        <f t="shared" si="116"/>
        <v/>
      </c>
      <c r="Q128" s="1016" t="str">
        <f t="shared" si="117"/>
        <v/>
      </c>
      <c r="R128" s="214" t="str">
        <f t="shared" si="118"/>
        <v/>
      </c>
      <c r="S128" s="1125" t="str">
        <f t="shared" si="119"/>
        <v/>
      </c>
      <c r="T128" s="236" t="str">
        <f t="shared" si="120"/>
        <v/>
      </c>
      <c r="V128" s="642" t="e">
        <f>INDEX('Vessel Gauging Data'!$B$26:$V$56,MATCH($C128,'Vessel Gauging Data'!$B$26:$B$56,0),$V$18)</f>
        <v>#N/A</v>
      </c>
      <c r="W128" s="642" t="e">
        <f>INDEX('Vessel Gauging Data'!$B$26:$V$56,MATCH($C128,'Vessel Gauging Data'!$B$26:$B$56,0),$W$18)</f>
        <v>#N/A</v>
      </c>
      <c r="X128" s="642" t="e">
        <f>INDEX('Vessel Gauging Data'!$B$26:$V$56,MATCH($C128,'Vessel Gauging Data'!$B$26:$B$56,0),$X$18)</f>
        <v>#N/A</v>
      </c>
      <c r="Y128" s="642" t="e">
        <f>INDEX('Vessel Gauging Data'!$B$26:$V$56,MATCH($C128,'Vessel Gauging Data'!$B$26:$B$56,0),$Y$18)</f>
        <v>#N/A</v>
      </c>
      <c r="Z128" s="642" t="e">
        <f>INDEX('Vessel Gauging Data'!$B$26:$V$56,MATCH($C128,'Vessel Gauging Data'!$B$26:$B$56,0),$Z$18)</f>
        <v>#N/A</v>
      </c>
      <c r="AB128" s="642" t="e">
        <f>INDEX(API1DENST,MATCH($C128,'Vessel Gauging Data'!$B$27:$B$56,0),1)</f>
        <v>#N/A</v>
      </c>
      <c r="AC128" s="642" t="e">
        <f t="shared" si="86"/>
        <v>#N/A</v>
      </c>
      <c r="AE128" s="661" t="e">
        <f t="shared" si="87"/>
        <v>#VALUE!</v>
      </c>
      <c r="AF128" s="661" t="e">
        <f t="shared" si="88"/>
        <v>#VALUE!</v>
      </c>
      <c r="AH128" s="662" t="str">
        <f t="shared" si="121"/>
        <v/>
      </c>
      <c r="AI128" s="662" t="str">
        <f t="shared" si="122"/>
        <v/>
      </c>
      <c r="AJ128" s="663">
        <f t="shared" si="89"/>
        <v>192.4571</v>
      </c>
      <c r="AK128" s="660">
        <f t="shared" si="90"/>
        <v>0.24379999999999999</v>
      </c>
      <c r="AL128" s="660" t="e">
        <f t="shared" si="91"/>
        <v>#VALUE!</v>
      </c>
      <c r="AM128" s="664" t="e">
        <f t="shared" si="92"/>
        <v>#VALUE!</v>
      </c>
      <c r="AN128" s="664" t="e">
        <f t="shared" si="93"/>
        <v>#VALUE!</v>
      </c>
      <c r="AO128" s="665" t="e">
        <f t="shared" si="94"/>
        <v>#VALUE!</v>
      </c>
      <c r="AP128" s="666" t="e">
        <f t="shared" si="95"/>
        <v>#VALUE!</v>
      </c>
      <c r="AQ128" s="660" t="e">
        <f t="shared" si="96"/>
        <v>#VALUE!</v>
      </c>
      <c r="AR128" s="667" t="e">
        <f t="shared" si="97"/>
        <v>#VALUE!</v>
      </c>
      <c r="AS128" s="667" t="e">
        <f t="shared" si="98"/>
        <v>#VALUE!</v>
      </c>
      <c r="AT128" s="668" t="e">
        <f t="shared" si="99"/>
        <v>#VALUE!</v>
      </c>
      <c r="AU128" s="667" t="e">
        <f t="shared" si="100"/>
        <v>#VALUE!</v>
      </c>
      <c r="AV128" s="669" t="e">
        <f t="shared" si="101"/>
        <v>#VALUE!</v>
      </c>
      <c r="AW128" s="667" t="e">
        <f t="shared" si="102"/>
        <v>#VALUE!</v>
      </c>
      <c r="AX128" s="667" t="e">
        <f t="shared" si="103"/>
        <v>#VALUE!</v>
      </c>
      <c r="AY128" s="660" t="e">
        <f t="shared" si="104"/>
        <v>#VALUE!</v>
      </c>
      <c r="AZ128" s="670" t="e">
        <f t="shared" si="105"/>
        <v>#VALUE!</v>
      </c>
      <c r="BB128" s="662" t="e">
        <f>INDEX('Vessel Gauging Data'!$B$26:$V$56,MATCH($C128,'Vessel Gauging Data'!$B$26:$B$56,0),$BB$18)</f>
        <v>#N/A</v>
      </c>
      <c r="BC128" s="662" t="e">
        <f>INDEX('Vessel Gauging Data'!$B$26:$V$56,MATCH($C128,'Vessel Gauging Data'!$B$26:$B$56,0),$BC$18)</f>
        <v>#N/A</v>
      </c>
      <c r="BD128" s="662" t="e">
        <f>INDEX('Vessel Gauging Data'!$B$26:$V$56,MATCH($C128,'Vessel Gauging Data'!$B$26:$B$56,0),$BD$18)</f>
        <v>#N/A</v>
      </c>
      <c r="BE128" s="662" t="e">
        <f>INDEX('Vessel Gauging Data'!$B$26:$V$56,MATCH($C128,'Vessel Gauging Data'!$B$26:$B$56,0),$BE$18)</f>
        <v>#N/A</v>
      </c>
    </row>
    <row r="129" spans="1:57" hidden="1">
      <c r="A129" s="641" t="str">
        <f t="shared" si="106"/>
        <v>N</v>
      </c>
      <c r="C129" s="235" t="str">
        <f t="array" ref="C129">IF(OR($E$113="",SUMPRODUCT(('Vessel Gauging Data'!$C$27:$C$56=$E$113)*('Vessel Gauging Data'!$D$27:$D$56=NOMY))&lt;ROWS($C$114:$C129)),"",INDEX('Vessel Gauging Data'!$B$27:$B$56,SMALL(IF(('Vessel Gauging Data'!$C$27:$C$56=$E$113)+('Vessel Gauging Data'!$D$27:$D$56=NOMY)=2,ROW('Vessel Gauging Data'!$B$27:$B$56)-ROW('Vessel Gauging Data'!$C$26)),ROW()-ROW(C$113))))</f>
        <v/>
      </c>
      <c r="D129" s="211" t="str">
        <f>IF(OR($C129="",$C129=0),"",INDEX('Vessel Gauging Data'!$B$26:$V$56,MATCH($C129,'Vessel Gauging Data'!$B$27:$B$56,0)+1,2))</f>
        <v/>
      </c>
      <c r="E129" s="1016" t="str">
        <f t="shared" si="107"/>
        <v/>
      </c>
      <c r="F129" s="1016" t="str">
        <f t="shared" si="108"/>
        <v/>
      </c>
      <c r="G129" s="1016" t="str">
        <f t="shared" si="109"/>
        <v/>
      </c>
      <c r="H129" s="1016" t="str">
        <f t="shared" si="109"/>
        <v/>
      </c>
      <c r="I129" s="211" t="str">
        <f t="shared" si="110"/>
        <v/>
      </c>
      <c r="J129" s="1016" t="str">
        <f t="shared" si="111"/>
        <v/>
      </c>
      <c r="K129" s="213" t="str">
        <f t="shared" si="112"/>
        <v/>
      </c>
      <c r="L129" s="212" t="str">
        <f t="shared" si="113"/>
        <v/>
      </c>
      <c r="M129" s="1125" t="str">
        <f>IF(OR($C129="",$C129=0),"",INDEX(API1DENST,MATCH($C129,'Vessel Gauging Data'!$B$27:$B$56,0),$AA$1))</f>
        <v/>
      </c>
      <c r="N129" s="212" t="str">
        <f t="shared" si="114"/>
        <v/>
      </c>
      <c r="O129" s="1016" t="str">
        <f t="shared" si="115"/>
        <v/>
      </c>
      <c r="P129" s="1125" t="str">
        <f t="shared" si="116"/>
        <v/>
      </c>
      <c r="Q129" s="1016" t="str">
        <f t="shared" si="117"/>
        <v/>
      </c>
      <c r="R129" s="214" t="str">
        <f t="shared" si="118"/>
        <v/>
      </c>
      <c r="S129" s="1125" t="str">
        <f t="shared" si="119"/>
        <v/>
      </c>
      <c r="T129" s="236" t="str">
        <f t="shared" si="120"/>
        <v/>
      </c>
      <c r="V129" s="642" t="e">
        <f>INDEX('Vessel Gauging Data'!$B$26:$V$56,MATCH($C129,'Vessel Gauging Data'!$B$26:$B$56,0),$V$18)</f>
        <v>#N/A</v>
      </c>
      <c r="W129" s="642" t="e">
        <f>INDEX('Vessel Gauging Data'!$B$26:$V$56,MATCH($C129,'Vessel Gauging Data'!$B$26:$B$56,0),$W$18)</f>
        <v>#N/A</v>
      </c>
      <c r="X129" s="642" t="e">
        <f>INDEX('Vessel Gauging Data'!$B$26:$V$56,MATCH($C129,'Vessel Gauging Data'!$B$26:$B$56,0),$X$18)</f>
        <v>#N/A</v>
      </c>
      <c r="Y129" s="642" t="e">
        <f>INDEX('Vessel Gauging Data'!$B$26:$V$56,MATCH($C129,'Vessel Gauging Data'!$B$26:$B$56,0),$Y$18)</f>
        <v>#N/A</v>
      </c>
      <c r="Z129" s="642" t="e">
        <f>INDEX('Vessel Gauging Data'!$B$26:$V$56,MATCH($C129,'Vessel Gauging Data'!$B$26:$B$56,0),$Z$18)</f>
        <v>#N/A</v>
      </c>
      <c r="AB129" s="642" t="e">
        <f>INDEX(API1DENST,MATCH($C129,'Vessel Gauging Data'!$B$27:$B$56,0),1)</f>
        <v>#N/A</v>
      </c>
      <c r="AC129" s="642" t="e">
        <f t="shared" si="86"/>
        <v>#N/A</v>
      </c>
      <c r="AE129" s="661" t="e">
        <f t="shared" si="87"/>
        <v>#VALUE!</v>
      </c>
      <c r="AF129" s="661" t="e">
        <f t="shared" si="88"/>
        <v>#VALUE!</v>
      </c>
      <c r="AH129" s="662" t="str">
        <f t="shared" si="121"/>
        <v/>
      </c>
      <c r="AI129" s="662" t="str">
        <f t="shared" si="122"/>
        <v/>
      </c>
      <c r="AJ129" s="663">
        <f t="shared" si="89"/>
        <v>192.4571</v>
      </c>
      <c r="AK129" s="660">
        <f t="shared" si="90"/>
        <v>0.24379999999999999</v>
      </c>
      <c r="AL129" s="660" t="e">
        <f t="shared" si="91"/>
        <v>#VALUE!</v>
      </c>
      <c r="AM129" s="664" t="e">
        <f t="shared" si="92"/>
        <v>#VALUE!</v>
      </c>
      <c r="AN129" s="664" t="e">
        <f t="shared" si="93"/>
        <v>#VALUE!</v>
      </c>
      <c r="AO129" s="665" t="e">
        <f t="shared" si="94"/>
        <v>#VALUE!</v>
      </c>
      <c r="AP129" s="666" t="e">
        <f t="shared" si="95"/>
        <v>#VALUE!</v>
      </c>
      <c r="AQ129" s="660" t="e">
        <f t="shared" si="96"/>
        <v>#VALUE!</v>
      </c>
      <c r="AR129" s="667" t="e">
        <f t="shared" si="97"/>
        <v>#VALUE!</v>
      </c>
      <c r="AS129" s="667" t="e">
        <f t="shared" si="98"/>
        <v>#VALUE!</v>
      </c>
      <c r="AT129" s="668" t="e">
        <f t="shared" si="99"/>
        <v>#VALUE!</v>
      </c>
      <c r="AU129" s="667" t="e">
        <f t="shared" si="100"/>
        <v>#VALUE!</v>
      </c>
      <c r="AV129" s="669" t="e">
        <f t="shared" si="101"/>
        <v>#VALUE!</v>
      </c>
      <c r="AW129" s="667" t="e">
        <f t="shared" si="102"/>
        <v>#VALUE!</v>
      </c>
      <c r="AX129" s="667" t="e">
        <f t="shared" si="103"/>
        <v>#VALUE!</v>
      </c>
      <c r="AY129" s="660" t="e">
        <f t="shared" si="104"/>
        <v>#VALUE!</v>
      </c>
      <c r="AZ129" s="670" t="e">
        <f t="shared" si="105"/>
        <v>#VALUE!</v>
      </c>
      <c r="BB129" s="662" t="e">
        <f>INDEX('Vessel Gauging Data'!$B$26:$V$56,MATCH($C129,'Vessel Gauging Data'!$B$26:$B$56,0),$BB$18)</f>
        <v>#N/A</v>
      </c>
      <c r="BC129" s="662" t="e">
        <f>INDEX('Vessel Gauging Data'!$B$26:$V$56,MATCH($C129,'Vessel Gauging Data'!$B$26:$B$56,0),$BC$18)</f>
        <v>#N/A</v>
      </c>
      <c r="BD129" s="662" t="e">
        <f>INDEX('Vessel Gauging Data'!$B$26:$V$56,MATCH($C129,'Vessel Gauging Data'!$B$26:$B$56,0),$BD$18)</f>
        <v>#N/A</v>
      </c>
      <c r="BE129" s="662" t="e">
        <f>INDEX('Vessel Gauging Data'!$B$26:$V$56,MATCH($C129,'Vessel Gauging Data'!$B$26:$B$56,0),$BE$18)</f>
        <v>#N/A</v>
      </c>
    </row>
    <row r="130" spans="1:57" hidden="1">
      <c r="A130" s="641" t="str">
        <f t="shared" si="106"/>
        <v>N</v>
      </c>
      <c r="C130" s="235" t="str">
        <f t="array" ref="C130">IF(OR($E$113="",SUMPRODUCT(('Vessel Gauging Data'!$C$27:$C$56=$E$113)*('Vessel Gauging Data'!$D$27:$D$56=NOMY))&lt;ROWS($C$114:$C130)),"",INDEX('Vessel Gauging Data'!$B$27:$B$56,SMALL(IF(('Vessel Gauging Data'!$C$27:$C$56=$E$113)+('Vessel Gauging Data'!$D$27:$D$56=NOMY)=2,ROW('Vessel Gauging Data'!$B$27:$B$56)-ROW('Vessel Gauging Data'!$C$26)),ROW()-ROW(C$113))))</f>
        <v/>
      </c>
      <c r="D130" s="211" t="str">
        <f>IF(OR($C130="",$C130=0),"",INDEX('Vessel Gauging Data'!$B$26:$V$56,MATCH($C130,'Vessel Gauging Data'!$B$27:$B$56,0)+1,2))</f>
        <v/>
      </c>
      <c r="E130" s="1016" t="str">
        <f t="shared" si="107"/>
        <v/>
      </c>
      <c r="F130" s="1016" t="str">
        <f t="shared" si="108"/>
        <v/>
      </c>
      <c r="G130" s="1016" t="str">
        <f t="shared" si="109"/>
        <v/>
      </c>
      <c r="H130" s="1016" t="str">
        <f t="shared" si="109"/>
        <v/>
      </c>
      <c r="I130" s="211" t="str">
        <f t="shared" si="110"/>
        <v/>
      </c>
      <c r="J130" s="1016" t="str">
        <f t="shared" si="111"/>
        <v/>
      </c>
      <c r="K130" s="213" t="str">
        <f t="shared" si="112"/>
        <v/>
      </c>
      <c r="L130" s="212" t="str">
        <f t="shared" si="113"/>
        <v/>
      </c>
      <c r="M130" s="1125" t="str">
        <f>IF(OR($C130="",$C130=0),"",INDEX(API1DENST,MATCH($C130,'Vessel Gauging Data'!$B$27:$B$56,0),$AA$1))</f>
        <v/>
      </c>
      <c r="N130" s="212" t="str">
        <f t="shared" si="114"/>
        <v/>
      </c>
      <c r="O130" s="1016" t="str">
        <f t="shared" si="115"/>
        <v/>
      </c>
      <c r="P130" s="1125" t="str">
        <f t="shared" si="116"/>
        <v/>
      </c>
      <c r="Q130" s="1016" t="str">
        <f t="shared" si="117"/>
        <v/>
      </c>
      <c r="R130" s="214" t="str">
        <f t="shared" si="118"/>
        <v/>
      </c>
      <c r="S130" s="1125" t="str">
        <f t="shared" si="119"/>
        <v/>
      </c>
      <c r="T130" s="236" t="str">
        <f t="shared" si="120"/>
        <v/>
      </c>
      <c r="V130" s="642" t="e">
        <f>INDEX('Vessel Gauging Data'!$B$26:$V$56,MATCH($C130,'Vessel Gauging Data'!$B$26:$B$56,0),$V$18)</f>
        <v>#N/A</v>
      </c>
      <c r="W130" s="642" t="e">
        <f>INDEX('Vessel Gauging Data'!$B$26:$V$56,MATCH($C130,'Vessel Gauging Data'!$B$26:$B$56,0),$W$18)</f>
        <v>#N/A</v>
      </c>
      <c r="X130" s="642" t="e">
        <f>INDEX('Vessel Gauging Data'!$B$26:$V$56,MATCH($C130,'Vessel Gauging Data'!$B$26:$B$56,0),$X$18)</f>
        <v>#N/A</v>
      </c>
      <c r="Y130" s="642" t="e">
        <f>INDEX('Vessel Gauging Data'!$B$26:$V$56,MATCH($C130,'Vessel Gauging Data'!$B$26:$B$56,0),$Y$18)</f>
        <v>#N/A</v>
      </c>
      <c r="Z130" s="642" t="e">
        <f>INDEX('Vessel Gauging Data'!$B$26:$V$56,MATCH($C130,'Vessel Gauging Data'!$B$26:$B$56,0),$Z$18)</f>
        <v>#N/A</v>
      </c>
      <c r="AB130" s="642" t="e">
        <f>INDEX(API1DENST,MATCH($C130,'Vessel Gauging Data'!$B$27:$B$56,0),1)</f>
        <v>#N/A</v>
      </c>
      <c r="AC130" s="642" t="e">
        <f t="shared" si="86"/>
        <v>#N/A</v>
      </c>
      <c r="AE130" s="661" t="e">
        <f t="shared" si="87"/>
        <v>#VALUE!</v>
      </c>
      <c r="AF130" s="661" t="e">
        <f t="shared" si="88"/>
        <v>#VALUE!</v>
      </c>
      <c r="AH130" s="662" t="str">
        <f t="shared" si="121"/>
        <v/>
      </c>
      <c r="AI130" s="662" t="str">
        <f t="shared" si="122"/>
        <v/>
      </c>
      <c r="AJ130" s="663">
        <f t="shared" si="89"/>
        <v>192.4571</v>
      </c>
      <c r="AK130" s="660">
        <f t="shared" si="90"/>
        <v>0.24379999999999999</v>
      </c>
      <c r="AL130" s="660" t="e">
        <f t="shared" si="91"/>
        <v>#VALUE!</v>
      </c>
      <c r="AM130" s="664" t="e">
        <f t="shared" si="92"/>
        <v>#VALUE!</v>
      </c>
      <c r="AN130" s="664" t="e">
        <f t="shared" si="93"/>
        <v>#VALUE!</v>
      </c>
      <c r="AO130" s="665" t="e">
        <f t="shared" si="94"/>
        <v>#VALUE!</v>
      </c>
      <c r="AP130" s="666" t="e">
        <f t="shared" si="95"/>
        <v>#VALUE!</v>
      </c>
      <c r="AQ130" s="660" t="e">
        <f t="shared" si="96"/>
        <v>#VALUE!</v>
      </c>
      <c r="AR130" s="667" t="e">
        <f t="shared" si="97"/>
        <v>#VALUE!</v>
      </c>
      <c r="AS130" s="667" t="e">
        <f t="shared" si="98"/>
        <v>#VALUE!</v>
      </c>
      <c r="AT130" s="668" t="e">
        <f t="shared" si="99"/>
        <v>#VALUE!</v>
      </c>
      <c r="AU130" s="667" t="e">
        <f t="shared" si="100"/>
        <v>#VALUE!</v>
      </c>
      <c r="AV130" s="669" t="e">
        <f t="shared" si="101"/>
        <v>#VALUE!</v>
      </c>
      <c r="AW130" s="667" t="e">
        <f t="shared" si="102"/>
        <v>#VALUE!</v>
      </c>
      <c r="AX130" s="667" t="e">
        <f t="shared" si="103"/>
        <v>#VALUE!</v>
      </c>
      <c r="AY130" s="660" t="e">
        <f t="shared" si="104"/>
        <v>#VALUE!</v>
      </c>
      <c r="AZ130" s="670" t="e">
        <f t="shared" si="105"/>
        <v>#VALUE!</v>
      </c>
      <c r="BB130" s="662" t="e">
        <f>INDEX('Vessel Gauging Data'!$B$26:$V$56,MATCH($C130,'Vessel Gauging Data'!$B$26:$B$56,0),$BB$18)</f>
        <v>#N/A</v>
      </c>
      <c r="BC130" s="662" t="e">
        <f>INDEX('Vessel Gauging Data'!$B$26:$V$56,MATCH($C130,'Vessel Gauging Data'!$B$26:$B$56,0),$BC$18)</f>
        <v>#N/A</v>
      </c>
      <c r="BD130" s="662" t="e">
        <f>INDEX('Vessel Gauging Data'!$B$26:$V$56,MATCH($C130,'Vessel Gauging Data'!$B$26:$B$56,0),$BD$18)</f>
        <v>#N/A</v>
      </c>
      <c r="BE130" s="662" t="e">
        <f>INDEX('Vessel Gauging Data'!$B$26:$V$56,MATCH($C130,'Vessel Gauging Data'!$B$26:$B$56,0),$BE$18)</f>
        <v>#N/A</v>
      </c>
    </row>
    <row r="131" spans="1:57" hidden="1">
      <c r="A131" s="641" t="str">
        <f t="shared" si="106"/>
        <v>N</v>
      </c>
      <c r="C131" s="235" t="str">
        <f t="array" ref="C131">IF(OR($E$113="",SUMPRODUCT(('Vessel Gauging Data'!$C$27:$C$56=$E$113)*('Vessel Gauging Data'!$D$27:$D$56=NOMY))&lt;ROWS($C$114:$C131)),"",INDEX('Vessel Gauging Data'!$B$27:$B$56,SMALL(IF(('Vessel Gauging Data'!$C$27:$C$56=$E$113)+('Vessel Gauging Data'!$D$27:$D$56=NOMY)=2,ROW('Vessel Gauging Data'!$B$27:$B$56)-ROW('Vessel Gauging Data'!$C$26)),ROW()-ROW(C$113))))</f>
        <v/>
      </c>
      <c r="D131" s="211" t="str">
        <f>IF(OR($C131="",$C131=0),"",INDEX('Vessel Gauging Data'!$B$26:$V$56,MATCH($C131,'Vessel Gauging Data'!$B$27:$B$56,0)+1,2))</f>
        <v/>
      </c>
      <c r="E131" s="1016" t="str">
        <f t="shared" si="107"/>
        <v/>
      </c>
      <c r="F131" s="1016" t="str">
        <f t="shared" si="108"/>
        <v/>
      </c>
      <c r="G131" s="1016" t="str">
        <f t="shared" si="109"/>
        <v/>
      </c>
      <c r="H131" s="1016" t="str">
        <f t="shared" si="109"/>
        <v/>
      </c>
      <c r="I131" s="211" t="str">
        <f t="shared" si="110"/>
        <v/>
      </c>
      <c r="J131" s="1016" t="str">
        <f t="shared" si="111"/>
        <v/>
      </c>
      <c r="K131" s="213" t="str">
        <f t="shared" si="112"/>
        <v/>
      </c>
      <c r="L131" s="212" t="str">
        <f t="shared" si="113"/>
        <v/>
      </c>
      <c r="M131" s="1125" t="str">
        <f>IF(OR($C131="",$C131=0),"",INDEX(API1DENST,MATCH($C131,'Vessel Gauging Data'!$B$27:$B$56,0),$AA$1))</f>
        <v/>
      </c>
      <c r="N131" s="212" t="str">
        <f t="shared" si="114"/>
        <v/>
      </c>
      <c r="O131" s="1016" t="str">
        <f t="shared" si="115"/>
        <v/>
      </c>
      <c r="P131" s="1125" t="str">
        <f t="shared" si="116"/>
        <v/>
      </c>
      <c r="Q131" s="1016" t="str">
        <f t="shared" si="117"/>
        <v/>
      </c>
      <c r="R131" s="214" t="str">
        <f t="shared" si="118"/>
        <v/>
      </c>
      <c r="S131" s="1125" t="str">
        <f t="shared" si="119"/>
        <v/>
      </c>
      <c r="T131" s="236" t="str">
        <f t="shared" si="120"/>
        <v/>
      </c>
      <c r="V131" s="642" t="e">
        <f>INDEX('Vessel Gauging Data'!$B$26:$V$56,MATCH($C131,'Vessel Gauging Data'!$B$26:$B$56,0),$V$18)</f>
        <v>#N/A</v>
      </c>
      <c r="W131" s="642" t="e">
        <f>INDEX('Vessel Gauging Data'!$B$26:$V$56,MATCH($C131,'Vessel Gauging Data'!$B$26:$B$56,0),$W$18)</f>
        <v>#N/A</v>
      </c>
      <c r="X131" s="642" t="e">
        <f>INDEX('Vessel Gauging Data'!$B$26:$V$56,MATCH($C131,'Vessel Gauging Data'!$B$26:$B$56,0),$X$18)</f>
        <v>#N/A</v>
      </c>
      <c r="Y131" s="642" t="e">
        <f>INDEX('Vessel Gauging Data'!$B$26:$V$56,MATCH($C131,'Vessel Gauging Data'!$B$26:$B$56,0),$Y$18)</f>
        <v>#N/A</v>
      </c>
      <c r="Z131" s="642" t="e">
        <f>INDEX('Vessel Gauging Data'!$B$26:$V$56,MATCH($C131,'Vessel Gauging Data'!$B$26:$B$56,0),$Z$18)</f>
        <v>#N/A</v>
      </c>
      <c r="AB131" s="642" t="e">
        <f>INDEX(API1DENST,MATCH($C131,'Vessel Gauging Data'!$B$27:$B$56,0),1)</f>
        <v>#N/A</v>
      </c>
      <c r="AC131" s="642" t="e">
        <f t="shared" si="86"/>
        <v>#N/A</v>
      </c>
      <c r="AE131" s="661" t="e">
        <f t="shared" si="87"/>
        <v>#VALUE!</v>
      </c>
      <c r="AF131" s="661" t="e">
        <f t="shared" si="88"/>
        <v>#VALUE!</v>
      </c>
      <c r="AH131" s="662" t="str">
        <f t="shared" si="121"/>
        <v/>
      </c>
      <c r="AI131" s="662" t="str">
        <f t="shared" si="122"/>
        <v/>
      </c>
      <c r="AJ131" s="663">
        <f t="shared" si="89"/>
        <v>192.4571</v>
      </c>
      <c r="AK131" s="660">
        <f t="shared" si="90"/>
        <v>0.24379999999999999</v>
      </c>
      <c r="AL131" s="660" t="e">
        <f t="shared" si="91"/>
        <v>#VALUE!</v>
      </c>
      <c r="AM131" s="664" t="e">
        <f t="shared" si="92"/>
        <v>#VALUE!</v>
      </c>
      <c r="AN131" s="664" t="e">
        <f t="shared" si="93"/>
        <v>#VALUE!</v>
      </c>
      <c r="AO131" s="665" t="e">
        <f t="shared" si="94"/>
        <v>#VALUE!</v>
      </c>
      <c r="AP131" s="666" t="e">
        <f t="shared" si="95"/>
        <v>#VALUE!</v>
      </c>
      <c r="AQ131" s="660" t="e">
        <f t="shared" si="96"/>
        <v>#VALUE!</v>
      </c>
      <c r="AR131" s="667" t="e">
        <f t="shared" si="97"/>
        <v>#VALUE!</v>
      </c>
      <c r="AS131" s="667" t="e">
        <f t="shared" si="98"/>
        <v>#VALUE!</v>
      </c>
      <c r="AT131" s="668" t="e">
        <f t="shared" si="99"/>
        <v>#VALUE!</v>
      </c>
      <c r="AU131" s="667" t="e">
        <f t="shared" si="100"/>
        <v>#VALUE!</v>
      </c>
      <c r="AV131" s="669" t="e">
        <f t="shared" si="101"/>
        <v>#VALUE!</v>
      </c>
      <c r="AW131" s="667" t="e">
        <f t="shared" si="102"/>
        <v>#VALUE!</v>
      </c>
      <c r="AX131" s="667" t="e">
        <f t="shared" si="103"/>
        <v>#VALUE!</v>
      </c>
      <c r="AY131" s="660" t="e">
        <f t="shared" si="104"/>
        <v>#VALUE!</v>
      </c>
      <c r="AZ131" s="670" t="e">
        <f t="shared" si="105"/>
        <v>#VALUE!</v>
      </c>
      <c r="BB131" s="662" t="e">
        <f>INDEX('Vessel Gauging Data'!$B$26:$V$56,MATCH($C131,'Vessel Gauging Data'!$B$26:$B$56,0),$BB$18)</f>
        <v>#N/A</v>
      </c>
      <c r="BC131" s="662" t="e">
        <f>INDEX('Vessel Gauging Data'!$B$26:$V$56,MATCH($C131,'Vessel Gauging Data'!$B$26:$B$56,0),$BC$18)</f>
        <v>#N/A</v>
      </c>
      <c r="BD131" s="662" t="e">
        <f>INDEX('Vessel Gauging Data'!$B$26:$V$56,MATCH($C131,'Vessel Gauging Data'!$B$26:$B$56,0),$BD$18)</f>
        <v>#N/A</v>
      </c>
      <c r="BE131" s="662" t="e">
        <f>INDEX('Vessel Gauging Data'!$B$26:$V$56,MATCH($C131,'Vessel Gauging Data'!$B$26:$B$56,0),$BE$18)</f>
        <v>#N/A</v>
      </c>
    </row>
    <row r="132" spans="1:57" hidden="1">
      <c r="A132" s="641" t="str">
        <f t="shared" si="106"/>
        <v>N</v>
      </c>
      <c r="C132" s="235" t="str">
        <f t="array" ref="C132">IF(OR($E$113="",SUMPRODUCT(('Vessel Gauging Data'!$C$27:$C$56=$E$113)*('Vessel Gauging Data'!$D$27:$D$56=NOMY))&lt;ROWS($C$114:$C132)),"",INDEX('Vessel Gauging Data'!$B$27:$B$56,SMALL(IF(('Vessel Gauging Data'!$C$27:$C$56=$E$113)+('Vessel Gauging Data'!$D$27:$D$56=NOMY)=2,ROW('Vessel Gauging Data'!$B$27:$B$56)-ROW('Vessel Gauging Data'!$C$26)),ROW()-ROW(C$113))))</f>
        <v/>
      </c>
      <c r="D132" s="211" t="str">
        <f>IF(OR($C132="",$C132=0),"",INDEX('Vessel Gauging Data'!$B$26:$V$56,MATCH($C132,'Vessel Gauging Data'!$B$27:$B$56,0)+1,2))</f>
        <v/>
      </c>
      <c r="E132" s="1016" t="str">
        <f t="shared" si="107"/>
        <v/>
      </c>
      <c r="F132" s="1016" t="str">
        <f t="shared" si="108"/>
        <v/>
      </c>
      <c r="G132" s="1016" t="str">
        <f t="shared" si="109"/>
        <v/>
      </c>
      <c r="H132" s="1016" t="str">
        <f t="shared" si="109"/>
        <v/>
      </c>
      <c r="I132" s="211" t="str">
        <f t="shared" si="110"/>
        <v/>
      </c>
      <c r="J132" s="1016" t="str">
        <f t="shared" si="111"/>
        <v/>
      </c>
      <c r="K132" s="213" t="str">
        <f t="shared" si="112"/>
        <v/>
      </c>
      <c r="L132" s="212" t="str">
        <f t="shared" si="113"/>
        <v/>
      </c>
      <c r="M132" s="1125" t="str">
        <f>IF(OR($C132="",$C132=0),"",INDEX(API1DENST,MATCH($C132,'Vessel Gauging Data'!$B$27:$B$56,0),$AA$1))</f>
        <v/>
      </c>
      <c r="N132" s="212" t="str">
        <f t="shared" si="114"/>
        <v/>
      </c>
      <c r="O132" s="1016" t="str">
        <f t="shared" si="115"/>
        <v/>
      </c>
      <c r="P132" s="1125" t="str">
        <f t="shared" si="116"/>
        <v/>
      </c>
      <c r="Q132" s="1016" t="str">
        <f t="shared" si="117"/>
        <v/>
      </c>
      <c r="R132" s="214" t="str">
        <f t="shared" si="118"/>
        <v/>
      </c>
      <c r="S132" s="1125" t="str">
        <f t="shared" si="119"/>
        <v/>
      </c>
      <c r="T132" s="236" t="str">
        <f t="shared" si="120"/>
        <v/>
      </c>
      <c r="V132" s="642" t="e">
        <f>INDEX('Vessel Gauging Data'!$B$26:$V$56,MATCH($C132,'Vessel Gauging Data'!$B$26:$B$56,0),$V$18)</f>
        <v>#N/A</v>
      </c>
      <c r="W132" s="642" t="e">
        <f>INDEX('Vessel Gauging Data'!$B$26:$V$56,MATCH($C132,'Vessel Gauging Data'!$B$26:$B$56,0),$W$18)</f>
        <v>#N/A</v>
      </c>
      <c r="X132" s="642" t="e">
        <f>INDEX('Vessel Gauging Data'!$B$26:$V$56,MATCH($C132,'Vessel Gauging Data'!$B$26:$B$56,0),$X$18)</f>
        <v>#N/A</v>
      </c>
      <c r="Y132" s="642" t="e">
        <f>INDEX('Vessel Gauging Data'!$B$26:$V$56,MATCH($C132,'Vessel Gauging Data'!$B$26:$B$56,0),$Y$18)</f>
        <v>#N/A</v>
      </c>
      <c r="Z132" s="642" t="e">
        <f>INDEX('Vessel Gauging Data'!$B$26:$V$56,MATCH($C132,'Vessel Gauging Data'!$B$26:$B$56,0),$Z$18)</f>
        <v>#N/A</v>
      </c>
      <c r="AB132" s="642" t="e">
        <f>INDEX(API1DENST,MATCH($C132,'Vessel Gauging Data'!$B$27:$B$56,0),1)</f>
        <v>#N/A</v>
      </c>
      <c r="AC132" s="642" t="e">
        <f t="shared" si="86"/>
        <v>#N/A</v>
      </c>
      <c r="AE132" s="661" t="e">
        <f t="shared" si="87"/>
        <v>#VALUE!</v>
      </c>
      <c r="AF132" s="661" t="e">
        <f t="shared" si="88"/>
        <v>#VALUE!</v>
      </c>
      <c r="AH132" s="662" t="str">
        <f t="shared" si="121"/>
        <v/>
      </c>
      <c r="AI132" s="662" t="str">
        <f t="shared" si="122"/>
        <v/>
      </c>
      <c r="AJ132" s="663">
        <f t="shared" si="89"/>
        <v>192.4571</v>
      </c>
      <c r="AK132" s="660">
        <f t="shared" si="90"/>
        <v>0.24379999999999999</v>
      </c>
      <c r="AL132" s="660" t="e">
        <f t="shared" si="91"/>
        <v>#VALUE!</v>
      </c>
      <c r="AM132" s="664" t="e">
        <f t="shared" si="92"/>
        <v>#VALUE!</v>
      </c>
      <c r="AN132" s="664" t="e">
        <f t="shared" si="93"/>
        <v>#VALUE!</v>
      </c>
      <c r="AO132" s="665" t="e">
        <f t="shared" si="94"/>
        <v>#VALUE!</v>
      </c>
      <c r="AP132" s="666" t="e">
        <f t="shared" si="95"/>
        <v>#VALUE!</v>
      </c>
      <c r="AQ132" s="660" t="e">
        <f t="shared" si="96"/>
        <v>#VALUE!</v>
      </c>
      <c r="AR132" s="667" t="e">
        <f t="shared" si="97"/>
        <v>#VALUE!</v>
      </c>
      <c r="AS132" s="667" t="e">
        <f t="shared" si="98"/>
        <v>#VALUE!</v>
      </c>
      <c r="AT132" s="668" t="e">
        <f t="shared" si="99"/>
        <v>#VALUE!</v>
      </c>
      <c r="AU132" s="667" t="e">
        <f t="shared" si="100"/>
        <v>#VALUE!</v>
      </c>
      <c r="AV132" s="669" t="e">
        <f t="shared" si="101"/>
        <v>#VALUE!</v>
      </c>
      <c r="AW132" s="667" t="e">
        <f t="shared" si="102"/>
        <v>#VALUE!</v>
      </c>
      <c r="AX132" s="667" t="e">
        <f t="shared" si="103"/>
        <v>#VALUE!</v>
      </c>
      <c r="AY132" s="660" t="e">
        <f t="shared" si="104"/>
        <v>#VALUE!</v>
      </c>
      <c r="AZ132" s="670" t="e">
        <f t="shared" si="105"/>
        <v>#VALUE!</v>
      </c>
      <c r="BB132" s="662" t="e">
        <f>INDEX('Vessel Gauging Data'!$B$26:$V$56,MATCH($C132,'Vessel Gauging Data'!$B$26:$B$56,0),$BB$18)</f>
        <v>#N/A</v>
      </c>
      <c r="BC132" s="662" t="e">
        <f>INDEX('Vessel Gauging Data'!$B$26:$V$56,MATCH($C132,'Vessel Gauging Data'!$B$26:$B$56,0),$BC$18)</f>
        <v>#N/A</v>
      </c>
      <c r="BD132" s="662" t="e">
        <f>INDEX('Vessel Gauging Data'!$B$26:$V$56,MATCH($C132,'Vessel Gauging Data'!$B$26:$B$56,0),$BD$18)</f>
        <v>#N/A</v>
      </c>
      <c r="BE132" s="662" t="e">
        <f>INDEX('Vessel Gauging Data'!$B$26:$V$56,MATCH($C132,'Vessel Gauging Data'!$B$26:$B$56,0),$BE$18)</f>
        <v>#N/A</v>
      </c>
    </row>
    <row r="133" spans="1:57" hidden="1">
      <c r="A133" s="641" t="str">
        <f t="shared" si="106"/>
        <v>N</v>
      </c>
      <c r="C133" s="237" t="str">
        <f t="array" ref="C133">IF(OR($E$113="",SUMPRODUCT(('Vessel Gauging Data'!$C$27:$C$56=$E$113)*('Vessel Gauging Data'!$D$27:$D$56=NOMY))&lt;ROWS($C$114:$C133)),"",INDEX('Vessel Gauging Data'!$B$27:$B$56,SMALL(IF(('Vessel Gauging Data'!$C$27:$C$56=$E$113)+('Vessel Gauging Data'!$D$27:$D$56=NOMY)=2,ROW('Vessel Gauging Data'!$B$27:$B$56)-ROW('Vessel Gauging Data'!$C$26)),ROW()-ROW(C$113))))</f>
        <v/>
      </c>
      <c r="D133" s="238" t="str">
        <f>IF(OR($C133="",$C133=0),"",INDEX('Vessel Gauging Data'!$B$26:$V$56,MATCH($C133,'Vessel Gauging Data'!$B$27:$B$56,0)+1,2))</f>
        <v/>
      </c>
      <c r="E133" s="1017" t="str">
        <f t="shared" si="107"/>
        <v/>
      </c>
      <c r="F133" s="1017" t="str">
        <f t="shared" si="108"/>
        <v/>
      </c>
      <c r="G133" s="1017" t="str">
        <f t="shared" si="109"/>
        <v/>
      </c>
      <c r="H133" s="1017" t="str">
        <f t="shared" si="109"/>
        <v/>
      </c>
      <c r="I133" s="238" t="str">
        <f t="shared" si="110"/>
        <v/>
      </c>
      <c r="J133" s="1017" t="str">
        <f t="shared" si="111"/>
        <v/>
      </c>
      <c r="K133" s="240" t="str">
        <f t="shared" si="112"/>
        <v/>
      </c>
      <c r="L133" s="239" t="str">
        <f t="shared" si="113"/>
        <v/>
      </c>
      <c r="M133" s="1126" t="str">
        <f>IF(OR($C133="",$C133=0),"",INDEX(API1DENST,MATCH($C133,'Vessel Gauging Data'!$B$27:$B$56,0),$AA$1))</f>
        <v/>
      </c>
      <c r="N133" s="239" t="str">
        <f t="shared" si="114"/>
        <v/>
      </c>
      <c r="O133" s="1017" t="str">
        <f t="shared" si="115"/>
        <v/>
      </c>
      <c r="P133" s="1126" t="str">
        <f t="shared" si="116"/>
        <v/>
      </c>
      <c r="Q133" s="1017" t="str">
        <f t="shared" si="117"/>
        <v/>
      </c>
      <c r="R133" s="241" t="str">
        <f t="shared" si="118"/>
        <v/>
      </c>
      <c r="S133" s="1126" t="str">
        <f t="shared" si="119"/>
        <v/>
      </c>
      <c r="T133" s="242" t="str">
        <f t="shared" si="120"/>
        <v/>
      </c>
      <c r="V133" s="642" t="e">
        <f>INDEX('Vessel Gauging Data'!$B$26:$V$56,MATCH($C133,'Vessel Gauging Data'!$B$26:$B$56,0),$V$18)</f>
        <v>#N/A</v>
      </c>
      <c r="W133" s="642" t="e">
        <f>INDEX('Vessel Gauging Data'!$B$26:$V$56,MATCH($C133,'Vessel Gauging Data'!$B$26:$B$56,0),$W$18)</f>
        <v>#N/A</v>
      </c>
      <c r="X133" s="642" t="e">
        <f>INDEX('Vessel Gauging Data'!$B$26:$V$56,MATCH($C133,'Vessel Gauging Data'!$B$26:$B$56,0),$X$18)</f>
        <v>#N/A</v>
      </c>
      <c r="Y133" s="642" t="e">
        <f>INDEX('Vessel Gauging Data'!$B$26:$V$56,MATCH($C133,'Vessel Gauging Data'!$B$26:$B$56,0),$Y$18)</f>
        <v>#N/A</v>
      </c>
      <c r="Z133" s="642" t="e">
        <f>INDEX('Vessel Gauging Data'!$B$26:$V$56,MATCH($C133,'Vessel Gauging Data'!$B$26:$B$56,0),$Z$18)</f>
        <v>#N/A</v>
      </c>
      <c r="AB133" s="642" t="e">
        <f>INDEX(API1DENST,MATCH($C133,'Vessel Gauging Data'!$B$27:$B$56,0),1)</f>
        <v>#N/A</v>
      </c>
      <c r="AC133" s="642" t="e">
        <f t="shared" si="86"/>
        <v>#N/A</v>
      </c>
      <c r="AE133" s="661" t="e">
        <f t="shared" si="87"/>
        <v>#VALUE!</v>
      </c>
      <c r="AF133" s="661" t="e">
        <f t="shared" si="88"/>
        <v>#VALUE!</v>
      </c>
      <c r="AH133" s="662" t="str">
        <f t="shared" si="121"/>
        <v/>
      </c>
      <c r="AI133" s="662" t="str">
        <f t="shared" si="122"/>
        <v/>
      </c>
      <c r="AJ133" s="663">
        <f t="shared" si="89"/>
        <v>192.4571</v>
      </c>
      <c r="AK133" s="660">
        <f t="shared" si="90"/>
        <v>0.24379999999999999</v>
      </c>
      <c r="AL133" s="660" t="e">
        <f t="shared" si="91"/>
        <v>#VALUE!</v>
      </c>
      <c r="AM133" s="664" t="e">
        <f t="shared" si="92"/>
        <v>#VALUE!</v>
      </c>
      <c r="AN133" s="664" t="e">
        <f t="shared" si="93"/>
        <v>#VALUE!</v>
      </c>
      <c r="AO133" s="665" t="e">
        <f t="shared" si="94"/>
        <v>#VALUE!</v>
      </c>
      <c r="AP133" s="666" t="e">
        <f t="shared" si="95"/>
        <v>#VALUE!</v>
      </c>
      <c r="AQ133" s="660" t="e">
        <f t="shared" si="96"/>
        <v>#VALUE!</v>
      </c>
      <c r="AR133" s="667" t="e">
        <f t="shared" si="97"/>
        <v>#VALUE!</v>
      </c>
      <c r="AS133" s="667" t="e">
        <f t="shared" si="98"/>
        <v>#VALUE!</v>
      </c>
      <c r="AT133" s="668" t="e">
        <f t="shared" si="99"/>
        <v>#VALUE!</v>
      </c>
      <c r="AU133" s="667" t="e">
        <f t="shared" si="100"/>
        <v>#VALUE!</v>
      </c>
      <c r="AV133" s="669" t="e">
        <f t="shared" si="101"/>
        <v>#VALUE!</v>
      </c>
      <c r="AW133" s="667" t="e">
        <f t="shared" si="102"/>
        <v>#VALUE!</v>
      </c>
      <c r="AX133" s="667" t="e">
        <f t="shared" si="103"/>
        <v>#VALUE!</v>
      </c>
      <c r="AY133" s="660" t="e">
        <f t="shared" si="104"/>
        <v>#VALUE!</v>
      </c>
      <c r="AZ133" s="670" t="e">
        <f t="shared" si="105"/>
        <v>#VALUE!</v>
      </c>
      <c r="BB133" s="662" t="e">
        <f>INDEX('Vessel Gauging Data'!$B$26:$V$56,MATCH($C133,'Vessel Gauging Data'!$B$26:$B$56,0),$BB$18)</f>
        <v>#N/A</v>
      </c>
      <c r="BC133" s="662" t="e">
        <f>INDEX('Vessel Gauging Data'!$B$26:$V$56,MATCH($C133,'Vessel Gauging Data'!$B$26:$B$56,0),$BC$18)</f>
        <v>#N/A</v>
      </c>
      <c r="BD133" s="662" t="e">
        <f>INDEX('Vessel Gauging Data'!$B$26:$V$56,MATCH($C133,'Vessel Gauging Data'!$B$26:$B$56,0),$BD$18)</f>
        <v>#N/A</v>
      </c>
      <c r="BE133" s="662" t="e">
        <f>INDEX('Vessel Gauging Data'!$B$26:$V$56,MATCH($C133,'Vessel Gauging Data'!$B$26:$B$56,0),$BE$18)</f>
        <v>#N/A</v>
      </c>
    </row>
    <row r="134" spans="1:57" hidden="1">
      <c r="A134" s="641" t="str">
        <f>A113</f>
        <v>N</v>
      </c>
      <c r="C134" s="671"/>
      <c r="D134" s="671"/>
      <c r="E134" s="672"/>
      <c r="F134" s="672"/>
      <c r="G134" s="672"/>
      <c r="H134" s="1501"/>
      <c r="I134" s="671"/>
      <c r="J134" s="672"/>
      <c r="K134" s="673"/>
      <c r="L134" s="672"/>
      <c r="M134" s="674"/>
      <c r="N134" s="672"/>
      <c r="O134" s="672"/>
      <c r="P134" s="1127"/>
      <c r="Q134" s="672"/>
      <c r="R134" s="675"/>
      <c r="S134" s="1137" t="s">
        <v>401</v>
      </c>
      <c r="T134" s="619">
        <f>SUM(T114:T133)</f>
        <v>0</v>
      </c>
      <c r="V134" s="719"/>
      <c r="W134" s="719"/>
      <c r="X134" s="719"/>
      <c r="Y134" s="719"/>
      <c r="Z134" s="719"/>
      <c r="AA134" s="676"/>
      <c r="AB134" s="719"/>
      <c r="AC134" s="719"/>
      <c r="AD134" s="676"/>
      <c r="AE134" s="720"/>
      <c r="AF134" s="720"/>
      <c r="AG134" s="676"/>
      <c r="AH134" s="721"/>
      <c r="AI134" s="721"/>
      <c r="AJ134" s="722"/>
      <c r="AK134" s="723"/>
      <c r="AL134" s="723"/>
      <c r="AM134" s="724"/>
      <c r="AN134" s="724"/>
      <c r="AO134" s="725"/>
      <c r="AP134" s="726"/>
      <c r="AQ134" s="723"/>
      <c r="AR134" s="727"/>
      <c r="AS134" s="727"/>
      <c r="AT134" s="728"/>
      <c r="AU134" s="727"/>
      <c r="AV134" s="729"/>
      <c r="AW134" s="727"/>
      <c r="AX134" s="727"/>
      <c r="AY134" s="723"/>
      <c r="AZ134" s="730"/>
      <c r="BA134" s="676"/>
      <c r="BB134" s="721"/>
      <c r="BC134" s="721"/>
      <c r="BD134" s="721"/>
      <c r="BE134" s="721"/>
    </row>
    <row r="135" spans="1:57" s="702" customFormat="1" ht="5.25" hidden="1">
      <c r="A135" s="702" t="str">
        <f>IF(A136="N",A136,IF(COUNTIF($A$21:$A133,"Y")&gt;0,A136,"N"))</f>
        <v>N</v>
      </c>
      <c r="C135" s="704"/>
      <c r="D135" s="704"/>
      <c r="E135" s="704"/>
      <c r="F135" s="704"/>
      <c r="G135" s="704"/>
      <c r="H135" s="704"/>
      <c r="I135" s="704"/>
      <c r="J135" s="705"/>
      <c r="K135" s="705"/>
      <c r="L135" s="705"/>
      <c r="M135" s="705"/>
      <c r="N135" s="705"/>
      <c r="O135" s="705"/>
      <c r="P135" s="1128"/>
      <c r="Q135" s="705"/>
      <c r="R135" s="705"/>
      <c r="S135" s="1136"/>
      <c r="T135" s="706"/>
      <c r="V135" s="707"/>
      <c r="W135" s="707"/>
      <c r="X135" s="707"/>
      <c r="Y135" s="707"/>
      <c r="Z135" s="707"/>
      <c r="AA135" s="707"/>
      <c r="AB135" s="707"/>
      <c r="AC135" s="707"/>
      <c r="AD135" s="707"/>
      <c r="AE135" s="708"/>
      <c r="AF135" s="708"/>
      <c r="AG135" s="707"/>
      <c r="AH135" s="709"/>
      <c r="AI135" s="709"/>
      <c r="AJ135" s="710"/>
      <c r="AK135" s="711"/>
      <c r="AL135" s="711"/>
      <c r="AM135" s="712"/>
      <c r="AN135" s="712"/>
      <c r="AO135" s="713"/>
      <c r="AP135" s="714"/>
      <c r="AQ135" s="711"/>
      <c r="AR135" s="715"/>
      <c r="AS135" s="715"/>
      <c r="AT135" s="716"/>
      <c r="AU135" s="715"/>
      <c r="AV135" s="717"/>
      <c r="AW135" s="715"/>
      <c r="AX135" s="715"/>
      <c r="AY135" s="711"/>
      <c r="AZ135" s="718"/>
      <c r="BA135" s="707"/>
      <c r="BB135" s="709"/>
      <c r="BC135" s="709"/>
      <c r="BD135" s="709"/>
      <c r="BE135" s="709"/>
    </row>
    <row r="136" spans="1:57" ht="15.75">
      <c r="A136" s="641" t="str">
        <f>A137</f>
        <v>Y</v>
      </c>
      <c r="B136" s="641">
        <v>6</v>
      </c>
      <c r="C136" s="2797" t="s">
        <v>163</v>
      </c>
      <c r="D136" s="2798"/>
      <c r="E136" s="2799" t="str">
        <f>'Preliminary Report'!J1</f>
        <v>LSMGO</v>
      </c>
      <c r="F136" s="2800"/>
      <c r="G136" s="2800"/>
      <c r="H136" s="2800"/>
      <c r="I136" s="2801"/>
      <c r="J136" s="698"/>
      <c r="K136" s="699"/>
      <c r="L136" s="700"/>
      <c r="M136" s="699"/>
      <c r="N136" s="699"/>
      <c r="O136" s="700"/>
      <c r="P136" s="1129"/>
      <c r="Q136" s="700"/>
      <c r="R136" s="701"/>
      <c r="S136" s="1129"/>
      <c r="T136" s="701"/>
      <c r="V136" s="731"/>
      <c r="W136" s="731"/>
      <c r="X136" s="731"/>
      <c r="Y136" s="731"/>
      <c r="Z136" s="731"/>
      <c r="AA136" s="676"/>
      <c r="AB136" s="731"/>
      <c r="AC136" s="731"/>
      <c r="AD136" s="676"/>
      <c r="AE136" s="732"/>
      <c r="AF136" s="732"/>
      <c r="AG136" s="676"/>
      <c r="AH136" s="733"/>
      <c r="AI136" s="733"/>
      <c r="AJ136" s="734"/>
      <c r="AK136" s="735"/>
      <c r="AL136" s="735"/>
      <c r="AM136" s="736"/>
      <c r="AN136" s="736"/>
      <c r="AO136" s="737"/>
      <c r="AP136" s="738"/>
      <c r="AQ136" s="735"/>
      <c r="AR136" s="739"/>
      <c r="AS136" s="739"/>
      <c r="AT136" s="740"/>
      <c r="AU136" s="739"/>
      <c r="AV136" s="741"/>
      <c r="AW136" s="739"/>
      <c r="AX136" s="739"/>
      <c r="AY136" s="735"/>
      <c r="AZ136" s="742"/>
      <c r="BA136" s="676"/>
      <c r="BB136" s="733"/>
      <c r="BC136" s="733"/>
      <c r="BD136" s="733"/>
      <c r="BE136" s="733"/>
    </row>
    <row r="137" spans="1:57">
      <c r="A137" s="641" t="str">
        <f t="shared" ref="A137:A156" si="123">IF(C137="","N",IF(ISERROR(MATCH($E$136,IF($Z$1=1,GRADESLIST,IF($Z$1=2,RESIDUALS,DISTILLATES)),0)),"N","Y"))</f>
        <v>Y</v>
      </c>
      <c r="C137" s="622" t="str">
        <f t="array" ref="C137">IF(OR($E$136="",SUMPRODUCT(('Vessel Gauging Data'!$C$27:$C$56=$E$136)*('Vessel Gauging Data'!$D$27:$D$56=NOMY))&lt;ROWS($C$137:$C137)),"",INDEX('Vessel Gauging Data'!$B$27:$B$56,SMALL(IF(('Vessel Gauging Data'!$C$27:$C$56=$E$136)+('Vessel Gauging Data'!$D$27:$D$56=NOMY)=2,ROW('Vessel Gauging Data'!$B$27:$B$56)-ROW('Vessel Gauging Data'!$C$26)),ROW()-ROW(C$136))))</f>
        <v>AFO S</v>
      </c>
      <c r="D137" s="623" t="str">
        <f>IF(OR($C137="",$C137=0),"",INDEX('Vessel Gauging Data'!$B$26:$V$56,MATCH($C137,'Vessel Gauging Data'!$B$27:$B$56,0)+1,2))</f>
        <v>LSMGO</v>
      </c>
      <c r="E137" s="1018">
        <f t="shared" ref="E137:E156" si="124">IF(ISERROR(V137),"",IF(OR($C137="",$C137=0),"",IF(ISTEXT(V137),V137,IF($AB$1=1,V137*UNITOR_1,INT(V137*UNITOR_1)&amp;"'-"&amp;TRIM(TEXT(ROUND(MOD(V137*UNITOR_1,1)*12,1),"# ???/???"))&amp;""""))))</f>
        <v>17.43</v>
      </c>
      <c r="F137" s="1018">
        <f t="shared" ref="F137:F156" si="125">IF(ISERROR(W137),"",IF(OR($C137="",$C137=0),"",IF(ISTEXT(W137),W137,IF($AB$1=1,W137*UNITOR_1,INT(W137*UNITOR_1)&amp;"'-"&amp;TRIM(TEXT(ROUND(MOD(W137*UNITOR_1,1)*12,1),"# ???/???"))&amp;""""))))</f>
        <v>17.43</v>
      </c>
      <c r="G137" s="1018">
        <f t="shared" ref="G137:H156" si="126">IF(ISERROR(X137),"",IF(OR($C137="",$C137=0),"",IF(ISTEXT(X137),X137,IF($AB$1=1,X137*UNITOR_1,INT(X137*UNITOR_1)&amp;"'-"&amp;TRIM(TEXT(ROUND(MOD(X137*UNITOR_1,1)*12,1),"# ???/???"))&amp;""""))))</f>
        <v>0</v>
      </c>
      <c r="H137" s="1018">
        <f t="shared" si="126"/>
        <v>0</v>
      </c>
      <c r="I137" s="623" t="str">
        <f t="shared" ref="I137:I156" si="127">IF(ISERROR($BB137),"",IF(OR($C137="",$C137=0,$BB137=0),"",$BB137))</f>
        <v>S</v>
      </c>
      <c r="J137" s="1018">
        <f t="shared" ref="J137:J156" si="128">IF(ISERROR($BC137),"",IF(OR($C137="",$C137=0,$BC137=""),"",IF(ISTEXT($BC137),$BC137,$BC137*IF($AA$1=B1SEL,1,IF($AA$1=2,FBBLS,1/FBBLS)))))</f>
        <v>0.1</v>
      </c>
      <c r="K137" s="625">
        <f t="shared" ref="K137:K156" si="129">IF(ISERROR($BD137),"",IF(OR($C137="",$C137=0,$BD137=""),0,IF(ISTEXT($BD137),$BD137,$BD137*IF($AB$1=W1SEL,1,IF($AB$1=2,FINCH,1/FINCH)))))</f>
        <v>0</v>
      </c>
      <c r="L137" s="624">
        <f t="shared" ref="L137:L156" si="130">IF(ISERROR($BE137),"",IF(OR($C137="",$C137=0,$BE137=""),0,IF(ISTEXT($BE137),$BE137,$BE137*IF($AA$1=B1SEL,1,IF($AA$1=2,FBBLS,1/FBBLS)))))</f>
        <v>0</v>
      </c>
      <c r="M137" s="1124">
        <f>IF(OR($C137="",$C137=0),"",INDEX(API1DENST,MATCH($C137,'Vessel Gauging Data'!$B$27:$B$56,0),$AA$1))</f>
        <v>0.83789999999999998</v>
      </c>
      <c r="N137" s="624">
        <f t="shared" ref="N137:N156" si="131">IF(ISERROR(Z137),"",IF(OR($C137="",$C137=0,Z137=""),"",IF(ISTEXT(Z137),Z137,IF($AA$1=T1SEL,Z137,IF($AA$1=2,(Z137*9/5)+32,(Z137-32)*5/9)))))</f>
        <v>39</v>
      </c>
      <c r="O137" s="1018">
        <f t="shared" ref="O137:O156" si="132">IF(OR(J137="",L137=""),"",IF(ISTEXT(J137),"N/A",IF(ISTEXT(L137),J137,J137-L137)))</f>
        <v>0.1</v>
      </c>
      <c r="P137" s="1124">
        <f t="shared" ref="P137:P156" si="133">IF(OR(M137="",N137=""),"",IF(OR(ISTEXT(M137),ISTEXT(N137)),"N/A",IF($AA$1=1,ROUND(EXP(-AF137*(N137-15)*(1+0.8*AF137*(N137-15))),5),AZ137)))</f>
        <v>0.97957000000000005</v>
      </c>
      <c r="Q137" s="1018">
        <f t="shared" ref="Q137:Q156" si="134">IF(OR(M137="",N137=""),"",IF(OR(ISTEXT(M137),ISTEXT(N137)),"N/A",ROUND(O137*P137,3)))</f>
        <v>9.8000000000000004E-2</v>
      </c>
      <c r="R137" s="626">
        <f t="shared" ref="R137:R156" si="135">IF(M137="","",IF($AA$1=1,IF(ISTEXT(Q137),"N/A",ROUND(Q137*M137,3)),IF(ISTEXT(T137),"N/A",ROUND(T137*AC137,3))))</f>
        <v>8.2000000000000003E-2</v>
      </c>
      <c r="S137" s="1124">
        <f t="shared" ref="S137:S156" si="136">IF(M137="","",IF($AA$1=1,ROUND(M137-0.0011,5),ROUND((1.00122697*(141.5/(M137+131.5))-1.22269727*10^-3)*8.32823*42/2204.62,5+2)))</f>
        <v>0.83679999999999999</v>
      </c>
      <c r="T137" s="627">
        <f t="shared" ref="T137:T156" si="137">IF(OR(M137="",N137=""),"",IF(ISTEXT(Q137),"N/A",IF($AA$1=1,ROUND((Q137*(M137-0.0011)),3),ROUND(Q137*S137,3))))</f>
        <v>8.2000000000000003E-2</v>
      </c>
      <c r="V137" s="642">
        <f>INDEX('Vessel Gauging Data'!$B$26:$V$56,MATCH($C137,'Vessel Gauging Data'!$B$26:$B$56,0),$V$18)</f>
        <v>17.43</v>
      </c>
      <c r="W137" s="642">
        <f>INDEX('Vessel Gauging Data'!$B$26:$V$56,MATCH($C137,'Vessel Gauging Data'!$B$26:$B$56,0),$W$18)</f>
        <v>17.43</v>
      </c>
      <c r="X137" s="642">
        <f>INDEX('Vessel Gauging Data'!$B$26:$V$56,MATCH($C137,'Vessel Gauging Data'!$B$26:$B$56,0),$X$18)</f>
        <v>0</v>
      </c>
      <c r="Y137" s="642">
        <f>INDEX('Vessel Gauging Data'!$B$26:$V$56,MATCH($C137,'Vessel Gauging Data'!$B$26:$B$56,0),$Y$18)</f>
        <v>0</v>
      </c>
      <c r="Z137" s="642">
        <f>INDEX('Vessel Gauging Data'!$B$26:$V$56,MATCH($C137,'Vessel Gauging Data'!$B$26:$B$56,0),$Z$18)</f>
        <v>39</v>
      </c>
      <c r="AB137" s="642">
        <f>INDEX(API1DENST,MATCH($C137,'Vessel Gauging Data'!$B$27:$B$56,0),1)</f>
        <v>0.83789999999999998</v>
      </c>
      <c r="AC137" s="642">
        <f t="shared" ref="AC137:AC199" si="138">((INT((AB137/(1.0001506*AB137-0.0012202))*10000)+0.5)/10000)</f>
        <v>1.00135</v>
      </c>
      <c r="AE137" s="661">
        <f t="shared" ref="AE137:AE199" si="139">ROUND(+M137/2*1000,0)*2</f>
        <v>838</v>
      </c>
      <c r="AF137" s="661">
        <f t="shared" ref="AF137:AF199" si="140">ROUND(186.9696/(AE137*AE137)+(0.4862/AE137),8)</f>
        <v>8.4643999999999995E-4</v>
      </c>
      <c r="AH137" s="662">
        <f t="shared" si="121"/>
        <v>39</v>
      </c>
      <c r="AI137" s="662">
        <f t="shared" si="122"/>
        <v>0.83789999999999998</v>
      </c>
      <c r="AJ137" s="663">
        <f t="shared" ref="AJ137:AJ199" si="141">IF(AND(AI137&gt;=0,AI137&lt;=37),103.872,IF(AND(AI137&gt;=48,AI137&lt;=52),-0.0018684,IF(AND(AI137&gt;=37.1,AI137&lt;=47.9),330.301,IF(AND(AI137&gt;=52.1),192.4571))))</f>
        <v>103.872</v>
      </c>
      <c r="AK137" s="660">
        <f t="shared" ref="AK137:AK199" si="142">IF(AND(AI137&gt;=0,AI137&lt;=37),0.2701,IF(AND(AI137&gt;=48,AJ137&lt;=52),1489.067,IF(AND(AI137&gt;=37.1,AI137&lt;=47.9),0,IF(AI137&gt;=52.1,0.2438))))</f>
        <v>0.27010000000000001</v>
      </c>
      <c r="AL137" s="660">
        <f t="shared" ref="AL137:AL199" si="143">ROUND(141360.198/(AI137+131.5),2)</f>
        <v>1068.18</v>
      </c>
      <c r="AM137" s="664">
        <f t="shared" ref="AM137:AM199" si="144">TRUNC(AJ137/AL137,8)</f>
        <v>9.7242029999999993E-2</v>
      </c>
      <c r="AN137" s="664">
        <f t="shared" ref="AN137:AN199" si="145">TRUNC(AM137/AL137,10)</f>
        <v>9.1035199999999999E-5</v>
      </c>
      <c r="AO137" s="665">
        <f t="shared" ref="AO137:AO199" si="146">TRUNC(AK137/AL137,10)</f>
        <v>2.5285999999999999E-4</v>
      </c>
      <c r="AP137" s="666">
        <f t="shared" ref="AP137:AP199" si="147">IF(AND(AI137&gt;=48,AI137&lt;=52),ROUND(AW137+AJ137,7),ROUND(AN137+AO137,7))</f>
        <v>3.4390000000000001E-4</v>
      </c>
      <c r="AQ137" s="660">
        <f t="shared" ref="AQ137:AQ199" si="148">AH137-60</f>
        <v>-21</v>
      </c>
      <c r="AR137" s="667">
        <f t="shared" ref="AR137:AR199" si="149">TRUNC(AP137*AQ137,8)</f>
        <v>-7.2218999999999998E-3</v>
      </c>
      <c r="AS137" s="667">
        <f t="shared" ref="AS137:AS199" si="150">TRUNC(0.8*AR137,8)</f>
        <v>-5.7775200000000004E-3</v>
      </c>
      <c r="AT137" s="668">
        <f t="shared" ref="AT137:AT199" si="151">TRUNC(0.8*AP137^2*AQ137^2,8)</f>
        <v>4.172E-5</v>
      </c>
      <c r="AU137" s="667">
        <f t="shared" ref="AU137:AU199" si="152">-AR137-AT137</f>
        <v>7.1801799999999995E-3</v>
      </c>
      <c r="AV137" s="669">
        <f t="shared" ref="AV137:AV199" si="153">TRUNC(AK137/AL137,5)</f>
        <v>2.5000000000000001E-4</v>
      </c>
      <c r="AW137" s="667">
        <f t="shared" ref="AW137:AW199" si="154">ROUND(AV137/AL137,8)</f>
        <v>2.2999999999999999E-7</v>
      </c>
      <c r="AX137" s="667">
        <f t="shared" ref="AX137:AX199" si="155">ROUND(AW137+AJ137,8)</f>
        <v>103.87200023</v>
      </c>
      <c r="AY137" s="660">
        <f t="shared" ref="AY137:AY199" si="156">IF(AND(AI137&gt;=48,AI137&lt;=52),AX137,AP137)</f>
        <v>3.4390000000000001E-4</v>
      </c>
      <c r="AZ137" s="670">
        <f t="shared" ref="AZ137:AZ199" si="157">ROUND(EXP(AU137),5)</f>
        <v>1.0072099999999999</v>
      </c>
      <c r="BB137" s="662" t="str">
        <f>INDEX('Vessel Gauging Data'!$B$26:$V$56,MATCH($C137,'Vessel Gauging Data'!$B$26:$B$56,0),$BB$18)</f>
        <v>S</v>
      </c>
      <c r="BC137" s="662">
        <f>INDEX('Vessel Gauging Data'!$B$26:$V$56,MATCH($C137,'Vessel Gauging Data'!$B$26:$B$56,0),$BC$18)</f>
        <v>0.1</v>
      </c>
      <c r="BD137" s="662">
        <f>INDEX('Vessel Gauging Data'!$B$26:$V$56,MATCH($C137,'Vessel Gauging Data'!$B$26:$B$56,0),$BD$18)</f>
        <v>0</v>
      </c>
      <c r="BE137" s="662">
        <f>INDEX('Vessel Gauging Data'!$B$26:$V$56,MATCH($C137,'Vessel Gauging Data'!$B$26:$B$56,0),$BE$18)</f>
        <v>0</v>
      </c>
    </row>
    <row r="138" spans="1:57" hidden="1">
      <c r="A138" s="641" t="str">
        <f t="shared" si="123"/>
        <v>N</v>
      </c>
      <c r="C138" s="235" t="str">
        <f t="array" ref="C138">IF(OR($E$136="",SUMPRODUCT(('Vessel Gauging Data'!$C$27:$C$56=$E$136)*('Vessel Gauging Data'!$D$27:$D$56=NOMY))&lt;ROWS($C$137:$C138)),"",INDEX('Vessel Gauging Data'!$B$27:$B$56,SMALL(IF(('Vessel Gauging Data'!$C$27:$C$56=$E$136)+('Vessel Gauging Data'!$D$27:$D$56=NOMY)=2,ROW('Vessel Gauging Data'!$B$27:$B$56)-ROW('Vessel Gauging Data'!$C$26)),ROW()-ROW(C$136))))</f>
        <v/>
      </c>
      <c r="D138" s="211" t="str">
        <f>IF(OR($C138="",$C138=0),"",INDEX('Vessel Gauging Data'!$B$26:$V$56,MATCH($C138,'Vessel Gauging Data'!$B$27:$B$56,0)+1,2))</f>
        <v/>
      </c>
      <c r="E138" s="1016" t="str">
        <f t="shared" si="124"/>
        <v/>
      </c>
      <c r="F138" s="1016" t="str">
        <f t="shared" si="125"/>
        <v/>
      </c>
      <c r="G138" s="1016" t="str">
        <f t="shared" si="126"/>
        <v/>
      </c>
      <c r="H138" s="1016" t="str">
        <f t="shared" si="126"/>
        <v/>
      </c>
      <c r="I138" s="211" t="str">
        <f t="shared" si="127"/>
        <v/>
      </c>
      <c r="J138" s="1016" t="str">
        <f t="shared" si="128"/>
        <v/>
      </c>
      <c r="K138" s="213" t="str">
        <f t="shared" si="129"/>
        <v/>
      </c>
      <c r="L138" s="212" t="str">
        <f t="shared" si="130"/>
        <v/>
      </c>
      <c r="M138" s="1125" t="str">
        <f>IF(OR($C138="",$C138=0),"",INDEX(API1DENST,MATCH($C138,'Vessel Gauging Data'!$B$27:$B$56,0),$AA$1))</f>
        <v/>
      </c>
      <c r="N138" s="212" t="str">
        <f t="shared" si="131"/>
        <v/>
      </c>
      <c r="O138" s="1016" t="str">
        <f t="shared" si="132"/>
        <v/>
      </c>
      <c r="P138" s="1125" t="str">
        <f t="shared" si="133"/>
        <v/>
      </c>
      <c r="Q138" s="1016" t="str">
        <f t="shared" si="134"/>
        <v/>
      </c>
      <c r="R138" s="214" t="str">
        <f t="shared" si="135"/>
        <v/>
      </c>
      <c r="S138" s="1125" t="str">
        <f t="shared" si="136"/>
        <v/>
      </c>
      <c r="T138" s="236" t="str">
        <f t="shared" si="137"/>
        <v/>
      </c>
      <c r="V138" s="642" t="e">
        <f>INDEX('Vessel Gauging Data'!$B$26:$V$56,MATCH($C138,'Vessel Gauging Data'!$B$26:$B$56,0),$V$18)</f>
        <v>#N/A</v>
      </c>
      <c r="W138" s="642" t="e">
        <f>INDEX('Vessel Gauging Data'!$B$26:$V$56,MATCH($C138,'Vessel Gauging Data'!$B$26:$B$56,0),$W$18)</f>
        <v>#N/A</v>
      </c>
      <c r="X138" s="642" t="e">
        <f>INDEX('Vessel Gauging Data'!$B$26:$V$56,MATCH($C138,'Vessel Gauging Data'!$B$26:$B$56,0),$X$18)</f>
        <v>#N/A</v>
      </c>
      <c r="Y138" s="642" t="e">
        <f>INDEX('Vessel Gauging Data'!$B$26:$V$56,MATCH($C138,'Vessel Gauging Data'!$B$26:$B$56,0),$Y$18)</f>
        <v>#N/A</v>
      </c>
      <c r="Z138" s="642" t="e">
        <f>INDEX('Vessel Gauging Data'!$B$26:$V$56,MATCH($C138,'Vessel Gauging Data'!$B$26:$B$56,0),$Z$18)</f>
        <v>#N/A</v>
      </c>
      <c r="AB138" s="642" t="e">
        <f>INDEX(API1DENST,MATCH($C138,'Vessel Gauging Data'!$B$27:$B$56,0),1)</f>
        <v>#N/A</v>
      </c>
      <c r="AC138" s="642" t="e">
        <f t="shared" si="138"/>
        <v>#N/A</v>
      </c>
      <c r="AE138" s="661" t="e">
        <f t="shared" si="139"/>
        <v>#VALUE!</v>
      </c>
      <c r="AF138" s="661" t="e">
        <f t="shared" si="140"/>
        <v>#VALUE!</v>
      </c>
      <c r="AH138" s="662" t="str">
        <f t="shared" si="121"/>
        <v/>
      </c>
      <c r="AI138" s="662" t="str">
        <f t="shared" si="122"/>
        <v/>
      </c>
      <c r="AJ138" s="663">
        <f t="shared" si="141"/>
        <v>192.4571</v>
      </c>
      <c r="AK138" s="660">
        <f t="shared" si="142"/>
        <v>0.24379999999999999</v>
      </c>
      <c r="AL138" s="660" t="e">
        <f t="shared" si="143"/>
        <v>#VALUE!</v>
      </c>
      <c r="AM138" s="664" t="e">
        <f t="shared" si="144"/>
        <v>#VALUE!</v>
      </c>
      <c r="AN138" s="664" t="e">
        <f t="shared" si="145"/>
        <v>#VALUE!</v>
      </c>
      <c r="AO138" s="665" t="e">
        <f t="shared" si="146"/>
        <v>#VALUE!</v>
      </c>
      <c r="AP138" s="666" t="e">
        <f t="shared" si="147"/>
        <v>#VALUE!</v>
      </c>
      <c r="AQ138" s="660" t="e">
        <f t="shared" si="148"/>
        <v>#VALUE!</v>
      </c>
      <c r="AR138" s="667" t="e">
        <f t="shared" si="149"/>
        <v>#VALUE!</v>
      </c>
      <c r="AS138" s="667" t="e">
        <f t="shared" si="150"/>
        <v>#VALUE!</v>
      </c>
      <c r="AT138" s="668" t="e">
        <f t="shared" si="151"/>
        <v>#VALUE!</v>
      </c>
      <c r="AU138" s="667" t="e">
        <f t="shared" si="152"/>
        <v>#VALUE!</v>
      </c>
      <c r="AV138" s="669" t="e">
        <f t="shared" si="153"/>
        <v>#VALUE!</v>
      </c>
      <c r="AW138" s="667" t="e">
        <f t="shared" si="154"/>
        <v>#VALUE!</v>
      </c>
      <c r="AX138" s="667" t="e">
        <f t="shared" si="155"/>
        <v>#VALUE!</v>
      </c>
      <c r="AY138" s="660" t="e">
        <f t="shared" si="156"/>
        <v>#VALUE!</v>
      </c>
      <c r="AZ138" s="670" t="e">
        <f t="shared" si="157"/>
        <v>#VALUE!</v>
      </c>
      <c r="BB138" s="662" t="e">
        <f>INDEX('Vessel Gauging Data'!$B$26:$V$56,MATCH($C138,'Vessel Gauging Data'!$B$26:$B$56,0),$BB$18)</f>
        <v>#N/A</v>
      </c>
      <c r="BC138" s="662" t="e">
        <f>INDEX('Vessel Gauging Data'!$B$26:$V$56,MATCH($C138,'Vessel Gauging Data'!$B$26:$B$56,0),$BC$18)</f>
        <v>#N/A</v>
      </c>
      <c r="BD138" s="662" t="e">
        <f>INDEX('Vessel Gauging Data'!$B$26:$V$56,MATCH($C138,'Vessel Gauging Data'!$B$26:$B$56,0),$BD$18)</f>
        <v>#N/A</v>
      </c>
      <c r="BE138" s="662" t="e">
        <f>INDEX('Vessel Gauging Data'!$B$26:$V$56,MATCH($C138,'Vessel Gauging Data'!$B$26:$B$56,0),$BE$18)</f>
        <v>#N/A</v>
      </c>
    </row>
    <row r="139" spans="1:57" hidden="1">
      <c r="A139" s="641" t="str">
        <f t="shared" si="123"/>
        <v>N</v>
      </c>
      <c r="C139" s="235" t="str">
        <f t="array" ref="C139">IF(OR($E$136="",SUMPRODUCT(('Vessel Gauging Data'!$C$27:$C$56=$E$136)*('Vessel Gauging Data'!$D$27:$D$56=NOMY))&lt;ROWS($C$137:$C139)),"",INDEX('Vessel Gauging Data'!$B$27:$B$56,SMALL(IF(('Vessel Gauging Data'!$C$27:$C$56=$E$136)+('Vessel Gauging Data'!$D$27:$D$56=NOMY)=2,ROW('Vessel Gauging Data'!$B$27:$B$56)-ROW('Vessel Gauging Data'!$C$26)),ROW()-ROW(C$136))))</f>
        <v/>
      </c>
      <c r="D139" s="211" t="str">
        <f>IF(OR($C139="",$C139=0),"",INDEX('Vessel Gauging Data'!$B$26:$V$56,MATCH($C139,'Vessel Gauging Data'!$B$27:$B$56,0)+1,2))</f>
        <v/>
      </c>
      <c r="E139" s="1016" t="str">
        <f t="shared" si="124"/>
        <v/>
      </c>
      <c r="F139" s="1016" t="str">
        <f t="shared" si="125"/>
        <v/>
      </c>
      <c r="G139" s="1016" t="str">
        <f t="shared" si="126"/>
        <v/>
      </c>
      <c r="H139" s="1016" t="str">
        <f t="shared" si="126"/>
        <v/>
      </c>
      <c r="I139" s="211" t="str">
        <f t="shared" si="127"/>
        <v/>
      </c>
      <c r="J139" s="1016" t="str">
        <f t="shared" si="128"/>
        <v/>
      </c>
      <c r="K139" s="213" t="str">
        <f t="shared" si="129"/>
        <v/>
      </c>
      <c r="L139" s="212" t="str">
        <f t="shared" si="130"/>
        <v/>
      </c>
      <c r="M139" s="1125" t="str">
        <f>IF(OR($C139="",$C139=0),"",INDEX(API1DENST,MATCH($C139,'Vessel Gauging Data'!$B$27:$B$56,0),$AA$1))</f>
        <v/>
      </c>
      <c r="N139" s="212" t="str">
        <f t="shared" si="131"/>
        <v/>
      </c>
      <c r="O139" s="1016" t="str">
        <f t="shared" si="132"/>
        <v/>
      </c>
      <c r="P139" s="1125" t="str">
        <f t="shared" si="133"/>
        <v/>
      </c>
      <c r="Q139" s="1016" t="str">
        <f t="shared" si="134"/>
        <v/>
      </c>
      <c r="R139" s="214" t="str">
        <f t="shared" si="135"/>
        <v/>
      </c>
      <c r="S139" s="1125" t="str">
        <f t="shared" si="136"/>
        <v/>
      </c>
      <c r="T139" s="236" t="str">
        <f t="shared" si="137"/>
        <v/>
      </c>
      <c r="V139" s="642" t="e">
        <f>INDEX('Vessel Gauging Data'!$B$26:$V$56,MATCH($C139,'Vessel Gauging Data'!$B$26:$B$56,0),$V$18)</f>
        <v>#N/A</v>
      </c>
      <c r="W139" s="642" t="e">
        <f>INDEX('Vessel Gauging Data'!$B$26:$V$56,MATCH($C139,'Vessel Gauging Data'!$B$26:$B$56,0),$W$18)</f>
        <v>#N/A</v>
      </c>
      <c r="X139" s="642" t="e">
        <f>INDEX('Vessel Gauging Data'!$B$26:$V$56,MATCH($C139,'Vessel Gauging Data'!$B$26:$B$56,0),$X$18)</f>
        <v>#N/A</v>
      </c>
      <c r="Y139" s="642" t="e">
        <f>INDEX('Vessel Gauging Data'!$B$26:$V$56,MATCH($C139,'Vessel Gauging Data'!$B$26:$B$56,0),$Y$18)</f>
        <v>#N/A</v>
      </c>
      <c r="Z139" s="642" t="e">
        <f>INDEX('Vessel Gauging Data'!$B$26:$V$56,MATCH($C139,'Vessel Gauging Data'!$B$26:$B$56,0),$Z$18)</f>
        <v>#N/A</v>
      </c>
      <c r="AB139" s="642" t="e">
        <f>INDEX(API1DENST,MATCH($C139,'Vessel Gauging Data'!$B$27:$B$56,0),1)</f>
        <v>#N/A</v>
      </c>
      <c r="AC139" s="642" t="e">
        <f t="shared" si="138"/>
        <v>#N/A</v>
      </c>
      <c r="AE139" s="661" t="e">
        <f t="shared" si="139"/>
        <v>#VALUE!</v>
      </c>
      <c r="AF139" s="661" t="e">
        <f t="shared" si="140"/>
        <v>#VALUE!</v>
      </c>
      <c r="AH139" s="662" t="str">
        <f t="shared" si="121"/>
        <v/>
      </c>
      <c r="AI139" s="662" t="str">
        <f t="shared" si="122"/>
        <v/>
      </c>
      <c r="AJ139" s="663">
        <f t="shared" si="141"/>
        <v>192.4571</v>
      </c>
      <c r="AK139" s="660">
        <f t="shared" si="142"/>
        <v>0.24379999999999999</v>
      </c>
      <c r="AL139" s="660" t="e">
        <f t="shared" si="143"/>
        <v>#VALUE!</v>
      </c>
      <c r="AM139" s="664" t="e">
        <f t="shared" si="144"/>
        <v>#VALUE!</v>
      </c>
      <c r="AN139" s="664" t="e">
        <f t="shared" si="145"/>
        <v>#VALUE!</v>
      </c>
      <c r="AO139" s="665" t="e">
        <f t="shared" si="146"/>
        <v>#VALUE!</v>
      </c>
      <c r="AP139" s="666" t="e">
        <f t="shared" si="147"/>
        <v>#VALUE!</v>
      </c>
      <c r="AQ139" s="660" t="e">
        <f t="shared" si="148"/>
        <v>#VALUE!</v>
      </c>
      <c r="AR139" s="667" t="e">
        <f t="shared" si="149"/>
        <v>#VALUE!</v>
      </c>
      <c r="AS139" s="667" t="e">
        <f t="shared" si="150"/>
        <v>#VALUE!</v>
      </c>
      <c r="AT139" s="668" t="e">
        <f t="shared" si="151"/>
        <v>#VALUE!</v>
      </c>
      <c r="AU139" s="667" t="e">
        <f t="shared" si="152"/>
        <v>#VALUE!</v>
      </c>
      <c r="AV139" s="669" t="e">
        <f t="shared" si="153"/>
        <v>#VALUE!</v>
      </c>
      <c r="AW139" s="667" t="e">
        <f t="shared" si="154"/>
        <v>#VALUE!</v>
      </c>
      <c r="AX139" s="667" t="e">
        <f t="shared" si="155"/>
        <v>#VALUE!</v>
      </c>
      <c r="AY139" s="660" t="e">
        <f t="shared" si="156"/>
        <v>#VALUE!</v>
      </c>
      <c r="AZ139" s="670" t="e">
        <f t="shared" si="157"/>
        <v>#VALUE!</v>
      </c>
      <c r="BB139" s="662" t="e">
        <f>INDEX('Vessel Gauging Data'!$B$26:$V$56,MATCH($C139,'Vessel Gauging Data'!$B$26:$B$56,0),$BB$18)</f>
        <v>#N/A</v>
      </c>
      <c r="BC139" s="662" t="e">
        <f>INDEX('Vessel Gauging Data'!$B$26:$V$56,MATCH($C139,'Vessel Gauging Data'!$B$26:$B$56,0),$BC$18)</f>
        <v>#N/A</v>
      </c>
      <c r="BD139" s="662" t="e">
        <f>INDEX('Vessel Gauging Data'!$B$26:$V$56,MATCH($C139,'Vessel Gauging Data'!$B$26:$B$56,0),$BD$18)</f>
        <v>#N/A</v>
      </c>
      <c r="BE139" s="662" t="e">
        <f>INDEX('Vessel Gauging Data'!$B$26:$V$56,MATCH($C139,'Vessel Gauging Data'!$B$26:$B$56,0),$BE$18)</f>
        <v>#N/A</v>
      </c>
    </row>
    <row r="140" spans="1:57" hidden="1">
      <c r="A140" s="641" t="str">
        <f t="shared" si="123"/>
        <v>N</v>
      </c>
      <c r="C140" s="235" t="str">
        <f t="array" ref="C140">IF(OR($E$136="",SUMPRODUCT(('Vessel Gauging Data'!$C$27:$C$56=$E$136)*('Vessel Gauging Data'!$D$27:$D$56=NOMY))&lt;ROWS($C$137:$C140)),"",INDEX('Vessel Gauging Data'!$B$27:$B$56,SMALL(IF(('Vessel Gauging Data'!$C$27:$C$56=$E$136)+('Vessel Gauging Data'!$D$27:$D$56=NOMY)=2,ROW('Vessel Gauging Data'!$B$27:$B$56)-ROW('Vessel Gauging Data'!$C$26)),ROW()-ROW(C$136))))</f>
        <v/>
      </c>
      <c r="D140" s="211" t="str">
        <f>IF(OR($C140="",$C140=0),"",INDEX('Vessel Gauging Data'!$B$26:$V$56,MATCH($C140,'Vessel Gauging Data'!$B$27:$B$56,0)+1,2))</f>
        <v/>
      </c>
      <c r="E140" s="1016" t="str">
        <f t="shared" si="124"/>
        <v/>
      </c>
      <c r="F140" s="1016" t="str">
        <f t="shared" si="125"/>
        <v/>
      </c>
      <c r="G140" s="1016" t="str">
        <f t="shared" si="126"/>
        <v/>
      </c>
      <c r="H140" s="1016" t="str">
        <f t="shared" si="126"/>
        <v/>
      </c>
      <c r="I140" s="211" t="str">
        <f t="shared" si="127"/>
        <v/>
      </c>
      <c r="J140" s="1016" t="str">
        <f t="shared" si="128"/>
        <v/>
      </c>
      <c r="K140" s="213" t="str">
        <f t="shared" si="129"/>
        <v/>
      </c>
      <c r="L140" s="212" t="str">
        <f t="shared" si="130"/>
        <v/>
      </c>
      <c r="M140" s="1125" t="str">
        <f>IF(OR($C140="",$C140=0),"",INDEX(API1DENST,MATCH($C140,'Vessel Gauging Data'!$B$27:$B$56,0),$AA$1))</f>
        <v/>
      </c>
      <c r="N140" s="212" t="str">
        <f t="shared" si="131"/>
        <v/>
      </c>
      <c r="O140" s="1016" t="str">
        <f t="shared" si="132"/>
        <v/>
      </c>
      <c r="P140" s="1125" t="str">
        <f t="shared" si="133"/>
        <v/>
      </c>
      <c r="Q140" s="1016" t="str">
        <f t="shared" si="134"/>
        <v/>
      </c>
      <c r="R140" s="214" t="str">
        <f t="shared" si="135"/>
        <v/>
      </c>
      <c r="S140" s="1125" t="str">
        <f t="shared" si="136"/>
        <v/>
      </c>
      <c r="T140" s="236" t="str">
        <f t="shared" si="137"/>
        <v/>
      </c>
      <c r="V140" s="642" t="e">
        <f>INDEX('Vessel Gauging Data'!$B$26:$V$56,MATCH($C140,'Vessel Gauging Data'!$B$26:$B$56,0),$V$18)</f>
        <v>#N/A</v>
      </c>
      <c r="W140" s="642" t="e">
        <f>INDEX('Vessel Gauging Data'!$B$26:$V$56,MATCH($C140,'Vessel Gauging Data'!$B$26:$B$56,0),$W$18)</f>
        <v>#N/A</v>
      </c>
      <c r="X140" s="642" t="e">
        <f>INDEX('Vessel Gauging Data'!$B$26:$V$56,MATCH($C140,'Vessel Gauging Data'!$B$26:$B$56,0),$X$18)</f>
        <v>#N/A</v>
      </c>
      <c r="Y140" s="642" t="e">
        <f>INDEX('Vessel Gauging Data'!$B$26:$V$56,MATCH($C140,'Vessel Gauging Data'!$B$26:$B$56,0),$Y$18)</f>
        <v>#N/A</v>
      </c>
      <c r="Z140" s="642" t="e">
        <f>INDEX('Vessel Gauging Data'!$B$26:$V$56,MATCH($C140,'Vessel Gauging Data'!$B$26:$B$56,0),$Z$18)</f>
        <v>#N/A</v>
      </c>
      <c r="AB140" s="642" t="e">
        <f>INDEX(API1DENST,MATCH($C140,'Vessel Gauging Data'!$B$27:$B$56,0),1)</f>
        <v>#N/A</v>
      </c>
      <c r="AC140" s="642" t="e">
        <f t="shared" si="138"/>
        <v>#N/A</v>
      </c>
      <c r="AE140" s="661" t="e">
        <f t="shared" si="139"/>
        <v>#VALUE!</v>
      </c>
      <c r="AF140" s="661" t="e">
        <f t="shared" si="140"/>
        <v>#VALUE!</v>
      </c>
      <c r="AH140" s="662" t="str">
        <f t="shared" si="121"/>
        <v/>
      </c>
      <c r="AI140" s="662" t="str">
        <f t="shared" si="122"/>
        <v/>
      </c>
      <c r="AJ140" s="663">
        <f t="shared" si="141"/>
        <v>192.4571</v>
      </c>
      <c r="AK140" s="660">
        <f t="shared" si="142"/>
        <v>0.24379999999999999</v>
      </c>
      <c r="AL140" s="660" t="e">
        <f t="shared" si="143"/>
        <v>#VALUE!</v>
      </c>
      <c r="AM140" s="664" t="e">
        <f t="shared" si="144"/>
        <v>#VALUE!</v>
      </c>
      <c r="AN140" s="664" t="e">
        <f t="shared" si="145"/>
        <v>#VALUE!</v>
      </c>
      <c r="AO140" s="665" t="e">
        <f t="shared" si="146"/>
        <v>#VALUE!</v>
      </c>
      <c r="AP140" s="666" t="e">
        <f t="shared" si="147"/>
        <v>#VALUE!</v>
      </c>
      <c r="AQ140" s="660" t="e">
        <f t="shared" si="148"/>
        <v>#VALUE!</v>
      </c>
      <c r="AR140" s="667" t="e">
        <f t="shared" si="149"/>
        <v>#VALUE!</v>
      </c>
      <c r="AS140" s="667" t="e">
        <f t="shared" si="150"/>
        <v>#VALUE!</v>
      </c>
      <c r="AT140" s="668" t="e">
        <f t="shared" si="151"/>
        <v>#VALUE!</v>
      </c>
      <c r="AU140" s="667" t="e">
        <f t="shared" si="152"/>
        <v>#VALUE!</v>
      </c>
      <c r="AV140" s="669" t="e">
        <f t="shared" si="153"/>
        <v>#VALUE!</v>
      </c>
      <c r="AW140" s="667" t="e">
        <f t="shared" si="154"/>
        <v>#VALUE!</v>
      </c>
      <c r="AX140" s="667" t="e">
        <f t="shared" si="155"/>
        <v>#VALUE!</v>
      </c>
      <c r="AY140" s="660" t="e">
        <f t="shared" si="156"/>
        <v>#VALUE!</v>
      </c>
      <c r="AZ140" s="670" t="e">
        <f t="shared" si="157"/>
        <v>#VALUE!</v>
      </c>
      <c r="BB140" s="662" t="e">
        <f>INDEX('Vessel Gauging Data'!$B$26:$V$56,MATCH($C140,'Vessel Gauging Data'!$B$26:$B$56,0),$BB$18)</f>
        <v>#N/A</v>
      </c>
      <c r="BC140" s="662" t="e">
        <f>INDEX('Vessel Gauging Data'!$B$26:$V$56,MATCH($C140,'Vessel Gauging Data'!$B$26:$B$56,0),$BC$18)</f>
        <v>#N/A</v>
      </c>
      <c r="BD140" s="662" t="e">
        <f>INDEX('Vessel Gauging Data'!$B$26:$V$56,MATCH($C140,'Vessel Gauging Data'!$B$26:$B$56,0),$BD$18)</f>
        <v>#N/A</v>
      </c>
      <c r="BE140" s="662" t="e">
        <f>INDEX('Vessel Gauging Data'!$B$26:$V$56,MATCH($C140,'Vessel Gauging Data'!$B$26:$B$56,0),$BE$18)</f>
        <v>#N/A</v>
      </c>
    </row>
    <row r="141" spans="1:57" hidden="1">
      <c r="A141" s="641" t="str">
        <f t="shared" si="123"/>
        <v>N</v>
      </c>
      <c r="C141" s="235" t="str">
        <f t="array" ref="C141">IF(OR($E$136="",SUMPRODUCT(('Vessel Gauging Data'!$C$27:$C$56=$E$136)*('Vessel Gauging Data'!$D$27:$D$56=NOMY))&lt;ROWS($C$137:$C141)),"",INDEX('Vessel Gauging Data'!$B$27:$B$56,SMALL(IF(('Vessel Gauging Data'!$C$27:$C$56=$E$136)+('Vessel Gauging Data'!$D$27:$D$56=NOMY)=2,ROW('Vessel Gauging Data'!$B$27:$B$56)-ROW('Vessel Gauging Data'!$C$26)),ROW()-ROW(C$136))))</f>
        <v/>
      </c>
      <c r="D141" s="211" t="str">
        <f>IF(OR($C141="",$C141=0),"",INDEX('Vessel Gauging Data'!$B$26:$V$56,MATCH($C141,'Vessel Gauging Data'!$B$27:$B$56,0)+1,2))</f>
        <v/>
      </c>
      <c r="E141" s="1016" t="str">
        <f t="shared" si="124"/>
        <v/>
      </c>
      <c r="F141" s="1016" t="str">
        <f t="shared" si="125"/>
        <v/>
      </c>
      <c r="G141" s="1016" t="str">
        <f t="shared" si="126"/>
        <v/>
      </c>
      <c r="H141" s="1016" t="str">
        <f t="shared" si="126"/>
        <v/>
      </c>
      <c r="I141" s="211" t="str">
        <f t="shared" si="127"/>
        <v/>
      </c>
      <c r="J141" s="1016" t="str">
        <f t="shared" si="128"/>
        <v/>
      </c>
      <c r="K141" s="213" t="str">
        <f t="shared" si="129"/>
        <v/>
      </c>
      <c r="L141" s="212" t="str">
        <f t="shared" si="130"/>
        <v/>
      </c>
      <c r="M141" s="1125" t="str">
        <f>IF(OR($C141="",$C141=0),"",INDEX(API1DENST,MATCH($C141,'Vessel Gauging Data'!$B$27:$B$56,0),$AA$1))</f>
        <v/>
      </c>
      <c r="N141" s="212" t="str">
        <f t="shared" si="131"/>
        <v/>
      </c>
      <c r="O141" s="1016" t="str">
        <f t="shared" si="132"/>
        <v/>
      </c>
      <c r="P141" s="1125" t="str">
        <f t="shared" si="133"/>
        <v/>
      </c>
      <c r="Q141" s="1016" t="str">
        <f t="shared" si="134"/>
        <v/>
      </c>
      <c r="R141" s="214" t="str">
        <f t="shared" si="135"/>
        <v/>
      </c>
      <c r="S141" s="1125" t="str">
        <f t="shared" si="136"/>
        <v/>
      </c>
      <c r="T141" s="236" t="str">
        <f t="shared" si="137"/>
        <v/>
      </c>
      <c r="V141" s="642" t="e">
        <f>INDEX('Vessel Gauging Data'!$B$26:$V$56,MATCH($C141,'Vessel Gauging Data'!$B$26:$B$56,0),$V$18)</f>
        <v>#N/A</v>
      </c>
      <c r="W141" s="642" t="e">
        <f>INDEX('Vessel Gauging Data'!$B$26:$V$56,MATCH($C141,'Vessel Gauging Data'!$B$26:$B$56,0),$W$18)</f>
        <v>#N/A</v>
      </c>
      <c r="X141" s="642" t="e">
        <f>INDEX('Vessel Gauging Data'!$B$26:$V$56,MATCH($C141,'Vessel Gauging Data'!$B$26:$B$56,0),$X$18)</f>
        <v>#N/A</v>
      </c>
      <c r="Y141" s="642" t="e">
        <f>INDEX('Vessel Gauging Data'!$B$26:$V$56,MATCH($C141,'Vessel Gauging Data'!$B$26:$B$56,0),$Y$18)</f>
        <v>#N/A</v>
      </c>
      <c r="Z141" s="642" t="e">
        <f>INDEX('Vessel Gauging Data'!$B$26:$V$56,MATCH($C141,'Vessel Gauging Data'!$B$26:$B$56,0),$Z$18)</f>
        <v>#N/A</v>
      </c>
      <c r="AB141" s="642" t="e">
        <f>INDEX(API1DENST,MATCH($C141,'Vessel Gauging Data'!$B$27:$B$56,0),1)</f>
        <v>#N/A</v>
      </c>
      <c r="AC141" s="642" t="e">
        <f t="shared" si="138"/>
        <v>#N/A</v>
      </c>
      <c r="AE141" s="661" t="e">
        <f t="shared" si="139"/>
        <v>#VALUE!</v>
      </c>
      <c r="AF141" s="661" t="e">
        <f t="shared" si="140"/>
        <v>#VALUE!</v>
      </c>
      <c r="AH141" s="662" t="str">
        <f t="shared" si="121"/>
        <v/>
      </c>
      <c r="AI141" s="662" t="str">
        <f t="shared" si="122"/>
        <v/>
      </c>
      <c r="AJ141" s="663">
        <f t="shared" si="141"/>
        <v>192.4571</v>
      </c>
      <c r="AK141" s="660">
        <f t="shared" si="142"/>
        <v>0.24379999999999999</v>
      </c>
      <c r="AL141" s="660" t="e">
        <f t="shared" si="143"/>
        <v>#VALUE!</v>
      </c>
      <c r="AM141" s="664" t="e">
        <f t="shared" si="144"/>
        <v>#VALUE!</v>
      </c>
      <c r="AN141" s="664" t="e">
        <f t="shared" si="145"/>
        <v>#VALUE!</v>
      </c>
      <c r="AO141" s="665" t="e">
        <f t="shared" si="146"/>
        <v>#VALUE!</v>
      </c>
      <c r="AP141" s="666" t="e">
        <f t="shared" si="147"/>
        <v>#VALUE!</v>
      </c>
      <c r="AQ141" s="660" t="e">
        <f t="shared" si="148"/>
        <v>#VALUE!</v>
      </c>
      <c r="AR141" s="667" t="e">
        <f t="shared" si="149"/>
        <v>#VALUE!</v>
      </c>
      <c r="AS141" s="667" t="e">
        <f t="shared" si="150"/>
        <v>#VALUE!</v>
      </c>
      <c r="AT141" s="668" t="e">
        <f t="shared" si="151"/>
        <v>#VALUE!</v>
      </c>
      <c r="AU141" s="667" t="e">
        <f t="shared" si="152"/>
        <v>#VALUE!</v>
      </c>
      <c r="AV141" s="669" t="e">
        <f t="shared" si="153"/>
        <v>#VALUE!</v>
      </c>
      <c r="AW141" s="667" t="e">
        <f t="shared" si="154"/>
        <v>#VALUE!</v>
      </c>
      <c r="AX141" s="667" t="e">
        <f t="shared" si="155"/>
        <v>#VALUE!</v>
      </c>
      <c r="AY141" s="660" t="e">
        <f t="shared" si="156"/>
        <v>#VALUE!</v>
      </c>
      <c r="AZ141" s="670" t="e">
        <f t="shared" si="157"/>
        <v>#VALUE!</v>
      </c>
      <c r="BB141" s="662" t="e">
        <f>INDEX('Vessel Gauging Data'!$B$26:$V$56,MATCH($C141,'Vessel Gauging Data'!$B$26:$B$56,0),$BB$18)</f>
        <v>#N/A</v>
      </c>
      <c r="BC141" s="662" t="e">
        <f>INDEX('Vessel Gauging Data'!$B$26:$V$56,MATCH($C141,'Vessel Gauging Data'!$B$26:$B$56,0),$BC$18)</f>
        <v>#N/A</v>
      </c>
      <c r="BD141" s="662" t="e">
        <f>INDEX('Vessel Gauging Data'!$B$26:$V$56,MATCH($C141,'Vessel Gauging Data'!$B$26:$B$56,0),$BD$18)</f>
        <v>#N/A</v>
      </c>
      <c r="BE141" s="662" t="e">
        <f>INDEX('Vessel Gauging Data'!$B$26:$V$56,MATCH($C141,'Vessel Gauging Data'!$B$26:$B$56,0),$BE$18)</f>
        <v>#N/A</v>
      </c>
    </row>
    <row r="142" spans="1:57" hidden="1">
      <c r="A142" s="641" t="str">
        <f t="shared" si="123"/>
        <v>N</v>
      </c>
      <c r="C142" s="235" t="str">
        <f t="array" ref="C142">IF(OR($E$136="",SUMPRODUCT(('Vessel Gauging Data'!$C$27:$C$56=$E$136)*('Vessel Gauging Data'!$D$27:$D$56=NOMY))&lt;ROWS($C$137:$C142)),"",INDEX('Vessel Gauging Data'!$B$27:$B$56,SMALL(IF(('Vessel Gauging Data'!$C$27:$C$56=$E$136)+('Vessel Gauging Data'!$D$27:$D$56=NOMY)=2,ROW('Vessel Gauging Data'!$B$27:$B$56)-ROW('Vessel Gauging Data'!$C$26)),ROW()-ROW(C$136))))</f>
        <v/>
      </c>
      <c r="D142" s="211" t="str">
        <f>IF(OR($C142="",$C142=0),"",INDEX('Vessel Gauging Data'!$B$26:$V$56,MATCH($C142,'Vessel Gauging Data'!$B$27:$B$56,0)+1,2))</f>
        <v/>
      </c>
      <c r="E142" s="1016" t="str">
        <f t="shared" si="124"/>
        <v/>
      </c>
      <c r="F142" s="1016" t="str">
        <f t="shared" si="125"/>
        <v/>
      </c>
      <c r="G142" s="1016" t="str">
        <f t="shared" si="126"/>
        <v/>
      </c>
      <c r="H142" s="1016" t="str">
        <f t="shared" si="126"/>
        <v/>
      </c>
      <c r="I142" s="211" t="str">
        <f t="shared" si="127"/>
        <v/>
      </c>
      <c r="J142" s="1016" t="str">
        <f t="shared" si="128"/>
        <v/>
      </c>
      <c r="K142" s="213" t="str">
        <f t="shared" si="129"/>
        <v/>
      </c>
      <c r="L142" s="212" t="str">
        <f t="shared" si="130"/>
        <v/>
      </c>
      <c r="M142" s="1125" t="str">
        <f>IF(OR($C142="",$C142=0),"",INDEX(API1DENST,MATCH($C142,'Vessel Gauging Data'!$B$27:$B$56,0),$AA$1))</f>
        <v/>
      </c>
      <c r="N142" s="212" t="str">
        <f t="shared" si="131"/>
        <v/>
      </c>
      <c r="O142" s="1016" t="str">
        <f t="shared" si="132"/>
        <v/>
      </c>
      <c r="P142" s="1125" t="str">
        <f t="shared" si="133"/>
        <v/>
      </c>
      <c r="Q142" s="1016" t="str">
        <f t="shared" si="134"/>
        <v/>
      </c>
      <c r="R142" s="214" t="str">
        <f t="shared" si="135"/>
        <v/>
      </c>
      <c r="S142" s="1125" t="str">
        <f t="shared" si="136"/>
        <v/>
      </c>
      <c r="T142" s="236" t="str">
        <f t="shared" si="137"/>
        <v/>
      </c>
      <c r="V142" s="642" t="e">
        <f>INDEX('Vessel Gauging Data'!$B$26:$V$56,MATCH($C142,'Vessel Gauging Data'!$B$26:$B$56,0),$V$18)</f>
        <v>#N/A</v>
      </c>
      <c r="W142" s="642" t="e">
        <f>INDEX('Vessel Gauging Data'!$B$26:$V$56,MATCH($C142,'Vessel Gauging Data'!$B$26:$B$56,0),$W$18)</f>
        <v>#N/A</v>
      </c>
      <c r="X142" s="642" t="e">
        <f>INDEX('Vessel Gauging Data'!$B$26:$V$56,MATCH($C142,'Vessel Gauging Data'!$B$26:$B$56,0),$X$18)</f>
        <v>#N/A</v>
      </c>
      <c r="Y142" s="642" t="e">
        <f>INDEX('Vessel Gauging Data'!$B$26:$V$56,MATCH($C142,'Vessel Gauging Data'!$B$26:$B$56,0),$Y$18)</f>
        <v>#N/A</v>
      </c>
      <c r="Z142" s="642" t="e">
        <f>INDEX('Vessel Gauging Data'!$B$26:$V$56,MATCH($C142,'Vessel Gauging Data'!$B$26:$B$56,0),$Z$18)</f>
        <v>#N/A</v>
      </c>
      <c r="AB142" s="642" t="e">
        <f>INDEX(API1DENST,MATCH($C142,'Vessel Gauging Data'!$B$27:$B$56,0),1)</f>
        <v>#N/A</v>
      </c>
      <c r="AC142" s="642" t="e">
        <f t="shared" si="138"/>
        <v>#N/A</v>
      </c>
      <c r="AE142" s="661" t="e">
        <f t="shared" si="139"/>
        <v>#VALUE!</v>
      </c>
      <c r="AF142" s="661" t="e">
        <f t="shared" si="140"/>
        <v>#VALUE!</v>
      </c>
      <c r="AH142" s="662" t="str">
        <f t="shared" si="121"/>
        <v/>
      </c>
      <c r="AI142" s="662" t="str">
        <f t="shared" si="122"/>
        <v/>
      </c>
      <c r="AJ142" s="663">
        <f t="shared" si="141"/>
        <v>192.4571</v>
      </c>
      <c r="AK142" s="660">
        <f t="shared" si="142"/>
        <v>0.24379999999999999</v>
      </c>
      <c r="AL142" s="660" t="e">
        <f t="shared" si="143"/>
        <v>#VALUE!</v>
      </c>
      <c r="AM142" s="664" t="e">
        <f t="shared" si="144"/>
        <v>#VALUE!</v>
      </c>
      <c r="AN142" s="664" t="e">
        <f t="shared" si="145"/>
        <v>#VALUE!</v>
      </c>
      <c r="AO142" s="665" t="e">
        <f t="shared" si="146"/>
        <v>#VALUE!</v>
      </c>
      <c r="AP142" s="666" t="e">
        <f t="shared" si="147"/>
        <v>#VALUE!</v>
      </c>
      <c r="AQ142" s="660" t="e">
        <f t="shared" si="148"/>
        <v>#VALUE!</v>
      </c>
      <c r="AR142" s="667" t="e">
        <f t="shared" si="149"/>
        <v>#VALUE!</v>
      </c>
      <c r="AS142" s="667" t="e">
        <f t="shared" si="150"/>
        <v>#VALUE!</v>
      </c>
      <c r="AT142" s="668" t="e">
        <f t="shared" si="151"/>
        <v>#VALUE!</v>
      </c>
      <c r="AU142" s="667" t="e">
        <f t="shared" si="152"/>
        <v>#VALUE!</v>
      </c>
      <c r="AV142" s="669" t="e">
        <f t="shared" si="153"/>
        <v>#VALUE!</v>
      </c>
      <c r="AW142" s="667" t="e">
        <f t="shared" si="154"/>
        <v>#VALUE!</v>
      </c>
      <c r="AX142" s="667" t="e">
        <f t="shared" si="155"/>
        <v>#VALUE!</v>
      </c>
      <c r="AY142" s="660" t="e">
        <f t="shared" si="156"/>
        <v>#VALUE!</v>
      </c>
      <c r="AZ142" s="670" t="e">
        <f t="shared" si="157"/>
        <v>#VALUE!</v>
      </c>
      <c r="BB142" s="662" t="e">
        <f>INDEX('Vessel Gauging Data'!$B$26:$V$56,MATCH($C142,'Vessel Gauging Data'!$B$26:$B$56,0),$BB$18)</f>
        <v>#N/A</v>
      </c>
      <c r="BC142" s="662" t="e">
        <f>INDEX('Vessel Gauging Data'!$B$26:$V$56,MATCH($C142,'Vessel Gauging Data'!$B$26:$B$56,0),$BC$18)</f>
        <v>#N/A</v>
      </c>
      <c r="BD142" s="662" t="e">
        <f>INDEX('Vessel Gauging Data'!$B$26:$V$56,MATCH($C142,'Vessel Gauging Data'!$B$26:$B$56,0),$BD$18)</f>
        <v>#N/A</v>
      </c>
      <c r="BE142" s="662" t="e">
        <f>INDEX('Vessel Gauging Data'!$B$26:$V$56,MATCH($C142,'Vessel Gauging Data'!$B$26:$B$56,0),$BE$18)</f>
        <v>#N/A</v>
      </c>
    </row>
    <row r="143" spans="1:57" hidden="1">
      <c r="A143" s="641" t="str">
        <f t="shared" si="123"/>
        <v>N</v>
      </c>
      <c r="C143" s="235" t="str">
        <f t="array" ref="C143">IF(OR($E$136="",SUMPRODUCT(('Vessel Gauging Data'!$C$27:$C$56=$E$136)*('Vessel Gauging Data'!$D$27:$D$56=NOMY))&lt;ROWS($C$137:$C143)),"",INDEX('Vessel Gauging Data'!$B$27:$B$56,SMALL(IF(('Vessel Gauging Data'!$C$27:$C$56=$E$136)+('Vessel Gauging Data'!$D$27:$D$56=NOMY)=2,ROW('Vessel Gauging Data'!$B$27:$B$56)-ROW('Vessel Gauging Data'!$C$26)),ROW()-ROW(C$136))))</f>
        <v/>
      </c>
      <c r="D143" s="211" t="str">
        <f>IF(OR($C143="",$C143=0),"",INDEX('Vessel Gauging Data'!$B$26:$V$56,MATCH($C143,'Vessel Gauging Data'!$B$27:$B$56,0)+1,2))</f>
        <v/>
      </c>
      <c r="E143" s="1016" t="str">
        <f t="shared" si="124"/>
        <v/>
      </c>
      <c r="F143" s="1016" t="str">
        <f t="shared" si="125"/>
        <v/>
      </c>
      <c r="G143" s="1016" t="str">
        <f t="shared" si="126"/>
        <v/>
      </c>
      <c r="H143" s="1016" t="str">
        <f t="shared" si="126"/>
        <v/>
      </c>
      <c r="I143" s="211" t="str">
        <f t="shared" si="127"/>
        <v/>
      </c>
      <c r="J143" s="1016" t="str">
        <f t="shared" si="128"/>
        <v/>
      </c>
      <c r="K143" s="213" t="str">
        <f t="shared" si="129"/>
        <v/>
      </c>
      <c r="L143" s="212" t="str">
        <f t="shared" si="130"/>
        <v/>
      </c>
      <c r="M143" s="1125" t="str">
        <f>IF(OR($C143="",$C143=0),"",INDEX(API1DENST,MATCH($C143,'Vessel Gauging Data'!$B$27:$B$56,0),$AA$1))</f>
        <v/>
      </c>
      <c r="N143" s="212" t="str">
        <f t="shared" si="131"/>
        <v/>
      </c>
      <c r="O143" s="1016" t="str">
        <f t="shared" si="132"/>
        <v/>
      </c>
      <c r="P143" s="1125" t="str">
        <f t="shared" si="133"/>
        <v/>
      </c>
      <c r="Q143" s="1016" t="str">
        <f t="shared" si="134"/>
        <v/>
      </c>
      <c r="R143" s="214" t="str">
        <f t="shared" si="135"/>
        <v/>
      </c>
      <c r="S143" s="1125" t="str">
        <f t="shared" si="136"/>
        <v/>
      </c>
      <c r="T143" s="236" t="str">
        <f t="shared" si="137"/>
        <v/>
      </c>
      <c r="V143" s="642" t="e">
        <f>INDEX('Vessel Gauging Data'!$B$26:$V$56,MATCH($C143,'Vessel Gauging Data'!$B$26:$B$56,0),$V$18)</f>
        <v>#N/A</v>
      </c>
      <c r="W143" s="642" t="e">
        <f>INDEX('Vessel Gauging Data'!$B$26:$V$56,MATCH($C143,'Vessel Gauging Data'!$B$26:$B$56,0),$W$18)</f>
        <v>#N/A</v>
      </c>
      <c r="X143" s="642" t="e">
        <f>INDEX('Vessel Gauging Data'!$B$26:$V$56,MATCH($C143,'Vessel Gauging Data'!$B$26:$B$56,0),$X$18)</f>
        <v>#N/A</v>
      </c>
      <c r="Y143" s="642" t="e">
        <f>INDEX('Vessel Gauging Data'!$B$26:$V$56,MATCH($C143,'Vessel Gauging Data'!$B$26:$B$56,0),$Y$18)</f>
        <v>#N/A</v>
      </c>
      <c r="Z143" s="642" t="e">
        <f>INDEX('Vessel Gauging Data'!$B$26:$V$56,MATCH($C143,'Vessel Gauging Data'!$B$26:$B$56,0),$Z$18)</f>
        <v>#N/A</v>
      </c>
      <c r="AB143" s="642" t="e">
        <f>INDEX(API1DENST,MATCH($C143,'Vessel Gauging Data'!$B$27:$B$56,0),1)</f>
        <v>#N/A</v>
      </c>
      <c r="AC143" s="642" t="e">
        <f t="shared" si="138"/>
        <v>#N/A</v>
      </c>
      <c r="AE143" s="661" t="e">
        <f t="shared" si="139"/>
        <v>#VALUE!</v>
      </c>
      <c r="AF143" s="661" t="e">
        <f t="shared" si="140"/>
        <v>#VALUE!</v>
      </c>
      <c r="AH143" s="662" t="str">
        <f t="shared" si="121"/>
        <v/>
      </c>
      <c r="AI143" s="662" t="str">
        <f t="shared" si="122"/>
        <v/>
      </c>
      <c r="AJ143" s="663">
        <f t="shared" si="141"/>
        <v>192.4571</v>
      </c>
      <c r="AK143" s="660">
        <f t="shared" si="142"/>
        <v>0.24379999999999999</v>
      </c>
      <c r="AL143" s="660" t="e">
        <f t="shared" si="143"/>
        <v>#VALUE!</v>
      </c>
      <c r="AM143" s="664" t="e">
        <f t="shared" si="144"/>
        <v>#VALUE!</v>
      </c>
      <c r="AN143" s="664" t="e">
        <f t="shared" si="145"/>
        <v>#VALUE!</v>
      </c>
      <c r="AO143" s="665" t="e">
        <f t="shared" si="146"/>
        <v>#VALUE!</v>
      </c>
      <c r="AP143" s="666" t="e">
        <f t="shared" si="147"/>
        <v>#VALUE!</v>
      </c>
      <c r="AQ143" s="660" t="e">
        <f t="shared" si="148"/>
        <v>#VALUE!</v>
      </c>
      <c r="AR143" s="667" t="e">
        <f t="shared" si="149"/>
        <v>#VALUE!</v>
      </c>
      <c r="AS143" s="667" t="e">
        <f t="shared" si="150"/>
        <v>#VALUE!</v>
      </c>
      <c r="AT143" s="668" t="e">
        <f t="shared" si="151"/>
        <v>#VALUE!</v>
      </c>
      <c r="AU143" s="667" t="e">
        <f t="shared" si="152"/>
        <v>#VALUE!</v>
      </c>
      <c r="AV143" s="669" t="e">
        <f t="shared" si="153"/>
        <v>#VALUE!</v>
      </c>
      <c r="AW143" s="667" t="e">
        <f t="shared" si="154"/>
        <v>#VALUE!</v>
      </c>
      <c r="AX143" s="667" t="e">
        <f t="shared" si="155"/>
        <v>#VALUE!</v>
      </c>
      <c r="AY143" s="660" t="e">
        <f t="shared" si="156"/>
        <v>#VALUE!</v>
      </c>
      <c r="AZ143" s="670" t="e">
        <f t="shared" si="157"/>
        <v>#VALUE!</v>
      </c>
      <c r="BB143" s="662" t="e">
        <f>INDEX('Vessel Gauging Data'!$B$26:$V$56,MATCH($C143,'Vessel Gauging Data'!$B$26:$B$56,0),$BB$18)</f>
        <v>#N/A</v>
      </c>
      <c r="BC143" s="662" t="e">
        <f>INDEX('Vessel Gauging Data'!$B$26:$V$56,MATCH($C143,'Vessel Gauging Data'!$B$26:$B$56,0),$BC$18)</f>
        <v>#N/A</v>
      </c>
      <c r="BD143" s="662" t="e">
        <f>INDEX('Vessel Gauging Data'!$B$26:$V$56,MATCH($C143,'Vessel Gauging Data'!$B$26:$B$56,0),$BD$18)</f>
        <v>#N/A</v>
      </c>
      <c r="BE143" s="662" t="e">
        <f>INDEX('Vessel Gauging Data'!$B$26:$V$56,MATCH($C143,'Vessel Gauging Data'!$B$26:$B$56,0),$BE$18)</f>
        <v>#N/A</v>
      </c>
    </row>
    <row r="144" spans="1:57" hidden="1">
      <c r="A144" s="641" t="str">
        <f t="shared" si="123"/>
        <v>N</v>
      </c>
      <c r="C144" s="235" t="str">
        <f t="array" ref="C144">IF(OR($E$136="",SUMPRODUCT(('Vessel Gauging Data'!$C$27:$C$56=$E$136)*('Vessel Gauging Data'!$D$27:$D$56=NOMY))&lt;ROWS($C$137:$C144)),"",INDEX('Vessel Gauging Data'!$B$27:$B$56,SMALL(IF(('Vessel Gauging Data'!$C$27:$C$56=$E$136)+('Vessel Gauging Data'!$D$27:$D$56=NOMY)=2,ROW('Vessel Gauging Data'!$B$27:$B$56)-ROW('Vessel Gauging Data'!$C$26)),ROW()-ROW(C$136))))</f>
        <v/>
      </c>
      <c r="D144" s="211" t="str">
        <f>IF(OR($C144="",$C144=0),"",INDEX('Vessel Gauging Data'!$B$26:$V$56,MATCH($C144,'Vessel Gauging Data'!$B$27:$B$56,0)+1,2))</f>
        <v/>
      </c>
      <c r="E144" s="1016" t="str">
        <f t="shared" si="124"/>
        <v/>
      </c>
      <c r="F144" s="1016" t="str">
        <f t="shared" si="125"/>
        <v/>
      </c>
      <c r="G144" s="1016" t="str">
        <f t="shared" si="126"/>
        <v/>
      </c>
      <c r="H144" s="1016" t="str">
        <f t="shared" si="126"/>
        <v/>
      </c>
      <c r="I144" s="211" t="str">
        <f t="shared" si="127"/>
        <v/>
      </c>
      <c r="J144" s="1016" t="str">
        <f t="shared" si="128"/>
        <v/>
      </c>
      <c r="K144" s="213" t="str">
        <f t="shared" si="129"/>
        <v/>
      </c>
      <c r="L144" s="212" t="str">
        <f t="shared" si="130"/>
        <v/>
      </c>
      <c r="M144" s="1125" t="str">
        <f>IF(OR($C144="",$C144=0),"",INDEX(API1DENST,MATCH($C144,'Vessel Gauging Data'!$B$27:$B$56,0),$AA$1))</f>
        <v/>
      </c>
      <c r="N144" s="212" t="str">
        <f t="shared" si="131"/>
        <v/>
      </c>
      <c r="O144" s="1016" t="str">
        <f t="shared" si="132"/>
        <v/>
      </c>
      <c r="P144" s="1125" t="str">
        <f t="shared" si="133"/>
        <v/>
      </c>
      <c r="Q144" s="1016" t="str">
        <f t="shared" si="134"/>
        <v/>
      </c>
      <c r="R144" s="214" t="str">
        <f t="shared" si="135"/>
        <v/>
      </c>
      <c r="S144" s="1125" t="str">
        <f t="shared" si="136"/>
        <v/>
      </c>
      <c r="T144" s="236" t="str">
        <f t="shared" si="137"/>
        <v/>
      </c>
      <c r="V144" s="642" t="e">
        <f>INDEX('Vessel Gauging Data'!$B$26:$V$56,MATCH($C144,'Vessel Gauging Data'!$B$26:$B$56,0),$V$18)</f>
        <v>#N/A</v>
      </c>
      <c r="W144" s="642" t="e">
        <f>INDEX('Vessel Gauging Data'!$B$26:$V$56,MATCH($C144,'Vessel Gauging Data'!$B$26:$B$56,0),$W$18)</f>
        <v>#N/A</v>
      </c>
      <c r="X144" s="642" t="e">
        <f>INDEX('Vessel Gauging Data'!$B$26:$V$56,MATCH($C144,'Vessel Gauging Data'!$B$26:$B$56,0),$X$18)</f>
        <v>#N/A</v>
      </c>
      <c r="Y144" s="642" t="e">
        <f>INDEX('Vessel Gauging Data'!$B$26:$V$56,MATCH($C144,'Vessel Gauging Data'!$B$26:$B$56,0),$Y$18)</f>
        <v>#N/A</v>
      </c>
      <c r="Z144" s="642" t="e">
        <f>INDEX('Vessel Gauging Data'!$B$26:$V$56,MATCH($C144,'Vessel Gauging Data'!$B$26:$B$56,0),$Z$18)</f>
        <v>#N/A</v>
      </c>
      <c r="AB144" s="642" t="e">
        <f>INDEX(API1DENST,MATCH($C144,'Vessel Gauging Data'!$B$27:$B$56,0),1)</f>
        <v>#N/A</v>
      </c>
      <c r="AC144" s="642" t="e">
        <f t="shared" si="138"/>
        <v>#N/A</v>
      </c>
      <c r="AE144" s="661" t="e">
        <f t="shared" si="139"/>
        <v>#VALUE!</v>
      </c>
      <c r="AF144" s="661" t="e">
        <f t="shared" si="140"/>
        <v>#VALUE!</v>
      </c>
      <c r="AH144" s="662" t="str">
        <f t="shared" si="121"/>
        <v/>
      </c>
      <c r="AI144" s="662" t="str">
        <f t="shared" si="122"/>
        <v/>
      </c>
      <c r="AJ144" s="663">
        <f t="shared" si="141"/>
        <v>192.4571</v>
      </c>
      <c r="AK144" s="660">
        <f t="shared" si="142"/>
        <v>0.24379999999999999</v>
      </c>
      <c r="AL144" s="660" t="e">
        <f t="shared" si="143"/>
        <v>#VALUE!</v>
      </c>
      <c r="AM144" s="664" t="e">
        <f t="shared" si="144"/>
        <v>#VALUE!</v>
      </c>
      <c r="AN144" s="664" t="e">
        <f t="shared" si="145"/>
        <v>#VALUE!</v>
      </c>
      <c r="AO144" s="665" t="e">
        <f t="shared" si="146"/>
        <v>#VALUE!</v>
      </c>
      <c r="AP144" s="666" t="e">
        <f t="shared" si="147"/>
        <v>#VALUE!</v>
      </c>
      <c r="AQ144" s="660" t="e">
        <f t="shared" si="148"/>
        <v>#VALUE!</v>
      </c>
      <c r="AR144" s="667" t="e">
        <f t="shared" si="149"/>
        <v>#VALUE!</v>
      </c>
      <c r="AS144" s="667" t="e">
        <f t="shared" si="150"/>
        <v>#VALUE!</v>
      </c>
      <c r="AT144" s="668" t="e">
        <f t="shared" si="151"/>
        <v>#VALUE!</v>
      </c>
      <c r="AU144" s="667" t="e">
        <f t="shared" si="152"/>
        <v>#VALUE!</v>
      </c>
      <c r="AV144" s="669" t="e">
        <f t="shared" si="153"/>
        <v>#VALUE!</v>
      </c>
      <c r="AW144" s="667" t="e">
        <f t="shared" si="154"/>
        <v>#VALUE!</v>
      </c>
      <c r="AX144" s="667" t="e">
        <f t="shared" si="155"/>
        <v>#VALUE!</v>
      </c>
      <c r="AY144" s="660" t="e">
        <f t="shared" si="156"/>
        <v>#VALUE!</v>
      </c>
      <c r="AZ144" s="670" t="e">
        <f t="shared" si="157"/>
        <v>#VALUE!</v>
      </c>
      <c r="BB144" s="662" t="e">
        <f>INDEX('Vessel Gauging Data'!$B$26:$V$56,MATCH($C144,'Vessel Gauging Data'!$B$26:$B$56,0),$BB$18)</f>
        <v>#N/A</v>
      </c>
      <c r="BC144" s="662" t="e">
        <f>INDEX('Vessel Gauging Data'!$B$26:$V$56,MATCH($C144,'Vessel Gauging Data'!$B$26:$B$56,0),$BC$18)</f>
        <v>#N/A</v>
      </c>
      <c r="BD144" s="662" t="e">
        <f>INDEX('Vessel Gauging Data'!$B$26:$V$56,MATCH($C144,'Vessel Gauging Data'!$B$26:$B$56,0),$BD$18)</f>
        <v>#N/A</v>
      </c>
      <c r="BE144" s="662" t="e">
        <f>INDEX('Vessel Gauging Data'!$B$26:$V$56,MATCH($C144,'Vessel Gauging Data'!$B$26:$B$56,0),$BE$18)</f>
        <v>#N/A</v>
      </c>
    </row>
    <row r="145" spans="1:57" hidden="1">
      <c r="A145" s="641" t="str">
        <f t="shared" si="123"/>
        <v>N</v>
      </c>
      <c r="C145" s="235" t="str">
        <f t="array" ref="C145">IF(OR($E$136="",SUMPRODUCT(('Vessel Gauging Data'!$C$27:$C$56=$E$136)*('Vessel Gauging Data'!$D$27:$D$56=NOMY))&lt;ROWS($C$137:$C145)),"",INDEX('Vessel Gauging Data'!$B$27:$B$56,SMALL(IF(('Vessel Gauging Data'!$C$27:$C$56=$E$136)+('Vessel Gauging Data'!$D$27:$D$56=NOMY)=2,ROW('Vessel Gauging Data'!$B$27:$B$56)-ROW('Vessel Gauging Data'!$C$26)),ROW()-ROW(C$136))))</f>
        <v/>
      </c>
      <c r="D145" s="211" t="str">
        <f>IF(OR($C145="",$C145=0),"",INDEX('Vessel Gauging Data'!$B$26:$V$56,MATCH($C145,'Vessel Gauging Data'!$B$27:$B$56,0)+1,2))</f>
        <v/>
      </c>
      <c r="E145" s="1016" t="str">
        <f t="shared" si="124"/>
        <v/>
      </c>
      <c r="F145" s="1016" t="str">
        <f t="shared" si="125"/>
        <v/>
      </c>
      <c r="G145" s="1016" t="str">
        <f t="shared" si="126"/>
        <v/>
      </c>
      <c r="H145" s="1016" t="str">
        <f t="shared" si="126"/>
        <v/>
      </c>
      <c r="I145" s="211" t="str">
        <f t="shared" si="127"/>
        <v/>
      </c>
      <c r="J145" s="1016" t="str">
        <f t="shared" si="128"/>
        <v/>
      </c>
      <c r="K145" s="213" t="str">
        <f t="shared" si="129"/>
        <v/>
      </c>
      <c r="L145" s="212" t="str">
        <f t="shared" si="130"/>
        <v/>
      </c>
      <c r="M145" s="1125" t="str">
        <f>IF(OR($C145="",$C145=0),"",INDEX(API1DENST,MATCH($C145,'Vessel Gauging Data'!$B$27:$B$56,0),$AA$1))</f>
        <v/>
      </c>
      <c r="N145" s="212" t="str">
        <f t="shared" si="131"/>
        <v/>
      </c>
      <c r="O145" s="1016" t="str">
        <f t="shared" si="132"/>
        <v/>
      </c>
      <c r="P145" s="1125" t="str">
        <f t="shared" si="133"/>
        <v/>
      </c>
      <c r="Q145" s="1016" t="str">
        <f t="shared" si="134"/>
        <v/>
      </c>
      <c r="R145" s="214" t="str">
        <f t="shared" si="135"/>
        <v/>
      </c>
      <c r="S145" s="1125" t="str">
        <f t="shared" si="136"/>
        <v/>
      </c>
      <c r="T145" s="236" t="str">
        <f t="shared" si="137"/>
        <v/>
      </c>
      <c r="V145" s="642" t="e">
        <f>INDEX('Vessel Gauging Data'!$B$26:$V$56,MATCH($C145,'Vessel Gauging Data'!$B$26:$B$56,0),$V$18)</f>
        <v>#N/A</v>
      </c>
      <c r="W145" s="642" t="e">
        <f>INDEX('Vessel Gauging Data'!$B$26:$V$56,MATCH($C145,'Vessel Gauging Data'!$B$26:$B$56,0),$W$18)</f>
        <v>#N/A</v>
      </c>
      <c r="X145" s="642" t="e">
        <f>INDEX('Vessel Gauging Data'!$B$26:$V$56,MATCH($C145,'Vessel Gauging Data'!$B$26:$B$56,0),$X$18)</f>
        <v>#N/A</v>
      </c>
      <c r="Y145" s="642" t="e">
        <f>INDEX('Vessel Gauging Data'!$B$26:$V$56,MATCH($C145,'Vessel Gauging Data'!$B$26:$B$56,0),$Y$18)</f>
        <v>#N/A</v>
      </c>
      <c r="Z145" s="642" t="e">
        <f>INDEX('Vessel Gauging Data'!$B$26:$V$56,MATCH($C145,'Vessel Gauging Data'!$B$26:$B$56,0),$Z$18)</f>
        <v>#N/A</v>
      </c>
      <c r="AB145" s="642" t="e">
        <f>INDEX(API1DENST,MATCH($C145,'Vessel Gauging Data'!$B$27:$B$56,0),1)</f>
        <v>#N/A</v>
      </c>
      <c r="AC145" s="642" t="e">
        <f t="shared" si="138"/>
        <v>#N/A</v>
      </c>
      <c r="AE145" s="661" t="e">
        <f t="shared" si="139"/>
        <v>#VALUE!</v>
      </c>
      <c r="AF145" s="661" t="e">
        <f t="shared" si="140"/>
        <v>#VALUE!</v>
      </c>
      <c r="AH145" s="662" t="str">
        <f t="shared" si="121"/>
        <v/>
      </c>
      <c r="AI145" s="662" t="str">
        <f t="shared" si="122"/>
        <v/>
      </c>
      <c r="AJ145" s="663">
        <f t="shared" si="141"/>
        <v>192.4571</v>
      </c>
      <c r="AK145" s="660">
        <f t="shared" si="142"/>
        <v>0.24379999999999999</v>
      </c>
      <c r="AL145" s="660" t="e">
        <f t="shared" si="143"/>
        <v>#VALUE!</v>
      </c>
      <c r="AM145" s="664" t="e">
        <f t="shared" si="144"/>
        <v>#VALUE!</v>
      </c>
      <c r="AN145" s="664" t="e">
        <f t="shared" si="145"/>
        <v>#VALUE!</v>
      </c>
      <c r="AO145" s="665" t="e">
        <f t="shared" si="146"/>
        <v>#VALUE!</v>
      </c>
      <c r="AP145" s="666" t="e">
        <f t="shared" si="147"/>
        <v>#VALUE!</v>
      </c>
      <c r="AQ145" s="660" t="e">
        <f t="shared" si="148"/>
        <v>#VALUE!</v>
      </c>
      <c r="AR145" s="667" t="e">
        <f t="shared" si="149"/>
        <v>#VALUE!</v>
      </c>
      <c r="AS145" s="667" t="e">
        <f t="shared" si="150"/>
        <v>#VALUE!</v>
      </c>
      <c r="AT145" s="668" t="e">
        <f t="shared" si="151"/>
        <v>#VALUE!</v>
      </c>
      <c r="AU145" s="667" t="e">
        <f t="shared" si="152"/>
        <v>#VALUE!</v>
      </c>
      <c r="AV145" s="669" t="e">
        <f t="shared" si="153"/>
        <v>#VALUE!</v>
      </c>
      <c r="AW145" s="667" t="e">
        <f t="shared" si="154"/>
        <v>#VALUE!</v>
      </c>
      <c r="AX145" s="667" t="e">
        <f t="shared" si="155"/>
        <v>#VALUE!</v>
      </c>
      <c r="AY145" s="660" t="e">
        <f t="shared" si="156"/>
        <v>#VALUE!</v>
      </c>
      <c r="AZ145" s="670" t="e">
        <f t="shared" si="157"/>
        <v>#VALUE!</v>
      </c>
      <c r="BB145" s="662" t="e">
        <f>INDEX('Vessel Gauging Data'!$B$26:$V$56,MATCH($C145,'Vessel Gauging Data'!$B$26:$B$56,0),$BB$18)</f>
        <v>#N/A</v>
      </c>
      <c r="BC145" s="662" t="e">
        <f>INDEX('Vessel Gauging Data'!$B$26:$V$56,MATCH($C145,'Vessel Gauging Data'!$B$26:$B$56,0),$BC$18)</f>
        <v>#N/A</v>
      </c>
      <c r="BD145" s="662" t="e">
        <f>INDEX('Vessel Gauging Data'!$B$26:$V$56,MATCH($C145,'Vessel Gauging Data'!$B$26:$B$56,0),$BD$18)</f>
        <v>#N/A</v>
      </c>
      <c r="BE145" s="662" t="e">
        <f>INDEX('Vessel Gauging Data'!$B$26:$V$56,MATCH($C145,'Vessel Gauging Data'!$B$26:$B$56,0),$BE$18)</f>
        <v>#N/A</v>
      </c>
    </row>
    <row r="146" spans="1:57" hidden="1">
      <c r="A146" s="641" t="str">
        <f t="shared" si="123"/>
        <v>N</v>
      </c>
      <c r="C146" s="235" t="str">
        <f t="array" ref="C146">IF(OR($E$136="",SUMPRODUCT(('Vessel Gauging Data'!$C$27:$C$56=$E$136)*('Vessel Gauging Data'!$D$27:$D$56=NOMY))&lt;ROWS($C$137:$C146)),"",INDEX('Vessel Gauging Data'!$B$27:$B$56,SMALL(IF(('Vessel Gauging Data'!$C$27:$C$56=$E$136)+('Vessel Gauging Data'!$D$27:$D$56=NOMY)=2,ROW('Vessel Gauging Data'!$B$27:$B$56)-ROW('Vessel Gauging Data'!$C$26)),ROW()-ROW(C$136))))</f>
        <v/>
      </c>
      <c r="D146" s="211" t="str">
        <f>IF(OR($C146="",$C146=0),"",INDEX('Vessel Gauging Data'!$B$26:$V$56,MATCH($C146,'Vessel Gauging Data'!$B$27:$B$56,0)+1,2))</f>
        <v/>
      </c>
      <c r="E146" s="1016" t="str">
        <f t="shared" si="124"/>
        <v/>
      </c>
      <c r="F146" s="1016" t="str">
        <f t="shared" si="125"/>
        <v/>
      </c>
      <c r="G146" s="1016" t="str">
        <f t="shared" si="126"/>
        <v/>
      </c>
      <c r="H146" s="1016" t="str">
        <f t="shared" si="126"/>
        <v/>
      </c>
      <c r="I146" s="211" t="str">
        <f t="shared" si="127"/>
        <v/>
      </c>
      <c r="J146" s="1016" t="str">
        <f t="shared" si="128"/>
        <v/>
      </c>
      <c r="K146" s="213" t="str">
        <f t="shared" si="129"/>
        <v/>
      </c>
      <c r="L146" s="212" t="str">
        <f t="shared" si="130"/>
        <v/>
      </c>
      <c r="M146" s="1125" t="str">
        <f>IF(OR($C146="",$C146=0),"",INDEX(API1DENST,MATCH($C146,'Vessel Gauging Data'!$B$27:$B$56,0),$AA$1))</f>
        <v/>
      </c>
      <c r="N146" s="212" t="str">
        <f t="shared" si="131"/>
        <v/>
      </c>
      <c r="O146" s="1016" t="str">
        <f t="shared" si="132"/>
        <v/>
      </c>
      <c r="P146" s="1125" t="str">
        <f t="shared" si="133"/>
        <v/>
      </c>
      <c r="Q146" s="1016" t="str">
        <f t="shared" si="134"/>
        <v/>
      </c>
      <c r="R146" s="214" t="str">
        <f t="shared" si="135"/>
        <v/>
      </c>
      <c r="S146" s="1125" t="str">
        <f t="shared" si="136"/>
        <v/>
      </c>
      <c r="T146" s="236" t="str">
        <f t="shared" si="137"/>
        <v/>
      </c>
      <c r="V146" s="642" t="e">
        <f>INDEX('Vessel Gauging Data'!$B$26:$V$56,MATCH($C146,'Vessel Gauging Data'!$B$26:$B$56,0),$V$18)</f>
        <v>#N/A</v>
      </c>
      <c r="W146" s="642" t="e">
        <f>INDEX('Vessel Gauging Data'!$B$26:$V$56,MATCH($C146,'Vessel Gauging Data'!$B$26:$B$56,0),$W$18)</f>
        <v>#N/A</v>
      </c>
      <c r="X146" s="642" t="e">
        <f>INDEX('Vessel Gauging Data'!$B$26:$V$56,MATCH($C146,'Vessel Gauging Data'!$B$26:$B$56,0),$X$18)</f>
        <v>#N/A</v>
      </c>
      <c r="Y146" s="642" t="e">
        <f>INDEX('Vessel Gauging Data'!$B$26:$V$56,MATCH($C146,'Vessel Gauging Data'!$B$26:$B$56,0),$Y$18)</f>
        <v>#N/A</v>
      </c>
      <c r="Z146" s="642" t="e">
        <f>INDEX('Vessel Gauging Data'!$B$26:$V$56,MATCH($C146,'Vessel Gauging Data'!$B$26:$B$56,0),$Z$18)</f>
        <v>#N/A</v>
      </c>
      <c r="AB146" s="642" t="e">
        <f>INDEX(API1DENST,MATCH($C146,'Vessel Gauging Data'!$B$27:$B$56,0),1)</f>
        <v>#N/A</v>
      </c>
      <c r="AC146" s="642" t="e">
        <f t="shared" si="138"/>
        <v>#N/A</v>
      </c>
      <c r="AE146" s="661" t="e">
        <f t="shared" si="139"/>
        <v>#VALUE!</v>
      </c>
      <c r="AF146" s="661" t="e">
        <f t="shared" si="140"/>
        <v>#VALUE!</v>
      </c>
      <c r="AH146" s="662" t="str">
        <f t="shared" si="121"/>
        <v/>
      </c>
      <c r="AI146" s="662" t="str">
        <f t="shared" si="122"/>
        <v/>
      </c>
      <c r="AJ146" s="663">
        <f t="shared" si="141"/>
        <v>192.4571</v>
      </c>
      <c r="AK146" s="660">
        <f t="shared" si="142"/>
        <v>0.24379999999999999</v>
      </c>
      <c r="AL146" s="660" t="e">
        <f t="shared" si="143"/>
        <v>#VALUE!</v>
      </c>
      <c r="AM146" s="664" t="e">
        <f t="shared" si="144"/>
        <v>#VALUE!</v>
      </c>
      <c r="AN146" s="664" t="e">
        <f t="shared" si="145"/>
        <v>#VALUE!</v>
      </c>
      <c r="AO146" s="665" t="e">
        <f t="shared" si="146"/>
        <v>#VALUE!</v>
      </c>
      <c r="AP146" s="666" t="e">
        <f t="shared" si="147"/>
        <v>#VALUE!</v>
      </c>
      <c r="AQ146" s="660" t="e">
        <f t="shared" si="148"/>
        <v>#VALUE!</v>
      </c>
      <c r="AR146" s="667" t="e">
        <f t="shared" si="149"/>
        <v>#VALUE!</v>
      </c>
      <c r="AS146" s="667" t="e">
        <f t="shared" si="150"/>
        <v>#VALUE!</v>
      </c>
      <c r="AT146" s="668" t="e">
        <f t="shared" si="151"/>
        <v>#VALUE!</v>
      </c>
      <c r="AU146" s="667" t="e">
        <f t="shared" si="152"/>
        <v>#VALUE!</v>
      </c>
      <c r="AV146" s="669" t="e">
        <f t="shared" si="153"/>
        <v>#VALUE!</v>
      </c>
      <c r="AW146" s="667" t="e">
        <f t="shared" si="154"/>
        <v>#VALUE!</v>
      </c>
      <c r="AX146" s="667" t="e">
        <f t="shared" si="155"/>
        <v>#VALUE!</v>
      </c>
      <c r="AY146" s="660" t="e">
        <f t="shared" si="156"/>
        <v>#VALUE!</v>
      </c>
      <c r="AZ146" s="670" t="e">
        <f t="shared" si="157"/>
        <v>#VALUE!</v>
      </c>
      <c r="BB146" s="662" t="e">
        <f>INDEX('Vessel Gauging Data'!$B$26:$V$56,MATCH($C146,'Vessel Gauging Data'!$B$26:$B$56,0),$BB$18)</f>
        <v>#N/A</v>
      </c>
      <c r="BC146" s="662" t="e">
        <f>INDEX('Vessel Gauging Data'!$B$26:$V$56,MATCH($C146,'Vessel Gauging Data'!$B$26:$B$56,0),$BC$18)</f>
        <v>#N/A</v>
      </c>
      <c r="BD146" s="662" t="e">
        <f>INDEX('Vessel Gauging Data'!$B$26:$V$56,MATCH($C146,'Vessel Gauging Data'!$B$26:$B$56,0),$BD$18)</f>
        <v>#N/A</v>
      </c>
      <c r="BE146" s="662" t="e">
        <f>INDEX('Vessel Gauging Data'!$B$26:$V$56,MATCH($C146,'Vessel Gauging Data'!$B$26:$B$56,0),$BE$18)</f>
        <v>#N/A</v>
      </c>
    </row>
    <row r="147" spans="1:57" hidden="1">
      <c r="A147" s="641" t="str">
        <f t="shared" si="123"/>
        <v>N</v>
      </c>
      <c r="C147" s="235" t="str">
        <f t="array" ref="C147">IF(OR($E$136="",SUMPRODUCT(('Vessel Gauging Data'!$C$27:$C$56=$E$136)*('Vessel Gauging Data'!$D$27:$D$56=NOMY))&lt;ROWS($C$137:$C147)),"",INDEX('Vessel Gauging Data'!$B$27:$B$56,SMALL(IF(('Vessel Gauging Data'!$C$27:$C$56=$E$136)+('Vessel Gauging Data'!$D$27:$D$56=NOMY)=2,ROW('Vessel Gauging Data'!$B$27:$B$56)-ROW('Vessel Gauging Data'!$C$26)),ROW()-ROW(C$136))))</f>
        <v/>
      </c>
      <c r="D147" s="211" t="str">
        <f>IF(OR($C147="",$C147=0),"",INDEX('Vessel Gauging Data'!$B$26:$V$56,MATCH($C147,'Vessel Gauging Data'!$B$27:$B$56,0)+1,2))</f>
        <v/>
      </c>
      <c r="E147" s="1016" t="str">
        <f t="shared" si="124"/>
        <v/>
      </c>
      <c r="F147" s="1016" t="str">
        <f t="shared" si="125"/>
        <v/>
      </c>
      <c r="G147" s="1016" t="str">
        <f t="shared" si="126"/>
        <v/>
      </c>
      <c r="H147" s="1016" t="str">
        <f t="shared" si="126"/>
        <v/>
      </c>
      <c r="I147" s="211" t="str">
        <f t="shared" si="127"/>
        <v/>
      </c>
      <c r="J147" s="1016" t="str">
        <f t="shared" si="128"/>
        <v/>
      </c>
      <c r="K147" s="213" t="str">
        <f t="shared" si="129"/>
        <v/>
      </c>
      <c r="L147" s="212" t="str">
        <f t="shared" si="130"/>
        <v/>
      </c>
      <c r="M147" s="1125" t="str">
        <f>IF(OR($C147="",$C147=0),"",INDEX(API1DENST,MATCH($C147,'Vessel Gauging Data'!$B$27:$B$56,0),$AA$1))</f>
        <v/>
      </c>
      <c r="N147" s="212" t="str">
        <f t="shared" si="131"/>
        <v/>
      </c>
      <c r="O147" s="1016" t="str">
        <f t="shared" si="132"/>
        <v/>
      </c>
      <c r="P147" s="1125" t="str">
        <f t="shared" si="133"/>
        <v/>
      </c>
      <c r="Q147" s="1016" t="str">
        <f t="shared" si="134"/>
        <v/>
      </c>
      <c r="R147" s="214" t="str">
        <f t="shared" si="135"/>
        <v/>
      </c>
      <c r="S147" s="1125" t="str">
        <f t="shared" si="136"/>
        <v/>
      </c>
      <c r="T147" s="236" t="str">
        <f t="shared" si="137"/>
        <v/>
      </c>
      <c r="V147" s="642" t="e">
        <f>INDEX('Vessel Gauging Data'!$B$26:$V$56,MATCH($C147,'Vessel Gauging Data'!$B$26:$B$56,0),$V$18)</f>
        <v>#N/A</v>
      </c>
      <c r="W147" s="642" t="e">
        <f>INDEX('Vessel Gauging Data'!$B$26:$V$56,MATCH($C147,'Vessel Gauging Data'!$B$26:$B$56,0),$W$18)</f>
        <v>#N/A</v>
      </c>
      <c r="X147" s="642" t="e">
        <f>INDEX('Vessel Gauging Data'!$B$26:$V$56,MATCH($C147,'Vessel Gauging Data'!$B$26:$B$56,0),$X$18)</f>
        <v>#N/A</v>
      </c>
      <c r="Y147" s="642" t="e">
        <f>INDEX('Vessel Gauging Data'!$B$26:$V$56,MATCH($C147,'Vessel Gauging Data'!$B$26:$B$56,0),$Y$18)</f>
        <v>#N/A</v>
      </c>
      <c r="Z147" s="642" t="e">
        <f>INDEX('Vessel Gauging Data'!$B$26:$V$56,MATCH($C147,'Vessel Gauging Data'!$B$26:$B$56,0),$Z$18)</f>
        <v>#N/A</v>
      </c>
      <c r="AB147" s="642" t="e">
        <f>INDEX(API1DENST,MATCH($C147,'Vessel Gauging Data'!$B$27:$B$56,0),1)</f>
        <v>#N/A</v>
      </c>
      <c r="AC147" s="642" t="e">
        <f t="shared" si="138"/>
        <v>#N/A</v>
      </c>
      <c r="AE147" s="661" t="e">
        <f t="shared" si="139"/>
        <v>#VALUE!</v>
      </c>
      <c r="AF147" s="661" t="e">
        <f t="shared" si="140"/>
        <v>#VALUE!</v>
      </c>
      <c r="AH147" s="662" t="str">
        <f t="shared" si="121"/>
        <v/>
      </c>
      <c r="AI147" s="662" t="str">
        <f t="shared" si="122"/>
        <v/>
      </c>
      <c r="AJ147" s="663">
        <f t="shared" si="141"/>
        <v>192.4571</v>
      </c>
      <c r="AK147" s="660">
        <f t="shared" si="142"/>
        <v>0.24379999999999999</v>
      </c>
      <c r="AL147" s="660" t="e">
        <f t="shared" si="143"/>
        <v>#VALUE!</v>
      </c>
      <c r="AM147" s="664" t="e">
        <f t="shared" si="144"/>
        <v>#VALUE!</v>
      </c>
      <c r="AN147" s="664" t="e">
        <f t="shared" si="145"/>
        <v>#VALUE!</v>
      </c>
      <c r="AO147" s="665" t="e">
        <f t="shared" si="146"/>
        <v>#VALUE!</v>
      </c>
      <c r="AP147" s="666" t="e">
        <f t="shared" si="147"/>
        <v>#VALUE!</v>
      </c>
      <c r="AQ147" s="660" t="e">
        <f t="shared" si="148"/>
        <v>#VALUE!</v>
      </c>
      <c r="AR147" s="667" t="e">
        <f t="shared" si="149"/>
        <v>#VALUE!</v>
      </c>
      <c r="AS147" s="667" t="e">
        <f t="shared" si="150"/>
        <v>#VALUE!</v>
      </c>
      <c r="AT147" s="668" t="e">
        <f t="shared" si="151"/>
        <v>#VALUE!</v>
      </c>
      <c r="AU147" s="667" t="e">
        <f t="shared" si="152"/>
        <v>#VALUE!</v>
      </c>
      <c r="AV147" s="669" t="e">
        <f t="shared" si="153"/>
        <v>#VALUE!</v>
      </c>
      <c r="AW147" s="667" t="e">
        <f t="shared" si="154"/>
        <v>#VALUE!</v>
      </c>
      <c r="AX147" s="667" t="e">
        <f t="shared" si="155"/>
        <v>#VALUE!</v>
      </c>
      <c r="AY147" s="660" t="e">
        <f t="shared" si="156"/>
        <v>#VALUE!</v>
      </c>
      <c r="AZ147" s="670" t="e">
        <f t="shared" si="157"/>
        <v>#VALUE!</v>
      </c>
      <c r="BB147" s="662" t="e">
        <f>INDEX('Vessel Gauging Data'!$B$26:$V$56,MATCH($C147,'Vessel Gauging Data'!$B$26:$B$56,0),$BB$18)</f>
        <v>#N/A</v>
      </c>
      <c r="BC147" s="662" t="e">
        <f>INDEX('Vessel Gauging Data'!$B$26:$V$56,MATCH($C147,'Vessel Gauging Data'!$B$26:$B$56,0),$BC$18)</f>
        <v>#N/A</v>
      </c>
      <c r="BD147" s="662" t="e">
        <f>INDEX('Vessel Gauging Data'!$B$26:$V$56,MATCH($C147,'Vessel Gauging Data'!$B$26:$B$56,0),$BD$18)</f>
        <v>#N/A</v>
      </c>
      <c r="BE147" s="662" t="e">
        <f>INDEX('Vessel Gauging Data'!$B$26:$V$56,MATCH($C147,'Vessel Gauging Data'!$B$26:$B$56,0),$BE$18)</f>
        <v>#N/A</v>
      </c>
    </row>
    <row r="148" spans="1:57" hidden="1">
      <c r="A148" s="641" t="str">
        <f t="shared" si="123"/>
        <v>N</v>
      </c>
      <c r="C148" s="235" t="str">
        <f t="array" ref="C148">IF(OR($E$136="",SUMPRODUCT(('Vessel Gauging Data'!$C$27:$C$56=$E$136)*('Vessel Gauging Data'!$D$27:$D$56=NOMY))&lt;ROWS($C$137:$C148)),"",INDEX('Vessel Gauging Data'!$B$27:$B$56,SMALL(IF(('Vessel Gauging Data'!$C$27:$C$56=$E$136)+('Vessel Gauging Data'!$D$27:$D$56=NOMY)=2,ROW('Vessel Gauging Data'!$B$27:$B$56)-ROW('Vessel Gauging Data'!$C$26)),ROW()-ROW(C$136))))</f>
        <v/>
      </c>
      <c r="D148" s="211" t="str">
        <f>IF(OR($C148="",$C148=0),"",INDEX('Vessel Gauging Data'!$B$26:$V$56,MATCH($C148,'Vessel Gauging Data'!$B$27:$B$56,0)+1,2))</f>
        <v/>
      </c>
      <c r="E148" s="1016" t="str">
        <f t="shared" si="124"/>
        <v/>
      </c>
      <c r="F148" s="1016" t="str">
        <f t="shared" si="125"/>
        <v/>
      </c>
      <c r="G148" s="1016" t="str">
        <f t="shared" si="126"/>
        <v/>
      </c>
      <c r="H148" s="1016" t="str">
        <f t="shared" si="126"/>
        <v/>
      </c>
      <c r="I148" s="211" t="str">
        <f t="shared" si="127"/>
        <v/>
      </c>
      <c r="J148" s="1016" t="str">
        <f t="shared" si="128"/>
        <v/>
      </c>
      <c r="K148" s="213" t="str">
        <f t="shared" si="129"/>
        <v/>
      </c>
      <c r="L148" s="212" t="str">
        <f t="shared" si="130"/>
        <v/>
      </c>
      <c r="M148" s="1125" t="str">
        <f>IF(OR($C148="",$C148=0),"",INDEX(API1DENST,MATCH($C148,'Vessel Gauging Data'!$B$27:$B$56,0),$AA$1))</f>
        <v/>
      </c>
      <c r="N148" s="212" t="str">
        <f t="shared" si="131"/>
        <v/>
      </c>
      <c r="O148" s="1016" t="str">
        <f t="shared" si="132"/>
        <v/>
      </c>
      <c r="P148" s="1125" t="str">
        <f t="shared" si="133"/>
        <v/>
      </c>
      <c r="Q148" s="1016" t="str">
        <f t="shared" si="134"/>
        <v/>
      </c>
      <c r="R148" s="214" t="str">
        <f t="shared" si="135"/>
        <v/>
      </c>
      <c r="S148" s="1125" t="str">
        <f t="shared" si="136"/>
        <v/>
      </c>
      <c r="T148" s="236" t="str">
        <f t="shared" si="137"/>
        <v/>
      </c>
      <c r="V148" s="642" t="e">
        <f>INDEX('Vessel Gauging Data'!$B$26:$V$56,MATCH($C148,'Vessel Gauging Data'!$B$26:$B$56,0),$V$18)</f>
        <v>#N/A</v>
      </c>
      <c r="W148" s="642" t="e">
        <f>INDEX('Vessel Gauging Data'!$B$26:$V$56,MATCH($C148,'Vessel Gauging Data'!$B$26:$B$56,0),$W$18)</f>
        <v>#N/A</v>
      </c>
      <c r="X148" s="642" t="e">
        <f>INDEX('Vessel Gauging Data'!$B$26:$V$56,MATCH($C148,'Vessel Gauging Data'!$B$26:$B$56,0),$X$18)</f>
        <v>#N/A</v>
      </c>
      <c r="Y148" s="642" t="e">
        <f>INDEX('Vessel Gauging Data'!$B$26:$V$56,MATCH($C148,'Vessel Gauging Data'!$B$26:$B$56,0),$Y$18)</f>
        <v>#N/A</v>
      </c>
      <c r="Z148" s="642" t="e">
        <f>INDEX('Vessel Gauging Data'!$B$26:$V$56,MATCH($C148,'Vessel Gauging Data'!$B$26:$B$56,0),$Z$18)</f>
        <v>#N/A</v>
      </c>
      <c r="AB148" s="642" t="e">
        <f>INDEX(API1DENST,MATCH($C148,'Vessel Gauging Data'!$B$27:$B$56,0),1)</f>
        <v>#N/A</v>
      </c>
      <c r="AC148" s="642" t="e">
        <f t="shared" si="138"/>
        <v>#N/A</v>
      </c>
      <c r="AE148" s="661" t="e">
        <f t="shared" si="139"/>
        <v>#VALUE!</v>
      </c>
      <c r="AF148" s="661" t="e">
        <f t="shared" si="140"/>
        <v>#VALUE!</v>
      </c>
      <c r="AH148" s="662" t="str">
        <f t="shared" si="121"/>
        <v/>
      </c>
      <c r="AI148" s="662" t="str">
        <f t="shared" si="122"/>
        <v/>
      </c>
      <c r="AJ148" s="663">
        <f t="shared" si="141"/>
        <v>192.4571</v>
      </c>
      <c r="AK148" s="660">
        <f t="shared" si="142"/>
        <v>0.24379999999999999</v>
      </c>
      <c r="AL148" s="660" t="e">
        <f t="shared" si="143"/>
        <v>#VALUE!</v>
      </c>
      <c r="AM148" s="664" t="e">
        <f t="shared" si="144"/>
        <v>#VALUE!</v>
      </c>
      <c r="AN148" s="664" t="e">
        <f t="shared" si="145"/>
        <v>#VALUE!</v>
      </c>
      <c r="AO148" s="665" t="e">
        <f t="shared" si="146"/>
        <v>#VALUE!</v>
      </c>
      <c r="AP148" s="666" t="e">
        <f t="shared" si="147"/>
        <v>#VALUE!</v>
      </c>
      <c r="AQ148" s="660" t="e">
        <f t="shared" si="148"/>
        <v>#VALUE!</v>
      </c>
      <c r="AR148" s="667" t="e">
        <f t="shared" si="149"/>
        <v>#VALUE!</v>
      </c>
      <c r="AS148" s="667" t="e">
        <f t="shared" si="150"/>
        <v>#VALUE!</v>
      </c>
      <c r="AT148" s="668" t="e">
        <f t="shared" si="151"/>
        <v>#VALUE!</v>
      </c>
      <c r="AU148" s="667" t="e">
        <f t="shared" si="152"/>
        <v>#VALUE!</v>
      </c>
      <c r="AV148" s="669" t="e">
        <f t="shared" si="153"/>
        <v>#VALUE!</v>
      </c>
      <c r="AW148" s="667" t="e">
        <f t="shared" si="154"/>
        <v>#VALUE!</v>
      </c>
      <c r="AX148" s="667" t="e">
        <f t="shared" si="155"/>
        <v>#VALUE!</v>
      </c>
      <c r="AY148" s="660" t="e">
        <f t="shared" si="156"/>
        <v>#VALUE!</v>
      </c>
      <c r="AZ148" s="670" t="e">
        <f t="shared" si="157"/>
        <v>#VALUE!</v>
      </c>
      <c r="BB148" s="662" t="e">
        <f>INDEX('Vessel Gauging Data'!$B$26:$V$56,MATCH($C148,'Vessel Gauging Data'!$B$26:$B$56,0),$BB$18)</f>
        <v>#N/A</v>
      </c>
      <c r="BC148" s="662" t="e">
        <f>INDEX('Vessel Gauging Data'!$B$26:$V$56,MATCH($C148,'Vessel Gauging Data'!$B$26:$B$56,0),$BC$18)</f>
        <v>#N/A</v>
      </c>
      <c r="BD148" s="662" t="e">
        <f>INDEX('Vessel Gauging Data'!$B$26:$V$56,MATCH($C148,'Vessel Gauging Data'!$B$26:$B$56,0),$BD$18)</f>
        <v>#N/A</v>
      </c>
      <c r="BE148" s="662" t="e">
        <f>INDEX('Vessel Gauging Data'!$B$26:$V$56,MATCH($C148,'Vessel Gauging Data'!$B$26:$B$56,0),$BE$18)</f>
        <v>#N/A</v>
      </c>
    </row>
    <row r="149" spans="1:57" hidden="1">
      <c r="A149" s="641" t="str">
        <f t="shared" si="123"/>
        <v>N</v>
      </c>
      <c r="C149" s="235" t="str">
        <f t="array" ref="C149">IF(OR($E$136="",SUMPRODUCT(('Vessel Gauging Data'!$C$27:$C$56=$E$136)*('Vessel Gauging Data'!$D$27:$D$56=NOMY))&lt;ROWS($C$137:$C149)),"",INDEX('Vessel Gauging Data'!$B$27:$B$56,SMALL(IF(('Vessel Gauging Data'!$C$27:$C$56=$E$136)+('Vessel Gauging Data'!$D$27:$D$56=NOMY)=2,ROW('Vessel Gauging Data'!$B$27:$B$56)-ROW('Vessel Gauging Data'!$C$26)),ROW()-ROW(C$136))))</f>
        <v/>
      </c>
      <c r="D149" s="211" t="str">
        <f>IF(OR($C149="",$C149=0),"",INDEX('Vessel Gauging Data'!$B$26:$V$56,MATCH($C149,'Vessel Gauging Data'!$B$27:$B$56,0)+1,2))</f>
        <v/>
      </c>
      <c r="E149" s="1016" t="str">
        <f t="shared" si="124"/>
        <v/>
      </c>
      <c r="F149" s="1016" t="str">
        <f t="shared" si="125"/>
        <v/>
      </c>
      <c r="G149" s="1016" t="str">
        <f t="shared" si="126"/>
        <v/>
      </c>
      <c r="H149" s="1016" t="str">
        <f t="shared" si="126"/>
        <v/>
      </c>
      <c r="I149" s="211" t="str">
        <f t="shared" si="127"/>
        <v/>
      </c>
      <c r="J149" s="1016" t="str">
        <f t="shared" si="128"/>
        <v/>
      </c>
      <c r="K149" s="213" t="str">
        <f t="shared" si="129"/>
        <v/>
      </c>
      <c r="L149" s="212" t="str">
        <f t="shared" si="130"/>
        <v/>
      </c>
      <c r="M149" s="1125" t="str">
        <f>IF(OR($C149="",$C149=0),"",INDEX(API1DENST,MATCH($C149,'Vessel Gauging Data'!$B$27:$B$56,0),$AA$1))</f>
        <v/>
      </c>
      <c r="N149" s="212" t="str">
        <f t="shared" si="131"/>
        <v/>
      </c>
      <c r="O149" s="1016" t="str">
        <f t="shared" si="132"/>
        <v/>
      </c>
      <c r="P149" s="1125" t="str">
        <f t="shared" si="133"/>
        <v/>
      </c>
      <c r="Q149" s="1016" t="str">
        <f t="shared" si="134"/>
        <v/>
      </c>
      <c r="R149" s="214" t="str">
        <f t="shared" si="135"/>
        <v/>
      </c>
      <c r="S149" s="1125" t="str">
        <f t="shared" si="136"/>
        <v/>
      </c>
      <c r="T149" s="236" t="str">
        <f t="shared" si="137"/>
        <v/>
      </c>
      <c r="V149" s="642" t="e">
        <f>INDEX('Vessel Gauging Data'!$B$26:$V$56,MATCH($C149,'Vessel Gauging Data'!$B$26:$B$56,0),$V$18)</f>
        <v>#N/A</v>
      </c>
      <c r="W149" s="642" t="e">
        <f>INDEX('Vessel Gauging Data'!$B$26:$V$56,MATCH($C149,'Vessel Gauging Data'!$B$26:$B$56,0),$W$18)</f>
        <v>#N/A</v>
      </c>
      <c r="X149" s="642" t="e">
        <f>INDEX('Vessel Gauging Data'!$B$26:$V$56,MATCH($C149,'Vessel Gauging Data'!$B$26:$B$56,0),$X$18)</f>
        <v>#N/A</v>
      </c>
      <c r="Y149" s="642" t="e">
        <f>INDEX('Vessel Gauging Data'!$B$26:$V$56,MATCH($C149,'Vessel Gauging Data'!$B$26:$B$56,0),$Y$18)</f>
        <v>#N/A</v>
      </c>
      <c r="Z149" s="642" t="e">
        <f>INDEX('Vessel Gauging Data'!$B$26:$V$56,MATCH($C149,'Vessel Gauging Data'!$B$26:$B$56,0),$Z$18)</f>
        <v>#N/A</v>
      </c>
      <c r="AB149" s="642" t="e">
        <f>INDEX(API1DENST,MATCH($C149,'Vessel Gauging Data'!$B$27:$B$56,0),1)</f>
        <v>#N/A</v>
      </c>
      <c r="AC149" s="642" t="e">
        <f t="shared" si="138"/>
        <v>#N/A</v>
      </c>
      <c r="AE149" s="661" t="e">
        <f t="shared" si="139"/>
        <v>#VALUE!</v>
      </c>
      <c r="AF149" s="661" t="e">
        <f t="shared" si="140"/>
        <v>#VALUE!</v>
      </c>
      <c r="AH149" s="662" t="str">
        <f t="shared" si="121"/>
        <v/>
      </c>
      <c r="AI149" s="662" t="str">
        <f t="shared" si="122"/>
        <v/>
      </c>
      <c r="AJ149" s="663">
        <f t="shared" si="141"/>
        <v>192.4571</v>
      </c>
      <c r="AK149" s="660">
        <f t="shared" si="142"/>
        <v>0.24379999999999999</v>
      </c>
      <c r="AL149" s="660" t="e">
        <f t="shared" si="143"/>
        <v>#VALUE!</v>
      </c>
      <c r="AM149" s="664" t="e">
        <f t="shared" si="144"/>
        <v>#VALUE!</v>
      </c>
      <c r="AN149" s="664" t="e">
        <f t="shared" si="145"/>
        <v>#VALUE!</v>
      </c>
      <c r="AO149" s="665" t="e">
        <f t="shared" si="146"/>
        <v>#VALUE!</v>
      </c>
      <c r="AP149" s="666" t="e">
        <f t="shared" si="147"/>
        <v>#VALUE!</v>
      </c>
      <c r="AQ149" s="660" t="e">
        <f t="shared" si="148"/>
        <v>#VALUE!</v>
      </c>
      <c r="AR149" s="667" t="e">
        <f t="shared" si="149"/>
        <v>#VALUE!</v>
      </c>
      <c r="AS149" s="667" t="e">
        <f t="shared" si="150"/>
        <v>#VALUE!</v>
      </c>
      <c r="AT149" s="668" t="e">
        <f t="shared" si="151"/>
        <v>#VALUE!</v>
      </c>
      <c r="AU149" s="667" t="e">
        <f t="shared" si="152"/>
        <v>#VALUE!</v>
      </c>
      <c r="AV149" s="669" t="e">
        <f t="shared" si="153"/>
        <v>#VALUE!</v>
      </c>
      <c r="AW149" s="667" t="e">
        <f t="shared" si="154"/>
        <v>#VALUE!</v>
      </c>
      <c r="AX149" s="667" t="e">
        <f t="shared" si="155"/>
        <v>#VALUE!</v>
      </c>
      <c r="AY149" s="660" t="e">
        <f t="shared" si="156"/>
        <v>#VALUE!</v>
      </c>
      <c r="AZ149" s="670" t="e">
        <f t="shared" si="157"/>
        <v>#VALUE!</v>
      </c>
      <c r="BB149" s="662" t="e">
        <f>INDEX('Vessel Gauging Data'!$B$26:$V$56,MATCH($C149,'Vessel Gauging Data'!$B$26:$B$56,0),$BB$18)</f>
        <v>#N/A</v>
      </c>
      <c r="BC149" s="662" t="e">
        <f>INDEX('Vessel Gauging Data'!$B$26:$V$56,MATCH($C149,'Vessel Gauging Data'!$B$26:$B$56,0),$BC$18)</f>
        <v>#N/A</v>
      </c>
      <c r="BD149" s="662" t="e">
        <f>INDEX('Vessel Gauging Data'!$B$26:$V$56,MATCH($C149,'Vessel Gauging Data'!$B$26:$B$56,0),$BD$18)</f>
        <v>#N/A</v>
      </c>
      <c r="BE149" s="662" t="e">
        <f>INDEX('Vessel Gauging Data'!$B$26:$V$56,MATCH($C149,'Vessel Gauging Data'!$B$26:$B$56,0),$BE$18)</f>
        <v>#N/A</v>
      </c>
    </row>
    <row r="150" spans="1:57" hidden="1">
      <c r="A150" s="641" t="str">
        <f t="shared" si="123"/>
        <v>N</v>
      </c>
      <c r="C150" s="235" t="str">
        <f t="array" ref="C150">IF(OR($E$136="",SUMPRODUCT(('Vessel Gauging Data'!$C$27:$C$56=$E$136)*('Vessel Gauging Data'!$D$27:$D$56=NOMY))&lt;ROWS($C$137:$C150)),"",INDEX('Vessel Gauging Data'!$B$27:$B$56,SMALL(IF(('Vessel Gauging Data'!$C$27:$C$56=$E$136)+('Vessel Gauging Data'!$D$27:$D$56=NOMY)=2,ROW('Vessel Gauging Data'!$B$27:$B$56)-ROW('Vessel Gauging Data'!$C$26)),ROW()-ROW(C$136))))</f>
        <v/>
      </c>
      <c r="D150" s="211" t="str">
        <f>IF(OR($C150="",$C150=0),"",INDEX('Vessel Gauging Data'!$B$26:$V$56,MATCH($C150,'Vessel Gauging Data'!$B$27:$B$56,0)+1,2))</f>
        <v/>
      </c>
      <c r="E150" s="1016" t="str">
        <f t="shared" si="124"/>
        <v/>
      </c>
      <c r="F150" s="1016" t="str">
        <f t="shared" si="125"/>
        <v/>
      </c>
      <c r="G150" s="1016" t="str">
        <f t="shared" si="126"/>
        <v/>
      </c>
      <c r="H150" s="1016" t="str">
        <f t="shared" si="126"/>
        <v/>
      </c>
      <c r="I150" s="211" t="str">
        <f t="shared" si="127"/>
        <v/>
      </c>
      <c r="J150" s="1016" t="str">
        <f t="shared" si="128"/>
        <v/>
      </c>
      <c r="K150" s="213" t="str">
        <f t="shared" si="129"/>
        <v/>
      </c>
      <c r="L150" s="212" t="str">
        <f t="shared" si="130"/>
        <v/>
      </c>
      <c r="M150" s="1125" t="str">
        <f>IF(OR($C150="",$C150=0),"",INDEX(API1DENST,MATCH($C150,'Vessel Gauging Data'!$B$27:$B$56,0),$AA$1))</f>
        <v/>
      </c>
      <c r="N150" s="212" t="str">
        <f t="shared" si="131"/>
        <v/>
      </c>
      <c r="O150" s="1016" t="str">
        <f t="shared" si="132"/>
        <v/>
      </c>
      <c r="P150" s="1125" t="str">
        <f t="shared" si="133"/>
        <v/>
      </c>
      <c r="Q150" s="1016" t="str">
        <f t="shared" si="134"/>
        <v/>
      </c>
      <c r="R150" s="214" t="str">
        <f t="shared" si="135"/>
        <v/>
      </c>
      <c r="S150" s="1125" t="str">
        <f t="shared" si="136"/>
        <v/>
      </c>
      <c r="T150" s="236" t="str">
        <f t="shared" si="137"/>
        <v/>
      </c>
      <c r="V150" s="642" t="e">
        <f>INDEX('Vessel Gauging Data'!$B$26:$V$56,MATCH($C150,'Vessel Gauging Data'!$B$26:$B$56,0),$V$18)</f>
        <v>#N/A</v>
      </c>
      <c r="W150" s="642" t="e">
        <f>INDEX('Vessel Gauging Data'!$B$26:$V$56,MATCH($C150,'Vessel Gauging Data'!$B$26:$B$56,0),$W$18)</f>
        <v>#N/A</v>
      </c>
      <c r="X150" s="642" t="e">
        <f>INDEX('Vessel Gauging Data'!$B$26:$V$56,MATCH($C150,'Vessel Gauging Data'!$B$26:$B$56,0),$X$18)</f>
        <v>#N/A</v>
      </c>
      <c r="Y150" s="642" t="e">
        <f>INDEX('Vessel Gauging Data'!$B$26:$V$56,MATCH($C150,'Vessel Gauging Data'!$B$26:$B$56,0),$Y$18)</f>
        <v>#N/A</v>
      </c>
      <c r="Z150" s="642" t="e">
        <f>INDEX('Vessel Gauging Data'!$B$26:$V$56,MATCH($C150,'Vessel Gauging Data'!$B$26:$B$56,0),$Z$18)</f>
        <v>#N/A</v>
      </c>
      <c r="AB150" s="642" t="e">
        <f>INDEX(API1DENST,MATCH($C150,'Vessel Gauging Data'!$B$27:$B$56,0),1)</f>
        <v>#N/A</v>
      </c>
      <c r="AC150" s="642" t="e">
        <f t="shared" si="138"/>
        <v>#N/A</v>
      </c>
      <c r="AE150" s="661" t="e">
        <f t="shared" si="139"/>
        <v>#VALUE!</v>
      </c>
      <c r="AF150" s="661" t="e">
        <f t="shared" si="140"/>
        <v>#VALUE!</v>
      </c>
      <c r="AH150" s="662" t="str">
        <f t="shared" si="121"/>
        <v/>
      </c>
      <c r="AI150" s="662" t="str">
        <f t="shared" si="122"/>
        <v/>
      </c>
      <c r="AJ150" s="663">
        <f t="shared" si="141"/>
        <v>192.4571</v>
      </c>
      <c r="AK150" s="660">
        <f t="shared" si="142"/>
        <v>0.24379999999999999</v>
      </c>
      <c r="AL150" s="660" t="e">
        <f t="shared" si="143"/>
        <v>#VALUE!</v>
      </c>
      <c r="AM150" s="664" t="e">
        <f t="shared" si="144"/>
        <v>#VALUE!</v>
      </c>
      <c r="AN150" s="664" t="e">
        <f t="shared" si="145"/>
        <v>#VALUE!</v>
      </c>
      <c r="AO150" s="665" t="e">
        <f t="shared" si="146"/>
        <v>#VALUE!</v>
      </c>
      <c r="AP150" s="666" t="e">
        <f t="shared" si="147"/>
        <v>#VALUE!</v>
      </c>
      <c r="AQ150" s="660" t="e">
        <f t="shared" si="148"/>
        <v>#VALUE!</v>
      </c>
      <c r="AR150" s="667" t="e">
        <f t="shared" si="149"/>
        <v>#VALUE!</v>
      </c>
      <c r="AS150" s="667" t="e">
        <f t="shared" si="150"/>
        <v>#VALUE!</v>
      </c>
      <c r="AT150" s="668" t="e">
        <f t="shared" si="151"/>
        <v>#VALUE!</v>
      </c>
      <c r="AU150" s="667" t="e">
        <f t="shared" si="152"/>
        <v>#VALUE!</v>
      </c>
      <c r="AV150" s="669" t="e">
        <f t="shared" si="153"/>
        <v>#VALUE!</v>
      </c>
      <c r="AW150" s="667" t="e">
        <f t="shared" si="154"/>
        <v>#VALUE!</v>
      </c>
      <c r="AX150" s="667" t="e">
        <f t="shared" si="155"/>
        <v>#VALUE!</v>
      </c>
      <c r="AY150" s="660" t="e">
        <f t="shared" si="156"/>
        <v>#VALUE!</v>
      </c>
      <c r="AZ150" s="670" t="e">
        <f t="shared" si="157"/>
        <v>#VALUE!</v>
      </c>
      <c r="BB150" s="662" t="e">
        <f>INDEX('Vessel Gauging Data'!$B$26:$V$56,MATCH($C150,'Vessel Gauging Data'!$B$26:$B$56,0),$BB$18)</f>
        <v>#N/A</v>
      </c>
      <c r="BC150" s="662" t="e">
        <f>INDEX('Vessel Gauging Data'!$B$26:$V$56,MATCH($C150,'Vessel Gauging Data'!$B$26:$B$56,0),$BC$18)</f>
        <v>#N/A</v>
      </c>
      <c r="BD150" s="662" t="e">
        <f>INDEX('Vessel Gauging Data'!$B$26:$V$56,MATCH($C150,'Vessel Gauging Data'!$B$26:$B$56,0),$BD$18)</f>
        <v>#N/A</v>
      </c>
      <c r="BE150" s="662" t="e">
        <f>INDEX('Vessel Gauging Data'!$B$26:$V$56,MATCH($C150,'Vessel Gauging Data'!$B$26:$B$56,0),$BE$18)</f>
        <v>#N/A</v>
      </c>
    </row>
    <row r="151" spans="1:57" hidden="1">
      <c r="A151" s="641" t="str">
        <f t="shared" si="123"/>
        <v>N</v>
      </c>
      <c r="C151" s="235" t="str">
        <f t="array" ref="C151">IF(OR($E$136="",SUMPRODUCT(('Vessel Gauging Data'!$C$27:$C$56=$E$136)*('Vessel Gauging Data'!$D$27:$D$56=NOMY))&lt;ROWS($C$137:$C151)),"",INDEX('Vessel Gauging Data'!$B$27:$B$56,SMALL(IF(('Vessel Gauging Data'!$C$27:$C$56=$E$136)+('Vessel Gauging Data'!$D$27:$D$56=NOMY)=2,ROW('Vessel Gauging Data'!$B$27:$B$56)-ROW('Vessel Gauging Data'!$C$26)),ROW()-ROW(C$136))))</f>
        <v/>
      </c>
      <c r="D151" s="211" t="str">
        <f>IF(OR($C151="",$C151=0),"",INDEX('Vessel Gauging Data'!$B$26:$V$56,MATCH($C151,'Vessel Gauging Data'!$B$27:$B$56,0)+1,2))</f>
        <v/>
      </c>
      <c r="E151" s="1016" t="str">
        <f t="shared" si="124"/>
        <v/>
      </c>
      <c r="F151" s="1016" t="str">
        <f t="shared" si="125"/>
        <v/>
      </c>
      <c r="G151" s="1016" t="str">
        <f t="shared" si="126"/>
        <v/>
      </c>
      <c r="H151" s="1016" t="str">
        <f t="shared" si="126"/>
        <v/>
      </c>
      <c r="I151" s="211" t="str">
        <f t="shared" si="127"/>
        <v/>
      </c>
      <c r="J151" s="1016" t="str">
        <f t="shared" si="128"/>
        <v/>
      </c>
      <c r="K151" s="213" t="str">
        <f t="shared" si="129"/>
        <v/>
      </c>
      <c r="L151" s="212" t="str">
        <f t="shared" si="130"/>
        <v/>
      </c>
      <c r="M151" s="1125" t="str">
        <f>IF(OR($C151="",$C151=0),"",INDEX(API1DENST,MATCH($C151,'Vessel Gauging Data'!$B$27:$B$56,0),$AA$1))</f>
        <v/>
      </c>
      <c r="N151" s="212" t="str">
        <f t="shared" si="131"/>
        <v/>
      </c>
      <c r="O151" s="1016" t="str">
        <f t="shared" si="132"/>
        <v/>
      </c>
      <c r="P151" s="1125" t="str">
        <f t="shared" si="133"/>
        <v/>
      </c>
      <c r="Q151" s="1016" t="str">
        <f t="shared" si="134"/>
        <v/>
      </c>
      <c r="R151" s="214" t="str">
        <f t="shared" si="135"/>
        <v/>
      </c>
      <c r="S151" s="1125" t="str">
        <f t="shared" si="136"/>
        <v/>
      </c>
      <c r="T151" s="236" t="str">
        <f t="shared" si="137"/>
        <v/>
      </c>
      <c r="V151" s="642" t="e">
        <f>INDEX('Vessel Gauging Data'!$B$26:$V$56,MATCH($C151,'Vessel Gauging Data'!$B$26:$B$56,0),$V$18)</f>
        <v>#N/A</v>
      </c>
      <c r="W151" s="642" t="e">
        <f>INDEX('Vessel Gauging Data'!$B$26:$V$56,MATCH($C151,'Vessel Gauging Data'!$B$26:$B$56,0),$W$18)</f>
        <v>#N/A</v>
      </c>
      <c r="X151" s="642" t="e">
        <f>INDEX('Vessel Gauging Data'!$B$26:$V$56,MATCH($C151,'Vessel Gauging Data'!$B$26:$B$56,0),$X$18)</f>
        <v>#N/A</v>
      </c>
      <c r="Y151" s="642" t="e">
        <f>INDEX('Vessel Gauging Data'!$B$26:$V$56,MATCH($C151,'Vessel Gauging Data'!$B$26:$B$56,0),$Y$18)</f>
        <v>#N/A</v>
      </c>
      <c r="Z151" s="642" t="e">
        <f>INDEX('Vessel Gauging Data'!$B$26:$V$56,MATCH($C151,'Vessel Gauging Data'!$B$26:$B$56,0),$Z$18)</f>
        <v>#N/A</v>
      </c>
      <c r="AB151" s="642" t="e">
        <f>INDEX(API1DENST,MATCH($C151,'Vessel Gauging Data'!$B$27:$B$56,0),1)</f>
        <v>#N/A</v>
      </c>
      <c r="AC151" s="642" t="e">
        <f t="shared" si="138"/>
        <v>#N/A</v>
      </c>
      <c r="AE151" s="661" t="e">
        <f t="shared" si="139"/>
        <v>#VALUE!</v>
      </c>
      <c r="AF151" s="661" t="e">
        <f t="shared" si="140"/>
        <v>#VALUE!</v>
      </c>
      <c r="AH151" s="662" t="str">
        <f t="shared" si="121"/>
        <v/>
      </c>
      <c r="AI151" s="662" t="str">
        <f t="shared" si="122"/>
        <v/>
      </c>
      <c r="AJ151" s="663">
        <f t="shared" si="141"/>
        <v>192.4571</v>
      </c>
      <c r="AK151" s="660">
        <f t="shared" si="142"/>
        <v>0.24379999999999999</v>
      </c>
      <c r="AL151" s="660" t="e">
        <f t="shared" si="143"/>
        <v>#VALUE!</v>
      </c>
      <c r="AM151" s="664" t="e">
        <f t="shared" si="144"/>
        <v>#VALUE!</v>
      </c>
      <c r="AN151" s="664" t="e">
        <f t="shared" si="145"/>
        <v>#VALUE!</v>
      </c>
      <c r="AO151" s="665" t="e">
        <f t="shared" si="146"/>
        <v>#VALUE!</v>
      </c>
      <c r="AP151" s="666" t="e">
        <f t="shared" si="147"/>
        <v>#VALUE!</v>
      </c>
      <c r="AQ151" s="660" t="e">
        <f t="shared" si="148"/>
        <v>#VALUE!</v>
      </c>
      <c r="AR151" s="667" t="e">
        <f t="shared" si="149"/>
        <v>#VALUE!</v>
      </c>
      <c r="AS151" s="667" t="e">
        <f t="shared" si="150"/>
        <v>#VALUE!</v>
      </c>
      <c r="AT151" s="668" t="e">
        <f t="shared" si="151"/>
        <v>#VALUE!</v>
      </c>
      <c r="AU151" s="667" t="e">
        <f t="shared" si="152"/>
        <v>#VALUE!</v>
      </c>
      <c r="AV151" s="669" t="e">
        <f t="shared" si="153"/>
        <v>#VALUE!</v>
      </c>
      <c r="AW151" s="667" t="e">
        <f t="shared" si="154"/>
        <v>#VALUE!</v>
      </c>
      <c r="AX151" s="667" t="e">
        <f t="shared" si="155"/>
        <v>#VALUE!</v>
      </c>
      <c r="AY151" s="660" t="e">
        <f t="shared" si="156"/>
        <v>#VALUE!</v>
      </c>
      <c r="AZ151" s="670" t="e">
        <f t="shared" si="157"/>
        <v>#VALUE!</v>
      </c>
      <c r="BB151" s="662" t="e">
        <f>INDEX('Vessel Gauging Data'!$B$26:$V$56,MATCH($C151,'Vessel Gauging Data'!$B$26:$B$56,0),$BB$18)</f>
        <v>#N/A</v>
      </c>
      <c r="BC151" s="662" t="e">
        <f>INDEX('Vessel Gauging Data'!$B$26:$V$56,MATCH($C151,'Vessel Gauging Data'!$B$26:$B$56,0),$BC$18)</f>
        <v>#N/A</v>
      </c>
      <c r="BD151" s="662" t="e">
        <f>INDEX('Vessel Gauging Data'!$B$26:$V$56,MATCH($C151,'Vessel Gauging Data'!$B$26:$B$56,0),$BD$18)</f>
        <v>#N/A</v>
      </c>
      <c r="BE151" s="662" t="e">
        <f>INDEX('Vessel Gauging Data'!$B$26:$V$56,MATCH($C151,'Vessel Gauging Data'!$B$26:$B$56,0),$BE$18)</f>
        <v>#N/A</v>
      </c>
    </row>
    <row r="152" spans="1:57" hidden="1">
      <c r="A152" s="641" t="str">
        <f t="shared" si="123"/>
        <v>N</v>
      </c>
      <c r="C152" s="235" t="str">
        <f t="array" ref="C152">IF(OR($E$136="",SUMPRODUCT(('Vessel Gauging Data'!$C$27:$C$56=$E$136)*('Vessel Gauging Data'!$D$27:$D$56=NOMY))&lt;ROWS($C$137:$C152)),"",INDEX('Vessel Gauging Data'!$B$27:$B$56,SMALL(IF(('Vessel Gauging Data'!$C$27:$C$56=$E$136)+('Vessel Gauging Data'!$D$27:$D$56=NOMY)=2,ROW('Vessel Gauging Data'!$B$27:$B$56)-ROW('Vessel Gauging Data'!$C$26)),ROW()-ROW(C$136))))</f>
        <v/>
      </c>
      <c r="D152" s="211" t="str">
        <f>IF(OR($C152="",$C152=0),"",INDEX('Vessel Gauging Data'!$B$26:$V$56,MATCH($C152,'Vessel Gauging Data'!$B$27:$B$56,0)+1,2))</f>
        <v/>
      </c>
      <c r="E152" s="1016" t="str">
        <f t="shared" si="124"/>
        <v/>
      </c>
      <c r="F152" s="1016" t="str">
        <f t="shared" si="125"/>
        <v/>
      </c>
      <c r="G152" s="1016" t="str">
        <f t="shared" si="126"/>
        <v/>
      </c>
      <c r="H152" s="1016" t="str">
        <f t="shared" si="126"/>
        <v/>
      </c>
      <c r="I152" s="211" t="str">
        <f t="shared" si="127"/>
        <v/>
      </c>
      <c r="J152" s="1016" t="str">
        <f t="shared" si="128"/>
        <v/>
      </c>
      <c r="K152" s="213" t="str">
        <f t="shared" si="129"/>
        <v/>
      </c>
      <c r="L152" s="212" t="str">
        <f t="shared" si="130"/>
        <v/>
      </c>
      <c r="M152" s="1125" t="str">
        <f>IF(OR($C152="",$C152=0),"",INDEX(API1DENST,MATCH($C152,'Vessel Gauging Data'!$B$27:$B$56,0),$AA$1))</f>
        <v/>
      </c>
      <c r="N152" s="212" t="str">
        <f t="shared" si="131"/>
        <v/>
      </c>
      <c r="O152" s="1016" t="str">
        <f t="shared" si="132"/>
        <v/>
      </c>
      <c r="P152" s="1125" t="str">
        <f t="shared" si="133"/>
        <v/>
      </c>
      <c r="Q152" s="1016" t="str">
        <f t="shared" si="134"/>
        <v/>
      </c>
      <c r="R152" s="214" t="str">
        <f t="shared" si="135"/>
        <v/>
      </c>
      <c r="S152" s="1125" t="str">
        <f t="shared" si="136"/>
        <v/>
      </c>
      <c r="T152" s="236" t="str">
        <f t="shared" si="137"/>
        <v/>
      </c>
      <c r="V152" s="642" t="e">
        <f>INDEX('Vessel Gauging Data'!$B$26:$V$56,MATCH($C152,'Vessel Gauging Data'!$B$26:$B$56,0),$V$18)</f>
        <v>#N/A</v>
      </c>
      <c r="W152" s="642" t="e">
        <f>INDEX('Vessel Gauging Data'!$B$26:$V$56,MATCH($C152,'Vessel Gauging Data'!$B$26:$B$56,0),$W$18)</f>
        <v>#N/A</v>
      </c>
      <c r="X152" s="642" t="e">
        <f>INDEX('Vessel Gauging Data'!$B$26:$V$56,MATCH($C152,'Vessel Gauging Data'!$B$26:$B$56,0),$X$18)</f>
        <v>#N/A</v>
      </c>
      <c r="Y152" s="642" t="e">
        <f>INDEX('Vessel Gauging Data'!$B$26:$V$56,MATCH($C152,'Vessel Gauging Data'!$B$26:$B$56,0),$Y$18)</f>
        <v>#N/A</v>
      </c>
      <c r="Z152" s="642" t="e">
        <f>INDEX('Vessel Gauging Data'!$B$26:$V$56,MATCH($C152,'Vessel Gauging Data'!$B$26:$B$56,0),$Z$18)</f>
        <v>#N/A</v>
      </c>
      <c r="AB152" s="642" t="e">
        <f>INDEX(API1DENST,MATCH($C152,'Vessel Gauging Data'!$B$27:$B$56,0),1)</f>
        <v>#N/A</v>
      </c>
      <c r="AC152" s="642" t="e">
        <f t="shared" si="138"/>
        <v>#N/A</v>
      </c>
      <c r="AE152" s="661" t="e">
        <f t="shared" si="139"/>
        <v>#VALUE!</v>
      </c>
      <c r="AF152" s="661" t="e">
        <f t="shared" si="140"/>
        <v>#VALUE!</v>
      </c>
      <c r="AH152" s="662" t="str">
        <f t="shared" si="121"/>
        <v/>
      </c>
      <c r="AI152" s="662" t="str">
        <f t="shared" si="122"/>
        <v/>
      </c>
      <c r="AJ152" s="663">
        <f t="shared" si="141"/>
        <v>192.4571</v>
      </c>
      <c r="AK152" s="660">
        <f t="shared" si="142"/>
        <v>0.24379999999999999</v>
      </c>
      <c r="AL152" s="660" t="e">
        <f t="shared" si="143"/>
        <v>#VALUE!</v>
      </c>
      <c r="AM152" s="664" t="e">
        <f t="shared" si="144"/>
        <v>#VALUE!</v>
      </c>
      <c r="AN152" s="664" t="e">
        <f t="shared" si="145"/>
        <v>#VALUE!</v>
      </c>
      <c r="AO152" s="665" t="e">
        <f t="shared" si="146"/>
        <v>#VALUE!</v>
      </c>
      <c r="AP152" s="666" t="e">
        <f t="shared" si="147"/>
        <v>#VALUE!</v>
      </c>
      <c r="AQ152" s="660" t="e">
        <f t="shared" si="148"/>
        <v>#VALUE!</v>
      </c>
      <c r="AR152" s="667" t="e">
        <f t="shared" si="149"/>
        <v>#VALUE!</v>
      </c>
      <c r="AS152" s="667" t="e">
        <f t="shared" si="150"/>
        <v>#VALUE!</v>
      </c>
      <c r="AT152" s="668" t="e">
        <f t="shared" si="151"/>
        <v>#VALUE!</v>
      </c>
      <c r="AU152" s="667" t="e">
        <f t="shared" si="152"/>
        <v>#VALUE!</v>
      </c>
      <c r="AV152" s="669" t="e">
        <f t="shared" si="153"/>
        <v>#VALUE!</v>
      </c>
      <c r="AW152" s="667" t="e">
        <f t="shared" si="154"/>
        <v>#VALUE!</v>
      </c>
      <c r="AX152" s="667" t="e">
        <f t="shared" si="155"/>
        <v>#VALUE!</v>
      </c>
      <c r="AY152" s="660" t="e">
        <f t="shared" si="156"/>
        <v>#VALUE!</v>
      </c>
      <c r="AZ152" s="670" t="e">
        <f t="shared" si="157"/>
        <v>#VALUE!</v>
      </c>
      <c r="BB152" s="662" t="e">
        <f>INDEX('Vessel Gauging Data'!$B$26:$V$56,MATCH($C152,'Vessel Gauging Data'!$B$26:$B$56,0),$BB$18)</f>
        <v>#N/A</v>
      </c>
      <c r="BC152" s="662" t="e">
        <f>INDEX('Vessel Gauging Data'!$B$26:$V$56,MATCH($C152,'Vessel Gauging Data'!$B$26:$B$56,0),$BC$18)</f>
        <v>#N/A</v>
      </c>
      <c r="BD152" s="662" t="e">
        <f>INDEX('Vessel Gauging Data'!$B$26:$V$56,MATCH($C152,'Vessel Gauging Data'!$B$26:$B$56,0),$BD$18)</f>
        <v>#N/A</v>
      </c>
      <c r="BE152" s="662" t="e">
        <f>INDEX('Vessel Gauging Data'!$B$26:$V$56,MATCH($C152,'Vessel Gauging Data'!$B$26:$B$56,0),$BE$18)</f>
        <v>#N/A</v>
      </c>
    </row>
    <row r="153" spans="1:57" hidden="1">
      <c r="A153" s="641" t="str">
        <f t="shared" si="123"/>
        <v>N</v>
      </c>
      <c r="C153" s="235" t="str">
        <f t="array" ref="C153">IF(OR($E$136="",SUMPRODUCT(('Vessel Gauging Data'!$C$27:$C$56=$E$136)*('Vessel Gauging Data'!$D$27:$D$56=NOMY))&lt;ROWS($C$137:$C153)),"",INDEX('Vessel Gauging Data'!$B$27:$B$56,SMALL(IF(('Vessel Gauging Data'!$C$27:$C$56=$E$136)+('Vessel Gauging Data'!$D$27:$D$56=NOMY)=2,ROW('Vessel Gauging Data'!$B$27:$B$56)-ROW('Vessel Gauging Data'!$C$26)),ROW()-ROW(C$136))))</f>
        <v/>
      </c>
      <c r="D153" s="211" t="str">
        <f>IF(OR($C153="",$C153=0),"",INDEX('Vessel Gauging Data'!$B$26:$V$56,MATCH($C153,'Vessel Gauging Data'!$B$27:$B$56,0)+1,2))</f>
        <v/>
      </c>
      <c r="E153" s="1016" t="str">
        <f t="shared" si="124"/>
        <v/>
      </c>
      <c r="F153" s="1016" t="str">
        <f t="shared" si="125"/>
        <v/>
      </c>
      <c r="G153" s="1016" t="str">
        <f t="shared" si="126"/>
        <v/>
      </c>
      <c r="H153" s="1016" t="str">
        <f t="shared" si="126"/>
        <v/>
      </c>
      <c r="I153" s="211" t="str">
        <f t="shared" si="127"/>
        <v/>
      </c>
      <c r="J153" s="1016" t="str">
        <f t="shared" si="128"/>
        <v/>
      </c>
      <c r="K153" s="213" t="str">
        <f t="shared" si="129"/>
        <v/>
      </c>
      <c r="L153" s="212" t="str">
        <f t="shared" si="130"/>
        <v/>
      </c>
      <c r="M153" s="1125" t="str">
        <f>IF(OR($C153="",$C153=0),"",INDEX(API1DENST,MATCH($C153,'Vessel Gauging Data'!$B$27:$B$56,0),$AA$1))</f>
        <v/>
      </c>
      <c r="N153" s="212" t="str">
        <f t="shared" si="131"/>
        <v/>
      </c>
      <c r="O153" s="1016" t="str">
        <f t="shared" si="132"/>
        <v/>
      </c>
      <c r="P153" s="1125" t="str">
        <f t="shared" si="133"/>
        <v/>
      </c>
      <c r="Q153" s="1016" t="str">
        <f t="shared" si="134"/>
        <v/>
      </c>
      <c r="R153" s="214" t="str">
        <f t="shared" si="135"/>
        <v/>
      </c>
      <c r="S153" s="1125" t="str">
        <f t="shared" si="136"/>
        <v/>
      </c>
      <c r="T153" s="236" t="str">
        <f t="shared" si="137"/>
        <v/>
      </c>
      <c r="V153" s="642" t="e">
        <f>INDEX('Vessel Gauging Data'!$B$26:$V$56,MATCH($C153,'Vessel Gauging Data'!$B$26:$B$56,0),$V$18)</f>
        <v>#N/A</v>
      </c>
      <c r="W153" s="642" t="e">
        <f>INDEX('Vessel Gauging Data'!$B$26:$V$56,MATCH($C153,'Vessel Gauging Data'!$B$26:$B$56,0),$W$18)</f>
        <v>#N/A</v>
      </c>
      <c r="X153" s="642" t="e">
        <f>INDEX('Vessel Gauging Data'!$B$26:$V$56,MATCH($C153,'Vessel Gauging Data'!$B$26:$B$56,0),$X$18)</f>
        <v>#N/A</v>
      </c>
      <c r="Y153" s="642" t="e">
        <f>INDEX('Vessel Gauging Data'!$B$26:$V$56,MATCH($C153,'Vessel Gauging Data'!$B$26:$B$56,0),$Y$18)</f>
        <v>#N/A</v>
      </c>
      <c r="Z153" s="642" t="e">
        <f>INDEX('Vessel Gauging Data'!$B$26:$V$56,MATCH($C153,'Vessel Gauging Data'!$B$26:$B$56,0),$Z$18)</f>
        <v>#N/A</v>
      </c>
      <c r="AB153" s="642" t="e">
        <f>INDEX(API1DENST,MATCH($C153,'Vessel Gauging Data'!$B$27:$B$56,0),1)</f>
        <v>#N/A</v>
      </c>
      <c r="AC153" s="642" t="e">
        <f t="shared" si="138"/>
        <v>#N/A</v>
      </c>
      <c r="AE153" s="661" t="e">
        <f t="shared" si="139"/>
        <v>#VALUE!</v>
      </c>
      <c r="AF153" s="661" t="e">
        <f t="shared" si="140"/>
        <v>#VALUE!</v>
      </c>
      <c r="AH153" s="662" t="str">
        <f t="shared" si="121"/>
        <v/>
      </c>
      <c r="AI153" s="662" t="str">
        <f t="shared" si="122"/>
        <v/>
      </c>
      <c r="AJ153" s="663">
        <f t="shared" si="141"/>
        <v>192.4571</v>
      </c>
      <c r="AK153" s="660">
        <f t="shared" si="142"/>
        <v>0.24379999999999999</v>
      </c>
      <c r="AL153" s="660" t="e">
        <f t="shared" si="143"/>
        <v>#VALUE!</v>
      </c>
      <c r="AM153" s="664" t="e">
        <f t="shared" si="144"/>
        <v>#VALUE!</v>
      </c>
      <c r="AN153" s="664" t="e">
        <f t="shared" si="145"/>
        <v>#VALUE!</v>
      </c>
      <c r="AO153" s="665" t="e">
        <f t="shared" si="146"/>
        <v>#VALUE!</v>
      </c>
      <c r="AP153" s="666" t="e">
        <f t="shared" si="147"/>
        <v>#VALUE!</v>
      </c>
      <c r="AQ153" s="660" t="e">
        <f t="shared" si="148"/>
        <v>#VALUE!</v>
      </c>
      <c r="AR153" s="667" t="e">
        <f t="shared" si="149"/>
        <v>#VALUE!</v>
      </c>
      <c r="AS153" s="667" t="e">
        <f t="shared" si="150"/>
        <v>#VALUE!</v>
      </c>
      <c r="AT153" s="668" t="e">
        <f t="shared" si="151"/>
        <v>#VALUE!</v>
      </c>
      <c r="AU153" s="667" t="e">
        <f t="shared" si="152"/>
        <v>#VALUE!</v>
      </c>
      <c r="AV153" s="669" t="e">
        <f t="shared" si="153"/>
        <v>#VALUE!</v>
      </c>
      <c r="AW153" s="667" t="e">
        <f t="shared" si="154"/>
        <v>#VALUE!</v>
      </c>
      <c r="AX153" s="667" t="e">
        <f t="shared" si="155"/>
        <v>#VALUE!</v>
      </c>
      <c r="AY153" s="660" t="e">
        <f t="shared" si="156"/>
        <v>#VALUE!</v>
      </c>
      <c r="AZ153" s="670" t="e">
        <f t="shared" si="157"/>
        <v>#VALUE!</v>
      </c>
      <c r="BB153" s="662" t="e">
        <f>INDEX('Vessel Gauging Data'!$B$26:$V$56,MATCH($C153,'Vessel Gauging Data'!$B$26:$B$56,0),$BB$18)</f>
        <v>#N/A</v>
      </c>
      <c r="BC153" s="662" t="e">
        <f>INDEX('Vessel Gauging Data'!$B$26:$V$56,MATCH($C153,'Vessel Gauging Data'!$B$26:$B$56,0),$BC$18)</f>
        <v>#N/A</v>
      </c>
      <c r="BD153" s="662" t="e">
        <f>INDEX('Vessel Gauging Data'!$B$26:$V$56,MATCH($C153,'Vessel Gauging Data'!$B$26:$B$56,0),$BD$18)</f>
        <v>#N/A</v>
      </c>
      <c r="BE153" s="662" t="e">
        <f>INDEX('Vessel Gauging Data'!$B$26:$V$56,MATCH($C153,'Vessel Gauging Data'!$B$26:$B$56,0),$BE$18)</f>
        <v>#N/A</v>
      </c>
    </row>
    <row r="154" spans="1:57" hidden="1">
      <c r="A154" s="641" t="str">
        <f t="shared" si="123"/>
        <v>N</v>
      </c>
      <c r="C154" s="235" t="str">
        <f t="array" ref="C154">IF(OR($E$136="",SUMPRODUCT(('Vessel Gauging Data'!$C$27:$C$56=$E$136)*('Vessel Gauging Data'!$D$27:$D$56=NOMY))&lt;ROWS($C$137:$C154)),"",INDEX('Vessel Gauging Data'!$B$27:$B$56,SMALL(IF(('Vessel Gauging Data'!$C$27:$C$56=$E$136)+('Vessel Gauging Data'!$D$27:$D$56=NOMY)=2,ROW('Vessel Gauging Data'!$B$27:$B$56)-ROW('Vessel Gauging Data'!$C$26)),ROW()-ROW(C$136))))</f>
        <v/>
      </c>
      <c r="D154" s="211" t="str">
        <f>IF(OR($C154="",$C154=0),"",INDEX('Vessel Gauging Data'!$B$26:$V$56,MATCH($C154,'Vessel Gauging Data'!$B$27:$B$56,0)+1,2))</f>
        <v/>
      </c>
      <c r="E154" s="1016" t="str">
        <f t="shared" si="124"/>
        <v/>
      </c>
      <c r="F154" s="1016" t="str">
        <f t="shared" si="125"/>
        <v/>
      </c>
      <c r="G154" s="1016" t="str">
        <f t="shared" si="126"/>
        <v/>
      </c>
      <c r="H154" s="1016" t="str">
        <f t="shared" si="126"/>
        <v/>
      </c>
      <c r="I154" s="211" t="str">
        <f t="shared" si="127"/>
        <v/>
      </c>
      <c r="J154" s="1016" t="str">
        <f t="shared" si="128"/>
        <v/>
      </c>
      <c r="K154" s="213" t="str">
        <f t="shared" si="129"/>
        <v/>
      </c>
      <c r="L154" s="212" t="str">
        <f t="shared" si="130"/>
        <v/>
      </c>
      <c r="M154" s="1125" t="str">
        <f>IF(OR($C154="",$C154=0),"",INDEX(API1DENST,MATCH($C154,'Vessel Gauging Data'!$B$27:$B$56,0),$AA$1))</f>
        <v/>
      </c>
      <c r="N154" s="212" t="str">
        <f t="shared" si="131"/>
        <v/>
      </c>
      <c r="O154" s="1016" t="str">
        <f t="shared" si="132"/>
        <v/>
      </c>
      <c r="P154" s="1125" t="str">
        <f t="shared" si="133"/>
        <v/>
      </c>
      <c r="Q154" s="1016" t="str">
        <f t="shared" si="134"/>
        <v/>
      </c>
      <c r="R154" s="214" t="str">
        <f t="shared" si="135"/>
        <v/>
      </c>
      <c r="S154" s="1125" t="str">
        <f t="shared" si="136"/>
        <v/>
      </c>
      <c r="T154" s="236" t="str">
        <f t="shared" si="137"/>
        <v/>
      </c>
      <c r="V154" s="642" t="e">
        <f>INDEX('Vessel Gauging Data'!$B$26:$V$56,MATCH($C154,'Vessel Gauging Data'!$B$26:$B$56,0),$V$18)</f>
        <v>#N/A</v>
      </c>
      <c r="W154" s="642" t="e">
        <f>INDEX('Vessel Gauging Data'!$B$26:$V$56,MATCH($C154,'Vessel Gauging Data'!$B$26:$B$56,0),$W$18)</f>
        <v>#N/A</v>
      </c>
      <c r="X154" s="642" t="e">
        <f>INDEX('Vessel Gauging Data'!$B$26:$V$56,MATCH($C154,'Vessel Gauging Data'!$B$26:$B$56,0),$X$18)</f>
        <v>#N/A</v>
      </c>
      <c r="Y154" s="642" t="e">
        <f>INDEX('Vessel Gauging Data'!$B$26:$V$56,MATCH($C154,'Vessel Gauging Data'!$B$26:$B$56,0),$Y$18)</f>
        <v>#N/A</v>
      </c>
      <c r="Z154" s="642" t="e">
        <f>INDEX('Vessel Gauging Data'!$B$26:$V$56,MATCH($C154,'Vessel Gauging Data'!$B$26:$B$56,0),$Z$18)</f>
        <v>#N/A</v>
      </c>
      <c r="AB154" s="642" t="e">
        <f>INDEX(API1DENST,MATCH($C154,'Vessel Gauging Data'!$B$27:$B$56,0),1)</f>
        <v>#N/A</v>
      </c>
      <c r="AC154" s="642" t="e">
        <f t="shared" si="138"/>
        <v>#N/A</v>
      </c>
      <c r="AE154" s="661" t="e">
        <f t="shared" si="139"/>
        <v>#VALUE!</v>
      </c>
      <c r="AF154" s="661" t="e">
        <f t="shared" si="140"/>
        <v>#VALUE!</v>
      </c>
      <c r="AH154" s="662" t="str">
        <f t="shared" si="121"/>
        <v/>
      </c>
      <c r="AI154" s="662" t="str">
        <f t="shared" si="122"/>
        <v/>
      </c>
      <c r="AJ154" s="663">
        <f t="shared" si="141"/>
        <v>192.4571</v>
      </c>
      <c r="AK154" s="660">
        <f t="shared" si="142"/>
        <v>0.24379999999999999</v>
      </c>
      <c r="AL154" s="660" t="e">
        <f t="shared" si="143"/>
        <v>#VALUE!</v>
      </c>
      <c r="AM154" s="664" t="e">
        <f t="shared" si="144"/>
        <v>#VALUE!</v>
      </c>
      <c r="AN154" s="664" t="e">
        <f t="shared" si="145"/>
        <v>#VALUE!</v>
      </c>
      <c r="AO154" s="665" t="e">
        <f t="shared" si="146"/>
        <v>#VALUE!</v>
      </c>
      <c r="AP154" s="666" t="e">
        <f t="shared" si="147"/>
        <v>#VALUE!</v>
      </c>
      <c r="AQ154" s="660" t="e">
        <f t="shared" si="148"/>
        <v>#VALUE!</v>
      </c>
      <c r="AR154" s="667" t="e">
        <f t="shared" si="149"/>
        <v>#VALUE!</v>
      </c>
      <c r="AS154" s="667" t="e">
        <f t="shared" si="150"/>
        <v>#VALUE!</v>
      </c>
      <c r="AT154" s="668" t="e">
        <f t="shared" si="151"/>
        <v>#VALUE!</v>
      </c>
      <c r="AU154" s="667" t="e">
        <f t="shared" si="152"/>
        <v>#VALUE!</v>
      </c>
      <c r="AV154" s="669" t="e">
        <f t="shared" si="153"/>
        <v>#VALUE!</v>
      </c>
      <c r="AW154" s="667" t="e">
        <f t="shared" si="154"/>
        <v>#VALUE!</v>
      </c>
      <c r="AX154" s="667" t="e">
        <f t="shared" si="155"/>
        <v>#VALUE!</v>
      </c>
      <c r="AY154" s="660" t="e">
        <f t="shared" si="156"/>
        <v>#VALUE!</v>
      </c>
      <c r="AZ154" s="670" t="e">
        <f t="shared" si="157"/>
        <v>#VALUE!</v>
      </c>
      <c r="BB154" s="662" t="e">
        <f>INDEX('Vessel Gauging Data'!$B$26:$V$56,MATCH($C154,'Vessel Gauging Data'!$B$26:$B$56,0),$BB$18)</f>
        <v>#N/A</v>
      </c>
      <c r="BC154" s="662" t="e">
        <f>INDEX('Vessel Gauging Data'!$B$26:$V$56,MATCH($C154,'Vessel Gauging Data'!$B$26:$B$56,0),$BC$18)</f>
        <v>#N/A</v>
      </c>
      <c r="BD154" s="662" t="e">
        <f>INDEX('Vessel Gauging Data'!$B$26:$V$56,MATCH($C154,'Vessel Gauging Data'!$B$26:$B$56,0),$BD$18)</f>
        <v>#N/A</v>
      </c>
      <c r="BE154" s="662" t="e">
        <f>INDEX('Vessel Gauging Data'!$B$26:$V$56,MATCH($C154,'Vessel Gauging Data'!$B$26:$B$56,0),$BE$18)</f>
        <v>#N/A</v>
      </c>
    </row>
    <row r="155" spans="1:57" hidden="1">
      <c r="A155" s="641" t="str">
        <f t="shared" si="123"/>
        <v>N</v>
      </c>
      <c r="C155" s="235" t="str">
        <f t="array" ref="C155">IF(OR($E$136="",SUMPRODUCT(('Vessel Gauging Data'!$C$27:$C$56=$E$136)*('Vessel Gauging Data'!$D$27:$D$56=NOMY))&lt;ROWS($C$137:$C155)),"",INDEX('Vessel Gauging Data'!$B$27:$B$56,SMALL(IF(('Vessel Gauging Data'!$C$27:$C$56=$E$136)+('Vessel Gauging Data'!$D$27:$D$56=NOMY)=2,ROW('Vessel Gauging Data'!$B$27:$B$56)-ROW('Vessel Gauging Data'!$C$26)),ROW()-ROW(C$136))))</f>
        <v/>
      </c>
      <c r="D155" s="211" t="str">
        <f>IF(OR($C155="",$C155=0),"",INDEX('Vessel Gauging Data'!$B$26:$V$56,MATCH($C155,'Vessel Gauging Data'!$B$27:$B$56,0)+1,2))</f>
        <v/>
      </c>
      <c r="E155" s="1016" t="str">
        <f t="shared" si="124"/>
        <v/>
      </c>
      <c r="F155" s="1016" t="str">
        <f t="shared" si="125"/>
        <v/>
      </c>
      <c r="G155" s="1016" t="str">
        <f t="shared" si="126"/>
        <v/>
      </c>
      <c r="H155" s="1016" t="str">
        <f t="shared" si="126"/>
        <v/>
      </c>
      <c r="I155" s="211" t="str">
        <f t="shared" si="127"/>
        <v/>
      </c>
      <c r="J155" s="1016" t="str">
        <f t="shared" si="128"/>
        <v/>
      </c>
      <c r="K155" s="213" t="str">
        <f t="shared" si="129"/>
        <v/>
      </c>
      <c r="L155" s="212" t="str">
        <f t="shared" si="130"/>
        <v/>
      </c>
      <c r="M155" s="1125" t="str">
        <f>IF(OR($C155="",$C155=0),"",INDEX(API1DENST,MATCH($C155,'Vessel Gauging Data'!$B$27:$B$56,0),$AA$1))</f>
        <v/>
      </c>
      <c r="N155" s="212" t="str">
        <f t="shared" si="131"/>
        <v/>
      </c>
      <c r="O155" s="1016" t="str">
        <f t="shared" si="132"/>
        <v/>
      </c>
      <c r="P155" s="1125" t="str">
        <f t="shared" si="133"/>
        <v/>
      </c>
      <c r="Q155" s="1016" t="str">
        <f t="shared" si="134"/>
        <v/>
      </c>
      <c r="R155" s="214" t="str">
        <f t="shared" si="135"/>
        <v/>
      </c>
      <c r="S155" s="1125" t="str">
        <f t="shared" si="136"/>
        <v/>
      </c>
      <c r="T155" s="236" t="str">
        <f t="shared" si="137"/>
        <v/>
      </c>
      <c r="V155" s="642" t="e">
        <f>INDEX('Vessel Gauging Data'!$B$26:$V$56,MATCH($C155,'Vessel Gauging Data'!$B$26:$B$56,0),$V$18)</f>
        <v>#N/A</v>
      </c>
      <c r="W155" s="642" t="e">
        <f>INDEX('Vessel Gauging Data'!$B$26:$V$56,MATCH($C155,'Vessel Gauging Data'!$B$26:$B$56,0),$W$18)</f>
        <v>#N/A</v>
      </c>
      <c r="X155" s="642" t="e">
        <f>INDEX('Vessel Gauging Data'!$B$26:$V$56,MATCH($C155,'Vessel Gauging Data'!$B$26:$B$56,0),$X$18)</f>
        <v>#N/A</v>
      </c>
      <c r="Y155" s="642" t="e">
        <f>INDEX('Vessel Gauging Data'!$B$26:$V$56,MATCH($C155,'Vessel Gauging Data'!$B$26:$B$56,0),$Y$18)</f>
        <v>#N/A</v>
      </c>
      <c r="Z155" s="642" t="e">
        <f>INDEX('Vessel Gauging Data'!$B$26:$V$56,MATCH($C155,'Vessel Gauging Data'!$B$26:$B$56,0),$Z$18)</f>
        <v>#N/A</v>
      </c>
      <c r="AB155" s="642" t="e">
        <f>INDEX(API1DENST,MATCH($C155,'Vessel Gauging Data'!$B$27:$B$56,0),1)</f>
        <v>#N/A</v>
      </c>
      <c r="AC155" s="642" t="e">
        <f t="shared" si="138"/>
        <v>#N/A</v>
      </c>
      <c r="AE155" s="661" t="e">
        <f t="shared" si="139"/>
        <v>#VALUE!</v>
      </c>
      <c r="AF155" s="661" t="e">
        <f t="shared" si="140"/>
        <v>#VALUE!</v>
      </c>
      <c r="AH155" s="662" t="str">
        <f t="shared" si="121"/>
        <v/>
      </c>
      <c r="AI155" s="662" t="str">
        <f t="shared" si="122"/>
        <v/>
      </c>
      <c r="AJ155" s="663">
        <f t="shared" si="141"/>
        <v>192.4571</v>
      </c>
      <c r="AK155" s="660">
        <f t="shared" si="142"/>
        <v>0.24379999999999999</v>
      </c>
      <c r="AL155" s="660" t="e">
        <f t="shared" si="143"/>
        <v>#VALUE!</v>
      </c>
      <c r="AM155" s="664" t="e">
        <f t="shared" si="144"/>
        <v>#VALUE!</v>
      </c>
      <c r="AN155" s="664" t="e">
        <f t="shared" si="145"/>
        <v>#VALUE!</v>
      </c>
      <c r="AO155" s="665" t="e">
        <f t="shared" si="146"/>
        <v>#VALUE!</v>
      </c>
      <c r="AP155" s="666" t="e">
        <f t="shared" si="147"/>
        <v>#VALUE!</v>
      </c>
      <c r="AQ155" s="660" t="e">
        <f t="shared" si="148"/>
        <v>#VALUE!</v>
      </c>
      <c r="AR155" s="667" t="e">
        <f t="shared" si="149"/>
        <v>#VALUE!</v>
      </c>
      <c r="AS155" s="667" t="e">
        <f t="shared" si="150"/>
        <v>#VALUE!</v>
      </c>
      <c r="AT155" s="668" t="e">
        <f t="shared" si="151"/>
        <v>#VALUE!</v>
      </c>
      <c r="AU155" s="667" t="e">
        <f t="shared" si="152"/>
        <v>#VALUE!</v>
      </c>
      <c r="AV155" s="669" t="e">
        <f t="shared" si="153"/>
        <v>#VALUE!</v>
      </c>
      <c r="AW155" s="667" t="e">
        <f t="shared" si="154"/>
        <v>#VALUE!</v>
      </c>
      <c r="AX155" s="667" t="e">
        <f t="shared" si="155"/>
        <v>#VALUE!</v>
      </c>
      <c r="AY155" s="660" t="e">
        <f t="shared" si="156"/>
        <v>#VALUE!</v>
      </c>
      <c r="AZ155" s="670" t="e">
        <f t="shared" si="157"/>
        <v>#VALUE!</v>
      </c>
      <c r="BB155" s="662" t="e">
        <f>INDEX('Vessel Gauging Data'!$B$26:$V$56,MATCH($C155,'Vessel Gauging Data'!$B$26:$B$56,0),$BB$18)</f>
        <v>#N/A</v>
      </c>
      <c r="BC155" s="662" t="e">
        <f>INDEX('Vessel Gauging Data'!$B$26:$V$56,MATCH($C155,'Vessel Gauging Data'!$B$26:$B$56,0),$BC$18)</f>
        <v>#N/A</v>
      </c>
      <c r="BD155" s="662" t="e">
        <f>INDEX('Vessel Gauging Data'!$B$26:$V$56,MATCH($C155,'Vessel Gauging Data'!$B$26:$B$56,0),$BD$18)</f>
        <v>#N/A</v>
      </c>
      <c r="BE155" s="662" t="e">
        <f>INDEX('Vessel Gauging Data'!$B$26:$V$56,MATCH($C155,'Vessel Gauging Data'!$B$26:$B$56,0),$BE$18)</f>
        <v>#N/A</v>
      </c>
    </row>
    <row r="156" spans="1:57" hidden="1">
      <c r="A156" s="641" t="str">
        <f t="shared" si="123"/>
        <v>N</v>
      </c>
      <c r="C156" s="237" t="str">
        <f t="array" ref="C156">IF(OR($E$136="",SUMPRODUCT(('Vessel Gauging Data'!$C$27:$C$56=$E$136)*('Vessel Gauging Data'!$D$27:$D$56=NOMY))&lt;ROWS($C$137:$C156)),"",INDEX('Vessel Gauging Data'!$B$27:$B$56,SMALL(IF(('Vessel Gauging Data'!$C$27:$C$56=$E$136)+('Vessel Gauging Data'!$D$27:$D$56=NOMY)=2,ROW('Vessel Gauging Data'!$B$27:$B$56)-ROW('Vessel Gauging Data'!$C$26)),ROW()-ROW(C$136))))</f>
        <v/>
      </c>
      <c r="D156" s="238" t="str">
        <f>IF(OR($C156="",$C156=0),"",INDEX('Vessel Gauging Data'!$B$26:$V$56,MATCH($C156,'Vessel Gauging Data'!$B$27:$B$56,0)+1,2))</f>
        <v/>
      </c>
      <c r="E156" s="1017" t="str">
        <f t="shared" si="124"/>
        <v/>
      </c>
      <c r="F156" s="1017" t="str">
        <f t="shared" si="125"/>
        <v/>
      </c>
      <c r="G156" s="1017" t="str">
        <f t="shared" si="126"/>
        <v/>
      </c>
      <c r="H156" s="1017" t="str">
        <f t="shared" si="126"/>
        <v/>
      </c>
      <c r="I156" s="238" t="str">
        <f t="shared" si="127"/>
        <v/>
      </c>
      <c r="J156" s="1017" t="str">
        <f t="shared" si="128"/>
        <v/>
      </c>
      <c r="K156" s="240" t="str">
        <f t="shared" si="129"/>
        <v/>
      </c>
      <c r="L156" s="239" t="str">
        <f t="shared" si="130"/>
        <v/>
      </c>
      <c r="M156" s="1126" t="str">
        <f>IF(OR($C156="",$C156=0),"",INDEX(API1DENST,MATCH($C156,'Vessel Gauging Data'!$B$27:$B$56,0),$AA$1))</f>
        <v/>
      </c>
      <c r="N156" s="239" t="str">
        <f t="shared" si="131"/>
        <v/>
      </c>
      <c r="O156" s="1017" t="str">
        <f t="shared" si="132"/>
        <v/>
      </c>
      <c r="P156" s="1126" t="str">
        <f t="shared" si="133"/>
        <v/>
      </c>
      <c r="Q156" s="1017" t="str">
        <f t="shared" si="134"/>
        <v/>
      </c>
      <c r="R156" s="241" t="str">
        <f t="shared" si="135"/>
        <v/>
      </c>
      <c r="S156" s="1126" t="str">
        <f t="shared" si="136"/>
        <v/>
      </c>
      <c r="T156" s="242" t="str">
        <f t="shared" si="137"/>
        <v/>
      </c>
      <c r="V156" s="642" t="e">
        <f>INDEX('Vessel Gauging Data'!$B$26:$V$56,MATCH($C156,'Vessel Gauging Data'!$B$26:$B$56,0),$V$18)</f>
        <v>#N/A</v>
      </c>
      <c r="W156" s="642" t="e">
        <f>INDEX('Vessel Gauging Data'!$B$26:$V$56,MATCH($C156,'Vessel Gauging Data'!$B$26:$B$56,0),$W$18)</f>
        <v>#N/A</v>
      </c>
      <c r="X156" s="642" t="e">
        <f>INDEX('Vessel Gauging Data'!$B$26:$V$56,MATCH($C156,'Vessel Gauging Data'!$B$26:$B$56,0),$X$18)</f>
        <v>#N/A</v>
      </c>
      <c r="Y156" s="642" t="e">
        <f>INDEX('Vessel Gauging Data'!$B$26:$V$56,MATCH($C156,'Vessel Gauging Data'!$B$26:$B$56,0),$Y$18)</f>
        <v>#N/A</v>
      </c>
      <c r="Z156" s="642" t="e">
        <f>INDEX('Vessel Gauging Data'!$B$26:$V$56,MATCH($C156,'Vessel Gauging Data'!$B$26:$B$56,0),$Z$18)</f>
        <v>#N/A</v>
      </c>
      <c r="AB156" s="642" t="e">
        <f>INDEX(API1DENST,MATCH($C156,'Vessel Gauging Data'!$B$27:$B$56,0),1)</f>
        <v>#N/A</v>
      </c>
      <c r="AC156" s="642" t="e">
        <f t="shared" si="138"/>
        <v>#N/A</v>
      </c>
      <c r="AE156" s="661" t="e">
        <f t="shared" si="139"/>
        <v>#VALUE!</v>
      </c>
      <c r="AF156" s="661" t="e">
        <f t="shared" si="140"/>
        <v>#VALUE!</v>
      </c>
      <c r="AH156" s="662" t="str">
        <f t="shared" si="121"/>
        <v/>
      </c>
      <c r="AI156" s="662" t="str">
        <f t="shared" si="122"/>
        <v/>
      </c>
      <c r="AJ156" s="663">
        <f t="shared" si="141"/>
        <v>192.4571</v>
      </c>
      <c r="AK156" s="660">
        <f t="shared" si="142"/>
        <v>0.24379999999999999</v>
      </c>
      <c r="AL156" s="660" t="e">
        <f t="shared" si="143"/>
        <v>#VALUE!</v>
      </c>
      <c r="AM156" s="664" t="e">
        <f t="shared" si="144"/>
        <v>#VALUE!</v>
      </c>
      <c r="AN156" s="664" t="e">
        <f t="shared" si="145"/>
        <v>#VALUE!</v>
      </c>
      <c r="AO156" s="665" t="e">
        <f t="shared" si="146"/>
        <v>#VALUE!</v>
      </c>
      <c r="AP156" s="666" t="e">
        <f t="shared" si="147"/>
        <v>#VALUE!</v>
      </c>
      <c r="AQ156" s="660" t="e">
        <f t="shared" si="148"/>
        <v>#VALUE!</v>
      </c>
      <c r="AR156" s="667" t="e">
        <f t="shared" si="149"/>
        <v>#VALUE!</v>
      </c>
      <c r="AS156" s="667" t="e">
        <f t="shared" si="150"/>
        <v>#VALUE!</v>
      </c>
      <c r="AT156" s="668" t="e">
        <f t="shared" si="151"/>
        <v>#VALUE!</v>
      </c>
      <c r="AU156" s="667" t="e">
        <f t="shared" si="152"/>
        <v>#VALUE!</v>
      </c>
      <c r="AV156" s="669" t="e">
        <f t="shared" si="153"/>
        <v>#VALUE!</v>
      </c>
      <c r="AW156" s="667" t="e">
        <f t="shared" si="154"/>
        <v>#VALUE!</v>
      </c>
      <c r="AX156" s="667" t="e">
        <f t="shared" si="155"/>
        <v>#VALUE!</v>
      </c>
      <c r="AY156" s="660" t="e">
        <f t="shared" si="156"/>
        <v>#VALUE!</v>
      </c>
      <c r="AZ156" s="670" t="e">
        <f t="shared" si="157"/>
        <v>#VALUE!</v>
      </c>
      <c r="BB156" s="662" t="e">
        <f>INDEX('Vessel Gauging Data'!$B$26:$V$56,MATCH($C156,'Vessel Gauging Data'!$B$26:$B$56,0),$BB$18)</f>
        <v>#N/A</v>
      </c>
      <c r="BC156" s="662" t="e">
        <f>INDEX('Vessel Gauging Data'!$B$26:$V$56,MATCH($C156,'Vessel Gauging Data'!$B$26:$B$56,0),$BC$18)</f>
        <v>#N/A</v>
      </c>
      <c r="BD156" s="662" t="e">
        <f>INDEX('Vessel Gauging Data'!$B$26:$V$56,MATCH($C156,'Vessel Gauging Data'!$B$26:$B$56,0),$BD$18)</f>
        <v>#N/A</v>
      </c>
      <c r="BE156" s="662" t="e">
        <f>INDEX('Vessel Gauging Data'!$B$26:$V$56,MATCH($C156,'Vessel Gauging Data'!$B$26:$B$56,0),$BE$18)</f>
        <v>#N/A</v>
      </c>
    </row>
    <row r="157" spans="1:57">
      <c r="A157" s="641" t="str">
        <f>A136</f>
        <v>Y</v>
      </c>
      <c r="C157" s="671"/>
      <c r="D157" s="671"/>
      <c r="E157" s="672"/>
      <c r="F157" s="672"/>
      <c r="G157" s="672"/>
      <c r="H157" s="1501"/>
      <c r="I157" s="671"/>
      <c r="J157" s="672"/>
      <c r="K157" s="673"/>
      <c r="L157" s="672"/>
      <c r="M157" s="674"/>
      <c r="N157" s="672"/>
      <c r="O157" s="672"/>
      <c r="P157" s="1127"/>
      <c r="Q157" s="672"/>
      <c r="R157" s="675"/>
      <c r="S157" s="1137" t="s">
        <v>401</v>
      </c>
      <c r="T157" s="621">
        <f>SUM(T137:T156)</f>
        <v>8.2000000000000003E-2</v>
      </c>
      <c r="V157" s="719"/>
      <c r="W157" s="719"/>
      <c r="X157" s="719"/>
      <c r="Y157" s="719"/>
      <c r="Z157" s="719"/>
      <c r="AA157" s="676"/>
      <c r="AB157" s="719"/>
      <c r="AC157" s="719"/>
      <c r="AD157" s="676"/>
      <c r="AE157" s="720"/>
      <c r="AF157" s="720"/>
      <c r="AG157" s="676"/>
      <c r="AH157" s="721"/>
      <c r="AI157" s="721"/>
      <c r="AJ157" s="722"/>
      <c r="AK157" s="723"/>
      <c r="AL157" s="723"/>
      <c r="AM157" s="724"/>
      <c r="AN157" s="724"/>
      <c r="AO157" s="725"/>
      <c r="AP157" s="726"/>
      <c r="AQ157" s="723"/>
      <c r="AR157" s="727"/>
      <c r="AS157" s="727"/>
      <c r="AT157" s="728"/>
      <c r="AU157" s="727"/>
      <c r="AV157" s="729"/>
      <c r="AW157" s="727"/>
      <c r="AX157" s="727"/>
      <c r="AY157" s="723"/>
      <c r="AZ157" s="730"/>
      <c r="BA157" s="676"/>
      <c r="BB157" s="721"/>
      <c r="BC157" s="721"/>
      <c r="BD157" s="721"/>
      <c r="BE157" s="721"/>
    </row>
    <row r="158" spans="1:57" s="702" customFormat="1" ht="5.25">
      <c r="A158" s="702" t="str">
        <f>IF(A159="N",A159,IF(COUNTIF($A$21:$A156,"Y")&gt;0,A159,"N"))</f>
        <v>Y</v>
      </c>
      <c r="C158" s="704"/>
      <c r="D158" s="704"/>
      <c r="E158" s="704"/>
      <c r="F158" s="704"/>
      <c r="G158" s="704"/>
      <c r="H158" s="704"/>
      <c r="I158" s="704"/>
      <c r="J158" s="705"/>
      <c r="K158" s="705"/>
      <c r="L158" s="705"/>
      <c r="M158" s="705"/>
      <c r="N158" s="705"/>
      <c r="O158" s="705"/>
      <c r="P158" s="1128"/>
      <c r="Q158" s="705"/>
      <c r="R158" s="705"/>
      <c r="S158" s="1136"/>
      <c r="T158" s="706"/>
      <c r="V158" s="707"/>
      <c r="W158" s="707"/>
      <c r="X158" s="707"/>
      <c r="Y158" s="707"/>
      <c r="Z158" s="707"/>
      <c r="AA158" s="707"/>
      <c r="AB158" s="707"/>
      <c r="AC158" s="707"/>
      <c r="AD158" s="707"/>
      <c r="AE158" s="708"/>
      <c r="AF158" s="708"/>
      <c r="AG158" s="707"/>
      <c r="AH158" s="709"/>
      <c r="AI158" s="709"/>
      <c r="AJ158" s="710"/>
      <c r="AK158" s="711"/>
      <c r="AL158" s="711"/>
      <c r="AM158" s="712"/>
      <c r="AN158" s="712"/>
      <c r="AO158" s="713"/>
      <c r="AP158" s="714"/>
      <c r="AQ158" s="711"/>
      <c r="AR158" s="715"/>
      <c r="AS158" s="715"/>
      <c r="AT158" s="716"/>
      <c r="AU158" s="715"/>
      <c r="AV158" s="717"/>
      <c r="AW158" s="715"/>
      <c r="AX158" s="715"/>
      <c r="AY158" s="711"/>
      <c r="AZ158" s="718"/>
      <c r="BA158" s="707"/>
      <c r="BB158" s="709"/>
      <c r="BC158" s="709"/>
      <c r="BD158" s="709"/>
      <c r="BE158" s="709"/>
    </row>
    <row r="159" spans="1:57" ht="15.75">
      <c r="A159" s="641" t="str">
        <f>A160</f>
        <v>Y</v>
      </c>
      <c r="C159" s="2802" t="s">
        <v>162</v>
      </c>
      <c r="D159" s="2803"/>
      <c r="E159" s="2804" t="str">
        <f>"("&amp;INDEX($Z$2:$Z$4,GRADECHNO,1)&amp;")"</f>
        <v>(Distillates)</v>
      </c>
      <c r="F159" s="2805"/>
      <c r="G159" s="2805"/>
      <c r="H159" s="2805"/>
      <c r="I159" s="2806"/>
      <c r="J159" s="698"/>
      <c r="K159" s="699"/>
      <c r="L159" s="700"/>
      <c r="M159" s="699"/>
      <c r="N159" s="699"/>
      <c r="O159" s="700"/>
      <c r="P159" s="1129"/>
      <c r="Q159" s="700"/>
      <c r="R159" s="703"/>
      <c r="S159" s="1129"/>
      <c r="T159" s="703"/>
      <c r="V159" s="731"/>
      <c r="W159" s="731"/>
      <c r="X159" s="731"/>
      <c r="Y159" s="731"/>
      <c r="Z159" s="731"/>
      <c r="AA159" s="676"/>
      <c r="AB159" s="731"/>
      <c r="AC159" s="731"/>
      <c r="AD159" s="676"/>
      <c r="AE159" s="732"/>
      <c r="AF159" s="732"/>
      <c r="AG159" s="676"/>
      <c r="AH159" s="733"/>
      <c r="AI159" s="733"/>
      <c r="AJ159" s="734"/>
      <c r="AK159" s="735"/>
      <c r="AL159" s="735"/>
      <c r="AM159" s="736"/>
      <c r="AN159" s="736"/>
      <c r="AO159" s="737"/>
      <c r="AP159" s="738"/>
      <c r="AQ159" s="735"/>
      <c r="AR159" s="739"/>
      <c r="AS159" s="739"/>
      <c r="AT159" s="740"/>
      <c r="AU159" s="739"/>
      <c r="AV159" s="741"/>
      <c r="AW159" s="739"/>
      <c r="AX159" s="739"/>
      <c r="AY159" s="735"/>
      <c r="AZ159" s="742"/>
      <c r="BA159" s="676"/>
      <c r="BB159" s="733"/>
      <c r="BC159" s="733"/>
      <c r="BD159" s="733"/>
      <c r="BE159" s="733"/>
    </row>
    <row r="160" spans="1:57">
      <c r="A160" s="641" t="str">
        <f>IF(C160="","N","Y")</f>
        <v>Y</v>
      </c>
      <c r="C160" s="235" t="str">
        <f t="array" ref="C160">IF(SUMPRODUCT((ISERROR(MATCH('Vessel Gauging Data'!$C$27:$C$56,IF(GRADECHNO=2,RESIDUALS,IF(GRADECHNO=3,DISTILLATES,GRADESLIST)),0))=FALSE)*('Vessel Gauging Data'!$D$27:$D$56=NOMN)*1)&lt;ROWS($C$160:$C160),"",INDEX('Vessel Gauging Data'!$B$27:$B$56,SMALL(IF(((ISERROR(MATCH('Vessel Gauging Data'!$C$27:$C$56,IF(GRADECHNO=2,RESIDUALS,IF(GRADECHNO=3,DISTILLATES,GRADESLIST)),0))=FALSE)+('Vessel Gauging Data'!$D$27:$D$56=NOMN))=2,ROW('Vessel Gauging Data'!$B$27:$B$56)-ROW('Vessel Gauging Data'!$C$26)),ROW()-ROW(C$159))))</f>
        <v>DO P</v>
      </c>
      <c r="D160" s="211" t="str">
        <f>IF(OR($C160="",$C160=0),"",INDEX('Vessel Gauging Data'!$B$26:$V$56,MATCH($C160,'Vessel Gauging Data'!$B$27:$B$56,0)+1,2))</f>
        <v>LSMGO</v>
      </c>
      <c r="E160" s="1016">
        <f t="shared" ref="E160:E189" si="158">IF(ISERROR(V160),"",IF(OR($C160="",$C160=0),"",IF(ISTEXT(V160),V160,IF($AB$1=1,V160*UNITOR_1,INT(V160*UNITOR_1)&amp;"'-"&amp;TRIM(TEXT(ROUND(MOD(V160*UNITOR_1,1)*12,1),"# ???/???"))&amp;""""))))</f>
        <v>2.46</v>
      </c>
      <c r="F160" s="1016">
        <f t="shared" ref="F160:F189" si="159">IF(ISERROR(W160),"",IF(OR($C160="",$C160=0),"",IF(ISTEXT(W160),W160,IF($AB$1=1,W160*UNITOR_1,INT(W160*UNITOR_1)&amp;"'-"&amp;TRIM(TEXT(ROUND(MOD(W160*UNITOR_1,1)*12,1),"# ???/???"))&amp;""""))))</f>
        <v>2.46</v>
      </c>
      <c r="G160" s="1016">
        <f t="shared" ref="G160:H189" si="160">IF(ISERROR(X160),"",IF(OR($C160="",$C160=0),"",IF(ISTEXT(X160),X160,IF($AB$1=1,X160*UNITOR_1,INT(X160*UNITOR_1)&amp;"'-"&amp;TRIM(TEXT(ROUND(MOD(X160*UNITOR_1,1)*12,1),"# ???/???"))&amp;""""))))</f>
        <v>2.02</v>
      </c>
      <c r="H160" s="1016">
        <f t="shared" si="160"/>
        <v>2.02</v>
      </c>
      <c r="I160" s="211" t="str">
        <f t="shared" ref="I160:I189" si="161">IF(ISERROR($BB160),"",IF(OR($C160="",$C160=0,$BB160=0),"",$BB160))</f>
        <v>S</v>
      </c>
      <c r="J160" s="1016">
        <f t="shared" ref="J160:J189" si="162">IF(ISERROR($BC160),"",IF(OR($C160="",$C160=0,$BC160=""),"",IF(ISTEXT($BC160),$BC160,$BC160*IF($AA$1=B1SEL,1,IF($AA$1=2,FBBLS,1/FBBLS)))))</f>
        <v>85</v>
      </c>
      <c r="K160" s="213">
        <f t="shared" ref="K160:K189" si="163">IF(ISERROR($BD160),"",IF(OR($C160="",$C160=0,$BD160=""),0,IF(ISTEXT($BD160),$BD160,$BD160*IF($AB$1=W1SEL,1,IF($AB$1=2,FINCH,1/FINCH)))))</f>
        <v>0</v>
      </c>
      <c r="L160" s="212">
        <f t="shared" ref="L160:L189" si="164">IF(ISERROR($BE160),"",IF(OR($C160="",$C160=0,$BE160=""),0,IF(ISTEXT($BE160),$BE160,$BE160*IF($AA$1=B1SEL,1,IF($AA$1=2,FBBLS,1/FBBLS)))))</f>
        <v>0</v>
      </c>
      <c r="M160" s="1125">
        <f>IF(OR($C160="",$C160=0),"",INDEX(API1DENST,MATCH($C160,'Vessel Gauging Data'!$B$27:$B$56,0),$AA$1))</f>
        <v>0.83789999999999998</v>
      </c>
      <c r="N160" s="212">
        <f t="shared" ref="N160:N189" si="165">IF(ISERROR(Z160),"",IF(OR($C160="",$C160=0,Z160=""),"",IF(ISTEXT(Z160),Z160,IF($AA$1=T1SEL,Z160,IF($AA$1=2,(Z160*9/5)+32,(Z160-32)*5/9)))))</f>
        <v>38</v>
      </c>
      <c r="O160" s="1016">
        <f t="shared" ref="O160:O172" si="166">IF(OR(J160="",L160=""),"",IF(ISTEXT(J160),"N/A",IF(ISTEXT(L160),J160,J160-L160)))</f>
        <v>85</v>
      </c>
      <c r="P160" s="1125">
        <f t="shared" ref="P160:P172" si="167">IF(OR(M160="",N160=""),"",IF(OR(ISTEXT(M160),ISTEXT(N160)),"N/A",IF($AA$1=1,ROUND(EXP(-AF160*(N160-15)*(1+0.8*AF160*(N160-15))),5),AZ160)))</f>
        <v>0.98041999999999996</v>
      </c>
      <c r="Q160" s="1016">
        <f t="shared" ref="Q160:Q172" si="168">IF(OR(M160="",N160=""),"",IF(OR(ISTEXT(M160),ISTEXT(N160)),"N/A",ROUND(O160*P160,3)))</f>
        <v>83.335999999999999</v>
      </c>
      <c r="R160" s="214">
        <f t="shared" ref="R160:R172" si="169">IF(M160="","",IF($AA$1=1,IF(ISTEXT(Q160),"N/A",ROUND(Q160*M160,3)),IF(ISTEXT(T160),"N/A",ROUND(T160*AC160,3))))</f>
        <v>69.826999999999998</v>
      </c>
      <c r="S160" s="1125">
        <f t="shared" ref="S160:S172" si="170">IF(M160="","",IF($AA$1=1,ROUND(M160-0.0011,5),ROUND((1.00122697*(141.5/(M160+131.5))-1.22269727*10^-3)*8.32823*42/2204.62,5+2)))</f>
        <v>0.83679999999999999</v>
      </c>
      <c r="T160" s="236">
        <f t="shared" ref="T160:T172" si="171">IF(OR(M160="",N160=""),"",IF(ISTEXT(Q160),"N/A",IF($AA$1=1,ROUND((Q160*(M160-0.0011)),3),ROUND(Q160*S160,3))))</f>
        <v>69.736000000000004</v>
      </c>
      <c r="V160" s="642">
        <f>INDEX('Vessel Gauging Data'!$B$26:$V$56,MATCH($C160,'Vessel Gauging Data'!$B$26:$B$56,0),$V$18)</f>
        <v>2.46</v>
      </c>
      <c r="W160" s="642">
        <f>INDEX('Vessel Gauging Data'!$B$26:$V$56,MATCH($C160,'Vessel Gauging Data'!$B$26:$B$56,0),$W$18)</f>
        <v>2.46</v>
      </c>
      <c r="X160" s="642">
        <f>INDEX('Vessel Gauging Data'!$B$26:$V$56,MATCH($C160,'Vessel Gauging Data'!$B$26:$B$56,0),$X$18)</f>
        <v>2.02</v>
      </c>
      <c r="Y160" s="642">
        <f>INDEX('Vessel Gauging Data'!$B$26:$V$56,MATCH($C160,'Vessel Gauging Data'!$B$26:$B$56,0),$Y$18)</f>
        <v>2.02</v>
      </c>
      <c r="Z160" s="642">
        <f>INDEX('Vessel Gauging Data'!$B$26:$V$56,MATCH($C160,'Vessel Gauging Data'!$B$26:$B$56,0),$Z$18)</f>
        <v>38</v>
      </c>
      <c r="AB160" s="642">
        <f>INDEX(API1DENST,MATCH($C160,'Vessel Gauging Data'!$B$27:$B$56,0),1)</f>
        <v>0.83789999999999998</v>
      </c>
      <c r="AC160" s="642">
        <f t="shared" si="138"/>
        <v>1.00135</v>
      </c>
      <c r="AE160" s="661">
        <f t="shared" si="139"/>
        <v>838</v>
      </c>
      <c r="AF160" s="661">
        <f t="shared" si="140"/>
        <v>8.4643999999999995E-4</v>
      </c>
      <c r="AH160" s="662">
        <f t="shared" si="121"/>
        <v>38</v>
      </c>
      <c r="AI160" s="662">
        <f t="shared" si="122"/>
        <v>0.83789999999999998</v>
      </c>
      <c r="AJ160" s="663">
        <f t="shared" si="141"/>
        <v>103.872</v>
      </c>
      <c r="AK160" s="660">
        <f t="shared" si="142"/>
        <v>0.27010000000000001</v>
      </c>
      <c r="AL160" s="660">
        <f t="shared" si="143"/>
        <v>1068.18</v>
      </c>
      <c r="AM160" s="664">
        <f t="shared" si="144"/>
        <v>9.7242029999999993E-2</v>
      </c>
      <c r="AN160" s="664">
        <f t="shared" si="145"/>
        <v>9.1035199999999999E-5</v>
      </c>
      <c r="AO160" s="665">
        <f t="shared" si="146"/>
        <v>2.5285999999999999E-4</v>
      </c>
      <c r="AP160" s="666">
        <f t="shared" si="147"/>
        <v>3.4390000000000001E-4</v>
      </c>
      <c r="AQ160" s="660">
        <f t="shared" si="148"/>
        <v>-22</v>
      </c>
      <c r="AR160" s="667">
        <f t="shared" si="149"/>
        <v>-7.5658000000000001E-3</v>
      </c>
      <c r="AS160" s="667">
        <f t="shared" si="150"/>
        <v>-6.0526399999999998E-3</v>
      </c>
      <c r="AT160" s="668">
        <f t="shared" si="151"/>
        <v>4.579E-5</v>
      </c>
      <c r="AU160" s="667">
        <f t="shared" si="152"/>
        <v>7.5200099999999997E-3</v>
      </c>
      <c r="AV160" s="669">
        <f t="shared" si="153"/>
        <v>2.5000000000000001E-4</v>
      </c>
      <c r="AW160" s="667">
        <f t="shared" si="154"/>
        <v>2.2999999999999999E-7</v>
      </c>
      <c r="AX160" s="667">
        <f t="shared" si="155"/>
        <v>103.87200023</v>
      </c>
      <c r="AY160" s="660">
        <f t="shared" si="156"/>
        <v>3.4390000000000001E-4</v>
      </c>
      <c r="AZ160" s="670">
        <f t="shared" si="157"/>
        <v>1.0075499999999999</v>
      </c>
      <c r="BB160" s="662" t="str">
        <f>INDEX('Vessel Gauging Data'!$B$26:$V$56,MATCH($C160,'Vessel Gauging Data'!$B$26:$B$56,0),$BB$18)</f>
        <v>S</v>
      </c>
      <c r="BC160" s="662">
        <f>INDEX('Vessel Gauging Data'!$B$26:$V$56,MATCH($C160,'Vessel Gauging Data'!$B$26:$B$56,0),$BC$18)</f>
        <v>85</v>
      </c>
      <c r="BD160" s="662">
        <f>INDEX('Vessel Gauging Data'!$B$26:$V$56,MATCH($C160,'Vessel Gauging Data'!$B$26:$B$56,0),$BD$18)</f>
        <v>0</v>
      </c>
      <c r="BE160" s="662">
        <f>INDEX('Vessel Gauging Data'!$B$26:$V$56,MATCH($C160,'Vessel Gauging Data'!$B$26:$B$56,0),$BE$18)</f>
        <v>0</v>
      </c>
    </row>
    <row r="161" spans="1:57">
      <c r="A161" s="641" t="str">
        <f t="shared" ref="A161:A189" si="172">IF(C161="","N","Y")</f>
        <v>Y</v>
      </c>
      <c r="C161" s="235" t="str">
        <f t="array" ref="C161">IF(SUMPRODUCT((ISERROR(MATCH('Vessel Gauging Data'!$C$27:$C$56,IF(GRADECHNO=2,RESIDUALS,IF(GRADECHNO=3,DISTILLATES,GRADESLIST)),0))=FALSE)*('Vessel Gauging Data'!$D$27:$D$56=NOMN)*1)&lt;ROWS($C$160:$C161),"",INDEX('Vessel Gauging Data'!$B$27:$B$56,SMALL(IF(((ISERROR(MATCH('Vessel Gauging Data'!$C$27:$C$56,IF(GRADECHNO=2,RESIDUALS,IF(GRADECHNO=3,DISTILLATES,GRADESLIST)),0))=FALSE)+('Vessel Gauging Data'!$D$27:$D$56=NOMN))=2,ROW('Vessel Gauging Data'!$B$27:$B$56)-ROW('Vessel Gauging Data'!$C$26)),ROW()-ROW(C$159))))</f>
        <v>DO S</v>
      </c>
      <c r="D161" s="211" t="str">
        <f>IF(OR($C161="",$C161=0),"",INDEX('Vessel Gauging Data'!$B$26:$V$56,MATCH($C161,'Vessel Gauging Data'!$B$27:$B$56,0)+1,2))</f>
        <v>LSMGO</v>
      </c>
      <c r="E161" s="1016">
        <f t="shared" si="158"/>
        <v>2.46</v>
      </c>
      <c r="F161" s="1016">
        <f t="shared" si="159"/>
        <v>2.46</v>
      </c>
      <c r="G161" s="1016">
        <f t="shared" si="160"/>
        <v>0.97</v>
      </c>
      <c r="H161" s="1016">
        <f t="shared" si="160"/>
        <v>0.97</v>
      </c>
      <c r="I161" s="211" t="str">
        <f t="shared" si="161"/>
        <v>S</v>
      </c>
      <c r="J161" s="1016">
        <f t="shared" si="162"/>
        <v>34.700000000000003</v>
      </c>
      <c r="K161" s="213">
        <f t="shared" si="163"/>
        <v>0</v>
      </c>
      <c r="L161" s="212">
        <f t="shared" si="164"/>
        <v>0</v>
      </c>
      <c r="M161" s="1125">
        <f>IF(OR($C161="",$C161=0),"",INDEX(API1DENST,MATCH($C161,'Vessel Gauging Data'!$B$27:$B$56,0),$AA$1))</f>
        <v>0.83789999999999998</v>
      </c>
      <c r="N161" s="212">
        <f t="shared" si="165"/>
        <v>38</v>
      </c>
      <c r="O161" s="1016">
        <f t="shared" si="166"/>
        <v>34.700000000000003</v>
      </c>
      <c r="P161" s="1125">
        <f t="shared" si="167"/>
        <v>0.98041999999999996</v>
      </c>
      <c r="Q161" s="1016">
        <f t="shared" si="168"/>
        <v>34.021000000000001</v>
      </c>
      <c r="R161" s="214">
        <f t="shared" si="169"/>
        <v>28.506</v>
      </c>
      <c r="S161" s="1125">
        <f t="shared" si="170"/>
        <v>0.83679999999999999</v>
      </c>
      <c r="T161" s="236">
        <f t="shared" si="171"/>
        <v>28.469000000000001</v>
      </c>
      <c r="V161" s="642">
        <f>INDEX('Vessel Gauging Data'!$B$26:$V$56,MATCH($C161,'Vessel Gauging Data'!$B$26:$B$56,0),$V$18)</f>
        <v>2.46</v>
      </c>
      <c r="W161" s="642">
        <f>INDEX('Vessel Gauging Data'!$B$26:$V$56,MATCH($C161,'Vessel Gauging Data'!$B$26:$B$56,0),$W$18)</f>
        <v>2.46</v>
      </c>
      <c r="X161" s="642">
        <f>INDEX('Vessel Gauging Data'!$B$26:$V$56,MATCH($C161,'Vessel Gauging Data'!$B$26:$B$56,0),$X$18)</f>
        <v>0.97</v>
      </c>
      <c r="Y161" s="642">
        <f>INDEX('Vessel Gauging Data'!$B$26:$V$56,MATCH($C161,'Vessel Gauging Data'!$B$26:$B$56,0),$Y$18)</f>
        <v>0.97</v>
      </c>
      <c r="Z161" s="642">
        <f>INDEX('Vessel Gauging Data'!$B$26:$V$56,MATCH($C161,'Vessel Gauging Data'!$B$26:$B$56,0),$Z$18)</f>
        <v>38</v>
      </c>
      <c r="AB161" s="642">
        <f>INDEX(API1DENST,MATCH($C161,'Vessel Gauging Data'!$B$27:$B$56,0),1)</f>
        <v>0.83789999999999998</v>
      </c>
      <c r="AC161" s="642">
        <f t="shared" si="138"/>
        <v>1.00135</v>
      </c>
      <c r="AE161" s="661">
        <f t="shared" si="139"/>
        <v>838</v>
      </c>
      <c r="AF161" s="661">
        <f t="shared" si="140"/>
        <v>8.4643999999999995E-4</v>
      </c>
      <c r="AH161" s="662">
        <f t="shared" si="121"/>
        <v>38</v>
      </c>
      <c r="AI161" s="662">
        <f t="shared" si="122"/>
        <v>0.83789999999999998</v>
      </c>
      <c r="AJ161" s="663">
        <f t="shared" si="141"/>
        <v>103.872</v>
      </c>
      <c r="AK161" s="660">
        <f t="shared" si="142"/>
        <v>0.27010000000000001</v>
      </c>
      <c r="AL161" s="660">
        <f t="shared" si="143"/>
        <v>1068.18</v>
      </c>
      <c r="AM161" s="664">
        <f t="shared" si="144"/>
        <v>9.7242029999999993E-2</v>
      </c>
      <c r="AN161" s="664">
        <f t="shared" si="145"/>
        <v>9.1035199999999999E-5</v>
      </c>
      <c r="AO161" s="665">
        <f t="shared" si="146"/>
        <v>2.5285999999999999E-4</v>
      </c>
      <c r="AP161" s="666">
        <f t="shared" si="147"/>
        <v>3.4390000000000001E-4</v>
      </c>
      <c r="AQ161" s="660">
        <f t="shared" si="148"/>
        <v>-22</v>
      </c>
      <c r="AR161" s="667">
        <f t="shared" si="149"/>
        <v>-7.5658000000000001E-3</v>
      </c>
      <c r="AS161" s="667">
        <f t="shared" si="150"/>
        <v>-6.0526399999999998E-3</v>
      </c>
      <c r="AT161" s="668">
        <f t="shared" si="151"/>
        <v>4.579E-5</v>
      </c>
      <c r="AU161" s="667">
        <f t="shared" si="152"/>
        <v>7.5200099999999997E-3</v>
      </c>
      <c r="AV161" s="669">
        <f t="shared" si="153"/>
        <v>2.5000000000000001E-4</v>
      </c>
      <c r="AW161" s="667">
        <f t="shared" si="154"/>
        <v>2.2999999999999999E-7</v>
      </c>
      <c r="AX161" s="667">
        <f t="shared" si="155"/>
        <v>103.87200023</v>
      </c>
      <c r="AY161" s="660">
        <f t="shared" si="156"/>
        <v>3.4390000000000001E-4</v>
      </c>
      <c r="AZ161" s="670">
        <f t="shared" si="157"/>
        <v>1.0075499999999999</v>
      </c>
      <c r="BB161" s="662" t="str">
        <f>INDEX('Vessel Gauging Data'!$B$26:$V$56,MATCH($C161,'Vessel Gauging Data'!$B$26:$B$56,0),$BB$18)</f>
        <v>S</v>
      </c>
      <c r="BC161" s="662">
        <f>INDEX('Vessel Gauging Data'!$B$26:$V$56,MATCH($C161,'Vessel Gauging Data'!$B$26:$B$56,0),$BC$18)</f>
        <v>34.700000000000003</v>
      </c>
      <c r="BD161" s="662">
        <f>INDEX('Vessel Gauging Data'!$B$26:$V$56,MATCH($C161,'Vessel Gauging Data'!$B$26:$B$56,0),$BD$18)</f>
        <v>0</v>
      </c>
      <c r="BE161" s="662">
        <f>INDEX('Vessel Gauging Data'!$B$26:$V$56,MATCH($C161,'Vessel Gauging Data'!$B$26:$B$56,0),$BE$18)</f>
        <v>0</v>
      </c>
    </row>
    <row r="162" spans="1:57">
      <c r="A162" s="641" t="str">
        <f t="shared" si="172"/>
        <v>Y</v>
      </c>
      <c r="C162" s="235" t="str">
        <f t="array" ref="C162">IF(SUMPRODUCT((ISERROR(MATCH('Vessel Gauging Data'!$C$27:$C$56,IF(GRADECHNO=2,RESIDUALS,IF(GRADECHNO=3,DISTILLATES,GRADESLIST)),0))=FALSE)*('Vessel Gauging Data'!$D$27:$D$56=NOMN)*1)&lt;ROWS($C$160:$C162),"",INDEX('Vessel Gauging Data'!$B$27:$B$56,SMALL(IF(((ISERROR(MATCH('Vessel Gauging Data'!$C$27:$C$56,IF(GRADECHNO=2,RESIDUALS,IF(GRADECHNO=3,DISTILLATES,GRADESLIST)),0))=FALSE)+('Vessel Gauging Data'!$D$27:$D$56=NOMN))=2,ROW('Vessel Gauging Data'!$B$27:$B$56)-ROW('Vessel Gauging Data'!$C$26)),ROW()-ROW(C$159))))</f>
        <v>DO SERV</v>
      </c>
      <c r="D162" s="211" t="str">
        <f>IF(OR($C162="",$C162=0),"",INDEX('Vessel Gauging Data'!$B$26:$V$56,MATCH($C162,'Vessel Gauging Data'!$B$27:$B$56,0)+1,2))</f>
        <v>LSMGO</v>
      </c>
      <c r="E162" s="1016" t="str">
        <f t="shared" si="158"/>
        <v>GAUGE</v>
      </c>
      <c r="F162" s="1016" t="str">
        <f t="shared" si="159"/>
        <v>GAUGE</v>
      </c>
      <c r="G162" s="1016" t="str">
        <f t="shared" si="160"/>
        <v>GAUGE</v>
      </c>
      <c r="H162" s="1016" t="str">
        <f t="shared" si="160"/>
        <v>GAUGE</v>
      </c>
      <c r="I162" s="211" t="str">
        <f t="shared" si="161"/>
        <v>G</v>
      </c>
      <c r="J162" s="1016">
        <f t="shared" si="162"/>
        <v>14.5</v>
      </c>
      <c r="K162" s="213">
        <f t="shared" si="163"/>
        <v>0</v>
      </c>
      <c r="L162" s="212">
        <f t="shared" si="164"/>
        <v>0</v>
      </c>
      <c r="M162" s="1125">
        <f>IF(OR($C162="",$C162=0),"",INDEX(API1DENST,MATCH($C162,'Vessel Gauging Data'!$B$27:$B$56,0),$AA$1))</f>
        <v>0.83789999999999998</v>
      </c>
      <c r="N162" s="212">
        <f t="shared" si="165"/>
        <v>38</v>
      </c>
      <c r="O162" s="1016">
        <f t="shared" si="166"/>
        <v>14.5</v>
      </c>
      <c r="P162" s="1125">
        <f t="shared" si="167"/>
        <v>0.98041999999999996</v>
      </c>
      <c r="Q162" s="1016">
        <f t="shared" si="168"/>
        <v>14.215999999999999</v>
      </c>
      <c r="R162" s="214">
        <f t="shared" si="169"/>
        <v>11.912000000000001</v>
      </c>
      <c r="S162" s="1125">
        <f t="shared" si="170"/>
        <v>0.83679999999999999</v>
      </c>
      <c r="T162" s="236">
        <f t="shared" si="171"/>
        <v>11.896000000000001</v>
      </c>
      <c r="V162" s="642" t="str">
        <f>INDEX('Vessel Gauging Data'!$B$26:$V$56,MATCH($C162,'Vessel Gauging Data'!$B$26:$B$56,0),$V$18)</f>
        <v>GAUGE</v>
      </c>
      <c r="W162" s="642" t="str">
        <f>INDEX('Vessel Gauging Data'!$B$26:$V$56,MATCH($C162,'Vessel Gauging Data'!$B$26:$B$56,0),$W$18)</f>
        <v>GAUGE</v>
      </c>
      <c r="X162" s="642" t="str">
        <f>INDEX('Vessel Gauging Data'!$B$26:$V$56,MATCH($C162,'Vessel Gauging Data'!$B$26:$B$56,0),$X$18)</f>
        <v>GAUGE</v>
      </c>
      <c r="Y162" s="642" t="str">
        <f>INDEX('Vessel Gauging Data'!$B$26:$V$56,MATCH($C162,'Vessel Gauging Data'!$B$26:$B$56,0),$Y$18)</f>
        <v>GAUGE</v>
      </c>
      <c r="Z162" s="642">
        <f>INDEX('Vessel Gauging Data'!$B$26:$V$56,MATCH($C162,'Vessel Gauging Data'!$B$26:$B$56,0),$Z$18)</f>
        <v>38</v>
      </c>
      <c r="AB162" s="642">
        <f>INDEX(API1DENST,MATCH($C162,'Vessel Gauging Data'!$B$27:$B$56,0),1)</f>
        <v>0.83789999999999998</v>
      </c>
      <c r="AC162" s="642">
        <f t="shared" si="138"/>
        <v>1.00135</v>
      </c>
      <c r="AE162" s="661">
        <f t="shared" si="139"/>
        <v>838</v>
      </c>
      <c r="AF162" s="661">
        <f t="shared" si="140"/>
        <v>8.4643999999999995E-4</v>
      </c>
      <c r="AH162" s="662">
        <f t="shared" ref="AH162:AH189" si="173">N162</f>
        <v>38</v>
      </c>
      <c r="AI162" s="662">
        <f t="shared" ref="AI162:AI189" si="174">M162</f>
        <v>0.83789999999999998</v>
      </c>
      <c r="AJ162" s="663">
        <f t="shared" si="141"/>
        <v>103.872</v>
      </c>
      <c r="AK162" s="660">
        <f t="shared" si="142"/>
        <v>0.27010000000000001</v>
      </c>
      <c r="AL162" s="660">
        <f t="shared" si="143"/>
        <v>1068.18</v>
      </c>
      <c r="AM162" s="664">
        <f t="shared" si="144"/>
        <v>9.7242029999999993E-2</v>
      </c>
      <c r="AN162" s="664">
        <f t="shared" si="145"/>
        <v>9.1035199999999999E-5</v>
      </c>
      <c r="AO162" s="665">
        <f t="shared" si="146"/>
        <v>2.5285999999999999E-4</v>
      </c>
      <c r="AP162" s="666">
        <f t="shared" si="147"/>
        <v>3.4390000000000001E-4</v>
      </c>
      <c r="AQ162" s="660">
        <f t="shared" si="148"/>
        <v>-22</v>
      </c>
      <c r="AR162" s="667">
        <f t="shared" si="149"/>
        <v>-7.5658000000000001E-3</v>
      </c>
      <c r="AS162" s="667">
        <f t="shared" si="150"/>
        <v>-6.0526399999999998E-3</v>
      </c>
      <c r="AT162" s="668">
        <f t="shared" si="151"/>
        <v>4.579E-5</v>
      </c>
      <c r="AU162" s="667">
        <f t="shared" si="152"/>
        <v>7.5200099999999997E-3</v>
      </c>
      <c r="AV162" s="669">
        <f t="shared" si="153"/>
        <v>2.5000000000000001E-4</v>
      </c>
      <c r="AW162" s="667">
        <f t="shared" si="154"/>
        <v>2.2999999999999999E-7</v>
      </c>
      <c r="AX162" s="667">
        <f t="shared" si="155"/>
        <v>103.87200023</v>
      </c>
      <c r="AY162" s="660">
        <f t="shared" si="156"/>
        <v>3.4390000000000001E-4</v>
      </c>
      <c r="AZ162" s="670">
        <f t="shared" si="157"/>
        <v>1.0075499999999999</v>
      </c>
      <c r="BB162" s="662" t="str">
        <f>INDEX('Vessel Gauging Data'!$B$26:$V$56,MATCH($C162,'Vessel Gauging Data'!$B$26:$B$56,0),$BB$18)</f>
        <v>G</v>
      </c>
      <c r="BC162" s="662">
        <f>INDEX('Vessel Gauging Data'!$B$26:$V$56,MATCH($C162,'Vessel Gauging Data'!$B$26:$B$56,0),$BC$18)</f>
        <v>14.5</v>
      </c>
      <c r="BD162" s="662">
        <f>INDEX('Vessel Gauging Data'!$B$26:$V$56,MATCH($C162,'Vessel Gauging Data'!$B$26:$B$56,0),$BD$18)</f>
        <v>0</v>
      </c>
      <c r="BE162" s="662">
        <f>INDEX('Vessel Gauging Data'!$B$26:$V$56,MATCH($C162,'Vessel Gauging Data'!$B$26:$B$56,0),$BE$18)</f>
        <v>0</v>
      </c>
    </row>
    <row r="163" spans="1:57">
      <c r="A163" s="641" t="str">
        <f t="shared" si="172"/>
        <v>Y</v>
      </c>
      <c r="C163" s="235" t="str">
        <f t="array" ref="C163">IF(SUMPRODUCT((ISERROR(MATCH('Vessel Gauging Data'!$C$27:$C$56,IF(GRADECHNO=2,RESIDUALS,IF(GRADECHNO=3,DISTILLATES,GRADESLIST)),0))=FALSE)*('Vessel Gauging Data'!$D$27:$D$56=NOMN)*1)&lt;ROWS($C$160:$C163),"",INDEX('Vessel Gauging Data'!$B$27:$B$56,SMALL(IF(((ISERROR(MATCH('Vessel Gauging Data'!$C$27:$C$56,IF(GRADECHNO=2,RESIDUALS,IF(GRADECHNO=3,DISTILLATES,GRADESLIST)),0))=FALSE)+('Vessel Gauging Data'!$D$27:$D$56=NOMN))=2,ROW('Vessel Gauging Data'!$B$27:$B$56)-ROW('Vessel Gauging Data'!$C$26)),ROW()-ROW(C$159))))</f>
        <v>DO SETT</v>
      </c>
      <c r="D163" s="211" t="str">
        <f>IF(OR($C163="",$C163=0),"",INDEX('Vessel Gauging Data'!$B$26:$V$56,MATCH($C163,'Vessel Gauging Data'!$B$27:$B$56,0)+1,2))</f>
        <v>LSMGO</v>
      </c>
      <c r="E163" s="1016" t="str">
        <f t="shared" si="158"/>
        <v>GAUGE</v>
      </c>
      <c r="F163" s="1016" t="str">
        <f t="shared" si="159"/>
        <v>GAUGE</v>
      </c>
      <c r="G163" s="1016" t="str">
        <f t="shared" si="160"/>
        <v>GAUGE</v>
      </c>
      <c r="H163" s="1016" t="str">
        <f t="shared" si="160"/>
        <v>GAUGE</v>
      </c>
      <c r="I163" s="211" t="str">
        <f t="shared" si="161"/>
        <v>G</v>
      </c>
      <c r="J163" s="1016">
        <f t="shared" si="162"/>
        <v>6.5</v>
      </c>
      <c r="K163" s="213">
        <f t="shared" si="163"/>
        <v>0</v>
      </c>
      <c r="L163" s="212">
        <f t="shared" si="164"/>
        <v>0</v>
      </c>
      <c r="M163" s="1125">
        <f>IF(OR($C163="",$C163=0),"",INDEX(API1DENST,MATCH($C163,'Vessel Gauging Data'!$B$27:$B$56,0),$AA$1))</f>
        <v>0.83789999999999998</v>
      </c>
      <c r="N163" s="212">
        <f t="shared" si="165"/>
        <v>38</v>
      </c>
      <c r="O163" s="1016">
        <f t="shared" si="166"/>
        <v>6.5</v>
      </c>
      <c r="P163" s="1125">
        <f t="shared" si="167"/>
        <v>0.98041999999999996</v>
      </c>
      <c r="Q163" s="1016">
        <f t="shared" si="168"/>
        <v>6.3730000000000002</v>
      </c>
      <c r="R163" s="214">
        <f t="shared" si="169"/>
        <v>5.34</v>
      </c>
      <c r="S163" s="1125">
        <f t="shared" si="170"/>
        <v>0.83679999999999999</v>
      </c>
      <c r="T163" s="236">
        <f t="shared" si="171"/>
        <v>5.3330000000000002</v>
      </c>
      <c r="V163" s="642" t="str">
        <f>INDEX('Vessel Gauging Data'!$B$26:$V$56,MATCH($C163,'Vessel Gauging Data'!$B$26:$B$56,0),$V$18)</f>
        <v>GAUGE</v>
      </c>
      <c r="W163" s="642" t="str">
        <f>INDEX('Vessel Gauging Data'!$B$26:$V$56,MATCH($C163,'Vessel Gauging Data'!$B$26:$B$56,0),$W$18)</f>
        <v>GAUGE</v>
      </c>
      <c r="X163" s="642" t="str">
        <f>INDEX('Vessel Gauging Data'!$B$26:$V$56,MATCH($C163,'Vessel Gauging Data'!$B$26:$B$56,0),$X$18)</f>
        <v>GAUGE</v>
      </c>
      <c r="Y163" s="642" t="str">
        <f>INDEX('Vessel Gauging Data'!$B$26:$V$56,MATCH($C163,'Vessel Gauging Data'!$B$26:$B$56,0),$Y$18)</f>
        <v>GAUGE</v>
      </c>
      <c r="Z163" s="642">
        <f>INDEX('Vessel Gauging Data'!$B$26:$V$56,MATCH($C163,'Vessel Gauging Data'!$B$26:$B$56,0),$Z$18)</f>
        <v>38</v>
      </c>
      <c r="AB163" s="642">
        <f>INDEX(API1DENST,MATCH($C163,'Vessel Gauging Data'!$B$27:$B$56,0),1)</f>
        <v>0.83789999999999998</v>
      </c>
      <c r="AC163" s="642">
        <f t="shared" si="138"/>
        <v>1.00135</v>
      </c>
      <c r="AE163" s="661">
        <f t="shared" si="139"/>
        <v>838</v>
      </c>
      <c r="AF163" s="661">
        <f t="shared" si="140"/>
        <v>8.4643999999999995E-4</v>
      </c>
      <c r="AH163" s="662">
        <f t="shared" si="173"/>
        <v>38</v>
      </c>
      <c r="AI163" s="662">
        <f t="shared" si="174"/>
        <v>0.83789999999999998</v>
      </c>
      <c r="AJ163" s="663">
        <f t="shared" si="141"/>
        <v>103.872</v>
      </c>
      <c r="AK163" s="660">
        <f t="shared" si="142"/>
        <v>0.27010000000000001</v>
      </c>
      <c r="AL163" s="660">
        <f t="shared" si="143"/>
        <v>1068.18</v>
      </c>
      <c r="AM163" s="664">
        <f t="shared" si="144"/>
        <v>9.7242029999999993E-2</v>
      </c>
      <c r="AN163" s="664">
        <f t="shared" si="145"/>
        <v>9.1035199999999999E-5</v>
      </c>
      <c r="AO163" s="665">
        <f t="shared" si="146"/>
        <v>2.5285999999999999E-4</v>
      </c>
      <c r="AP163" s="666">
        <f t="shared" si="147"/>
        <v>3.4390000000000001E-4</v>
      </c>
      <c r="AQ163" s="660">
        <f t="shared" si="148"/>
        <v>-22</v>
      </c>
      <c r="AR163" s="667">
        <f t="shared" si="149"/>
        <v>-7.5658000000000001E-3</v>
      </c>
      <c r="AS163" s="667">
        <f t="shared" si="150"/>
        <v>-6.0526399999999998E-3</v>
      </c>
      <c r="AT163" s="668">
        <f t="shared" si="151"/>
        <v>4.579E-5</v>
      </c>
      <c r="AU163" s="667">
        <f t="shared" si="152"/>
        <v>7.5200099999999997E-3</v>
      </c>
      <c r="AV163" s="669">
        <f t="shared" si="153"/>
        <v>2.5000000000000001E-4</v>
      </c>
      <c r="AW163" s="667">
        <f t="shared" si="154"/>
        <v>2.2999999999999999E-7</v>
      </c>
      <c r="AX163" s="667">
        <f t="shared" si="155"/>
        <v>103.87200023</v>
      </c>
      <c r="AY163" s="660">
        <f t="shared" si="156"/>
        <v>3.4390000000000001E-4</v>
      </c>
      <c r="AZ163" s="670">
        <f t="shared" si="157"/>
        <v>1.0075499999999999</v>
      </c>
      <c r="BB163" s="662" t="str">
        <f>INDEX('Vessel Gauging Data'!$B$26:$V$56,MATCH($C163,'Vessel Gauging Data'!$B$26:$B$56,0),$BB$18)</f>
        <v>G</v>
      </c>
      <c r="BC163" s="662">
        <f>INDEX('Vessel Gauging Data'!$B$26:$V$56,MATCH($C163,'Vessel Gauging Data'!$B$26:$B$56,0),$BC$18)</f>
        <v>6.5</v>
      </c>
      <c r="BD163" s="662">
        <f>INDEX('Vessel Gauging Data'!$B$26:$V$56,MATCH($C163,'Vessel Gauging Data'!$B$26:$B$56,0),$BD$18)</f>
        <v>0</v>
      </c>
      <c r="BE163" s="662">
        <f>INDEX('Vessel Gauging Data'!$B$26:$V$56,MATCH($C163,'Vessel Gauging Data'!$B$26:$B$56,0),$BE$18)</f>
        <v>0</v>
      </c>
    </row>
    <row r="164" spans="1:57" hidden="1">
      <c r="A164" s="641" t="str">
        <f t="shared" si="172"/>
        <v>N</v>
      </c>
      <c r="C164" s="235" t="str">
        <f t="array" ref="C164">IF(SUMPRODUCT((ISERROR(MATCH('Vessel Gauging Data'!$C$27:$C$56,IF(GRADECHNO=2,RESIDUALS,IF(GRADECHNO=3,DISTILLATES,GRADESLIST)),0))=FALSE)*('Vessel Gauging Data'!$D$27:$D$56=NOMN)*1)&lt;ROWS($C$160:$C164),"",INDEX('Vessel Gauging Data'!$B$27:$B$56,SMALL(IF(((ISERROR(MATCH('Vessel Gauging Data'!$C$27:$C$56,IF(GRADECHNO=2,RESIDUALS,IF(GRADECHNO=3,DISTILLATES,GRADESLIST)),0))=FALSE)+('Vessel Gauging Data'!$D$27:$D$56=NOMN))=2,ROW('Vessel Gauging Data'!$B$27:$B$56)-ROW('Vessel Gauging Data'!$C$26)),ROW()-ROW(C$159))))</f>
        <v/>
      </c>
      <c r="D164" s="211" t="str">
        <f>IF(OR($C164="",$C164=0),"",INDEX('Vessel Gauging Data'!$B$26:$V$56,MATCH($C164,'Vessel Gauging Data'!$B$27:$B$56,0)+1,2))</f>
        <v/>
      </c>
      <c r="E164" s="1016" t="str">
        <f t="shared" si="158"/>
        <v/>
      </c>
      <c r="F164" s="1016" t="str">
        <f t="shared" si="159"/>
        <v/>
      </c>
      <c r="G164" s="1016" t="str">
        <f t="shared" si="160"/>
        <v/>
      </c>
      <c r="H164" s="1016" t="str">
        <f t="shared" si="160"/>
        <v/>
      </c>
      <c r="I164" s="211" t="str">
        <f t="shared" si="161"/>
        <v/>
      </c>
      <c r="J164" s="1016" t="str">
        <f t="shared" si="162"/>
        <v/>
      </c>
      <c r="K164" s="213" t="str">
        <f t="shared" si="163"/>
        <v/>
      </c>
      <c r="L164" s="212" t="str">
        <f>IF(ISERROR($BE164),"",IF(OR($C164="",$C164=0,$BE164=""),0,IF(ISTEXT($BE164),$BE164,$BE164*IF($AA$1=B1SEL,1,IF($AA$1=2,FBBLS,1/FBBLS)))))</f>
        <v/>
      </c>
      <c r="M164" s="1125" t="str">
        <f>IF(OR($C164="",$C164=0),"",INDEX(API1DENST,MATCH($C164,'Vessel Gauging Data'!$B$27:$B$56,0),$AA$1))</f>
        <v/>
      </c>
      <c r="N164" s="212" t="str">
        <f t="shared" si="165"/>
        <v/>
      </c>
      <c r="O164" s="1016" t="str">
        <f t="shared" si="166"/>
        <v/>
      </c>
      <c r="P164" s="1125" t="str">
        <f>IF(OR(M164="",N164=""),"",IF(OR(ISTEXT(M164),ISTEXT(N164)),"N/A",IF($AA$1=1,ROUND(EXP(-AF164*(N164-15)*(1+0.8*AF164*(N164-15))),5),AZ164)))</f>
        <v/>
      </c>
      <c r="Q164" s="1016" t="str">
        <f t="shared" si="168"/>
        <v/>
      </c>
      <c r="R164" s="214" t="str">
        <f t="shared" si="169"/>
        <v/>
      </c>
      <c r="S164" s="1125" t="str">
        <f t="shared" si="170"/>
        <v/>
      </c>
      <c r="T164" s="236" t="str">
        <f t="shared" si="171"/>
        <v/>
      </c>
      <c r="V164" s="642" t="e">
        <f>INDEX('Vessel Gauging Data'!$B$26:$V$56,MATCH($C164,'Vessel Gauging Data'!$B$26:$B$56,0),$V$18)</f>
        <v>#N/A</v>
      </c>
      <c r="W164" s="642" t="e">
        <f>INDEX('Vessel Gauging Data'!$B$26:$V$56,MATCH($C164,'Vessel Gauging Data'!$B$26:$B$56,0),$W$18)</f>
        <v>#N/A</v>
      </c>
      <c r="X164" s="642" t="e">
        <f>INDEX('Vessel Gauging Data'!$B$26:$V$56,MATCH($C164,'Vessel Gauging Data'!$B$26:$B$56,0),$X$18)</f>
        <v>#N/A</v>
      </c>
      <c r="Y164" s="642" t="e">
        <f>INDEX('Vessel Gauging Data'!$B$26:$V$56,MATCH($C164,'Vessel Gauging Data'!$B$26:$B$56,0),$Y$18)</f>
        <v>#N/A</v>
      </c>
      <c r="Z164" s="642" t="e">
        <f>INDEX('Vessel Gauging Data'!$B$26:$V$56,MATCH($C164,'Vessel Gauging Data'!$B$26:$B$56,0),$Z$18)</f>
        <v>#N/A</v>
      </c>
      <c r="AB164" s="642" t="e">
        <f>INDEX(API1DENST,MATCH($C164,'Vessel Gauging Data'!$B$27:$B$56,0),1)</f>
        <v>#N/A</v>
      </c>
      <c r="AC164" s="642" t="e">
        <f t="shared" si="138"/>
        <v>#N/A</v>
      </c>
      <c r="AE164" s="661" t="e">
        <f t="shared" si="139"/>
        <v>#VALUE!</v>
      </c>
      <c r="AF164" s="661" t="e">
        <f t="shared" si="140"/>
        <v>#VALUE!</v>
      </c>
      <c r="AH164" s="662" t="str">
        <f t="shared" si="173"/>
        <v/>
      </c>
      <c r="AI164" s="662" t="str">
        <f t="shared" si="174"/>
        <v/>
      </c>
      <c r="AJ164" s="663">
        <f t="shared" si="141"/>
        <v>192.4571</v>
      </c>
      <c r="AK164" s="660">
        <f t="shared" si="142"/>
        <v>0.24379999999999999</v>
      </c>
      <c r="AL164" s="660" t="e">
        <f t="shared" si="143"/>
        <v>#VALUE!</v>
      </c>
      <c r="AM164" s="664" t="e">
        <f t="shared" si="144"/>
        <v>#VALUE!</v>
      </c>
      <c r="AN164" s="664" t="e">
        <f t="shared" si="145"/>
        <v>#VALUE!</v>
      </c>
      <c r="AO164" s="665" t="e">
        <f t="shared" si="146"/>
        <v>#VALUE!</v>
      </c>
      <c r="AP164" s="666" t="e">
        <f t="shared" si="147"/>
        <v>#VALUE!</v>
      </c>
      <c r="AQ164" s="660" t="e">
        <f t="shared" si="148"/>
        <v>#VALUE!</v>
      </c>
      <c r="AR164" s="667" t="e">
        <f t="shared" si="149"/>
        <v>#VALUE!</v>
      </c>
      <c r="AS164" s="667" t="e">
        <f t="shared" si="150"/>
        <v>#VALUE!</v>
      </c>
      <c r="AT164" s="668" t="e">
        <f t="shared" si="151"/>
        <v>#VALUE!</v>
      </c>
      <c r="AU164" s="667" t="e">
        <f t="shared" si="152"/>
        <v>#VALUE!</v>
      </c>
      <c r="AV164" s="669" t="e">
        <f t="shared" si="153"/>
        <v>#VALUE!</v>
      </c>
      <c r="AW164" s="667" t="e">
        <f t="shared" si="154"/>
        <v>#VALUE!</v>
      </c>
      <c r="AX164" s="667" t="e">
        <f t="shared" si="155"/>
        <v>#VALUE!</v>
      </c>
      <c r="AY164" s="660" t="e">
        <f t="shared" si="156"/>
        <v>#VALUE!</v>
      </c>
      <c r="AZ164" s="670" t="e">
        <f t="shared" si="157"/>
        <v>#VALUE!</v>
      </c>
      <c r="BB164" s="662" t="e">
        <f>INDEX('Vessel Gauging Data'!$B$26:$V$56,MATCH($C164,'Vessel Gauging Data'!$B$26:$B$56,0),$BB$18)</f>
        <v>#N/A</v>
      </c>
      <c r="BC164" s="662" t="e">
        <f>INDEX('Vessel Gauging Data'!$B$26:$V$56,MATCH($C164,'Vessel Gauging Data'!$B$26:$B$56,0),$BC$18)</f>
        <v>#N/A</v>
      </c>
      <c r="BD164" s="662" t="e">
        <f>INDEX('Vessel Gauging Data'!$B$26:$V$56,MATCH($C164,'Vessel Gauging Data'!$B$26:$B$56,0),$BD$18)</f>
        <v>#N/A</v>
      </c>
      <c r="BE164" s="662" t="e">
        <f>INDEX('Vessel Gauging Data'!$B$26:$V$56,MATCH($C164,'Vessel Gauging Data'!$B$26:$B$56,0),$BE$18)</f>
        <v>#N/A</v>
      </c>
    </row>
    <row r="165" spans="1:57" hidden="1">
      <c r="A165" s="641" t="str">
        <f t="shared" si="172"/>
        <v>N</v>
      </c>
      <c r="C165" s="235" t="str">
        <f t="array" ref="C165">IF(SUMPRODUCT((ISERROR(MATCH('Vessel Gauging Data'!$C$27:$C$56,IF(GRADECHNO=2,RESIDUALS,IF(GRADECHNO=3,DISTILLATES,GRADESLIST)),0))=FALSE)*('Vessel Gauging Data'!$D$27:$D$56=NOMN)*1)&lt;ROWS($C$160:$C165),"",INDEX('Vessel Gauging Data'!$B$27:$B$56,SMALL(IF(((ISERROR(MATCH('Vessel Gauging Data'!$C$27:$C$56,IF(GRADECHNO=2,RESIDUALS,IF(GRADECHNO=3,DISTILLATES,GRADESLIST)),0))=FALSE)+('Vessel Gauging Data'!$D$27:$D$56=NOMN))=2,ROW('Vessel Gauging Data'!$B$27:$B$56)-ROW('Vessel Gauging Data'!$C$26)),ROW()-ROW(C$159))))</f>
        <v/>
      </c>
      <c r="D165" s="211" t="str">
        <f>IF(OR($C165="",$C165=0),"",INDEX('Vessel Gauging Data'!$B$26:$V$56,MATCH($C165,'Vessel Gauging Data'!$B$27:$B$56,0)+1,2))</f>
        <v/>
      </c>
      <c r="E165" s="1016" t="str">
        <f t="shared" si="158"/>
        <v/>
      </c>
      <c r="F165" s="1016" t="str">
        <f t="shared" si="159"/>
        <v/>
      </c>
      <c r="G165" s="1016" t="str">
        <f t="shared" si="160"/>
        <v/>
      </c>
      <c r="H165" s="1016" t="str">
        <f t="shared" si="160"/>
        <v/>
      </c>
      <c r="I165" s="211" t="str">
        <f t="shared" si="161"/>
        <v/>
      </c>
      <c r="J165" s="1016" t="str">
        <f t="shared" si="162"/>
        <v/>
      </c>
      <c r="K165" s="213" t="str">
        <f t="shared" si="163"/>
        <v/>
      </c>
      <c r="L165" s="212" t="str">
        <f t="shared" si="164"/>
        <v/>
      </c>
      <c r="M165" s="1125" t="str">
        <f>IF(OR($C165="",$C165=0),"",INDEX(API1DENST,MATCH($C165,'Vessel Gauging Data'!$B$27:$B$56,0),$AA$1))</f>
        <v/>
      </c>
      <c r="N165" s="212" t="str">
        <f t="shared" si="165"/>
        <v/>
      </c>
      <c r="O165" s="1016" t="str">
        <f t="shared" si="166"/>
        <v/>
      </c>
      <c r="P165" s="1125" t="str">
        <f t="shared" si="167"/>
        <v/>
      </c>
      <c r="Q165" s="1016" t="str">
        <f t="shared" si="168"/>
        <v/>
      </c>
      <c r="R165" s="214" t="str">
        <f t="shared" si="169"/>
        <v/>
      </c>
      <c r="S165" s="1125" t="str">
        <f t="shared" si="170"/>
        <v/>
      </c>
      <c r="T165" s="236" t="str">
        <f t="shared" si="171"/>
        <v/>
      </c>
      <c r="V165" s="642" t="e">
        <f>INDEX('Vessel Gauging Data'!$B$26:$V$56,MATCH($C165,'Vessel Gauging Data'!$B$26:$B$56,0),$V$18)</f>
        <v>#N/A</v>
      </c>
      <c r="W165" s="642" t="e">
        <f>INDEX('Vessel Gauging Data'!$B$26:$V$56,MATCH($C165,'Vessel Gauging Data'!$B$26:$B$56,0),$W$18)</f>
        <v>#N/A</v>
      </c>
      <c r="X165" s="642" t="e">
        <f>INDEX('Vessel Gauging Data'!$B$26:$V$56,MATCH($C165,'Vessel Gauging Data'!$B$26:$B$56,0),$X$18)</f>
        <v>#N/A</v>
      </c>
      <c r="Y165" s="642" t="e">
        <f>INDEX('Vessel Gauging Data'!$B$26:$V$56,MATCH($C165,'Vessel Gauging Data'!$B$26:$B$56,0),$Y$18)</f>
        <v>#N/A</v>
      </c>
      <c r="Z165" s="642" t="e">
        <f>INDEX('Vessel Gauging Data'!$B$26:$V$56,MATCH($C165,'Vessel Gauging Data'!$B$26:$B$56,0),$Z$18)</f>
        <v>#N/A</v>
      </c>
      <c r="AB165" s="642" t="e">
        <f>INDEX(API1DENST,MATCH($C165,'Vessel Gauging Data'!$B$27:$B$56,0),1)</f>
        <v>#N/A</v>
      </c>
      <c r="AC165" s="642" t="e">
        <f t="shared" ref="AC165:AC174" si="175">((INT((AB165/(1.0001506*AB165-0.0012202))*10000)+0.5)/10000)</f>
        <v>#N/A</v>
      </c>
      <c r="AE165" s="661" t="e">
        <f t="shared" ref="AE165:AE174" si="176">ROUND(+M165/2*1000,0)*2</f>
        <v>#VALUE!</v>
      </c>
      <c r="AF165" s="661" t="e">
        <f t="shared" ref="AF165:AF174" si="177">ROUND(186.9696/(AE165*AE165)+(0.4862/AE165),8)</f>
        <v>#VALUE!</v>
      </c>
      <c r="AH165" s="662" t="str">
        <f t="shared" si="173"/>
        <v/>
      </c>
      <c r="AI165" s="662" t="str">
        <f t="shared" si="174"/>
        <v/>
      </c>
      <c r="AJ165" s="663">
        <f t="shared" ref="AJ165:AJ174" si="178">IF(AND(AI165&gt;=0,AI165&lt;=37),103.872,IF(AND(AI165&gt;=48,AI165&lt;=52),-0.0018684,IF(AND(AI165&gt;=37.1,AI165&lt;=47.9),330.301,IF(AND(AI165&gt;=52.1),192.4571))))</f>
        <v>192.4571</v>
      </c>
      <c r="AK165" s="660">
        <f t="shared" ref="AK165:AK174" si="179">IF(AND(AI165&gt;=0,AI165&lt;=37),0.2701,IF(AND(AI165&gt;=48,AJ165&lt;=52),1489.067,IF(AND(AI165&gt;=37.1,AI165&lt;=47.9),0,IF(AI165&gt;=52.1,0.2438))))</f>
        <v>0.24379999999999999</v>
      </c>
      <c r="AL165" s="660" t="e">
        <f t="shared" ref="AL165:AL174" si="180">ROUND(141360.198/(AI165+131.5),2)</f>
        <v>#VALUE!</v>
      </c>
      <c r="AM165" s="664" t="e">
        <f t="shared" ref="AM165:AM174" si="181">TRUNC(AJ165/AL165,8)</f>
        <v>#VALUE!</v>
      </c>
      <c r="AN165" s="664" t="e">
        <f t="shared" ref="AN165:AN174" si="182">TRUNC(AM165/AL165,10)</f>
        <v>#VALUE!</v>
      </c>
      <c r="AO165" s="665" t="e">
        <f t="shared" ref="AO165:AO174" si="183">TRUNC(AK165/AL165,10)</f>
        <v>#VALUE!</v>
      </c>
      <c r="AP165" s="666" t="e">
        <f t="shared" ref="AP165:AP174" si="184">IF(AND(AI165&gt;=48,AI165&lt;=52),ROUND(AW165+AJ165,7),ROUND(AN165+AO165,7))</f>
        <v>#VALUE!</v>
      </c>
      <c r="AQ165" s="660" t="e">
        <f t="shared" ref="AQ165:AQ174" si="185">AH165-60</f>
        <v>#VALUE!</v>
      </c>
      <c r="AR165" s="667" t="e">
        <f t="shared" ref="AR165:AR174" si="186">TRUNC(AP165*AQ165,8)</f>
        <v>#VALUE!</v>
      </c>
      <c r="AS165" s="667" t="e">
        <f t="shared" ref="AS165:AS174" si="187">TRUNC(0.8*AR165,8)</f>
        <v>#VALUE!</v>
      </c>
      <c r="AT165" s="668" t="e">
        <f t="shared" ref="AT165:AT174" si="188">TRUNC(0.8*AP165^2*AQ165^2,8)</f>
        <v>#VALUE!</v>
      </c>
      <c r="AU165" s="667" t="e">
        <f t="shared" ref="AU165:AU174" si="189">-AR165-AT165</f>
        <v>#VALUE!</v>
      </c>
      <c r="AV165" s="669" t="e">
        <f t="shared" ref="AV165:AV174" si="190">TRUNC(AK165/AL165,5)</f>
        <v>#VALUE!</v>
      </c>
      <c r="AW165" s="667" t="e">
        <f t="shared" ref="AW165:AW174" si="191">ROUND(AV165/AL165,8)</f>
        <v>#VALUE!</v>
      </c>
      <c r="AX165" s="667" t="e">
        <f t="shared" ref="AX165:AX174" si="192">ROUND(AW165+AJ165,8)</f>
        <v>#VALUE!</v>
      </c>
      <c r="AY165" s="660" t="e">
        <f t="shared" ref="AY165:AY174" si="193">IF(AND(AI165&gt;=48,AI165&lt;=52),AX165,AP165)</f>
        <v>#VALUE!</v>
      </c>
      <c r="AZ165" s="670" t="e">
        <f t="shared" ref="AZ165:AZ174" si="194">ROUND(EXP(AU165),5)</f>
        <v>#VALUE!</v>
      </c>
      <c r="BB165" s="662" t="e">
        <f>INDEX('Vessel Gauging Data'!$B$26:$V$56,MATCH($C165,'Vessel Gauging Data'!$B$26:$B$56,0),$BB$18)</f>
        <v>#N/A</v>
      </c>
      <c r="BC165" s="662" t="e">
        <f>INDEX('Vessel Gauging Data'!$B$26:$V$56,MATCH($C165,'Vessel Gauging Data'!$B$26:$B$56,0),$BC$18)</f>
        <v>#N/A</v>
      </c>
      <c r="BD165" s="662" t="e">
        <f>INDEX('Vessel Gauging Data'!$B$26:$V$56,MATCH($C165,'Vessel Gauging Data'!$B$26:$B$56,0),$BD$18)</f>
        <v>#N/A</v>
      </c>
      <c r="BE165" s="662" t="e">
        <f>INDEX('Vessel Gauging Data'!$B$26:$V$56,MATCH($C165,'Vessel Gauging Data'!$B$26:$B$56,0),$BE$18)</f>
        <v>#N/A</v>
      </c>
    </row>
    <row r="166" spans="1:57" hidden="1">
      <c r="A166" s="641" t="str">
        <f t="shared" si="172"/>
        <v>N</v>
      </c>
      <c r="C166" s="235" t="str">
        <f t="array" ref="C166">IF(SUMPRODUCT((ISERROR(MATCH('Vessel Gauging Data'!$C$27:$C$56,IF(GRADECHNO=2,RESIDUALS,IF(GRADECHNO=3,DISTILLATES,GRADESLIST)),0))=FALSE)*('Vessel Gauging Data'!$D$27:$D$56=NOMN)*1)&lt;ROWS($C$160:$C166),"",INDEX('Vessel Gauging Data'!$B$27:$B$56,SMALL(IF(((ISERROR(MATCH('Vessel Gauging Data'!$C$27:$C$56,IF(GRADECHNO=2,RESIDUALS,IF(GRADECHNO=3,DISTILLATES,GRADESLIST)),0))=FALSE)+('Vessel Gauging Data'!$D$27:$D$56=NOMN))=2,ROW('Vessel Gauging Data'!$B$27:$B$56)-ROW('Vessel Gauging Data'!$C$26)),ROW()-ROW(C$159))))</f>
        <v/>
      </c>
      <c r="D166" s="211" t="str">
        <f>IF(OR($C166="",$C166=0),"",INDEX('Vessel Gauging Data'!$B$26:$V$56,MATCH($C166,'Vessel Gauging Data'!$B$27:$B$56,0)+1,2))</f>
        <v/>
      </c>
      <c r="E166" s="1016" t="str">
        <f t="shared" si="158"/>
        <v/>
      </c>
      <c r="F166" s="1016" t="str">
        <f t="shared" si="159"/>
        <v/>
      </c>
      <c r="G166" s="1016" t="str">
        <f t="shared" si="160"/>
        <v/>
      </c>
      <c r="H166" s="1016" t="str">
        <f t="shared" si="160"/>
        <v/>
      </c>
      <c r="I166" s="211" t="str">
        <f t="shared" si="161"/>
        <v/>
      </c>
      <c r="J166" s="1016" t="str">
        <f t="shared" si="162"/>
        <v/>
      </c>
      <c r="K166" s="213" t="str">
        <f t="shared" si="163"/>
        <v/>
      </c>
      <c r="L166" s="212" t="str">
        <f t="shared" si="164"/>
        <v/>
      </c>
      <c r="M166" s="1125" t="str">
        <f>IF(OR($C166="",$C166=0),"",INDEX(API1DENST,MATCH($C166,'Vessel Gauging Data'!$B$27:$B$56,0),$AA$1))</f>
        <v/>
      </c>
      <c r="N166" s="212" t="str">
        <f t="shared" si="165"/>
        <v/>
      </c>
      <c r="O166" s="1016" t="str">
        <f t="shared" si="166"/>
        <v/>
      </c>
      <c r="P166" s="1125" t="str">
        <f t="shared" si="167"/>
        <v/>
      </c>
      <c r="Q166" s="1016" t="str">
        <f t="shared" si="168"/>
        <v/>
      </c>
      <c r="R166" s="214" t="str">
        <f t="shared" si="169"/>
        <v/>
      </c>
      <c r="S166" s="1125" t="str">
        <f t="shared" si="170"/>
        <v/>
      </c>
      <c r="T166" s="236" t="str">
        <f t="shared" si="171"/>
        <v/>
      </c>
      <c r="V166" s="642" t="e">
        <f>INDEX('Vessel Gauging Data'!$B$26:$V$56,MATCH($C166,'Vessel Gauging Data'!$B$26:$B$56,0),$V$18)</f>
        <v>#N/A</v>
      </c>
      <c r="W166" s="642" t="e">
        <f>INDEX('Vessel Gauging Data'!$B$26:$V$56,MATCH($C166,'Vessel Gauging Data'!$B$26:$B$56,0),$W$18)</f>
        <v>#N/A</v>
      </c>
      <c r="X166" s="642" t="e">
        <f>INDEX('Vessel Gauging Data'!$B$26:$V$56,MATCH($C166,'Vessel Gauging Data'!$B$26:$B$56,0),$X$18)</f>
        <v>#N/A</v>
      </c>
      <c r="Y166" s="642" t="e">
        <f>INDEX('Vessel Gauging Data'!$B$26:$V$56,MATCH($C166,'Vessel Gauging Data'!$B$26:$B$56,0),$Y$18)</f>
        <v>#N/A</v>
      </c>
      <c r="Z166" s="642" t="e">
        <f>INDEX('Vessel Gauging Data'!$B$26:$V$56,MATCH($C166,'Vessel Gauging Data'!$B$26:$B$56,0),$Z$18)</f>
        <v>#N/A</v>
      </c>
      <c r="AB166" s="642" t="e">
        <f>INDEX(API1DENST,MATCH($C166,'Vessel Gauging Data'!$B$27:$B$56,0),1)</f>
        <v>#N/A</v>
      </c>
      <c r="AC166" s="642" t="e">
        <f t="shared" si="175"/>
        <v>#N/A</v>
      </c>
      <c r="AE166" s="661" t="e">
        <f t="shared" si="176"/>
        <v>#VALUE!</v>
      </c>
      <c r="AF166" s="661" t="e">
        <f t="shared" si="177"/>
        <v>#VALUE!</v>
      </c>
      <c r="AH166" s="662" t="str">
        <f t="shared" si="173"/>
        <v/>
      </c>
      <c r="AI166" s="662" t="str">
        <f t="shared" si="174"/>
        <v/>
      </c>
      <c r="AJ166" s="663">
        <f t="shared" si="178"/>
        <v>192.4571</v>
      </c>
      <c r="AK166" s="660">
        <f t="shared" si="179"/>
        <v>0.24379999999999999</v>
      </c>
      <c r="AL166" s="660" t="e">
        <f t="shared" si="180"/>
        <v>#VALUE!</v>
      </c>
      <c r="AM166" s="664" t="e">
        <f t="shared" si="181"/>
        <v>#VALUE!</v>
      </c>
      <c r="AN166" s="664" t="e">
        <f t="shared" si="182"/>
        <v>#VALUE!</v>
      </c>
      <c r="AO166" s="665" t="e">
        <f t="shared" si="183"/>
        <v>#VALUE!</v>
      </c>
      <c r="AP166" s="666" t="e">
        <f t="shared" si="184"/>
        <v>#VALUE!</v>
      </c>
      <c r="AQ166" s="660" t="e">
        <f t="shared" si="185"/>
        <v>#VALUE!</v>
      </c>
      <c r="AR166" s="667" t="e">
        <f t="shared" si="186"/>
        <v>#VALUE!</v>
      </c>
      <c r="AS166" s="667" t="e">
        <f t="shared" si="187"/>
        <v>#VALUE!</v>
      </c>
      <c r="AT166" s="668" t="e">
        <f t="shared" si="188"/>
        <v>#VALUE!</v>
      </c>
      <c r="AU166" s="667" t="e">
        <f t="shared" si="189"/>
        <v>#VALUE!</v>
      </c>
      <c r="AV166" s="669" t="e">
        <f t="shared" si="190"/>
        <v>#VALUE!</v>
      </c>
      <c r="AW166" s="667" t="e">
        <f t="shared" si="191"/>
        <v>#VALUE!</v>
      </c>
      <c r="AX166" s="667" t="e">
        <f t="shared" si="192"/>
        <v>#VALUE!</v>
      </c>
      <c r="AY166" s="660" t="e">
        <f t="shared" si="193"/>
        <v>#VALUE!</v>
      </c>
      <c r="AZ166" s="670" t="e">
        <f t="shared" si="194"/>
        <v>#VALUE!</v>
      </c>
      <c r="BB166" s="662" t="e">
        <f>INDEX('Vessel Gauging Data'!$B$26:$V$56,MATCH($C166,'Vessel Gauging Data'!$B$26:$B$56,0),$BB$18)</f>
        <v>#N/A</v>
      </c>
      <c r="BC166" s="662" t="e">
        <f>INDEX('Vessel Gauging Data'!$B$26:$V$56,MATCH($C166,'Vessel Gauging Data'!$B$26:$B$56,0),$BC$18)</f>
        <v>#N/A</v>
      </c>
      <c r="BD166" s="662" t="e">
        <f>INDEX('Vessel Gauging Data'!$B$26:$V$56,MATCH($C166,'Vessel Gauging Data'!$B$26:$B$56,0),$BD$18)</f>
        <v>#N/A</v>
      </c>
      <c r="BE166" s="662" t="e">
        <f>INDEX('Vessel Gauging Data'!$B$26:$V$56,MATCH($C166,'Vessel Gauging Data'!$B$26:$B$56,0),$BE$18)</f>
        <v>#N/A</v>
      </c>
    </row>
    <row r="167" spans="1:57" hidden="1">
      <c r="A167" s="641" t="str">
        <f t="shared" si="172"/>
        <v>N</v>
      </c>
      <c r="C167" s="235" t="str">
        <f t="array" ref="C167">IF(SUMPRODUCT((ISERROR(MATCH('Vessel Gauging Data'!$C$27:$C$56,IF(GRADECHNO=2,RESIDUALS,IF(GRADECHNO=3,DISTILLATES,GRADESLIST)),0))=FALSE)*('Vessel Gauging Data'!$D$27:$D$56=NOMN)*1)&lt;ROWS($C$160:$C167),"",INDEX('Vessel Gauging Data'!$B$27:$B$56,SMALL(IF(((ISERROR(MATCH('Vessel Gauging Data'!$C$27:$C$56,IF(GRADECHNO=2,RESIDUALS,IF(GRADECHNO=3,DISTILLATES,GRADESLIST)),0))=FALSE)+('Vessel Gauging Data'!$D$27:$D$56=NOMN))=2,ROW('Vessel Gauging Data'!$B$27:$B$56)-ROW('Vessel Gauging Data'!$C$26)),ROW()-ROW(C$159))))</f>
        <v/>
      </c>
      <c r="D167" s="211" t="str">
        <f>IF(OR($C167="",$C167=0),"",INDEX('Vessel Gauging Data'!$B$26:$V$56,MATCH($C167,'Vessel Gauging Data'!$B$27:$B$56,0)+1,2))</f>
        <v/>
      </c>
      <c r="E167" s="1016" t="str">
        <f t="shared" si="158"/>
        <v/>
      </c>
      <c r="F167" s="1016" t="str">
        <f t="shared" si="159"/>
        <v/>
      </c>
      <c r="G167" s="1016" t="str">
        <f t="shared" si="160"/>
        <v/>
      </c>
      <c r="H167" s="1016" t="str">
        <f t="shared" si="160"/>
        <v/>
      </c>
      <c r="I167" s="211" t="str">
        <f t="shared" si="161"/>
        <v/>
      </c>
      <c r="J167" s="1016" t="str">
        <f t="shared" si="162"/>
        <v/>
      </c>
      <c r="K167" s="213" t="str">
        <f t="shared" si="163"/>
        <v/>
      </c>
      <c r="L167" s="212" t="str">
        <f t="shared" si="164"/>
        <v/>
      </c>
      <c r="M167" s="1125" t="str">
        <f>IF(OR($C167="",$C167=0),"",INDEX(API1DENST,MATCH($C167,'Vessel Gauging Data'!$B$27:$B$56,0),$AA$1))</f>
        <v/>
      </c>
      <c r="N167" s="212" t="str">
        <f t="shared" si="165"/>
        <v/>
      </c>
      <c r="O167" s="1016" t="str">
        <f t="shared" si="166"/>
        <v/>
      </c>
      <c r="P167" s="1125" t="str">
        <f t="shared" si="167"/>
        <v/>
      </c>
      <c r="Q167" s="1016" t="str">
        <f t="shared" si="168"/>
        <v/>
      </c>
      <c r="R167" s="214" t="str">
        <f t="shared" si="169"/>
        <v/>
      </c>
      <c r="S167" s="1125" t="str">
        <f t="shared" si="170"/>
        <v/>
      </c>
      <c r="T167" s="236" t="str">
        <f t="shared" si="171"/>
        <v/>
      </c>
      <c r="V167" s="642" t="e">
        <f>INDEX('Vessel Gauging Data'!$B$26:$V$56,MATCH($C167,'Vessel Gauging Data'!$B$26:$B$56,0),$V$18)</f>
        <v>#N/A</v>
      </c>
      <c r="W167" s="642" t="e">
        <f>INDEX('Vessel Gauging Data'!$B$26:$V$56,MATCH($C167,'Vessel Gauging Data'!$B$26:$B$56,0),$W$18)</f>
        <v>#N/A</v>
      </c>
      <c r="X167" s="642" t="e">
        <f>INDEX('Vessel Gauging Data'!$B$26:$V$56,MATCH($C167,'Vessel Gauging Data'!$B$26:$B$56,0),$X$18)</f>
        <v>#N/A</v>
      </c>
      <c r="Y167" s="642" t="e">
        <f>INDEX('Vessel Gauging Data'!$B$26:$V$56,MATCH($C167,'Vessel Gauging Data'!$B$26:$B$56,0),$Y$18)</f>
        <v>#N/A</v>
      </c>
      <c r="Z167" s="642" t="e">
        <f>INDEX('Vessel Gauging Data'!$B$26:$V$56,MATCH($C167,'Vessel Gauging Data'!$B$26:$B$56,0),$Z$18)</f>
        <v>#N/A</v>
      </c>
      <c r="AB167" s="642" t="e">
        <f>INDEX(API1DENST,MATCH($C167,'Vessel Gauging Data'!$B$27:$B$56,0),1)</f>
        <v>#N/A</v>
      </c>
      <c r="AC167" s="642" t="e">
        <f t="shared" si="175"/>
        <v>#N/A</v>
      </c>
      <c r="AE167" s="661" t="e">
        <f t="shared" si="176"/>
        <v>#VALUE!</v>
      </c>
      <c r="AF167" s="661" t="e">
        <f t="shared" si="177"/>
        <v>#VALUE!</v>
      </c>
      <c r="AH167" s="662" t="str">
        <f t="shared" si="173"/>
        <v/>
      </c>
      <c r="AI167" s="662" t="str">
        <f t="shared" si="174"/>
        <v/>
      </c>
      <c r="AJ167" s="663">
        <f t="shared" si="178"/>
        <v>192.4571</v>
      </c>
      <c r="AK167" s="660">
        <f t="shared" si="179"/>
        <v>0.24379999999999999</v>
      </c>
      <c r="AL167" s="660" t="e">
        <f t="shared" si="180"/>
        <v>#VALUE!</v>
      </c>
      <c r="AM167" s="664" t="e">
        <f t="shared" si="181"/>
        <v>#VALUE!</v>
      </c>
      <c r="AN167" s="664" t="e">
        <f t="shared" si="182"/>
        <v>#VALUE!</v>
      </c>
      <c r="AO167" s="665" t="e">
        <f t="shared" si="183"/>
        <v>#VALUE!</v>
      </c>
      <c r="AP167" s="666" t="e">
        <f t="shared" si="184"/>
        <v>#VALUE!</v>
      </c>
      <c r="AQ167" s="660" t="e">
        <f t="shared" si="185"/>
        <v>#VALUE!</v>
      </c>
      <c r="AR167" s="667" t="e">
        <f t="shared" si="186"/>
        <v>#VALUE!</v>
      </c>
      <c r="AS167" s="667" t="e">
        <f t="shared" si="187"/>
        <v>#VALUE!</v>
      </c>
      <c r="AT167" s="668" t="e">
        <f t="shared" si="188"/>
        <v>#VALUE!</v>
      </c>
      <c r="AU167" s="667" t="e">
        <f t="shared" si="189"/>
        <v>#VALUE!</v>
      </c>
      <c r="AV167" s="669" t="e">
        <f t="shared" si="190"/>
        <v>#VALUE!</v>
      </c>
      <c r="AW167" s="667" t="e">
        <f t="shared" si="191"/>
        <v>#VALUE!</v>
      </c>
      <c r="AX167" s="667" t="e">
        <f t="shared" si="192"/>
        <v>#VALUE!</v>
      </c>
      <c r="AY167" s="660" t="e">
        <f t="shared" si="193"/>
        <v>#VALUE!</v>
      </c>
      <c r="AZ167" s="670" t="e">
        <f t="shared" si="194"/>
        <v>#VALUE!</v>
      </c>
      <c r="BB167" s="662" t="e">
        <f>INDEX('Vessel Gauging Data'!$B$26:$V$56,MATCH($C167,'Vessel Gauging Data'!$B$26:$B$56,0),$BB$18)</f>
        <v>#N/A</v>
      </c>
      <c r="BC167" s="662" t="e">
        <f>INDEX('Vessel Gauging Data'!$B$26:$V$56,MATCH($C167,'Vessel Gauging Data'!$B$26:$B$56,0),$BC$18)</f>
        <v>#N/A</v>
      </c>
      <c r="BD167" s="662" t="e">
        <f>INDEX('Vessel Gauging Data'!$B$26:$V$56,MATCH($C167,'Vessel Gauging Data'!$B$26:$B$56,0),$BD$18)</f>
        <v>#N/A</v>
      </c>
      <c r="BE167" s="662" t="e">
        <f>INDEX('Vessel Gauging Data'!$B$26:$V$56,MATCH($C167,'Vessel Gauging Data'!$B$26:$B$56,0),$BE$18)</f>
        <v>#N/A</v>
      </c>
    </row>
    <row r="168" spans="1:57" hidden="1">
      <c r="A168" s="641" t="str">
        <f t="shared" si="172"/>
        <v>N</v>
      </c>
      <c r="C168" s="235" t="str">
        <f t="array" ref="C168">IF(SUMPRODUCT((ISERROR(MATCH('Vessel Gauging Data'!$C$27:$C$56,IF(GRADECHNO=2,RESIDUALS,IF(GRADECHNO=3,DISTILLATES,GRADESLIST)),0))=FALSE)*('Vessel Gauging Data'!$D$27:$D$56=NOMN)*1)&lt;ROWS($C$160:$C168),"",INDEX('Vessel Gauging Data'!$B$27:$B$56,SMALL(IF(((ISERROR(MATCH('Vessel Gauging Data'!$C$27:$C$56,IF(GRADECHNO=2,RESIDUALS,IF(GRADECHNO=3,DISTILLATES,GRADESLIST)),0))=FALSE)+('Vessel Gauging Data'!$D$27:$D$56=NOMN))=2,ROW('Vessel Gauging Data'!$B$27:$B$56)-ROW('Vessel Gauging Data'!$C$26)),ROW()-ROW(C$159))))</f>
        <v/>
      </c>
      <c r="D168" s="211" t="str">
        <f>IF(OR($C168="",$C168=0),"",INDEX('Vessel Gauging Data'!$B$26:$V$56,MATCH($C168,'Vessel Gauging Data'!$B$27:$B$56,0)+1,2))</f>
        <v/>
      </c>
      <c r="E168" s="1016" t="str">
        <f t="shared" si="158"/>
        <v/>
      </c>
      <c r="F168" s="1016" t="str">
        <f t="shared" si="159"/>
        <v/>
      </c>
      <c r="G168" s="1016" t="str">
        <f t="shared" si="160"/>
        <v/>
      </c>
      <c r="H168" s="1016" t="str">
        <f t="shared" si="160"/>
        <v/>
      </c>
      <c r="I168" s="211" t="str">
        <f t="shared" si="161"/>
        <v/>
      </c>
      <c r="J168" s="1016" t="str">
        <f t="shared" si="162"/>
        <v/>
      </c>
      <c r="K168" s="213" t="str">
        <f t="shared" si="163"/>
        <v/>
      </c>
      <c r="L168" s="212" t="str">
        <f t="shared" si="164"/>
        <v/>
      </c>
      <c r="M168" s="1125" t="str">
        <f>IF(OR($C168="",$C168=0),"",INDEX(API1DENST,MATCH($C168,'Vessel Gauging Data'!$B$27:$B$56,0),$AA$1))</f>
        <v/>
      </c>
      <c r="N168" s="212" t="str">
        <f t="shared" si="165"/>
        <v/>
      </c>
      <c r="O168" s="1016" t="str">
        <f t="shared" si="166"/>
        <v/>
      </c>
      <c r="P168" s="1125" t="str">
        <f t="shared" si="167"/>
        <v/>
      </c>
      <c r="Q168" s="1016" t="str">
        <f t="shared" si="168"/>
        <v/>
      </c>
      <c r="R168" s="214" t="str">
        <f t="shared" si="169"/>
        <v/>
      </c>
      <c r="S168" s="1125" t="str">
        <f t="shared" si="170"/>
        <v/>
      </c>
      <c r="T168" s="236" t="str">
        <f t="shared" si="171"/>
        <v/>
      </c>
      <c r="V168" s="642" t="e">
        <f>INDEX('Vessel Gauging Data'!$B$26:$V$56,MATCH($C168,'Vessel Gauging Data'!$B$26:$B$56,0),$V$18)</f>
        <v>#N/A</v>
      </c>
      <c r="W168" s="642" t="e">
        <f>INDEX('Vessel Gauging Data'!$B$26:$V$56,MATCH($C168,'Vessel Gauging Data'!$B$26:$B$56,0),$W$18)</f>
        <v>#N/A</v>
      </c>
      <c r="X168" s="642" t="e">
        <f>INDEX('Vessel Gauging Data'!$B$26:$V$56,MATCH($C168,'Vessel Gauging Data'!$B$26:$B$56,0),$X$18)</f>
        <v>#N/A</v>
      </c>
      <c r="Y168" s="642" t="e">
        <f>INDEX('Vessel Gauging Data'!$B$26:$V$56,MATCH($C168,'Vessel Gauging Data'!$B$26:$B$56,0),$Y$18)</f>
        <v>#N/A</v>
      </c>
      <c r="Z168" s="642" t="e">
        <f>INDEX('Vessel Gauging Data'!$B$26:$V$56,MATCH($C168,'Vessel Gauging Data'!$B$26:$B$56,0),$Z$18)</f>
        <v>#N/A</v>
      </c>
      <c r="AB168" s="642" t="e">
        <f>INDEX(API1DENST,MATCH($C168,'Vessel Gauging Data'!$B$27:$B$56,0),1)</f>
        <v>#N/A</v>
      </c>
      <c r="AC168" s="642" t="e">
        <f t="shared" si="175"/>
        <v>#N/A</v>
      </c>
      <c r="AE168" s="661" t="e">
        <f t="shared" si="176"/>
        <v>#VALUE!</v>
      </c>
      <c r="AF168" s="661" t="e">
        <f t="shared" si="177"/>
        <v>#VALUE!</v>
      </c>
      <c r="AH168" s="662" t="str">
        <f t="shared" si="173"/>
        <v/>
      </c>
      <c r="AI168" s="662" t="str">
        <f t="shared" si="174"/>
        <v/>
      </c>
      <c r="AJ168" s="663">
        <f t="shared" si="178"/>
        <v>192.4571</v>
      </c>
      <c r="AK168" s="660">
        <f t="shared" si="179"/>
        <v>0.24379999999999999</v>
      </c>
      <c r="AL168" s="660" t="e">
        <f t="shared" si="180"/>
        <v>#VALUE!</v>
      </c>
      <c r="AM168" s="664" t="e">
        <f t="shared" si="181"/>
        <v>#VALUE!</v>
      </c>
      <c r="AN168" s="664" t="e">
        <f t="shared" si="182"/>
        <v>#VALUE!</v>
      </c>
      <c r="AO168" s="665" t="e">
        <f t="shared" si="183"/>
        <v>#VALUE!</v>
      </c>
      <c r="AP168" s="666" t="e">
        <f t="shared" si="184"/>
        <v>#VALUE!</v>
      </c>
      <c r="AQ168" s="660" t="e">
        <f t="shared" si="185"/>
        <v>#VALUE!</v>
      </c>
      <c r="AR168" s="667" t="e">
        <f t="shared" si="186"/>
        <v>#VALUE!</v>
      </c>
      <c r="AS168" s="667" t="e">
        <f t="shared" si="187"/>
        <v>#VALUE!</v>
      </c>
      <c r="AT168" s="668" t="e">
        <f t="shared" si="188"/>
        <v>#VALUE!</v>
      </c>
      <c r="AU168" s="667" t="e">
        <f t="shared" si="189"/>
        <v>#VALUE!</v>
      </c>
      <c r="AV168" s="669" t="e">
        <f t="shared" si="190"/>
        <v>#VALUE!</v>
      </c>
      <c r="AW168" s="667" t="e">
        <f t="shared" si="191"/>
        <v>#VALUE!</v>
      </c>
      <c r="AX168" s="667" t="e">
        <f t="shared" si="192"/>
        <v>#VALUE!</v>
      </c>
      <c r="AY168" s="660" t="e">
        <f t="shared" si="193"/>
        <v>#VALUE!</v>
      </c>
      <c r="AZ168" s="670" t="e">
        <f t="shared" si="194"/>
        <v>#VALUE!</v>
      </c>
      <c r="BB168" s="662" t="e">
        <f>INDEX('Vessel Gauging Data'!$B$26:$V$56,MATCH($C168,'Vessel Gauging Data'!$B$26:$B$56,0),$BB$18)</f>
        <v>#N/A</v>
      </c>
      <c r="BC168" s="662" t="e">
        <f>INDEX('Vessel Gauging Data'!$B$26:$V$56,MATCH($C168,'Vessel Gauging Data'!$B$26:$B$56,0),$BC$18)</f>
        <v>#N/A</v>
      </c>
      <c r="BD168" s="662" t="e">
        <f>INDEX('Vessel Gauging Data'!$B$26:$V$56,MATCH($C168,'Vessel Gauging Data'!$B$26:$B$56,0),$BD$18)</f>
        <v>#N/A</v>
      </c>
      <c r="BE168" s="662" t="e">
        <f>INDEX('Vessel Gauging Data'!$B$26:$V$56,MATCH($C168,'Vessel Gauging Data'!$B$26:$B$56,0),$BE$18)</f>
        <v>#N/A</v>
      </c>
    </row>
    <row r="169" spans="1:57" hidden="1">
      <c r="A169" s="641" t="str">
        <f t="shared" si="172"/>
        <v>N</v>
      </c>
      <c r="C169" s="235" t="str">
        <f t="array" ref="C169">IF(SUMPRODUCT((ISERROR(MATCH('Vessel Gauging Data'!$C$27:$C$56,IF(GRADECHNO=2,RESIDUALS,IF(GRADECHNO=3,DISTILLATES,GRADESLIST)),0))=FALSE)*('Vessel Gauging Data'!$D$27:$D$56=NOMN)*1)&lt;ROWS($C$160:$C169),"",INDEX('Vessel Gauging Data'!$B$27:$B$56,SMALL(IF(((ISERROR(MATCH('Vessel Gauging Data'!$C$27:$C$56,IF(GRADECHNO=2,RESIDUALS,IF(GRADECHNO=3,DISTILLATES,GRADESLIST)),0))=FALSE)+('Vessel Gauging Data'!$D$27:$D$56=NOMN))=2,ROW('Vessel Gauging Data'!$B$27:$B$56)-ROW('Vessel Gauging Data'!$C$26)),ROW()-ROW(C$159))))</f>
        <v/>
      </c>
      <c r="D169" s="211" t="str">
        <f>IF(OR($C169="",$C169=0),"",INDEX('Vessel Gauging Data'!$B$26:$V$56,MATCH($C169,'Vessel Gauging Data'!$B$27:$B$56,0)+1,2))</f>
        <v/>
      </c>
      <c r="E169" s="1016" t="str">
        <f t="shared" si="158"/>
        <v/>
      </c>
      <c r="F169" s="1016" t="str">
        <f t="shared" si="159"/>
        <v/>
      </c>
      <c r="G169" s="1016" t="str">
        <f t="shared" si="160"/>
        <v/>
      </c>
      <c r="H169" s="1016" t="str">
        <f t="shared" si="160"/>
        <v/>
      </c>
      <c r="I169" s="211" t="str">
        <f t="shared" si="161"/>
        <v/>
      </c>
      <c r="J169" s="1016" t="str">
        <f t="shared" si="162"/>
        <v/>
      </c>
      <c r="K169" s="213" t="str">
        <f t="shared" si="163"/>
        <v/>
      </c>
      <c r="L169" s="212" t="str">
        <f t="shared" si="164"/>
        <v/>
      </c>
      <c r="M169" s="1125" t="str">
        <f>IF(OR($C169="",$C169=0),"",INDEX(API1DENST,MATCH($C169,'Vessel Gauging Data'!$B$27:$B$56,0),$AA$1))</f>
        <v/>
      </c>
      <c r="N169" s="212" t="str">
        <f t="shared" si="165"/>
        <v/>
      </c>
      <c r="O169" s="1016" t="str">
        <f t="shared" si="166"/>
        <v/>
      </c>
      <c r="P169" s="1125" t="str">
        <f t="shared" si="167"/>
        <v/>
      </c>
      <c r="Q169" s="1016" t="str">
        <f t="shared" si="168"/>
        <v/>
      </c>
      <c r="R169" s="214" t="str">
        <f t="shared" si="169"/>
        <v/>
      </c>
      <c r="S169" s="1125" t="str">
        <f t="shared" si="170"/>
        <v/>
      </c>
      <c r="T169" s="236" t="str">
        <f t="shared" si="171"/>
        <v/>
      </c>
      <c r="V169" s="642" t="e">
        <f>INDEX('Vessel Gauging Data'!$B$26:$V$56,MATCH($C169,'Vessel Gauging Data'!$B$26:$B$56,0),$V$18)</f>
        <v>#N/A</v>
      </c>
      <c r="W169" s="642" t="e">
        <f>INDEX('Vessel Gauging Data'!$B$26:$V$56,MATCH($C169,'Vessel Gauging Data'!$B$26:$B$56,0),$W$18)</f>
        <v>#N/A</v>
      </c>
      <c r="X169" s="642" t="e">
        <f>INDEX('Vessel Gauging Data'!$B$26:$V$56,MATCH($C169,'Vessel Gauging Data'!$B$26:$B$56,0),$X$18)</f>
        <v>#N/A</v>
      </c>
      <c r="Y169" s="642" t="e">
        <f>INDEX('Vessel Gauging Data'!$B$26:$V$56,MATCH($C169,'Vessel Gauging Data'!$B$26:$B$56,0),$Y$18)</f>
        <v>#N/A</v>
      </c>
      <c r="Z169" s="642" t="e">
        <f>INDEX('Vessel Gauging Data'!$B$26:$V$56,MATCH($C169,'Vessel Gauging Data'!$B$26:$B$56,0),$Z$18)</f>
        <v>#N/A</v>
      </c>
      <c r="AB169" s="642" t="e">
        <f>INDEX(API1DENST,MATCH($C169,'Vessel Gauging Data'!$B$27:$B$56,0),1)</f>
        <v>#N/A</v>
      </c>
      <c r="AC169" s="642" t="e">
        <f t="shared" si="175"/>
        <v>#N/A</v>
      </c>
      <c r="AE169" s="661" t="e">
        <f t="shared" si="176"/>
        <v>#VALUE!</v>
      </c>
      <c r="AF169" s="661" t="e">
        <f t="shared" si="177"/>
        <v>#VALUE!</v>
      </c>
      <c r="AH169" s="662" t="str">
        <f t="shared" si="173"/>
        <v/>
      </c>
      <c r="AI169" s="662" t="str">
        <f t="shared" si="174"/>
        <v/>
      </c>
      <c r="AJ169" s="663">
        <f t="shared" si="178"/>
        <v>192.4571</v>
      </c>
      <c r="AK169" s="660">
        <f t="shared" si="179"/>
        <v>0.24379999999999999</v>
      </c>
      <c r="AL169" s="660" t="e">
        <f t="shared" si="180"/>
        <v>#VALUE!</v>
      </c>
      <c r="AM169" s="664" t="e">
        <f t="shared" si="181"/>
        <v>#VALUE!</v>
      </c>
      <c r="AN169" s="664" t="e">
        <f t="shared" si="182"/>
        <v>#VALUE!</v>
      </c>
      <c r="AO169" s="665" t="e">
        <f t="shared" si="183"/>
        <v>#VALUE!</v>
      </c>
      <c r="AP169" s="666" t="e">
        <f t="shared" si="184"/>
        <v>#VALUE!</v>
      </c>
      <c r="AQ169" s="660" t="e">
        <f t="shared" si="185"/>
        <v>#VALUE!</v>
      </c>
      <c r="AR169" s="667" t="e">
        <f t="shared" si="186"/>
        <v>#VALUE!</v>
      </c>
      <c r="AS169" s="667" t="e">
        <f t="shared" si="187"/>
        <v>#VALUE!</v>
      </c>
      <c r="AT169" s="668" t="e">
        <f t="shared" si="188"/>
        <v>#VALUE!</v>
      </c>
      <c r="AU169" s="667" t="e">
        <f t="shared" si="189"/>
        <v>#VALUE!</v>
      </c>
      <c r="AV169" s="669" t="e">
        <f t="shared" si="190"/>
        <v>#VALUE!</v>
      </c>
      <c r="AW169" s="667" t="e">
        <f t="shared" si="191"/>
        <v>#VALUE!</v>
      </c>
      <c r="AX169" s="667" t="e">
        <f t="shared" si="192"/>
        <v>#VALUE!</v>
      </c>
      <c r="AY169" s="660" t="e">
        <f t="shared" si="193"/>
        <v>#VALUE!</v>
      </c>
      <c r="AZ169" s="670" t="e">
        <f t="shared" si="194"/>
        <v>#VALUE!</v>
      </c>
      <c r="BB169" s="662" t="e">
        <f>INDEX('Vessel Gauging Data'!$B$26:$V$56,MATCH($C169,'Vessel Gauging Data'!$B$26:$B$56,0),$BB$18)</f>
        <v>#N/A</v>
      </c>
      <c r="BC169" s="662" t="e">
        <f>INDEX('Vessel Gauging Data'!$B$26:$V$56,MATCH($C169,'Vessel Gauging Data'!$B$26:$B$56,0),$BC$18)</f>
        <v>#N/A</v>
      </c>
      <c r="BD169" s="662" t="e">
        <f>INDEX('Vessel Gauging Data'!$B$26:$V$56,MATCH($C169,'Vessel Gauging Data'!$B$26:$B$56,0),$BD$18)</f>
        <v>#N/A</v>
      </c>
      <c r="BE169" s="662" t="e">
        <f>INDEX('Vessel Gauging Data'!$B$26:$V$56,MATCH($C169,'Vessel Gauging Data'!$B$26:$B$56,0),$BE$18)</f>
        <v>#N/A</v>
      </c>
    </row>
    <row r="170" spans="1:57" hidden="1">
      <c r="A170" s="641" t="str">
        <f t="shared" si="172"/>
        <v>N</v>
      </c>
      <c r="C170" s="235" t="str">
        <f t="array" ref="C170">IF(SUMPRODUCT((ISERROR(MATCH('Vessel Gauging Data'!$C$27:$C$56,IF(GRADECHNO=2,RESIDUALS,IF(GRADECHNO=3,DISTILLATES,GRADESLIST)),0))=FALSE)*('Vessel Gauging Data'!$D$27:$D$56=NOMN)*1)&lt;ROWS($C$160:$C170),"",INDEX('Vessel Gauging Data'!$B$27:$B$56,SMALL(IF(((ISERROR(MATCH('Vessel Gauging Data'!$C$27:$C$56,IF(GRADECHNO=2,RESIDUALS,IF(GRADECHNO=3,DISTILLATES,GRADESLIST)),0))=FALSE)+('Vessel Gauging Data'!$D$27:$D$56=NOMN))=2,ROW('Vessel Gauging Data'!$B$27:$B$56)-ROW('Vessel Gauging Data'!$C$26)),ROW()-ROW(C$159))))</f>
        <v/>
      </c>
      <c r="D170" s="211" t="str">
        <f>IF(OR($C170="",$C170=0),"",INDEX('Vessel Gauging Data'!$B$26:$V$56,MATCH($C170,'Vessel Gauging Data'!$B$27:$B$56,0)+1,2))</f>
        <v/>
      </c>
      <c r="E170" s="1016" t="str">
        <f t="shared" si="158"/>
        <v/>
      </c>
      <c r="F170" s="1016" t="str">
        <f t="shared" si="159"/>
        <v/>
      </c>
      <c r="G170" s="1016" t="str">
        <f t="shared" si="160"/>
        <v/>
      </c>
      <c r="H170" s="1016" t="str">
        <f t="shared" si="160"/>
        <v/>
      </c>
      <c r="I170" s="211" t="str">
        <f t="shared" si="161"/>
        <v/>
      </c>
      <c r="J170" s="1016" t="str">
        <f t="shared" si="162"/>
        <v/>
      </c>
      <c r="K170" s="213" t="str">
        <f t="shared" si="163"/>
        <v/>
      </c>
      <c r="L170" s="212" t="str">
        <f t="shared" si="164"/>
        <v/>
      </c>
      <c r="M170" s="1125" t="str">
        <f>IF(OR($C170="",$C170=0),"",INDEX(API1DENST,MATCH($C170,'Vessel Gauging Data'!$B$27:$B$56,0),$AA$1))</f>
        <v/>
      </c>
      <c r="N170" s="212" t="str">
        <f t="shared" si="165"/>
        <v/>
      </c>
      <c r="O170" s="1016" t="str">
        <f t="shared" si="166"/>
        <v/>
      </c>
      <c r="P170" s="1125" t="str">
        <f t="shared" si="167"/>
        <v/>
      </c>
      <c r="Q170" s="1016" t="str">
        <f t="shared" si="168"/>
        <v/>
      </c>
      <c r="R170" s="214" t="str">
        <f t="shared" si="169"/>
        <v/>
      </c>
      <c r="S170" s="1125" t="str">
        <f t="shared" si="170"/>
        <v/>
      </c>
      <c r="T170" s="236" t="str">
        <f t="shared" si="171"/>
        <v/>
      </c>
      <c r="V170" s="642" t="e">
        <f>INDEX('Vessel Gauging Data'!$B$26:$V$56,MATCH($C170,'Vessel Gauging Data'!$B$26:$B$56,0),$V$18)</f>
        <v>#N/A</v>
      </c>
      <c r="W170" s="642" t="e">
        <f>INDEX('Vessel Gauging Data'!$B$26:$V$56,MATCH($C170,'Vessel Gauging Data'!$B$26:$B$56,0),$W$18)</f>
        <v>#N/A</v>
      </c>
      <c r="X170" s="642" t="e">
        <f>INDEX('Vessel Gauging Data'!$B$26:$V$56,MATCH($C170,'Vessel Gauging Data'!$B$26:$B$56,0),$X$18)</f>
        <v>#N/A</v>
      </c>
      <c r="Y170" s="642" t="e">
        <f>INDEX('Vessel Gauging Data'!$B$26:$V$56,MATCH($C170,'Vessel Gauging Data'!$B$26:$B$56,0),$Y$18)</f>
        <v>#N/A</v>
      </c>
      <c r="Z170" s="642" t="e">
        <f>INDEX('Vessel Gauging Data'!$B$26:$V$56,MATCH($C170,'Vessel Gauging Data'!$B$26:$B$56,0),$Z$18)</f>
        <v>#N/A</v>
      </c>
      <c r="AB170" s="642" t="e">
        <f>INDEX(API1DENST,MATCH($C170,'Vessel Gauging Data'!$B$27:$B$56,0),1)</f>
        <v>#N/A</v>
      </c>
      <c r="AC170" s="642" t="e">
        <f t="shared" si="175"/>
        <v>#N/A</v>
      </c>
      <c r="AE170" s="661" t="e">
        <f t="shared" si="176"/>
        <v>#VALUE!</v>
      </c>
      <c r="AF170" s="661" t="e">
        <f t="shared" si="177"/>
        <v>#VALUE!</v>
      </c>
      <c r="AH170" s="662" t="str">
        <f t="shared" si="173"/>
        <v/>
      </c>
      <c r="AI170" s="662" t="str">
        <f t="shared" si="174"/>
        <v/>
      </c>
      <c r="AJ170" s="663">
        <f t="shared" si="178"/>
        <v>192.4571</v>
      </c>
      <c r="AK170" s="660">
        <f t="shared" si="179"/>
        <v>0.24379999999999999</v>
      </c>
      <c r="AL170" s="660" t="e">
        <f t="shared" si="180"/>
        <v>#VALUE!</v>
      </c>
      <c r="AM170" s="664" t="e">
        <f t="shared" si="181"/>
        <v>#VALUE!</v>
      </c>
      <c r="AN170" s="664" t="e">
        <f t="shared" si="182"/>
        <v>#VALUE!</v>
      </c>
      <c r="AO170" s="665" t="e">
        <f t="shared" si="183"/>
        <v>#VALUE!</v>
      </c>
      <c r="AP170" s="666" t="e">
        <f t="shared" si="184"/>
        <v>#VALUE!</v>
      </c>
      <c r="AQ170" s="660" t="e">
        <f t="shared" si="185"/>
        <v>#VALUE!</v>
      </c>
      <c r="AR170" s="667" t="e">
        <f t="shared" si="186"/>
        <v>#VALUE!</v>
      </c>
      <c r="AS170" s="667" t="e">
        <f t="shared" si="187"/>
        <v>#VALUE!</v>
      </c>
      <c r="AT170" s="668" t="e">
        <f t="shared" si="188"/>
        <v>#VALUE!</v>
      </c>
      <c r="AU170" s="667" t="e">
        <f t="shared" si="189"/>
        <v>#VALUE!</v>
      </c>
      <c r="AV170" s="669" t="e">
        <f t="shared" si="190"/>
        <v>#VALUE!</v>
      </c>
      <c r="AW170" s="667" t="e">
        <f t="shared" si="191"/>
        <v>#VALUE!</v>
      </c>
      <c r="AX170" s="667" t="e">
        <f t="shared" si="192"/>
        <v>#VALUE!</v>
      </c>
      <c r="AY170" s="660" t="e">
        <f t="shared" si="193"/>
        <v>#VALUE!</v>
      </c>
      <c r="AZ170" s="670" t="e">
        <f t="shared" si="194"/>
        <v>#VALUE!</v>
      </c>
      <c r="BB170" s="662" t="e">
        <f>INDEX('Vessel Gauging Data'!$B$26:$V$56,MATCH($C170,'Vessel Gauging Data'!$B$26:$B$56,0),$BB$18)</f>
        <v>#N/A</v>
      </c>
      <c r="BC170" s="662" t="e">
        <f>INDEX('Vessel Gauging Data'!$B$26:$V$56,MATCH($C170,'Vessel Gauging Data'!$B$26:$B$56,0),$BC$18)</f>
        <v>#N/A</v>
      </c>
      <c r="BD170" s="662" t="e">
        <f>INDEX('Vessel Gauging Data'!$B$26:$V$56,MATCH($C170,'Vessel Gauging Data'!$B$26:$B$56,0),$BD$18)</f>
        <v>#N/A</v>
      </c>
      <c r="BE170" s="662" t="e">
        <f>INDEX('Vessel Gauging Data'!$B$26:$V$56,MATCH($C170,'Vessel Gauging Data'!$B$26:$B$56,0),$BE$18)</f>
        <v>#N/A</v>
      </c>
    </row>
    <row r="171" spans="1:57" hidden="1">
      <c r="A171" s="641" t="str">
        <f t="shared" si="172"/>
        <v>N</v>
      </c>
      <c r="C171" s="235" t="str">
        <f t="array" ref="C171">IF(SUMPRODUCT((ISERROR(MATCH('Vessel Gauging Data'!$C$27:$C$56,IF(GRADECHNO=2,RESIDUALS,IF(GRADECHNO=3,DISTILLATES,GRADESLIST)),0))=FALSE)*('Vessel Gauging Data'!$D$27:$D$56=NOMN)*1)&lt;ROWS($C$160:$C171),"",INDEX('Vessel Gauging Data'!$B$27:$B$56,SMALL(IF(((ISERROR(MATCH('Vessel Gauging Data'!$C$27:$C$56,IF(GRADECHNO=2,RESIDUALS,IF(GRADECHNO=3,DISTILLATES,GRADESLIST)),0))=FALSE)+('Vessel Gauging Data'!$D$27:$D$56=NOMN))=2,ROW('Vessel Gauging Data'!$B$27:$B$56)-ROW('Vessel Gauging Data'!$C$26)),ROW()-ROW(C$159))))</f>
        <v/>
      </c>
      <c r="D171" s="211" t="str">
        <f>IF(OR($C171="",$C171=0),"",INDEX('Vessel Gauging Data'!$B$26:$V$56,MATCH($C171,'Vessel Gauging Data'!$B$27:$B$56,0)+1,2))</f>
        <v/>
      </c>
      <c r="E171" s="1016" t="str">
        <f t="shared" si="158"/>
        <v/>
      </c>
      <c r="F171" s="1016" t="str">
        <f t="shared" si="159"/>
        <v/>
      </c>
      <c r="G171" s="1016" t="str">
        <f t="shared" si="160"/>
        <v/>
      </c>
      <c r="H171" s="1016" t="str">
        <f t="shared" si="160"/>
        <v/>
      </c>
      <c r="I171" s="211" t="str">
        <f t="shared" si="161"/>
        <v/>
      </c>
      <c r="J171" s="1016" t="str">
        <f t="shared" si="162"/>
        <v/>
      </c>
      <c r="K171" s="213" t="str">
        <f t="shared" si="163"/>
        <v/>
      </c>
      <c r="L171" s="212" t="str">
        <f t="shared" si="164"/>
        <v/>
      </c>
      <c r="M171" s="1125" t="str">
        <f>IF(OR($C171="",$C171=0),"",INDEX(API1DENST,MATCH($C171,'Vessel Gauging Data'!$B$27:$B$56,0),$AA$1))</f>
        <v/>
      </c>
      <c r="N171" s="212" t="str">
        <f t="shared" si="165"/>
        <v/>
      </c>
      <c r="O171" s="1016" t="str">
        <f t="shared" si="166"/>
        <v/>
      </c>
      <c r="P171" s="1125" t="str">
        <f t="shared" si="167"/>
        <v/>
      </c>
      <c r="Q171" s="1016" t="str">
        <f t="shared" si="168"/>
        <v/>
      </c>
      <c r="R171" s="214" t="str">
        <f t="shared" si="169"/>
        <v/>
      </c>
      <c r="S171" s="1125" t="str">
        <f t="shared" si="170"/>
        <v/>
      </c>
      <c r="T171" s="236" t="str">
        <f t="shared" si="171"/>
        <v/>
      </c>
      <c r="V171" s="642" t="e">
        <f>INDEX('Vessel Gauging Data'!$B$26:$V$56,MATCH($C171,'Vessel Gauging Data'!$B$26:$B$56,0),$V$18)</f>
        <v>#N/A</v>
      </c>
      <c r="W171" s="642" t="e">
        <f>INDEX('Vessel Gauging Data'!$B$26:$V$56,MATCH($C171,'Vessel Gauging Data'!$B$26:$B$56,0),$W$18)</f>
        <v>#N/A</v>
      </c>
      <c r="X171" s="642" t="e">
        <f>INDEX('Vessel Gauging Data'!$B$26:$V$56,MATCH($C171,'Vessel Gauging Data'!$B$26:$B$56,0),$X$18)</f>
        <v>#N/A</v>
      </c>
      <c r="Y171" s="642" t="e">
        <f>INDEX('Vessel Gauging Data'!$B$26:$V$56,MATCH($C171,'Vessel Gauging Data'!$B$26:$B$56,0),$Y$18)</f>
        <v>#N/A</v>
      </c>
      <c r="Z171" s="642" t="e">
        <f>INDEX('Vessel Gauging Data'!$B$26:$V$56,MATCH($C171,'Vessel Gauging Data'!$B$26:$B$56,0),$Z$18)</f>
        <v>#N/A</v>
      </c>
      <c r="AB171" s="642" t="e">
        <f>INDEX(API1DENST,MATCH($C171,'Vessel Gauging Data'!$B$27:$B$56,0),1)</f>
        <v>#N/A</v>
      </c>
      <c r="AC171" s="642" t="e">
        <f t="shared" si="175"/>
        <v>#N/A</v>
      </c>
      <c r="AE171" s="661" t="e">
        <f t="shared" si="176"/>
        <v>#VALUE!</v>
      </c>
      <c r="AF171" s="661" t="e">
        <f t="shared" si="177"/>
        <v>#VALUE!</v>
      </c>
      <c r="AH171" s="662" t="str">
        <f t="shared" si="173"/>
        <v/>
      </c>
      <c r="AI171" s="662" t="str">
        <f t="shared" si="174"/>
        <v/>
      </c>
      <c r="AJ171" s="663">
        <f t="shared" si="178"/>
        <v>192.4571</v>
      </c>
      <c r="AK171" s="660">
        <f t="shared" si="179"/>
        <v>0.24379999999999999</v>
      </c>
      <c r="AL171" s="660" t="e">
        <f t="shared" si="180"/>
        <v>#VALUE!</v>
      </c>
      <c r="AM171" s="664" t="e">
        <f t="shared" si="181"/>
        <v>#VALUE!</v>
      </c>
      <c r="AN171" s="664" t="e">
        <f t="shared" si="182"/>
        <v>#VALUE!</v>
      </c>
      <c r="AO171" s="665" t="e">
        <f t="shared" si="183"/>
        <v>#VALUE!</v>
      </c>
      <c r="AP171" s="666" t="e">
        <f t="shared" si="184"/>
        <v>#VALUE!</v>
      </c>
      <c r="AQ171" s="660" t="e">
        <f t="shared" si="185"/>
        <v>#VALUE!</v>
      </c>
      <c r="AR171" s="667" t="e">
        <f t="shared" si="186"/>
        <v>#VALUE!</v>
      </c>
      <c r="AS171" s="667" t="e">
        <f t="shared" si="187"/>
        <v>#VALUE!</v>
      </c>
      <c r="AT171" s="668" t="e">
        <f t="shared" si="188"/>
        <v>#VALUE!</v>
      </c>
      <c r="AU171" s="667" t="e">
        <f t="shared" si="189"/>
        <v>#VALUE!</v>
      </c>
      <c r="AV171" s="669" t="e">
        <f t="shared" si="190"/>
        <v>#VALUE!</v>
      </c>
      <c r="AW171" s="667" t="e">
        <f t="shared" si="191"/>
        <v>#VALUE!</v>
      </c>
      <c r="AX171" s="667" t="e">
        <f t="shared" si="192"/>
        <v>#VALUE!</v>
      </c>
      <c r="AY171" s="660" t="e">
        <f t="shared" si="193"/>
        <v>#VALUE!</v>
      </c>
      <c r="AZ171" s="670" t="e">
        <f t="shared" si="194"/>
        <v>#VALUE!</v>
      </c>
      <c r="BB171" s="662" t="e">
        <f>INDEX('Vessel Gauging Data'!$B$26:$V$56,MATCH($C171,'Vessel Gauging Data'!$B$26:$B$56,0),$BB$18)</f>
        <v>#N/A</v>
      </c>
      <c r="BC171" s="662" t="e">
        <f>INDEX('Vessel Gauging Data'!$B$26:$V$56,MATCH($C171,'Vessel Gauging Data'!$B$26:$B$56,0),$BC$18)</f>
        <v>#N/A</v>
      </c>
      <c r="BD171" s="662" t="e">
        <f>INDEX('Vessel Gauging Data'!$B$26:$V$56,MATCH($C171,'Vessel Gauging Data'!$B$26:$B$56,0),$BD$18)</f>
        <v>#N/A</v>
      </c>
      <c r="BE171" s="662" t="e">
        <f>INDEX('Vessel Gauging Data'!$B$26:$V$56,MATCH($C171,'Vessel Gauging Data'!$B$26:$B$56,0),$BE$18)</f>
        <v>#N/A</v>
      </c>
    </row>
    <row r="172" spans="1:57" hidden="1">
      <c r="A172" s="641" t="str">
        <f t="shared" si="172"/>
        <v>N</v>
      </c>
      <c r="C172" s="235" t="str">
        <f t="array" ref="C172">IF(SUMPRODUCT((ISERROR(MATCH('Vessel Gauging Data'!$C$27:$C$56,IF(GRADECHNO=2,RESIDUALS,IF(GRADECHNO=3,DISTILLATES,GRADESLIST)),0))=FALSE)*('Vessel Gauging Data'!$D$27:$D$56=NOMN)*1)&lt;ROWS($C$160:$C172),"",INDEX('Vessel Gauging Data'!$B$27:$B$56,SMALL(IF(((ISERROR(MATCH('Vessel Gauging Data'!$C$27:$C$56,IF(GRADECHNO=2,RESIDUALS,IF(GRADECHNO=3,DISTILLATES,GRADESLIST)),0))=FALSE)+('Vessel Gauging Data'!$D$27:$D$56=NOMN))=2,ROW('Vessel Gauging Data'!$B$27:$B$56)-ROW('Vessel Gauging Data'!$C$26)),ROW()-ROW(C$159))))</f>
        <v/>
      </c>
      <c r="D172" s="211" t="str">
        <f>IF(OR($C172="",$C172=0),"",INDEX('Vessel Gauging Data'!$B$26:$V$56,MATCH($C172,'Vessel Gauging Data'!$B$27:$B$56,0)+1,2))</f>
        <v/>
      </c>
      <c r="E172" s="1016" t="str">
        <f t="shared" si="158"/>
        <v/>
      </c>
      <c r="F172" s="1016" t="str">
        <f t="shared" si="159"/>
        <v/>
      </c>
      <c r="G172" s="1016" t="str">
        <f t="shared" si="160"/>
        <v/>
      </c>
      <c r="H172" s="1016" t="str">
        <f t="shared" si="160"/>
        <v/>
      </c>
      <c r="I172" s="211" t="str">
        <f t="shared" si="161"/>
        <v/>
      </c>
      <c r="J172" s="1016" t="str">
        <f t="shared" si="162"/>
        <v/>
      </c>
      <c r="K172" s="213" t="str">
        <f t="shared" si="163"/>
        <v/>
      </c>
      <c r="L172" s="212" t="str">
        <f t="shared" si="164"/>
        <v/>
      </c>
      <c r="M172" s="1125" t="str">
        <f>IF(OR($C172="",$C172=0),"",INDEX(API1DENST,MATCH($C172,'Vessel Gauging Data'!$B$27:$B$56,0),$AA$1))</f>
        <v/>
      </c>
      <c r="N172" s="212" t="str">
        <f t="shared" si="165"/>
        <v/>
      </c>
      <c r="O172" s="1016" t="str">
        <f t="shared" si="166"/>
        <v/>
      </c>
      <c r="P172" s="1125" t="str">
        <f t="shared" si="167"/>
        <v/>
      </c>
      <c r="Q172" s="1016" t="str">
        <f t="shared" si="168"/>
        <v/>
      </c>
      <c r="R172" s="214" t="str">
        <f t="shared" si="169"/>
        <v/>
      </c>
      <c r="S172" s="1125" t="str">
        <f t="shared" si="170"/>
        <v/>
      </c>
      <c r="T172" s="236" t="str">
        <f t="shared" si="171"/>
        <v/>
      </c>
      <c r="V172" s="642" t="e">
        <f>INDEX('Vessel Gauging Data'!$B$26:$V$56,MATCH($C172,'Vessel Gauging Data'!$B$26:$B$56,0),$V$18)</f>
        <v>#N/A</v>
      </c>
      <c r="W172" s="642" t="e">
        <f>INDEX('Vessel Gauging Data'!$B$26:$V$56,MATCH($C172,'Vessel Gauging Data'!$B$26:$B$56,0),$W$18)</f>
        <v>#N/A</v>
      </c>
      <c r="X172" s="642" t="e">
        <f>INDEX('Vessel Gauging Data'!$B$26:$V$56,MATCH($C172,'Vessel Gauging Data'!$B$26:$B$56,0),$X$18)</f>
        <v>#N/A</v>
      </c>
      <c r="Y172" s="642" t="e">
        <f>INDEX('Vessel Gauging Data'!$B$26:$V$56,MATCH($C172,'Vessel Gauging Data'!$B$26:$B$56,0),$Y$18)</f>
        <v>#N/A</v>
      </c>
      <c r="Z172" s="642" t="e">
        <f>INDEX('Vessel Gauging Data'!$B$26:$V$56,MATCH($C172,'Vessel Gauging Data'!$B$26:$B$56,0),$Z$18)</f>
        <v>#N/A</v>
      </c>
      <c r="AB172" s="642" t="e">
        <f>INDEX(API1DENST,MATCH($C172,'Vessel Gauging Data'!$B$27:$B$56,0),1)</f>
        <v>#N/A</v>
      </c>
      <c r="AC172" s="642" t="e">
        <f t="shared" si="175"/>
        <v>#N/A</v>
      </c>
      <c r="AE172" s="661" t="e">
        <f t="shared" si="176"/>
        <v>#VALUE!</v>
      </c>
      <c r="AF172" s="661" t="e">
        <f t="shared" si="177"/>
        <v>#VALUE!</v>
      </c>
      <c r="AH172" s="662" t="str">
        <f t="shared" si="173"/>
        <v/>
      </c>
      <c r="AI172" s="662" t="str">
        <f t="shared" si="174"/>
        <v/>
      </c>
      <c r="AJ172" s="663">
        <f t="shared" si="178"/>
        <v>192.4571</v>
      </c>
      <c r="AK172" s="660">
        <f t="shared" si="179"/>
        <v>0.24379999999999999</v>
      </c>
      <c r="AL172" s="660" t="e">
        <f t="shared" si="180"/>
        <v>#VALUE!</v>
      </c>
      <c r="AM172" s="664" t="e">
        <f t="shared" si="181"/>
        <v>#VALUE!</v>
      </c>
      <c r="AN172" s="664" t="e">
        <f t="shared" si="182"/>
        <v>#VALUE!</v>
      </c>
      <c r="AO172" s="665" t="e">
        <f t="shared" si="183"/>
        <v>#VALUE!</v>
      </c>
      <c r="AP172" s="666" t="e">
        <f t="shared" si="184"/>
        <v>#VALUE!</v>
      </c>
      <c r="AQ172" s="660" t="e">
        <f t="shared" si="185"/>
        <v>#VALUE!</v>
      </c>
      <c r="AR172" s="667" t="e">
        <f t="shared" si="186"/>
        <v>#VALUE!</v>
      </c>
      <c r="AS172" s="667" t="e">
        <f t="shared" si="187"/>
        <v>#VALUE!</v>
      </c>
      <c r="AT172" s="668" t="e">
        <f t="shared" si="188"/>
        <v>#VALUE!</v>
      </c>
      <c r="AU172" s="667" t="e">
        <f t="shared" si="189"/>
        <v>#VALUE!</v>
      </c>
      <c r="AV172" s="669" t="e">
        <f t="shared" si="190"/>
        <v>#VALUE!</v>
      </c>
      <c r="AW172" s="667" t="e">
        <f t="shared" si="191"/>
        <v>#VALUE!</v>
      </c>
      <c r="AX172" s="667" t="e">
        <f t="shared" si="192"/>
        <v>#VALUE!</v>
      </c>
      <c r="AY172" s="660" t="e">
        <f t="shared" si="193"/>
        <v>#VALUE!</v>
      </c>
      <c r="AZ172" s="670" t="e">
        <f t="shared" si="194"/>
        <v>#VALUE!</v>
      </c>
      <c r="BB172" s="662" t="e">
        <f>INDEX('Vessel Gauging Data'!$B$26:$V$56,MATCH($C172,'Vessel Gauging Data'!$B$26:$B$56,0),$BB$18)</f>
        <v>#N/A</v>
      </c>
      <c r="BC172" s="662" t="e">
        <f>INDEX('Vessel Gauging Data'!$B$26:$V$56,MATCH($C172,'Vessel Gauging Data'!$B$26:$B$56,0),$BC$18)</f>
        <v>#N/A</v>
      </c>
      <c r="BD172" s="662" t="e">
        <f>INDEX('Vessel Gauging Data'!$B$26:$V$56,MATCH($C172,'Vessel Gauging Data'!$B$26:$B$56,0),$BD$18)</f>
        <v>#N/A</v>
      </c>
      <c r="BE172" s="662" t="e">
        <f>INDEX('Vessel Gauging Data'!$B$26:$V$56,MATCH($C172,'Vessel Gauging Data'!$B$26:$B$56,0),$BE$18)</f>
        <v>#N/A</v>
      </c>
    </row>
    <row r="173" spans="1:57" hidden="1">
      <c r="A173" s="641" t="str">
        <f t="shared" si="172"/>
        <v>N</v>
      </c>
      <c r="C173" s="235" t="str">
        <f t="array" ref="C173">IF(SUMPRODUCT((ISERROR(MATCH('Vessel Gauging Data'!$C$27:$C$56,IF(GRADECHNO=2,RESIDUALS,IF(GRADECHNO=3,DISTILLATES,GRADESLIST)),0))=FALSE)*('Vessel Gauging Data'!$D$27:$D$56=NOMN)*1)&lt;ROWS($C$160:$C173),"",INDEX('Vessel Gauging Data'!$B$27:$B$56,SMALL(IF(((ISERROR(MATCH('Vessel Gauging Data'!$C$27:$C$56,IF(GRADECHNO=2,RESIDUALS,IF(GRADECHNO=3,DISTILLATES,GRADESLIST)),0))=FALSE)+('Vessel Gauging Data'!$D$27:$D$56=NOMN))=2,ROW('Vessel Gauging Data'!$B$27:$B$56)-ROW('Vessel Gauging Data'!$C$26)),ROW()-ROW(C$159))))</f>
        <v/>
      </c>
      <c r="D173" s="211" t="str">
        <f>IF(OR($C173="",$C173=0),"",INDEX('Vessel Gauging Data'!$B$26:$V$56,MATCH($C173,'Vessel Gauging Data'!$B$27:$B$56,0)+1,2))</f>
        <v/>
      </c>
      <c r="E173" s="1016" t="str">
        <f t="shared" si="158"/>
        <v/>
      </c>
      <c r="F173" s="1016" t="str">
        <f t="shared" si="159"/>
        <v/>
      </c>
      <c r="G173" s="1016" t="str">
        <f t="shared" si="160"/>
        <v/>
      </c>
      <c r="H173" s="1016" t="str">
        <f t="shared" si="160"/>
        <v/>
      </c>
      <c r="I173" s="211" t="str">
        <f t="shared" si="161"/>
        <v/>
      </c>
      <c r="J173" s="1016" t="str">
        <f t="shared" si="162"/>
        <v/>
      </c>
      <c r="K173" s="213" t="str">
        <f t="shared" si="163"/>
        <v/>
      </c>
      <c r="L173" s="212" t="str">
        <f t="shared" si="164"/>
        <v/>
      </c>
      <c r="M173" s="1125" t="str">
        <f>IF(OR($C173="",$C173=0),"",INDEX(API1DENST,MATCH($C173,'Vessel Gauging Data'!$B$27:$B$56,0),$AA$1))</f>
        <v/>
      </c>
      <c r="N173" s="212" t="str">
        <f t="shared" si="165"/>
        <v/>
      </c>
      <c r="O173" s="1016" t="str">
        <f>IF(OR(J173="",L173=""),"",IF(ISTEXT(J173),"N/A",IF(ISTEXT(L173),J173,J173-L173)))</f>
        <v/>
      </c>
      <c r="P173" s="1125" t="str">
        <f>IF(OR(M173="",N173=""),"",IF(OR(ISTEXT(M173),ISTEXT(N173)),"N/A",IF($AA$1=1,ROUND(EXP(-AF173*(N173-15)*(1+0.8*AF173*(N173-15))),5),AZ173)))</f>
        <v/>
      </c>
      <c r="Q173" s="1016" t="str">
        <f>IF(OR(M173="",N173=""),"",IF(OR(ISTEXT(M173),ISTEXT(N173)),"N/A",ROUND(O173*P173,3)))</f>
        <v/>
      </c>
      <c r="R173" s="214" t="str">
        <f>IF(M173="","",IF($AA$1=1,IF(ISTEXT(Q173),"N/A",ROUND(Q173*M173,3)),IF(ISTEXT(T173),"N/A",ROUND(T173*AC173,3))))</f>
        <v/>
      </c>
      <c r="S173" s="1125" t="str">
        <f t="shared" ref="S173" si="195">IF(M173="","",IF($AA$1=1,ROUND(M173-0.0011,5),ROUND((1.00122697*(141.5/(M173+131.5))-1.22269727*10^-3)*8.32823*42/2204.62,5+2)))</f>
        <v/>
      </c>
      <c r="T173" s="236" t="str">
        <f>IF(OR(M173="",N173=""),"",IF(ISTEXT(Q173),"N/A",IF($AA$1=1,ROUND((Q173*(M173-0.0011)),3),ROUND(Q173*S173,3))))</f>
        <v/>
      </c>
      <c r="V173" s="642" t="e">
        <f>INDEX('Vessel Gauging Data'!$B$26:$V$56,MATCH($C173,'Vessel Gauging Data'!$B$26:$B$56,0),$V$18)</f>
        <v>#N/A</v>
      </c>
      <c r="W173" s="642" t="e">
        <f>INDEX('Vessel Gauging Data'!$B$26:$V$56,MATCH($C173,'Vessel Gauging Data'!$B$26:$B$56,0),$W$18)</f>
        <v>#N/A</v>
      </c>
      <c r="X173" s="642" t="e">
        <f>INDEX('Vessel Gauging Data'!$B$26:$V$56,MATCH($C173,'Vessel Gauging Data'!$B$26:$B$56,0),$X$18)</f>
        <v>#N/A</v>
      </c>
      <c r="Y173" s="642" t="e">
        <f>INDEX('Vessel Gauging Data'!$B$26:$V$56,MATCH($C173,'Vessel Gauging Data'!$B$26:$B$56,0),$Y$18)</f>
        <v>#N/A</v>
      </c>
      <c r="Z173" s="642" t="e">
        <f>INDEX('Vessel Gauging Data'!$B$26:$V$56,MATCH($C173,'Vessel Gauging Data'!$B$26:$B$56,0),$Z$18)</f>
        <v>#N/A</v>
      </c>
      <c r="AB173" s="642" t="e">
        <f>INDEX(API1DENST,MATCH($C173,'Vessel Gauging Data'!$B$27:$B$56,0),1)</f>
        <v>#N/A</v>
      </c>
      <c r="AC173" s="642" t="e">
        <f t="shared" si="175"/>
        <v>#N/A</v>
      </c>
      <c r="AE173" s="661" t="e">
        <f t="shared" si="176"/>
        <v>#VALUE!</v>
      </c>
      <c r="AF173" s="661" t="e">
        <f t="shared" si="177"/>
        <v>#VALUE!</v>
      </c>
      <c r="AH173" s="662" t="str">
        <f t="shared" si="173"/>
        <v/>
      </c>
      <c r="AI173" s="662" t="str">
        <f t="shared" si="174"/>
        <v/>
      </c>
      <c r="AJ173" s="663">
        <f t="shared" si="178"/>
        <v>192.4571</v>
      </c>
      <c r="AK173" s="660">
        <f t="shared" si="179"/>
        <v>0.24379999999999999</v>
      </c>
      <c r="AL173" s="660" t="e">
        <f t="shared" si="180"/>
        <v>#VALUE!</v>
      </c>
      <c r="AM173" s="664" t="e">
        <f t="shared" si="181"/>
        <v>#VALUE!</v>
      </c>
      <c r="AN173" s="664" t="e">
        <f t="shared" si="182"/>
        <v>#VALUE!</v>
      </c>
      <c r="AO173" s="665" t="e">
        <f t="shared" si="183"/>
        <v>#VALUE!</v>
      </c>
      <c r="AP173" s="666" t="e">
        <f t="shared" si="184"/>
        <v>#VALUE!</v>
      </c>
      <c r="AQ173" s="660" t="e">
        <f t="shared" si="185"/>
        <v>#VALUE!</v>
      </c>
      <c r="AR173" s="667" t="e">
        <f t="shared" si="186"/>
        <v>#VALUE!</v>
      </c>
      <c r="AS173" s="667" t="e">
        <f t="shared" si="187"/>
        <v>#VALUE!</v>
      </c>
      <c r="AT173" s="668" t="e">
        <f t="shared" si="188"/>
        <v>#VALUE!</v>
      </c>
      <c r="AU173" s="667" t="e">
        <f t="shared" si="189"/>
        <v>#VALUE!</v>
      </c>
      <c r="AV173" s="669" t="e">
        <f t="shared" si="190"/>
        <v>#VALUE!</v>
      </c>
      <c r="AW173" s="667" t="e">
        <f t="shared" si="191"/>
        <v>#VALUE!</v>
      </c>
      <c r="AX173" s="667" t="e">
        <f t="shared" si="192"/>
        <v>#VALUE!</v>
      </c>
      <c r="AY173" s="660" t="e">
        <f t="shared" si="193"/>
        <v>#VALUE!</v>
      </c>
      <c r="AZ173" s="670" t="e">
        <f t="shared" si="194"/>
        <v>#VALUE!</v>
      </c>
      <c r="BB173" s="662" t="e">
        <f>INDEX('Vessel Gauging Data'!$B$26:$V$56,MATCH($C173,'Vessel Gauging Data'!$B$26:$B$56,0),$BB$18)</f>
        <v>#N/A</v>
      </c>
      <c r="BC173" s="662" t="e">
        <f>INDEX('Vessel Gauging Data'!$B$26:$V$56,MATCH($C173,'Vessel Gauging Data'!$B$26:$B$56,0),$BC$18)</f>
        <v>#N/A</v>
      </c>
      <c r="BD173" s="662" t="e">
        <f>INDEX('Vessel Gauging Data'!$B$26:$V$56,MATCH($C173,'Vessel Gauging Data'!$B$26:$B$56,0),$BD$18)</f>
        <v>#N/A</v>
      </c>
      <c r="BE173" s="662" t="e">
        <f>INDEX('Vessel Gauging Data'!$B$26:$V$56,MATCH($C173,'Vessel Gauging Data'!$B$26:$B$56,0),$BE$18)</f>
        <v>#N/A</v>
      </c>
    </row>
    <row r="174" spans="1:57" hidden="1">
      <c r="A174" s="641" t="str">
        <f t="shared" si="172"/>
        <v>N</v>
      </c>
      <c r="C174" s="235" t="str">
        <f t="array" ref="C174">IF(SUMPRODUCT((ISERROR(MATCH('Vessel Gauging Data'!$C$27:$C$56,IF(GRADECHNO=2,RESIDUALS,IF(GRADECHNO=3,DISTILLATES,GRADESLIST)),0))=FALSE)*('Vessel Gauging Data'!$D$27:$D$56=NOMN)*1)&lt;ROWS($C$160:$C174),"",INDEX('Vessel Gauging Data'!$B$27:$B$56,SMALL(IF(((ISERROR(MATCH('Vessel Gauging Data'!$C$27:$C$56,IF(GRADECHNO=2,RESIDUALS,IF(GRADECHNO=3,DISTILLATES,GRADESLIST)),0))=FALSE)+('Vessel Gauging Data'!$D$27:$D$56=NOMN))=2,ROW('Vessel Gauging Data'!$B$27:$B$56)-ROW('Vessel Gauging Data'!$C$26)),ROW()-ROW(C$159))))</f>
        <v/>
      </c>
      <c r="D174" s="211" t="str">
        <f>IF(OR($C174="",$C174=0),"",INDEX('Vessel Gauging Data'!$B$26:$V$56,MATCH($C174,'Vessel Gauging Data'!$B$27:$B$56,0)+1,2))</f>
        <v/>
      </c>
      <c r="E174" s="1016" t="str">
        <f t="shared" si="158"/>
        <v/>
      </c>
      <c r="F174" s="1016" t="str">
        <f t="shared" si="159"/>
        <v/>
      </c>
      <c r="G174" s="1016" t="str">
        <f t="shared" si="160"/>
        <v/>
      </c>
      <c r="H174" s="1016" t="str">
        <f t="shared" si="160"/>
        <v/>
      </c>
      <c r="I174" s="211" t="str">
        <f t="shared" si="161"/>
        <v/>
      </c>
      <c r="J174" s="1016" t="str">
        <f t="shared" si="162"/>
        <v/>
      </c>
      <c r="K174" s="213" t="str">
        <f t="shared" si="163"/>
        <v/>
      </c>
      <c r="L174" s="212" t="str">
        <f t="shared" si="164"/>
        <v/>
      </c>
      <c r="M174" s="1125" t="str">
        <f>IF(OR($C174="",$C174=0),"",INDEX(API1DENST,MATCH($C174,'Vessel Gauging Data'!$B$27:$B$56,0),$AA$1))</f>
        <v/>
      </c>
      <c r="N174" s="212" t="str">
        <f t="shared" si="165"/>
        <v/>
      </c>
      <c r="O174" s="1016" t="str">
        <f t="shared" ref="O174:O189" si="196">IF(OR(J174="",L174=""),"",IF(ISTEXT(J174),"N/A",IF(ISTEXT(L174),J174,J174-L174)))</f>
        <v/>
      </c>
      <c r="P174" s="1125" t="str">
        <f t="shared" ref="P174:P189" si="197">IF(OR(M174="",N174=""),"",IF(OR(ISTEXT(M174),ISTEXT(N174)),"N/A",IF($AA$1=1,ROUND(EXP(-AF174*(N174-15)*(1+0.8*AF174*(N174-15))),5),AZ174)))</f>
        <v/>
      </c>
      <c r="Q174" s="1016" t="str">
        <f t="shared" ref="Q174:Q189" si="198">IF(OR(M174="",N174=""),"",IF(OR(ISTEXT(M174),ISTEXT(N174)),"N/A",ROUND(O174*P174,3)))</f>
        <v/>
      </c>
      <c r="R174" s="214" t="str">
        <f t="shared" ref="R174:R189" si="199">IF(M174="","",IF($AA$1=1,IF(ISTEXT(Q174),"N/A",ROUND(Q174*M174,3)),IF(ISTEXT(T174),"N/A",ROUND(T174*AC174,3))))</f>
        <v/>
      </c>
      <c r="S174" s="1125" t="str">
        <f t="shared" ref="S174:S189" si="200">IF(M174="","",IF($AA$1=1,ROUND(M174-0.0011,5),ROUND((1.00122697*(141.5/(M174+131.5))-1.22269727*10^-3)*8.32823*42/2204.62,5+2)))</f>
        <v/>
      </c>
      <c r="T174" s="236" t="str">
        <f t="shared" ref="T174:T189" si="201">IF(OR(M174="",N174=""),"",IF(ISTEXT(Q174),"N/A",IF($AA$1=1,ROUND((Q174*(M174-0.0011)),3),ROUND(Q174*S174,3))))</f>
        <v/>
      </c>
      <c r="V174" s="642" t="e">
        <f>INDEX('Vessel Gauging Data'!$B$26:$V$56,MATCH($C174,'Vessel Gauging Data'!$B$26:$B$56,0),$V$18)</f>
        <v>#N/A</v>
      </c>
      <c r="W174" s="642" t="e">
        <f>INDEX('Vessel Gauging Data'!$B$26:$V$56,MATCH($C174,'Vessel Gauging Data'!$B$26:$B$56,0),$W$18)</f>
        <v>#N/A</v>
      </c>
      <c r="X174" s="642" t="e">
        <f>INDEX('Vessel Gauging Data'!$B$26:$V$56,MATCH($C174,'Vessel Gauging Data'!$B$26:$B$56,0),$X$18)</f>
        <v>#N/A</v>
      </c>
      <c r="Y174" s="642" t="e">
        <f>INDEX('Vessel Gauging Data'!$B$26:$V$56,MATCH($C174,'Vessel Gauging Data'!$B$26:$B$56,0),$Y$18)</f>
        <v>#N/A</v>
      </c>
      <c r="Z174" s="642" t="e">
        <f>INDEX('Vessel Gauging Data'!$B$26:$V$56,MATCH($C174,'Vessel Gauging Data'!$B$26:$B$56,0),$Z$18)</f>
        <v>#N/A</v>
      </c>
      <c r="AB174" s="642" t="e">
        <f>INDEX(API1DENST,MATCH($C174,'Vessel Gauging Data'!$B$27:$B$56,0),1)</f>
        <v>#N/A</v>
      </c>
      <c r="AC174" s="642" t="e">
        <f t="shared" si="175"/>
        <v>#N/A</v>
      </c>
      <c r="AE174" s="661" t="e">
        <f t="shared" si="176"/>
        <v>#VALUE!</v>
      </c>
      <c r="AF174" s="661" t="e">
        <f t="shared" si="177"/>
        <v>#VALUE!</v>
      </c>
      <c r="AH174" s="662" t="str">
        <f t="shared" si="173"/>
        <v/>
      </c>
      <c r="AI174" s="662" t="str">
        <f t="shared" si="174"/>
        <v/>
      </c>
      <c r="AJ174" s="663">
        <f t="shared" si="178"/>
        <v>192.4571</v>
      </c>
      <c r="AK174" s="660">
        <f t="shared" si="179"/>
        <v>0.24379999999999999</v>
      </c>
      <c r="AL174" s="660" t="e">
        <f t="shared" si="180"/>
        <v>#VALUE!</v>
      </c>
      <c r="AM174" s="664" t="e">
        <f t="shared" si="181"/>
        <v>#VALUE!</v>
      </c>
      <c r="AN174" s="664" t="e">
        <f t="shared" si="182"/>
        <v>#VALUE!</v>
      </c>
      <c r="AO174" s="665" t="e">
        <f t="shared" si="183"/>
        <v>#VALUE!</v>
      </c>
      <c r="AP174" s="666" t="e">
        <f t="shared" si="184"/>
        <v>#VALUE!</v>
      </c>
      <c r="AQ174" s="660" t="e">
        <f t="shared" si="185"/>
        <v>#VALUE!</v>
      </c>
      <c r="AR174" s="667" t="e">
        <f t="shared" si="186"/>
        <v>#VALUE!</v>
      </c>
      <c r="AS174" s="667" t="e">
        <f t="shared" si="187"/>
        <v>#VALUE!</v>
      </c>
      <c r="AT174" s="668" t="e">
        <f t="shared" si="188"/>
        <v>#VALUE!</v>
      </c>
      <c r="AU174" s="667" t="e">
        <f t="shared" si="189"/>
        <v>#VALUE!</v>
      </c>
      <c r="AV174" s="669" t="e">
        <f t="shared" si="190"/>
        <v>#VALUE!</v>
      </c>
      <c r="AW174" s="667" t="e">
        <f t="shared" si="191"/>
        <v>#VALUE!</v>
      </c>
      <c r="AX174" s="667" t="e">
        <f t="shared" si="192"/>
        <v>#VALUE!</v>
      </c>
      <c r="AY174" s="660" t="e">
        <f t="shared" si="193"/>
        <v>#VALUE!</v>
      </c>
      <c r="AZ174" s="670" t="e">
        <f t="shared" si="194"/>
        <v>#VALUE!</v>
      </c>
      <c r="BB174" s="662" t="e">
        <f>INDEX('Vessel Gauging Data'!$B$26:$V$56,MATCH($C174,'Vessel Gauging Data'!$B$26:$B$56,0),$BB$18)</f>
        <v>#N/A</v>
      </c>
      <c r="BC174" s="662" t="e">
        <f>INDEX('Vessel Gauging Data'!$B$26:$V$56,MATCH($C174,'Vessel Gauging Data'!$B$26:$B$56,0),$BC$18)</f>
        <v>#N/A</v>
      </c>
      <c r="BD174" s="662" t="e">
        <f>INDEX('Vessel Gauging Data'!$B$26:$V$56,MATCH($C174,'Vessel Gauging Data'!$B$26:$B$56,0),$BD$18)</f>
        <v>#N/A</v>
      </c>
      <c r="BE174" s="662" t="e">
        <f>INDEX('Vessel Gauging Data'!$B$26:$V$56,MATCH($C174,'Vessel Gauging Data'!$B$26:$B$56,0),$BE$18)</f>
        <v>#N/A</v>
      </c>
    </row>
    <row r="175" spans="1:57" hidden="1">
      <c r="A175" s="641" t="str">
        <f t="shared" si="172"/>
        <v>N</v>
      </c>
      <c r="C175" s="235" t="str">
        <f t="array" ref="C175">IF(SUMPRODUCT((ISERROR(MATCH('Vessel Gauging Data'!$C$27:$C$56,IF(GRADECHNO=2,RESIDUALS,IF(GRADECHNO=3,DISTILLATES,GRADESLIST)),0))=FALSE)*('Vessel Gauging Data'!$D$27:$D$56=NOMN)*1)&lt;ROWS($C$160:$C175),"",INDEX('Vessel Gauging Data'!$B$27:$B$56,SMALL(IF(((ISERROR(MATCH('Vessel Gauging Data'!$C$27:$C$56,IF(GRADECHNO=2,RESIDUALS,IF(GRADECHNO=3,DISTILLATES,GRADESLIST)),0))=FALSE)+('Vessel Gauging Data'!$D$27:$D$56=NOMN))=2,ROW('Vessel Gauging Data'!$B$27:$B$56)-ROW('Vessel Gauging Data'!$C$26)),ROW()-ROW(C$159))))</f>
        <v/>
      </c>
      <c r="D175" s="211" t="str">
        <f>IF(OR($C175="",$C175=0),"",INDEX('Vessel Gauging Data'!$B$26:$V$56,MATCH($C175,'Vessel Gauging Data'!$B$27:$B$56,0)+1,2))</f>
        <v/>
      </c>
      <c r="E175" s="1016" t="str">
        <f t="shared" si="158"/>
        <v/>
      </c>
      <c r="F175" s="1016" t="str">
        <f t="shared" si="159"/>
        <v/>
      </c>
      <c r="G175" s="1016" t="str">
        <f t="shared" si="160"/>
        <v/>
      </c>
      <c r="H175" s="1016" t="str">
        <f t="shared" si="160"/>
        <v/>
      </c>
      <c r="I175" s="211" t="str">
        <f t="shared" si="161"/>
        <v/>
      </c>
      <c r="J175" s="1016" t="str">
        <f t="shared" si="162"/>
        <v/>
      </c>
      <c r="K175" s="213" t="str">
        <f t="shared" si="163"/>
        <v/>
      </c>
      <c r="L175" s="212" t="str">
        <f t="shared" si="164"/>
        <v/>
      </c>
      <c r="M175" s="1125" t="str">
        <f>IF(OR($C175="",$C175=0),"",INDEX(API1DENST,MATCH($C175,'Vessel Gauging Data'!$B$27:$B$56,0),$AA$1))</f>
        <v/>
      </c>
      <c r="N175" s="212" t="str">
        <f t="shared" si="165"/>
        <v/>
      </c>
      <c r="O175" s="1016" t="str">
        <f t="shared" si="196"/>
        <v/>
      </c>
      <c r="P175" s="1125" t="str">
        <f t="shared" si="197"/>
        <v/>
      </c>
      <c r="Q175" s="1016" t="str">
        <f t="shared" si="198"/>
        <v/>
      </c>
      <c r="R175" s="214" t="str">
        <f t="shared" si="199"/>
        <v/>
      </c>
      <c r="S175" s="1125" t="str">
        <f t="shared" si="200"/>
        <v/>
      </c>
      <c r="T175" s="236" t="str">
        <f t="shared" si="201"/>
        <v/>
      </c>
      <c r="V175" s="642" t="e">
        <f>INDEX('Vessel Gauging Data'!$B$26:$V$56,MATCH($C175,'Vessel Gauging Data'!$B$26:$B$56,0),$V$18)</f>
        <v>#N/A</v>
      </c>
      <c r="W175" s="642" t="e">
        <f>INDEX('Vessel Gauging Data'!$B$26:$V$56,MATCH($C175,'Vessel Gauging Data'!$B$26:$B$56,0),$W$18)</f>
        <v>#N/A</v>
      </c>
      <c r="X175" s="642" t="e">
        <f>INDEX('Vessel Gauging Data'!$B$26:$V$56,MATCH($C175,'Vessel Gauging Data'!$B$26:$B$56,0),$X$18)</f>
        <v>#N/A</v>
      </c>
      <c r="Y175" s="642" t="e">
        <f>INDEX('Vessel Gauging Data'!$B$26:$V$56,MATCH($C175,'Vessel Gauging Data'!$B$26:$B$56,0),$Y$18)</f>
        <v>#N/A</v>
      </c>
      <c r="Z175" s="642" t="e">
        <f>INDEX('Vessel Gauging Data'!$B$26:$V$56,MATCH($C175,'Vessel Gauging Data'!$B$26:$B$56,0),$Z$18)</f>
        <v>#N/A</v>
      </c>
      <c r="AB175" s="642" t="e">
        <f>INDEX(API1DENST,MATCH($C175,'Vessel Gauging Data'!$B$27:$B$56,0),1)</f>
        <v>#N/A</v>
      </c>
      <c r="AC175" s="642" t="e">
        <f t="shared" si="138"/>
        <v>#N/A</v>
      </c>
      <c r="AE175" s="661" t="e">
        <f t="shared" si="139"/>
        <v>#VALUE!</v>
      </c>
      <c r="AF175" s="661" t="e">
        <f t="shared" si="140"/>
        <v>#VALUE!</v>
      </c>
      <c r="AH175" s="662" t="str">
        <f t="shared" si="173"/>
        <v/>
      </c>
      <c r="AI175" s="662" t="str">
        <f t="shared" si="174"/>
        <v/>
      </c>
      <c r="AJ175" s="663">
        <f t="shared" si="141"/>
        <v>192.4571</v>
      </c>
      <c r="AK175" s="660">
        <f t="shared" si="142"/>
        <v>0.24379999999999999</v>
      </c>
      <c r="AL175" s="660" t="e">
        <f t="shared" si="143"/>
        <v>#VALUE!</v>
      </c>
      <c r="AM175" s="664" t="e">
        <f t="shared" si="144"/>
        <v>#VALUE!</v>
      </c>
      <c r="AN175" s="664" t="e">
        <f t="shared" si="145"/>
        <v>#VALUE!</v>
      </c>
      <c r="AO175" s="665" t="e">
        <f t="shared" si="146"/>
        <v>#VALUE!</v>
      </c>
      <c r="AP175" s="666" t="e">
        <f t="shared" si="147"/>
        <v>#VALUE!</v>
      </c>
      <c r="AQ175" s="660" t="e">
        <f t="shared" si="148"/>
        <v>#VALUE!</v>
      </c>
      <c r="AR175" s="667" t="e">
        <f t="shared" si="149"/>
        <v>#VALUE!</v>
      </c>
      <c r="AS175" s="667" t="e">
        <f t="shared" si="150"/>
        <v>#VALUE!</v>
      </c>
      <c r="AT175" s="668" t="e">
        <f t="shared" si="151"/>
        <v>#VALUE!</v>
      </c>
      <c r="AU175" s="667" t="e">
        <f t="shared" si="152"/>
        <v>#VALUE!</v>
      </c>
      <c r="AV175" s="669" t="e">
        <f t="shared" si="153"/>
        <v>#VALUE!</v>
      </c>
      <c r="AW175" s="667" t="e">
        <f t="shared" si="154"/>
        <v>#VALUE!</v>
      </c>
      <c r="AX175" s="667" t="e">
        <f t="shared" si="155"/>
        <v>#VALUE!</v>
      </c>
      <c r="AY175" s="660" t="e">
        <f t="shared" si="156"/>
        <v>#VALUE!</v>
      </c>
      <c r="AZ175" s="670" t="e">
        <f t="shared" si="157"/>
        <v>#VALUE!</v>
      </c>
      <c r="BB175" s="662" t="e">
        <f>INDEX('Vessel Gauging Data'!$B$26:$V$56,MATCH($C175,'Vessel Gauging Data'!$B$26:$B$56,0),$BB$18)</f>
        <v>#N/A</v>
      </c>
      <c r="BC175" s="662" t="e">
        <f>INDEX('Vessel Gauging Data'!$B$26:$V$56,MATCH($C175,'Vessel Gauging Data'!$B$26:$B$56,0),$BC$18)</f>
        <v>#N/A</v>
      </c>
      <c r="BD175" s="662" t="e">
        <f>INDEX('Vessel Gauging Data'!$B$26:$V$56,MATCH($C175,'Vessel Gauging Data'!$B$26:$B$56,0),$BD$18)</f>
        <v>#N/A</v>
      </c>
      <c r="BE175" s="662" t="e">
        <f>INDEX('Vessel Gauging Data'!$B$26:$V$56,MATCH($C175,'Vessel Gauging Data'!$B$26:$B$56,0),$BE$18)</f>
        <v>#N/A</v>
      </c>
    </row>
    <row r="176" spans="1:57" hidden="1">
      <c r="A176" s="641" t="str">
        <f t="shared" si="172"/>
        <v>N</v>
      </c>
      <c r="C176" s="235" t="str">
        <f t="array" ref="C176">IF(SUMPRODUCT((ISERROR(MATCH('Vessel Gauging Data'!$C$27:$C$56,IF(GRADECHNO=2,RESIDUALS,IF(GRADECHNO=3,DISTILLATES,GRADESLIST)),0))=FALSE)*('Vessel Gauging Data'!$D$27:$D$56=NOMN)*1)&lt;ROWS($C$160:$C176),"",INDEX('Vessel Gauging Data'!$B$27:$B$56,SMALL(IF(((ISERROR(MATCH('Vessel Gauging Data'!$C$27:$C$56,IF(GRADECHNO=2,RESIDUALS,IF(GRADECHNO=3,DISTILLATES,GRADESLIST)),0))=FALSE)+('Vessel Gauging Data'!$D$27:$D$56=NOMN))=2,ROW('Vessel Gauging Data'!$B$27:$B$56)-ROW('Vessel Gauging Data'!$C$26)),ROW()-ROW(C$159))))</f>
        <v/>
      </c>
      <c r="D176" s="211" t="str">
        <f>IF(OR($C176="",$C176=0),"",INDEX('Vessel Gauging Data'!$B$26:$V$56,MATCH($C176,'Vessel Gauging Data'!$B$27:$B$56,0)+1,2))</f>
        <v/>
      </c>
      <c r="E176" s="1016" t="str">
        <f t="shared" si="158"/>
        <v/>
      </c>
      <c r="F176" s="1016" t="str">
        <f t="shared" si="159"/>
        <v/>
      </c>
      <c r="G176" s="1016" t="str">
        <f t="shared" si="160"/>
        <v/>
      </c>
      <c r="H176" s="1016" t="str">
        <f t="shared" si="160"/>
        <v/>
      </c>
      <c r="I176" s="211" t="str">
        <f t="shared" si="161"/>
        <v/>
      </c>
      <c r="J176" s="1016" t="str">
        <f t="shared" si="162"/>
        <v/>
      </c>
      <c r="K176" s="213" t="str">
        <f t="shared" si="163"/>
        <v/>
      </c>
      <c r="L176" s="212" t="str">
        <f t="shared" si="164"/>
        <v/>
      </c>
      <c r="M176" s="1125" t="str">
        <f>IF(OR($C176="",$C176=0),"",INDEX(API1DENST,MATCH($C176,'Vessel Gauging Data'!$B$27:$B$56,0),$AA$1))</f>
        <v/>
      </c>
      <c r="N176" s="212" t="str">
        <f t="shared" si="165"/>
        <v/>
      </c>
      <c r="O176" s="1016" t="str">
        <f t="shared" si="196"/>
        <v/>
      </c>
      <c r="P176" s="1125" t="str">
        <f t="shared" si="197"/>
        <v/>
      </c>
      <c r="Q176" s="1016" t="str">
        <f t="shared" si="198"/>
        <v/>
      </c>
      <c r="R176" s="214" t="str">
        <f t="shared" si="199"/>
        <v/>
      </c>
      <c r="S176" s="1125" t="str">
        <f t="shared" si="200"/>
        <v/>
      </c>
      <c r="T176" s="236" t="str">
        <f t="shared" si="201"/>
        <v/>
      </c>
      <c r="V176" s="642" t="e">
        <f>INDEX('Vessel Gauging Data'!$B$26:$V$56,MATCH($C176,'Vessel Gauging Data'!$B$26:$B$56,0),$V$18)</f>
        <v>#N/A</v>
      </c>
      <c r="W176" s="642" t="e">
        <f>INDEX('Vessel Gauging Data'!$B$26:$V$56,MATCH($C176,'Vessel Gauging Data'!$B$26:$B$56,0),$W$18)</f>
        <v>#N/A</v>
      </c>
      <c r="X176" s="642" t="e">
        <f>INDEX('Vessel Gauging Data'!$B$26:$V$56,MATCH($C176,'Vessel Gauging Data'!$B$26:$B$56,0),$X$18)</f>
        <v>#N/A</v>
      </c>
      <c r="Y176" s="642" t="e">
        <f>INDEX('Vessel Gauging Data'!$B$26:$V$56,MATCH($C176,'Vessel Gauging Data'!$B$26:$B$56,0),$Y$18)</f>
        <v>#N/A</v>
      </c>
      <c r="Z176" s="642" t="e">
        <f>INDEX('Vessel Gauging Data'!$B$26:$V$56,MATCH($C176,'Vessel Gauging Data'!$B$26:$B$56,0),$Z$18)</f>
        <v>#N/A</v>
      </c>
      <c r="AB176" s="642" t="e">
        <f>INDEX(API1DENST,MATCH($C176,'Vessel Gauging Data'!$B$27:$B$56,0),1)</f>
        <v>#N/A</v>
      </c>
      <c r="AC176" s="642" t="e">
        <f t="shared" si="138"/>
        <v>#N/A</v>
      </c>
      <c r="AE176" s="661" t="e">
        <f t="shared" si="139"/>
        <v>#VALUE!</v>
      </c>
      <c r="AF176" s="661" t="e">
        <f t="shared" si="140"/>
        <v>#VALUE!</v>
      </c>
      <c r="AH176" s="662" t="str">
        <f t="shared" si="173"/>
        <v/>
      </c>
      <c r="AI176" s="662" t="str">
        <f t="shared" si="174"/>
        <v/>
      </c>
      <c r="AJ176" s="663">
        <f t="shared" si="141"/>
        <v>192.4571</v>
      </c>
      <c r="AK176" s="660">
        <f t="shared" si="142"/>
        <v>0.24379999999999999</v>
      </c>
      <c r="AL176" s="660" t="e">
        <f t="shared" si="143"/>
        <v>#VALUE!</v>
      </c>
      <c r="AM176" s="664" t="e">
        <f t="shared" si="144"/>
        <v>#VALUE!</v>
      </c>
      <c r="AN176" s="664" t="e">
        <f t="shared" si="145"/>
        <v>#VALUE!</v>
      </c>
      <c r="AO176" s="665" t="e">
        <f t="shared" si="146"/>
        <v>#VALUE!</v>
      </c>
      <c r="AP176" s="666" t="e">
        <f t="shared" si="147"/>
        <v>#VALUE!</v>
      </c>
      <c r="AQ176" s="660" t="e">
        <f t="shared" si="148"/>
        <v>#VALUE!</v>
      </c>
      <c r="AR176" s="667" t="e">
        <f t="shared" si="149"/>
        <v>#VALUE!</v>
      </c>
      <c r="AS176" s="667" t="e">
        <f t="shared" si="150"/>
        <v>#VALUE!</v>
      </c>
      <c r="AT176" s="668" t="e">
        <f t="shared" si="151"/>
        <v>#VALUE!</v>
      </c>
      <c r="AU176" s="667" t="e">
        <f t="shared" si="152"/>
        <v>#VALUE!</v>
      </c>
      <c r="AV176" s="669" t="e">
        <f t="shared" si="153"/>
        <v>#VALUE!</v>
      </c>
      <c r="AW176" s="667" t="e">
        <f t="shared" si="154"/>
        <v>#VALUE!</v>
      </c>
      <c r="AX176" s="667" t="e">
        <f t="shared" si="155"/>
        <v>#VALUE!</v>
      </c>
      <c r="AY176" s="660" t="e">
        <f t="shared" si="156"/>
        <v>#VALUE!</v>
      </c>
      <c r="AZ176" s="670" t="e">
        <f t="shared" si="157"/>
        <v>#VALUE!</v>
      </c>
      <c r="BB176" s="662" t="e">
        <f>INDEX('Vessel Gauging Data'!$B$26:$V$56,MATCH($C176,'Vessel Gauging Data'!$B$26:$B$56,0),$BB$18)</f>
        <v>#N/A</v>
      </c>
      <c r="BC176" s="662" t="e">
        <f>INDEX('Vessel Gauging Data'!$B$26:$V$56,MATCH($C176,'Vessel Gauging Data'!$B$26:$B$56,0),$BC$18)</f>
        <v>#N/A</v>
      </c>
      <c r="BD176" s="662" t="e">
        <f>INDEX('Vessel Gauging Data'!$B$26:$V$56,MATCH($C176,'Vessel Gauging Data'!$B$26:$B$56,0),$BD$18)</f>
        <v>#N/A</v>
      </c>
      <c r="BE176" s="662" t="e">
        <f>INDEX('Vessel Gauging Data'!$B$26:$V$56,MATCH($C176,'Vessel Gauging Data'!$B$26:$B$56,0),$BE$18)</f>
        <v>#N/A</v>
      </c>
    </row>
    <row r="177" spans="1:57" hidden="1">
      <c r="A177" s="641" t="str">
        <f t="shared" si="172"/>
        <v>N</v>
      </c>
      <c r="C177" s="235" t="str">
        <f t="array" ref="C177">IF(SUMPRODUCT((ISERROR(MATCH('Vessel Gauging Data'!$C$27:$C$56,IF(GRADECHNO=2,RESIDUALS,IF(GRADECHNO=3,DISTILLATES,GRADESLIST)),0))=FALSE)*('Vessel Gauging Data'!$D$27:$D$56=NOMN)*1)&lt;ROWS($C$160:$C177),"",INDEX('Vessel Gauging Data'!$B$27:$B$56,SMALL(IF(((ISERROR(MATCH('Vessel Gauging Data'!$C$27:$C$56,IF(GRADECHNO=2,RESIDUALS,IF(GRADECHNO=3,DISTILLATES,GRADESLIST)),0))=FALSE)+('Vessel Gauging Data'!$D$27:$D$56=NOMN))=2,ROW('Vessel Gauging Data'!$B$27:$B$56)-ROW('Vessel Gauging Data'!$C$26)),ROW()-ROW(C$159))))</f>
        <v/>
      </c>
      <c r="D177" s="211" t="str">
        <f>IF(OR($C177="",$C177=0),"",INDEX('Vessel Gauging Data'!$B$26:$V$56,MATCH($C177,'Vessel Gauging Data'!$B$27:$B$56,0)+1,2))</f>
        <v/>
      </c>
      <c r="E177" s="1016" t="str">
        <f t="shared" si="158"/>
        <v/>
      </c>
      <c r="F177" s="1016" t="str">
        <f t="shared" si="159"/>
        <v/>
      </c>
      <c r="G177" s="1016" t="str">
        <f t="shared" si="160"/>
        <v/>
      </c>
      <c r="H177" s="1016" t="str">
        <f t="shared" si="160"/>
        <v/>
      </c>
      <c r="I177" s="211" t="str">
        <f t="shared" si="161"/>
        <v/>
      </c>
      <c r="J177" s="1016" t="str">
        <f t="shared" si="162"/>
        <v/>
      </c>
      <c r="K177" s="213" t="str">
        <f t="shared" si="163"/>
        <v/>
      </c>
      <c r="L177" s="212" t="str">
        <f t="shared" si="164"/>
        <v/>
      </c>
      <c r="M177" s="1125" t="str">
        <f>IF(OR($C177="",$C177=0),"",INDEX(API1DENST,MATCH($C177,'Vessel Gauging Data'!$B$27:$B$56,0),$AA$1))</f>
        <v/>
      </c>
      <c r="N177" s="212" t="str">
        <f t="shared" si="165"/>
        <v/>
      </c>
      <c r="O177" s="1016" t="str">
        <f t="shared" si="196"/>
        <v/>
      </c>
      <c r="P177" s="1125" t="str">
        <f t="shared" si="197"/>
        <v/>
      </c>
      <c r="Q177" s="1016" t="str">
        <f t="shared" si="198"/>
        <v/>
      </c>
      <c r="R177" s="214" t="str">
        <f t="shared" si="199"/>
        <v/>
      </c>
      <c r="S177" s="1125" t="str">
        <f t="shared" si="200"/>
        <v/>
      </c>
      <c r="T177" s="236" t="str">
        <f t="shared" si="201"/>
        <v/>
      </c>
      <c r="V177" s="642" t="e">
        <f>INDEX('Vessel Gauging Data'!$B$26:$V$56,MATCH($C177,'Vessel Gauging Data'!$B$26:$B$56,0),$V$18)</f>
        <v>#N/A</v>
      </c>
      <c r="W177" s="642" t="e">
        <f>INDEX('Vessel Gauging Data'!$B$26:$V$56,MATCH($C177,'Vessel Gauging Data'!$B$26:$B$56,0),$W$18)</f>
        <v>#N/A</v>
      </c>
      <c r="X177" s="642" t="e">
        <f>INDEX('Vessel Gauging Data'!$B$26:$V$56,MATCH($C177,'Vessel Gauging Data'!$B$26:$B$56,0),$X$18)</f>
        <v>#N/A</v>
      </c>
      <c r="Y177" s="642" t="e">
        <f>INDEX('Vessel Gauging Data'!$B$26:$V$56,MATCH($C177,'Vessel Gauging Data'!$B$26:$B$56,0),$Y$18)</f>
        <v>#N/A</v>
      </c>
      <c r="Z177" s="642" t="e">
        <f>INDEX('Vessel Gauging Data'!$B$26:$V$56,MATCH($C177,'Vessel Gauging Data'!$B$26:$B$56,0),$Z$18)</f>
        <v>#N/A</v>
      </c>
      <c r="AB177" s="642" t="e">
        <f>INDEX(API1DENST,MATCH($C177,'Vessel Gauging Data'!$B$27:$B$56,0),1)</f>
        <v>#N/A</v>
      </c>
      <c r="AC177" s="642" t="e">
        <f t="shared" si="138"/>
        <v>#N/A</v>
      </c>
      <c r="AE177" s="661" t="e">
        <f t="shared" si="139"/>
        <v>#VALUE!</v>
      </c>
      <c r="AF177" s="661" t="e">
        <f t="shared" si="140"/>
        <v>#VALUE!</v>
      </c>
      <c r="AH177" s="662" t="str">
        <f t="shared" si="173"/>
        <v/>
      </c>
      <c r="AI177" s="662" t="str">
        <f t="shared" si="174"/>
        <v/>
      </c>
      <c r="AJ177" s="663">
        <f t="shared" si="141"/>
        <v>192.4571</v>
      </c>
      <c r="AK177" s="660">
        <f t="shared" si="142"/>
        <v>0.24379999999999999</v>
      </c>
      <c r="AL177" s="660" t="e">
        <f t="shared" si="143"/>
        <v>#VALUE!</v>
      </c>
      <c r="AM177" s="664" t="e">
        <f t="shared" si="144"/>
        <v>#VALUE!</v>
      </c>
      <c r="AN177" s="664" t="e">
        <f t="shared" si="145"/>
        <v>#VALUE!</v>
      </c>
      <c r="AO177" s="665" t="e">
        <f t="shared" si="146"/>
        <v>#VALUE!</v>
      </c>
      <c r="AP177" s="666" t="e">
        <f t="shared" si="147"/>
        <v>#VALUE!</v>
      </c>
      <c r="AQ177" s="660" t="e">
        <f t="shared" si="148"/>
        <v>#VALUE!</v>
      </c>
      <c r="AR177" s="667" t="e">
        <f t="shared" si="149"/>
        <v>#VALUE!</v>
      </c>
      <c r="AS177" s="667" t="e">
        <f t="shared" si="150"/>
        <v>#VALUE!</v>
      </c>
      <c r="AT177" s="668" t="e">
        <f t="shared" si="151"/>
        <v>#VALUE!</v>
      </c>
      <c r="AU177" s="667" t="e">
        <f t="shared" si="152"/>
        <v>#VALUE!</v>
      </c>
      <c r="AV177" s="669" t="e">
        <f t="shared" si="153"/>
        <v>#VALUE!</v>
      </c>
      <c r="AW177" s="667" t="e">
        <f t="shared" si="154"/>
        <v>#VALUE!</v>
      </c>
      <c r="AX177" s="667" t="e">
        <f t="shared" si="155"/>
        <v>#VALUE!</v>
      </c>
      <c r="AY177" s="660" t="e">
        <f t="shared" si="156"/>
        <v>#VALUE!</v>
      </c>
      <c r="AZ177" s="670" t="e">
        <f t="shared" si="157"/>
        <v>#VALUE!</v>
      </c>
      <c r="BB177" s="662" t="e">
        <f>INDEX('Vessel Gauging Data'!$B$26:$V$56,MATCH($C177,'Vessel Gauging Data'!$B$26:$B$56,0),$BB$18)</f>
        <v>#N/A</v>
      </c>
      <c r="BC177" s="662" t="e">
        <f>INDEX('Vessel Gauging Data'!$B$26:$V$56,MATCH($C177,'Vessel Gauging Data'!$B$26:$B$56,0),$BC$18)</f>
        <v>#N/A</v>
      </c>
      <c r="BD177" s="662" t="e">
        <f>INDEX('Vessel Gauging Data'!$B$26:$V$56,MATCH($C177,'Vessel Gauging Data'!$B$26:$B$56,0),$BD$18)</f>
        <v>#N/A</v>
      </c>
      <c r="BE177" s="662" t="e">
        <f>INDEX('Vessel Gauging Data'!$B$26:$V$56,MATCH($C177,'Vessel Gauging Data'!$B$26:$B$56,0),$BE$18)</f>
        <v>#N/A</v>
      </c>
    </row>
    <row r="178" spans="1:57" hidden="1">
      <c r="A178" s="641" t="str">
        <f t="shared" si="172"/>
        <v>N</v>
      </c>
      <c r="C178" s="235" t="str">
        <f t="array" ref="C178">IF(SUMPRODUCT((ISERROR(MATCH('Vessel Gauging Data'!$C$27:$C$56,IF(GRADECHNO=2,RESIDUALS,IF(GRADECHNO=3,DISTILLATES,GRADESLIST)),0))=FALSE)*('Vessel Gauging Data'!$D$27:$D$56=NOMN)*1)&lt;ROWS($C$160:$C178),"",INDEX('Vessel Gauging Data'!$B$27:$B$56,SMALL(IF(((ISERROR(MATCH('Vessel Gauging Data'!$C$27:$C$56,IF(GRADECHNO=2,RESIDUALS,IF(GRADECHNO=3,DISTILLATES,GRADESLIST)),0))=FALSE)+('Vessel Gauging Data'!$D$27:$D$56=NOMN))=2,ROW('Vessel Gauging Data'!$B$27:$B$56)-ROW('Vessel Gauging Data'!$C$26)),ROW()-ROW(C$159))))</f>
        <v/>
      </c>
      <c r="D178" s="211" t="str">
        <f>IF(OR($C178="",$C178=0),"",INDEX('Vessel Gauging Data'!$B$26:$V$56,MATCH($C178,'Vessel Gauging Data'!$B$27:$B$56,0)+1,2))</f>
        <v/>
      </c>
      <c r="E178" s="1016" t="str">
        <f t="shared" si="158"/>
        <v/>
      </c>
      <c r="F178" s="1016" t="str">
        <f t="shared" si="159"/>
        <v/>
      </c>
      <c r="G178" s="1016" t="str">
        <f t="shared" si="160"/>
        <v/>
      </c>
      <c r="H178" s="1016" t="str">
        <f t="shared" si="160"/>
        <v/>
      </c>
      <c r="I178" s="211" t="str">
        <f t="shared" si="161"/>
        <v/>
      </c>
      <c r="J178" s="1016" t="str">
        <f t="shared" si="162"/>
        <v/>
      </c>
      <c r="K178" s="213" t="str">
        <f t="shared" si="163"/>
        <v/>
      </c>
      <c r="L178" s="212" t="str">
        <f t="shared" si="164"/>
        <v/>
      </c>
      <c r="M178" s="1125" t="str">
        <f>IF(OR($C178="",$C178=0),"",INDEX(API1DENST,MATCH($C178,'Vessel Gauging Data'!$B$27:$B$56,0),$AA$1))</f>
        <v/>
      </c>
      <c r="N178" s="212" t="str">
        <f t="shared" si="165"/>
        <v/>
      </c>
      <c r="O178" s="1016" t="str">
        <f t="shared" si="196"/>
        <v/>
      </c>
      <c r="P178" s="1125" t="str">
        <f t="shared" si="197"/>
        <v/>
      </c>
      <c r="Q178" s="1016" t="str">
        <f t="shared" si="198"/>
        <v/>
      </c>
      <c r="R178" s="214" t="str">
        <f t="shared" si="199"/>
        <v/>
      </c>
      <c r="S178" s="1125" t="str">
        <f t="shared" si="200"/>
        <v/>
      </c>
      <c r="T178" s="236" t="str">
        <f t="shared" si="201"/>
        <v/>
      </c>
      <c r="V178" s="642" t="e">
        <f>INDEX('Vessel Gauging Data'!$B$26:$V$56,MATCH($C178,'Vessel Gauging Data'!$B$26:$B$56,0),$V$18)</f>
        <v>#N/A</v>
      </c>
      <c r="W178" s="642" t="e">
        <f>INDEX('Vessel Gauging Data'!$B$26:$V$56,MATCH($C178,'Vessel Gauging Data'!$B$26:$B$56,0),$W$18)</f>
        <v>#N/A</v>
      </c>
      <c r="X178" s="642" t="e">
        <f>INDEX('Vessel Gauging Data'!$B$26:$V$56,MATCH($C178,'Vessel Gauging Data'!$B$26:$B$56,0),$X$18)</f>
        <v>#N/A</v>
      </c>
      <c r="Y178" s="642" t="e">
        <f>INDEX('Vessel Gauging Data'!$B$26:$V$56,MATCH($C178,'Vessel Gauging Data'!$B$26:$B$56,0),$Y$18)</f>
        <v>#N/A</v>
      </c>
      <c r="Z178" s="642" t="e">
        <f>INDEX('Vessel Gauging Data'!$B$26:$V$56,MATCH($C178,'Vessel Gauging Data'!$B$26:$B$56,0),$Z$18)</f>
        <v>#N/A</v>
      </c>
      <c r="AB178" s="642" t="e">
        <f>INDEX(API1DENST,MATCH($C178,'Vessel Gauging Data'!$B$27:$B$56,0),1)</f>
        <v>#N/A</v>
      </c>
      <c r="AC178" s="642" t="e">
        <f t="shared" si="138"/>
        <v>#N/A</v>
      </c>
      <c r="AE178" s="661" t="e">
        <f t="shared" si="139"/>
        <v>#VALUE!</v>
      </c>
      <c r="AF178" s="661" t="e">
        <f t="shared" si="140"/>
        <v>#VALUE!</v>
      </c>
      <c r="AH178" s="662" t="str">
        <f t="shared" si="173"/>
        <v/>
      </c>
      <c r="AI178" s="662" t="str">
        <f t="shared" si="174"/>
        <v/>
      </c>
      <c r="AJ178" s="663">
        <f t="shared" si="141"/>
        <v>192.4571</v>
      </c>
      <c r="AK178" s="660">
        <f t="shared" si="142"/>
        <v>0.24379999999999999</v>
      </c>
      <c r="AL178" s="660" t="e">
        <f t="shared" si="143"/>
        <v>#VALUE!</v>
      </c>
      <c r="AM178" s="664" t="e">
        <f t="shared" si="144"/>
        <v>#VALUE!</v>
      </c>
      <c r="AN178" s="664" t="e">
        <f t="shared" si="145"/>
        <v>#VALUE!</v>
      </c>
      <c r="AO178" s="665" t="e">
        <f t="shared" si="146"/>
        <v>#VALUE!</v>
      </c>
      <c r="AP178" s="666" t="e">
        <f t="shared" si="147"/>
        <v>#VALUE!</v>
      </c>
      <c r="AQ178" s="660" t="e">
        <f t="shared" si="148"/>
        <v>#VALUE!</v>
      </c>
      <c r="AR178" s="667" t="e">
        <f t="shared" si="149"/>
        <v>#VALUE!</v>
      </c>
      <c r="AS178" s="667" t="e">
        <f t="shared" si="150"/>
        <v>#VALUE!</v>
      </c>
      <c r="AT178" s="668" t="e">
        <f t="shared" si="151"/>
        <v>#VALUE!</v>
      </c>
      <c r="AU178" s="667" t="e">
        <f t="shared" si="152"/>
        <v>#VALUE!</v>
      </c>
      <c r="AV178" s="669" t="e">
        <f t="shared" si="153"/>
        <v>#VALUE!</v>
      </c>
      <c r="AW178" s="667" t="e">
        <f t="shared" si="154"/>
        <v>#VALUE!</v>
      </c>
      <c r="AX178" s="667" t="e">
        <f t="shared" si="155"/>
        <v>#VALUE!</v>
      </c>
      <c r="AY178" s="660" t="e">
        <f t="shared" si="156"/>
        <v>#VALUE!</v>
      </c>
      <c r="AZ178" s="670" t="e">
        <f t="shared" si="157"/>
        <v>#VALUE!</v>
      </c>
      <c r="BB178" s="662" t="e">
        <f>INDEX('Vessel Gauging Data'!$B$26:$V$56,MATCH($C178,'Vessel Gauging Data'!$B$26:$B$56,0),$BB$18)</f>
        <v>#N/A</v>
      </c>
      <c r="BC178" s="662" t="e">
        <f>INDEX('Vessel Gauging Data'!$B$26:$V$56,MATCH($C178,'Vessel Gauging Data'!$B$26:$B$56,0),$BC$18)</f>
        <v>#N/A</v>
      </c>
      <c r="BD178" s="662" t="e">
        <f>INDEX('Vessel Gauging Data'!$B$26:$V$56,MATCH($C178,'Vessel Gauging Data'!$B$26:$B$56,0),$BD$18)</f>
        <v>#N/A</v>
      </c>
      <c r="BE178" s="662" t="e">
        <f>INDEX('Vessel Gauging Data'!$B$26:$V$56,MATCH($C178,'Vessel Gauging Data'!$B$26:$B$56,0),$BE$18)</f>
        <v>#N/A</v>
      </c>
    </row>
    <row r="179" spans="1:57" hidden="1">
      <c r="A179" s="641" t="str">
        <f t="shared" si="172"/>
        <v>N</v>
      </c>
      <c r="C179" s="235" t="str">
        <f t="array" ref="C179">IF(SUMPRODUCT((ISERROR(MATCH('Vessel Gauging Data'!$C$27:$C$56,IF(GRADECHNO=2,RESIDUALS,IF(GRADECHNO=3,DISTILLATES,GRADESLIST)),0))=FALSE)*('Vessel Gauging Data'!$D$27:$D$56=NOMN)*1)&lt;ROWS($C$160:$C179),"",INDEX('Vessel Gauging Data'!$B$27:$B$56,SMALL(IF(((ISERROR(MATCH('Vessel Gauging Data'!$C$27:$C$56,IF(GRADECHNO=2,RESIDUALS,IF(GRADECHNO=3,DISTILLATES,GRADESLIST)),0))=FALSE)+('Vessel Gauging Data'!$D$27:$D$56=NOMN))=2,ROW('Vessel Gauging Data'!$B$27:$B$56)-ROW('Vessel Gauging Data'!$C$26)),ROW()-ROW(C$159))))</f>
        <v/>
      </c>
      <c r="D179" s="211" t="str">
        <f>IF(OR($C179="",$C179=0),"",INDEX('Vessel Gauging Data'!$B$26:$V$56,MATCH($C179,'Vessel Gauging Data'!$B$27:$B$56,0)+1,2))</f>
        <v/>
      </c>
      <c r="E179" s="1016" t="str">
        <f t="shared" si="158"/>
        <v/>
      </c>
      <c r="F179" s="1016" t="str">
        <f t="shared" si="159"/>
        <v/>
      </c>
      <c r="G179" s="1016" t="str">
        <f t="shared" si="160"/>
        <v/>
      </c>
      <c r="H179" s="1016" t="str">
        <f t="shared" si="160"/>
        <v/>
      </c>
      <c r="I179" s="211" t="str">
        <f t="shared" si="161"/>
        <v/>
      </c>
      <c r="J179" s="1016" t="str">
        <f t="shared" si="162"/>
        <v/>
      </c>
      <c r="K179" s="213" t="str">
        <f t="shared" si="163"/>
        <v/>
      </c>
      <c r="L179" s="212" t="str">
        <f t="shared" si="164"/>
        <v/>
      </c>
      <c r="M179" s="1125" t="str">
        <f>IF(OR($C179="",$C179=0),"",INDEX(API1DENST,MATCH($C179,'Vessel Gauging Data'!$B$27:$B$56,0),$AA$1))</f>
        <v/>
      </c>
      <c r="N179" s="212" t="str">
        <f t="shared" si="165"/>
        <v/>
      </c>
      <c r="O179" s="1016" t="str">
        <f t="shared" si="196"/>
        <v/>
      </c>
      <c r="P179" s="1125" t="str">
        <f t="shared" si="197"/>
        <v/>
      </c>
      <c r="Q179" s="1016" t="str">
        <f t="shared" si="198"/>
        <v/>
      </c>
      <c r="R179" s="214" t="str">
        <f t="shared" si="199"/>
        <v/>
      </c>
      <c r="S179" s="1125" t="str">
        <f t="shared" si="200"/>
        <v/>
      </c>
      <c r="T179" s="236" t="str">
        <f t="shared" si="201"/>
        <v/>
      </c>
      <c r="V179" s="642" t="e">
        <f>INDEX('Vessel Gauging Data'!$B$26:$V$56,MATCH($C179,'Vessel Gauging Data'!$B$26:$B$56,0),$V$18)</f>
        <v>#N/A</v>
      </c>
      <c r="W179" s="642" t="e">
        <f>INDEX('Vessel Gauging Data'!$B$26:$V$56,MATCH($C179,'Vessel Gauging Data'!$B$26:$B$56,0),$W$18)</f>
        <v>#N/A</v>
      </c>
      <c r="X179" s="642" t="e">
        <f>INDEX('Vessel Gauging Data'!$B$26:$V$56,MATCH($C179,'Vessel Gauging Data'!$B$26:$B$56,0),$X$18)</f>
        <v>#N/A</v>
      </c>
      <c r="Y179" s="642" t="e">
        <f>INDEX('Vessel Gauging Data'!$B$26:$V$56,MATCH($C179,'Vessel Gauging Data'!$B$26:$B$56,0),$Y$18)</f>
        <v>#N/A</v>
      </c>
      <c r="Z179" s="642" t="e">
        <f>INDEX('Vessel Gauging Data'!$B$26:$V$56,MATCH($C179,'Vessel Gauging Data'!$B$26:$B$56,0),$Z$18)</f>
        <v>#N/A</v>
      </c>
      <c r="AB179" s="642" t="e">
        <f>INDEX(API1DENST,MATCH($C179,'Vessel Gauging Data'!$B$27:$B$56,0),1)</f>
        <v>#N/A</v>
      </c>
      <c r="AC179" s="642" t="e">
        <f t="shared" si="138"/>
        <v>#N/A</v>
      </c>
      <c r="AE179" s="661" t="e">
        <f t="shared" si="139"/>
        <v>#VALUE!</v>
      </c>
      <c r="AF179" s="661" t="e">
        <f t="shared" si="140"/>
        <v>#VALUE!</v>
      </c>
      <c r="AH179" s="662" t="str">
        <f t="shared" si="173"/>
        <v/>
      </c>
      <c r="AI179" s="662" t="str">
        <f t="shared" si="174"/>
        <v/>
      </c>
      <c r="AJ179" s="663">
        <f t="shared" si="141"/>
        <v>192.4571</v>
      </c>
      <c r="AK179" s="660">
        <f t="shared" si="142"/>
        <v>0.24379999999999999</v>
      </c>
      <c r="AL179" s="660" t="e">
        <f t="shared" si="143"/>
        <v>#VALUE!</v>
      </c>
      <c r="AM179" s="664" t="e">
        <f t="shared" si="144"/>
        <v>#VALUE!</v>
      </c>
      <c r="AN179" s="664" t="e">
        <f t="shared" si="145"/>
        <v>#VALUE!</v>
      </c>
      <c r="AO179" s="665" t="e">
        <f t="shared" si="146"/>
        <v>#VALUE!</v>
      </c>
      <c r="AP179" s="666" t="e">
        <f t="shared" si="147"/>
        <v>#VALUE!</v>
      </c>
      <c r="AQ179" s="660" t="e">
        <f t="shared" si="148"/>
        <v>#VALUE!</v>
      </c>
      <c r="AR179" s="667" t="e">
        <f t="shared" si="149"/>
        <v>#VALUE!</v>
      </c>
      <c r="AS179" s="667" t="e">
        <f t="shared" si="150"/>
        <v>#VALUE!</v>
      </c>
      <c r="AT179" s="668" t="e">
        <f t="shared" si="151"/>
        <v>#VALUE!</v>
      </c>
      <c r="AU179" s="667" t="e">
        <f t="shared" si="152"/>
        <v>#VALUE!</v>
      </c>
      <c r="AV179" s="669" t="e">
        <f t="shared" si="153"/>
        <v>#VALUE!</v>
      </c>
      <c r="AW179" s="667" t="e">
        <f t="shared" si="154"/>
        <v>#VALUE!</v>
      </c>
      <c r="AX179" s="667" t="e">
        <f t="shared" si="155"/>
        <v>#VALUE!</v>
      </c>
      <c r="AY179" s="660" t="e">
        <f t="shared" si="156"/>
        <v>#VALUE!</v>
      </c>
      <c r="AZ179" s="670" t="e">
        <f t="shared" si="157"/>
        <v>#VALUE!</v>
      </c>
      <c r="BB179" s="662" t="e">
        <f>INDEX('Vessel Gauging Data'!$B$26:$V$56,MATCH($C179,'Vessel Gauging Data'!$B$26:$B$56,0),$BB$18)</f>
        <v>#N/A</v>
      </c>
      <c r="BC179" s="662" t="e">
        <f>INDEX('Vessel Gauging Data'!$B$26:$V$56,MATCH($C179,'Vessel Gauging Data'!$B$26:$B$56,0),$BC$18)</f>
        <v>#N/A</v>
      </c>
      <c r="BD179" s="662" t="e">
        <f>INDEX('Vessel Gauging Data'!$B$26:$V$56,MATCH($C179,'Vessel Gauging Data'!$B$26:$B$56,0),$BD$18)</f>
        <v>#N/A</v>
      </c>
      <c r="BE179" s="662" t="e">
        <f>INDEX('Vessel Gauging Data'!$B$26:$V$56,MATCH($C179,'Vessel Gauging Data'!$B$26:$B$56,0),$BE$18)</f>
        <v>#N/A</v>
      </c>
    </row>
    <row r="180" spans="1:57" hidden="1">
      <c r="A180" s="641" t="str">
        <f t="shared" si="172"/>
        <v>N</v>
      </c>
      <c r="C180" s="235" t="str">
        <f t="array" ref="C180">IF(SUMPRODUCT((ISERROR(MATCH('Vessel Gauging Data'!$C$27:$C$56,IF(GRADECHNO=2,RESIDUALS,IF(GRADECHNO=3,DISTILLATES,GRADESLIST)),0))=FALSE)*('Vessel Gauging Data'!$D$27:$D$56=NOMN)*1)&lt;ROWS($C$160:$C180),"",INDEX('Vessel Gauging Data'!$B$27:$B$56,SMALL(IF(((ISERROR(MATCH('Vessel Gauging Data'!$C$27:$C$56,IF(GRADECHNO=2,RESIDUALS,IF(GRADECHNO=3,DISTILLATES,GRADESLIST)),0))=FALSE)+('Vessel Gauging Data'!$D$27:$D$56=NOMN))=2,ROW('Vessel Gauging Data'!$B$27:$B$56)-ROW('Vessel Gauging Data'!$C$26)),ROW()-ROW(C$159))))</f>
        <v/>
      </c>
      <c r="D180" s="211" t="str">
        <f>IF(OR($C180="",$C180=0),"",INDEX('Vessel Gauging Data'!$B$26:$V$56,MATCH($C180,'Vessel Gauging Data'!$B$27:$B$56,0)+1,2))</f>
        <v/>
      </c>
      <c r="E180" s="1016" t="str">
        <f t="shared" si="158"/>
        <v/>
      </c>
      <c r="F180" s="1016" t="str">
        <f t="shared" si="159"/>
        <v/>
      </c>
      <c r="G180" s="1016" t="str">
        <f t="shared" si="160"/>
        <v/>
      </c>
      <c r="H180" s="1016" t="str">
        <f t="shared" si="160"/>
        <v/>
      </c>
      <c r="I180" s="211" t="str">
        <f t="shared" si="161"/>
        <v/>
      </c>
      <c r="J180" s="1016" t="str">
        <f t="shared" si="162"/>
        <v/>
      </c>
      <c r="K180" s="213" t="str">
        <f t="shared" si="163"/>
        <v/>
      </c>
      <c r="L180" s="212" t="str">
        <f t="shared" si="164"/>
        <v/>
      </c>
      <c r="M180" s="1125" t="str">
        <f>IF(OR($C180="",$C180=0),"",INDEX(API1DENST,MATCH($C180,'Vessel Gauging Data'!$B$27:$B$56,0),$AA$1))</f>
        <v/>
      </c>
      <c r="N180" s="212" t="str">
        <f t="shared" si="165"/>
        <v/>
      </c>
      <c r="O180" s="1016" t="str">
        <f t="shared" si="196"/>
        <v/>
      </c>
      <c r="P180" s="1125" t="str">
        <f t="shared" si="197"/>
        <v/>
      </c>
      <c r="Q180" s="1016" t="str">
        <f t="shared" si="198"/>
        <v/>
      </c>
      <c r="R180" s="214" t="str">
        <f t="shared" si="199"/>
        <v/>
      </c>
      <c r="S180" s="1125" t="str">
        <f t="shared" si="200"/>
        <v/>
      </c>
      <c r="T180" s="236" t="str">
        <f t="shared" si="201"/>
        <v/>
      </c>
      <c r="V180" s="642" t="e">
        <f>INDEX('Vessel Gauging Data'!$B$26:$V$56,MATCH($C180,'Vessel Gauging Data'!$B$26:$B$56,0),$V$18)</f>
        <v>#N/A</v>
      </c>
      <c r="W180" s="642" t="e">
        <f>INDEX('Vessel Gauging Data'!$B$26:$V$56,MATCH($C180,'Vessel Gauging Data'!$B$26:$B$56,0),$W$18)</f>
        <v>#N/A</v>
      </c>
      <c r="X180" s="642" t="e">
        <f>INDEX('Vessel Gauging Data'!$B$26:$V$56,MATCH($C180,'Vessel Gauging Data'!$B$26:$B$56,0),$X$18)</f>
        <v>#N/A</v>
      </c>
      <c r="Y180" s="642" t="e">
        <f>INDEX('Vessel Gauging Data'!$B$26:$V$56,MATCH($C180,'Vessel Gauging Data'!$B$26:$B$56,0),$Y$18)</f>
        <v>#N/A</v>
      </c>
      <c r="Z180" s="642" t="e">
        <f>INDEX('Vessel Gauging Data'!$B$26:$V$56,MATCH($C180,'Vessel Gauging Data'!$B$26:$B$56,0),$Z$18)</f>
        <v>#N/A</v>
      </c>
      <c r="AB180" s="642" t="e">
        <f>INDEX(API1DENST,MATCH($C180,'Vessel Gauging Data'!$B$27:$B$56,0),1)</f>
        <v>#N/A</v>
      </c>
      <c r="AC180" s="642" t="e">
        <f t="shared" si="138"/>
        <v>#N/A</v>
      </c>
      <c r="AE180" s="661" t="e">
        <f t="shared" si="139"/>
        <v>#VALUE!</v>
      </c>
      <c r="AF180" s="661" t="e">
        <f t="shared" si="140"/>
        <v>#VALUE!</v>
      </c>
      <c r="AH180" s="662" t="str">
        <f t="shared" si="173"/>
        <v/>
      </c>
      <c r="AI180" s="662" t="str">
        <f t="shared" si="174"/>
        <v/>
      </c>
      <c r="AJ180" s="663">
        <f t="shared" si="141"/>
        <v>192.4571</v>
      </c>
      <c r="AK180" s="660">
        <f t="shared" si="142"/>
        <v>0.24379999999999999</v>
      </c>
      <c r="AL180" s="660" t="e">
        <f t="shared" si="143"/>
        <v>#VALUE!</v>
      </c>
      <c r="AM180" s="664" t="e">
        <f t="shared" si="144"/>
        <v>#VALUE!</v>
      </c>
      <c r="AN180" s="664" t="e">
        <f t="shared" si="145"/>
        <v>#VALUE!</v>
      </c>
      <c r="AO180" s="665" t="e">
        <f t="shared" si="146"/>
        <v>#VALUE!</v>
      </c>
      <c r="AP180" s="666" t="e">
        <f t="shared" si="147"/>
        <v>#VALUE!</v>
      </c>
      <c r="AQ180" s="660" t="e">
        <f t="shared" si="148"/>
        <v>#VALUE!</v>
      </c>
      <c r="AR180" s="667" t="e">
        <f t="shared" si="149"/>
        <v>#VALUE!</v>
      </c>
      <c r="AS180" s="667" t="e">
        <f t="shared" si="150"/>
        <v>#VALUE!</v>
      </c>
      <c r="AT180" s="668" t="e">
        <f t="shared" si="151"/>
        <v>#VALUE!</v>
      </c>
      <c r="AU180" s="667" t="e">
        <f t="shared" si="152"/>
        <v>#VALUE!</v>
      </c>
      <c r="AV180" s="669" t="e">
        <f t="shared" si="153"/>
        <v>#VALUE!</v>
      </c>
      <c r="AW180" s="667" t="e">
        <f t="shared" si="154"/>
        <v>#VALUE!</v>
      </c>
      <c r="AX180" s="667" t="e">
        <f t="shared" si="155"/>
        <v>#VALUE!</v>
      </c>
      <c r="AY180" s="660" t="e">
        <f t="shared" si="156"/>
        <v>#VALUE!</v>
      </c>
      <c r="AZ180" s="670" t="e">
        <f t="shared" si="157"/>
        <v>#VALUE!</v>
      </c>
      <c r="BB180" s="662" t="e">
        <f>INDEX('Vessel Gauging Data'!$B$26:$V$56,MATCH($C180,'Vessel Gauging Data'!$B$26:$B$56,0),$BB$18)</f>
        <v>#N/A</v>
      </c>
      <c r="BC180" s="662" t="e">
        <f>INDEX('Vessel Gauging Data'!$B$26:$V$56,MATCH($C180,'Vessel Gauging Data'!$B$26:$B$56,0),$BC$18)</f>
        <v>#N/A</v>
      </c>
      <c r="BD180" s="662" t="e">
        <f>INDEX('Vessel Gauging Data'!$B$26:$V$56,MATCH($C180,'Vessel Gauging Data'!$B$26:$B$56,0),$BD$18)</f>
        <v>#N/A</v>
      </c>
      <c r="BE180" s="662" t="e">
        <f>INDEX('Vessel Gauging Data'!$B$26:$V$56,MATCH($C180,'Vessel Gauging Data'!$B$26:$B$56,0),$BE$18)</f>
        <v>#N/A</v>
      </c>
    </row>
    <row r="181" spans="1:57" hidden="1">
      <c r="A181" s="641" t="str">
        <f t="shared" si="172"/>
        <v>N</v>
      </c>
      <c r="C181" s="235" t="str">
        <f t="array" ref="C181">IF(SUMPRODUCT((ISERROR(MATCH('Vessel Gauging Data'!$C$27:$C$56,IF(GRADECHNO=2,RESIDUALS,IF(GRADECHNO=3,DISTILLATES,GRADESLIST)),0))=FALSE)*('Vessel Gauging Data'!$D$27:$D$56=NOMN)*1)&lt;ROWS($C$160:$C181),"",INDEX('Vessel Gauging Data'!$B$27:$B$56,SMALL(IF(((ISERROR(MATCH('Vessel Gauging Data'!$C$27:$C$56,IF(GRADECHNO=2,RESIDUALS,IF(GRADECHNO=3,DISTILLATES,GRADESLIST)),0))=FALSE)+('Vessel Gauging Data'!$D$27:$D$56=NOMN))=2,ROW('Vessel Gauging Data'!$B$27:$B$56)-ROW('Vessel Gauging Data'!$C$26)),ROW()-ROW(C$159))))</f>
        <v/>
      </c>
      <c r="D181" s="211" t="str">
        <f>IF(OR($C181="",$C181=0),"",INDEX('Vessel Gauging Data'!$B$26:$V$56,MATCH($C181,'Vessel Gauging Data'!$B$27:$B$56,0)+1,2))</f>
        <v/>
      </c>
      <c r="E181" s="1016" t="str">
        <f t="shared" si="158"/>
        <v/>
      </c>
      <c r="F181" s="1016" t="str">
        <f t="shared" si="159"/>
        <v/>
      </c>
      <c r="G181" s="1016" t="str">
        <f t="shared" si="160"/>
        <v/>
      </c>
      <c r="H181" s="1016" t="str">
        <f t="shared" si="160"/>
        <v/>
      </c>
      <c r="I181" s="211" t="str">
        <f t="shared" si="161"/>
        <v/>
      </c>
      <c r="J181" s="1016" t="str">
        <f t="shared" si="162"/>
        <v/>
      </c>
      <c r="K181" s="213" t="str">
        <f t="shared" si="163"/>
        <v/>
      </c>
      <c r="L181" s="212" t="str">
        <f t="shared" si="164"/>
        <v/>
      </c>
      <c r="M181" s="1125" t="str">
        <f>IF(OR($C181="",$C181=0),"",INDEX(API1DENST,MATCH($C181,'Vessel Gauging Data'!$B$27:$B$56,0),$AA$1))</f>
        <v/>
      </c>
      <c r="N181" s="212" t="str">
        <f t="shared" si="165"/>
        <v/>
      </c>
      <c r="O181" s="1016" t="str">
        <f t="shared" si="196"/>
        <v/>
      </c>
      <c r="P181" s="1125" t="str">
        <f t="shared" si="197"/>
        <v/>
      </c>
      <c r="Q181" s="1016" t="str">
        <f t="shared" si="198"/>
        <v/>
      </c>
      <c r="R181" s="214" t="str">
        <f t="shared" si="199"/>
        <v/>
      </c>
      <c r="S181" s="1125" t="str">
        <f t="shared" si="200"/>
        <v/>
      </c>
      <c r="T181" s="236" t="str">
        <f t="shared" si="201"/>
        <v/>
      </c>
      <c r="V181" s="642" t="e">
        <f>INDEX('Vessel Gauging Data'!$B$26:$V$56,MATCH($C181,'Vessel Gauging Data'!$B$26:$B$56,0),$V$18)</f>
        <v>#N/A</v>
      </c>
      <c r="W181" s="642" t="e">
        <f>INDEX('Vessel Gauging Data'!$B$26:$V$56,MATCH($C181,'Vessel Gauging Data'!$B$26:$B$56,0),$W$18)</f>
        <v>#N/A</v>
      </c>
      <c r="X181" s="642" t="e">
        <f>INDEX('Vessel Gauging Data'!$B$26:$V$56,MATCH($C181,'Vessel Gauging Data'!$B$26:$B$56,0),$X$18)</f>
        <v>#N/A</v>
      </c>
      <c r="Y181" s="642" t="e">
        <f>INDEX('Vessel Gauging Data'!$B$26:$V$56,MATCH($C181,'Vessel Gauging Data'!$B$26:$B$56,0),$Y$18)</f>
        <v>#N/A</v>
      </c>
      <c r="Z181" s="642" t="e">
        <f>INDEX('Vessel Gauging Data'!$B$26:$V$56,MATCH($C181,'Vessel Gauging Data'!$B$26:$B$56,0),$Z$18)</f>
        <v>#N/A</v>
      </c>
      <c r="AB181" s="642" t="e">
        <f>INDEX(API1DENST,MATCH($C181,'Vessel Gauging Data'!$B$27:$B$56,0),1)</f>
        <v>#N/A</v>
      </c>
      <c r="AC181" s="642" t="e">
        <f t="shared" si="138"/>
        <v>#N/A</v>
      </c>
      <c r="AE181" s="661" t="e">
        <f t="shared" si="139"/>
        <v>#VALUE!</v>
      </c>
      <c r="AF181" s="661" t="e">
        <f t="shared" si="140"/>
        <v>#VALUE!</v>
      </c>
      <c r="AH181" s="662" t="str">
        <f t="shared" si="173"/>
        <v/>
      </c>
      <c r="AI181" s="662" t="str">
        <f t="shared" si="174"/>
        <v/>
      </c>
      <c r="AJ181" s="663">
        <f t="shared" si="141"/>
        <v>192.4571</v>
      </c>
      <c r="AK181" s="660">
        <f t="shared" si="142"/>
        <v>0.24379999999999999</v>
      </c>
      <c r="AL181" s="660" t="e">
        <f t="shared" si="143"/>
        <v>#VALUE!</v>
      </c>
      <c r="AM181" s="664" t="e">
        <f t="shared" si="144"/>
        <v>#VALUE!</v>
      </c>
      <c r="AN181" s="664" t="e">
        <f t="shared" si="145"/>
        <v>#VALUE!</v>
      </c>
      <c r="AO181" s="665" t="e">
        <f t="shared" si="146"/>
        <v>#VALUE!</v>
      </c>
      <c r="AP181" s="666" t="e">
        <f t="shared" si="147"/>
        <v>#VALUE!</v>
      </c>
      <c r="AQ181" s="660" t="e">
        <f t="shared" si="148"/>
        <v>#VALUE!</v>
      </c>
      <c r="AR181" s="667" t="e">
        <f t="shared" si="149"/>
        <v>#VALUE!</v>
      </c>
      <c r="AS181" s="667" t="e">
        <f t="shared" si="150"/>
        <v>#VALUE!</v>
      </c>
      <c r="AT181" s="668" t="e">
        <f t="shared" si="151"/>
        <v>#VALUE!</v>
      </c>
      <c r="AU181" s="667" t="e">
        <f t="shared" si="152"/>
        <v>#VALUE!</v>
      </c>
      <c r="AV181" s="669" t="e">
        <f t="shared" si="153"/>
        <v>#VALUE!</v>
      </c>
      <c r="AW181" s="667" t="e">
        <f t="shared" si="154"/>
        <v>#VALUE!</v>
      </c>
      <c r="AX181" s="667" t="e">
        <f t="shared" si="155"/>
        <v>#VALUE!</v>
      </c>
      <c r="AY181" s="660" t="e">
        <f t="shared" si="156"/>
        <v>#VALUE!</v>
      </c>
      <c r="AZ181" s="670" t="e">
        <f t="shared" si="157"/>
        <v>#VALUE!</v>
      </c>
      <c r="BB181" s="662" t="e">
        <f>INDEX('Vessel Gauging Data'!$B$26:$V$56,MATCH($C181,'Vessel Gauging Data'!$B$26:$B$56,0),$BB$18)</f>
        <v>#N/A</v>
      </c>
      <c r="BC181" s="662" t="e">
        <f>INDEX('Vessel Gauging Data'!$B$26:$V$56,MATCH($C181,'Vessel Gauging Data'!$B$26:$B$56,0),$BC$18)</f>
        <v>#N/A</v>
      </c>
      <c r="BD181" s="662" t="e">
        <f>INDEX('Vessel Gauging Data'!$B$26:$V$56,MATCH($C181,'Vessel Gauging Data'!$B$26:$B$56,0),$BD$18)</f>
        <v>#N/A</v>
      </c>
      <c r="BE181" s="662" t="e">
        <f>INDEX('Vessel Gauging Data'!$B$26:$V$56,MATCH($C181,'Vessel Gauging Data'!$B$26:$B$56,0),$BE$18)</f>
        <v>#N/A</v>
      </c>
    </row>
    <row r="182" spans="1:57" hidden="1">
      <c r="A182" s="641" t="str">
        <f t="shared" si="172"/>
        <v>N</v>
      </c>
      <c r="C182" s="235" t="str">
        <f t="array" ref="C182">IF(SUMPRODUCT((ISERROR(MATCH('Vessel Gauging Data'!$C$27:$C$56,IF(GRADECHNO=2,RESIDUALS,IF(GRADECHNO=3,DISTILLATES,GRADESLIST)),0))=FALSE)*('Vessel Gauging Data'!$D$27:$D$56=NOMN)*1)&lt;ROWS($C$160:$C182),"",INDEX('Vessel Gauging Data'!$B$27:$B$56,SMALL(IF(((ISERROR(MATCH('Vessel Gauging Data'!$C$27:$C$56,IF(GRADECHNO=2,RESIDUALS,IF(GRADECHNO=3,DISTILLATES,GRADESLIST)),0))=FALSE)+('Vessel Gauging Data'!$D$27:$D$56=NOMN))=2,ROW('Vessel Gauging Data'!$B$27:$B$56)-ROW('Vessel Gauging Data'!$C$26)),ROW()-ROW(C$159))))</f>
        <v/>
      </c>
      <c r="D182" s="211" t="str">
        <f>IF(OR($C182="",$C182=0),"",INDEX('Vessel Gauging Data'!$B$26:$V$56,MATCH($C182,'Vessel Gauging Data'!$B$27:$B$56,0)+1,2))</f>
        <v/>
      </c>
      <c r="E182" s="1016" t="str">
        <f t="shared" si="158"/>
        <v/>
      </c>
      <c r="F182" s="1016" t="str">
        <f t="shared" si="159"/>
        <v/>
      </c>
      <c r="G182" s="1016" t="str">
        <f t="shared" si="160"/>
        <v/>
      </c>
      <c r="H182" s="1016" t="str">
        <f t="shared" si="160"/>
        <v/>
      </c>
      <c r="I182" s="211" t="str">
        <f t="shared" si="161"/>
        <v/>
      </c>
      <c r="J182" s="1016" t="str">
        <f t="shared" si="162"/>
        <v/>
      </c>
      <c r="K182" s="213" t="str">
        <f t="shared" si="163"/>
        <v/>
      </c>
      <c r="L182" s="212" t="str">
        <f t="shared" si="164"/>
        <v/>
      </c>
      <c r="M182" s="1125" t="str">
        <f>IF(OR($C182="",$C182=0),"",INDEX(API1DENST,MATCH($C182,'Vessel Gauging Data'!$B$27:$B$56,0),$AA$1))</f>
        <v/>
      </c>
      <c r="N182" s="212" t="str">
        <f t="shared" si="165"/>
        <v/>
      </c>
      <c r="O182" s="1016" t="str">
        <f t="shared" si="196"/>
        <v/>
      </c>
      <c r="P182" s="1125" t="str">
        <f t="shared" si="197"/>
        <v/>
      </c>
      <c r="Q182" s="1016" t="str">
        <f t="shared" si="198"/>
        <v/>
      </c>
      <c r="R182" s="214" t="str">
        <f t="shared" si="199"/>
        <v/>
      </c>
      <c r="S182" s="1125" t="str">
        <f t="shared" si="200"/>
        <v/>
      </c>
      <c r="T182" s="236" t="str">
        <f t="shared" si="201"/>
        <v/>
      </c>
      <c r="V182" s="642" t="e">
        <f>INDEX('Vessel Gauging Data'!$B$26:$V$56,MATCH($C182,'Vessel Gauging Data'!$B$26:$B$56,0),$V$18)</f>
        <v>#N/A</v>
      </c>
      <c r="W182" s="642" t="e">
        <f>INDEX('Vessel Gauging Data'!$B$26:$V$56,MATCH($C182,'Vessel Gauging Data'!$B$26:$B$56,0),$W$18)</f>
        <v>#N/A</v>
      </c>
      <c r="X182" s="642" t="e">
        <f>INDEX('Vessel Gauging Data'!$B$26:$V$56,MATCH($C182,'Vessel Gauging Data'!$B$26:$B$56,0),$X$18)</f>
        <v>#N/A</v>
      </c>
      <c r="Y182" s="642" t="e">
        <f>INDEX('Vessel Gauging Data'!$B$26:$V$56,MATCH($C182,'Vessel Gauging Data'!$B$26:$B$56,0),$Y$18)</f>
        <v>#N/A</v>
      </c>
      <c r="Z182" s="642" t="e">
        <f>INDEX('Vessel Gauging Data'!$B$26:$V$56,MATCH($C182,'Vessel Gauging Data'!$B$26:$B$56,0),$Z$18)</f>
        <v>#N/A</v>
      </c>
      <c r="AB182" s="642" t="e">
        <f>INDEX(API1DENST,MATCH($C182,'Vessel Gauging Data'!$B$27:$B$56,0),1)</f>
        <v>#N/A</v>
      </c>
      <c r="AC182" s="642" t="e">
        <f t="shared" si="138"/>
        <v>#N/A</v>
      </c>
      <c r="AE182" s="661" t="e">
        <f t="shared" si="139"/>
        <v>#VALUE!</v>
      </c>
      <c r="AF182" s="661" t="e">
        <f t="shared" si="140"/>
        <v>#VALUE!</v>
      </c>
      <c r="AH182" s="662" t="str">
        <f t="shared" si="173"/>
        <v/>
      </c>
      <c r="AI182" s="662" t="str">
        <f t="shared" si="174"/>
        <v/>
      </c>
      <c r="AJ182" s="663">
        <f t="shared" si="141"/>
        <v>192.4571</v>
      </c>
      <c r="AK182" s="660">
        <f t="shared" si="142"/>
        <v>0.24379999999999999</v>
      </c>
      <c r="AL182" s="660" t="e">
        <f t="shared" si="143"/>
        <v>#VALUE!</v>
      </c>
      <c r="AM182" s="664" t="e">
        <f t="shared" si="144"/>
        <v>#VALUE!</v>
      </c>
      <c r="AN182" s="664" t="e">
        <f t="shared" si="145"/>
        <v>#VALUE!</v>
      </c>
      <c r="AO182" s="665" t="e">
        <f t="shared" si="146"/>
        <v>#VALUE!</v>
      </c>
      <c r="AP182" s="666" t="e">
        <f t="shared" si="147"/>
        <v>#VALUE!</v>
      </c>
      <c r="AQ182" s="660" t="e">
        <f t="shared" si="148"/>
        <v>#VALUE!</v>
      </c>
      <c r="AR182" s="667" t="e">
        <f t="shared" si="149"/>
        <v>#VALUE!</v>
      </c>
      <c r="AS182" s="667" t="e">
        <f t="shared" si="150"/>
        <v>#VALUE!</v>
      </c>
      <c r="AT182" s="668" t="e">
        <f t="shared" si="151"/>
        <v>#VALUE!</v>
      </c>
      <c r="AU182" s="667" t="e">
        <f t="shared" si="152"/>
        <v>#VALUE!</v>
      </c>
      <c r="AV182" s="669" t="e">
        <f t="shared" si="153"/>
        <v>#VALUE!</v>
      </c>
      <c r="AW182" s="667" t="e">
        <f t="shared" si="154"/>
        <v>#VALUE!</v>
      </c>
      <c r="AX182" s="667" t="e">
        <f t="shared" si="155"/>
        <v>#VALUE!</v>
      </c>
      <c r="AY182" s="660" t="e">
        <f t="shared" si="156"/>
        <v>#VALUE!</v>
      </c>
      <c r="AZ182" s="670" t="e">
        <f t="shared" si="157"/>
        <v>#VALUE!</v>
      </c>
      <c r="BB182" s="662" t="e">
        <f>INDEX('Vessel Gauging Data'!$B$26:$V$56,MATCH($C182,'Vessel Gauging Data'!$B$26:$B$56,0),$BB$18)</f>
        <v>#N/A</v>
      </c>
      <c r="BC182" s="662" t="e">
        <f>INDEX('Vessel Gauging Data'!$B$26:$V$56,MATCH($C182,'Vessel Gauging Data'!$B$26:$B$56,0),$BC$18)</f>
        <v>#N/A</v>
      </c>
      <c r="BD182" s="662" t="e">
        <f>INDEX('Vessel Gauging Data'!$B$26:$V$56,MATCH($C182,'Vessel Gauging Data'!$B$26:$B$56,0),$BD$18)</f>
        <v>#N/A</v>
      </c>
      <c r="BE182" s="662" t="e">
        <f>INDEX('Vessel Gauging Data'!$B$26:$V$56,MATCH($C182,'Vessel Gauging Data'!$B$26:$B$56,0),$BE$18)</f>
        <v>#N/A</v>
      </c>
    </row>
    <row r="183" spans="1:57" hidden="1">
      <c r="A183" s="641" t="str">
        <f t="shared" si="172"/>
        <v>N</v>
      </c>
      <c r="C183" s="235" t="str">
        <f t="array" ref="C183">IF(SUMPRODUCT((ISERROR(MATCH('Vessel Gauging Data'!$C$27:$C$56,IF(GRADECHNO=2,RESIDUALS,IF(GRADECHNO=3,DISTILLATES,GRADESLIST)),0))=FALSE)*('Vessel Gauging Data'!$D$27:$D$56=NOMN)*1)&lt;ROWS($C$160:$C183),"",INDEX('Vessel Gauging Data'!$B$27:$B$56,SMALL(IF(((ISERROR(MATCH('Vessel Gauging Data'!$C$27:$C$56,IF(GRADECHNO=2,RESIDUALS,IF(GRADECHNO=3,DISTILLATES,GRADESLIST)),0))=FALSE)+('Vessel Gauging Data'!$D$27:$D$56=NOMN))=2,ROW('Vessel Gauging Data'!$B$27:$B$56)-ROW('Vessel Gauging Data'!$C$26)),ROW()-ROW(C$159))))</f>
        <v/>
      </c>
      <c r="D183" s="211" t="str">
        <f>IF(OR($C183="",$C183=0),"",INDEX('Vessel Gauging Data'!$B$26:$V$56,MATCH($C183,'Vessel Gauging Data'!$B$27:$B$56,0)+1,2))</f>
        <v/>
      </c>
      <c r="E183" s="1016" t="str">
        <f t="shared" si="158"/>
        <v/>
      </c>
      <c r="F183" s="1016" t="str">
        <f t="shared" si="159"/>
        <v/>
      </c>
      <c r="G183" s="1016" t="str">
        <f t="shared" si="160"/>
        <v/>
      </c>
      <c r="H183" s="1016" t="str">
        <f t="shared" si="160"/>
        <v/>
      </c>
      <c r="I183" s="211" t="str">
        <f t="shared" si="161"/>
        <v/>
      </c>
      <c r="J183" s="1016" t="str">
        <f t="shared" si="162"/>
        <v/>
      </c>
      <c r="K183" s="213" t="str">
        <f t="shared" si="163"/>
        <v/>
      </c>
      <c r="L183" s="212" t="str">
        <f t="shared" si="164"/>
        <v/>
      </c>
      <c r="M183" s="1125" t="str">
        <f>IF(OR($C183="",$C183=0),"",INDEX(API1DENST,MATCH($C183,'Vessel Gauging Data'!$B$27:$B$56,0),$AA$1))</f>
        <v/>
      </c>
      <c r="N183" s="212" t="str">
        <f t="shared" si="165"/>
        <v/>
      </c>
      <c r="O183" s="1016" t="str">
        <f t="shared" si="196"/>
        <v/>
      </c>
      <c r="P183" s="1125" t="str">
        <f t="shared" si="197"/>
        <v/>
      </c>
      <c r="Q183" s="1016" t="str">
        <f t="shared" si="198"/>
        <v/>
      </c>
      <c r="R183" s="214" t="str">
        <f t="shared" si="199"/>
        <v/>
      </c>
      <c r="S183" s="1125" t="str">
        <f t="shared" si="200"/>
        <v/>
      </c>
      <c r="T183" s="236" t="str">
        <f t="shared" si="201"/>
        <v/>
      </c>
      <c r="V183" s="642" t="e">
        <f>INDEX('Vessel Gauging Data'!$B$26:$V$56,MATCH($C183,'Vessel Gauging Data'!$B$26:$B$56,0),$V$18)</f>
        <v>#N/A</v>
      </c>
      <c r="W183" s="642" t="e">
        <f>INDEX('Vessel Gauging Data'!$B$26:$V$56,MATCH($C183,'Vessel Gauging Data'!$B$26:$B$56,0),$W$18)</f>
        <v>#N/A</v>
      </c>
      <c r="X183" s="642" t="e">
        <f>INDEX('Vessel Gauging Data'!$B$26:$V$56,MATCH($C183,'Vessel Gauging Data'!$B$26:$B$56,0),$X$18)</f>
        <v>#N/A</v>
      </c>
      <c r="Y183" s="642" t="e">
        <f>INDEX('Vessel Gauging Data'!$B$26:$V$56,MATCH($C183,'Vessel Gauging Data'!$B$26:$B$56,0),$Y$18)</f>
        <v>#N/A</v>
      </c>
      <c r="Z183" s="642" t="e">
        <f>INDEX('Vessel Gauging Data'!$B$26:$V$56,MATCH($C183,'Vessel Gauging Data'!$B$26:$B$56,0),$Z$18)</f>
        <v>#N/A</v>
      </c>
      <c r="AB183" s="642" t="e">
        <f>INDEX(API1DENST,MATCH($C183,'Vessel Gauging Data'!$B$27:$B$56,0),1)</f>
        <v>#N/A</v>
      </c>
      <c r="AC183" s="642" t="e">
        <f t="shared" si="138"/>
        <v>#N/A</v>
      </c>
      <c r="AE183" s="661" t="e">
        <f t="shared" si="139"/>
        <v>#VALUE!</v>
      </c>
      <c r="AF183" s="661" t="e">
        <f t="shared" si="140"/>
        <v>#VALUE!</v>
      </c>
      <c r="AH183" s="662" t="str">
        <f t="shared" si="173"/>
        <v/>
      </c>
      <c r="AI183" s="662" t="str">
        <f t="shared" si="174"/>
        <v/>
      </c>
      <c r="AJ183" s="663">
        <f t="shared" si="141"/>
        <v>192.4571</v>
      </c>
      <c r="AK183" s="660">
        <f t="shared" si="142"/>
        <v>0.24379999999999999</v>
      </c>
      <c r="AL183" s="660" t="e">
        <f t="shared" si="143"/>
        <v>#VALUE!</v>
      </c>
      <c r="AM183" s="664" t="e">
        <f t="shared" si="144"/>
        <v>#VALUE!</v>
      </c>
      <c r="AN183" s="664" t="e">
        <f t="shared" si="145"/>
        <v>#VALUE!</v>
      </c>
      <c r="AO183" s="665" t="e">
        <f t="shared" si="146"/>
        <v>#VALUE!</v>
      </c>
      <c r="AP183" s="666" t="e">
        <f t="shared" si="147"/>
        <v>#VALUE!</v>
      </c>
      <c r="AQ183" s="660" t="e">
        <f t="shared" si="148"/>
        <v>#VALUE!</v>
      </c>
      <c r="AR183" s="667" t="e">
        <f t="shared" si="149"/>
        <v>#VALUE!</v>
      </c>
      <c r="AS183" s="667" t="e">
        <f t="shared" si="150"/>
        <v>#VALUE!</v>
      </c>
      <c r="AT183" s="668" t="e">
        <f t="shared" si="151"/>
        <v>#VALUE!</v>
      </c>
      <c r="AU183" s="667" t="e">
        <f t="shared" si="152"/>
        <v>#VALUE!</v>
      </c>
      <c r="AV183" s="669" t="e">
        <f t="shared" si="153"/>
        <v>#VALUE!</v>
      </c>
      <c r="AW183" s="667" t="e">
        <f t="shared" si="154"/>
        <v>#VALUE!</v>
      </c>
      <c r="AX183" s="667" t="e">
        <f t="shared" si="155"/>
        <v>#VALUE!</v>
      </c>
      <c r="AY183" s="660" t="e">
        <f t="shared" si="156"/>
        <v>#VALUE!</v>
      </c>
      <c r="AZ183" s="670" t="e">
        <f t="shared" si="157"/>
        <v>#VALUE!</v>
      </c>
      <c r="BB183" s="662" t="e">
        <f>INDEX('Vessel Gauging Data'!$B$26:$V$56,MATCH($C183,'Vessel Gauging Data'!$B$26:$B$56,0),$BB$18)</f>
        <v>#N/A</v>
      </c>
      <c r="BC183" s="662" t="e">
        <f>INDEX('Vessel Gauging Data'!$B$26:$V$56,MATCH($C183,'Vessel Gauging Data'!$B$26:$B$56,0),$BC$18)</f>
        <v>#N/A</v>
      </c>
      <c r="BD183" s="662" t="e">
        <f>INDEX('Vessel Gauging Data'!$B$26:$V$56,MATCH($C183,'Vessel Gauging Data'!$B$26:$B$56,0),$BD$18)</f>
        <v>#N/A</v>
      </c>
      <c r="BE183" s="662" t="e">
        <f>INDEX('Vessel Gauging Data'!$B$26:$V$56,MATCH($C183,'Vessel Gauging Data'!$B$26:$B$56,0),$BE$18)</f>
        <v>#N/A</v>
      </c>
    </row>
    <row r="184" spans="1:57" hidden="1">
      <c r="A184" s="641" t="str">
        <f t="shared" si="172"/>
        <v>N</v>
      </c>
      <c r="C184" s="235" t="str">
        <f t="array" ref="C184">IF(SUMPRODUCT((ISERROR(MATCH('Vessel Gauging Data'!$C$27:$C$56,IF(GRADECHNO=2,RESIDUALS,IF(GRADECHNO=3,DISTILLATES,GRADESLIST)),0))=FALSE)*('Vessel Gauging Data'!$D$27:$D$56=NOMN)*1)&lt;ROWS($C$160:$C184),"",INDEX('Vessel Gauging Data'!$B$27:$B$56,SMALL(IF(((ISERROR(MATCH('Vessel Gauging Data'!$C$27:$C$56,IF(GRADECHNO=2,RESIDUALS,IF(GRADECHNO=3,DISTILLATES,GRADESLIST)),0))=FALSE)+('Vessel Gauging Data'!$D$27:$D$56=NOMN))=2,ROW('Vessel Gauging Data'!$B$27:$B$56)-ROW('Vessel Gauging Data'!$C$26)),ROW()-ROW(C$159))))</f>
        <v/>
      </c>
      <c r="D184" s="211" t="str">
        <f>IF(OR($C184="",$C184=0),"",INDEX('Vessel Gauging Data'!$B$26:$V$56,MATCH($C184,'Vessel Gauging Data'!$B$27:$B$56,0)+1,2))</f>
        <v/>
      </c>
      <c r="E184" s="1016" t="str">
        <f t="shared" si="158"/>
        <v/>
      </c>
      <c r="F184" s="1016" t="str">
        <f t="shared" si="159"/>
        <v/>
      </c>
      <c r="G184" s="1016" t="str">
        <f t="shared" si="160"/>
        <v/>
      </c>
      <c r="H184" s="1016" t="str">
        <f t="shared" si="160"/>
        <v/>
      </c>
      <c r="I184" s="211" t="str">
        <f t="shared" si="161"/>
        <v/>
      </c>
      <c r="J184" s="1016" t="str">
        <f t="shared" si="162"/>
        <v/>
      </c>
      <c r="K184" s="213" t="str">
        <f t="shared" si="163"/>
        <v/>
      </c>
      <c r="L184" s="212" t="str">
        <f t="shared" si="164"/>
        <v/>
      </c>
      <c r="M184" s="1125" t="str">
        <f>IF(OR($C184="",$C184=0),"",INDEX(API1DENST,MATCH($C184,'Vessel Gauging Data'!$B$27:$B$56,0),$AA$1))</f>
        <v/>
      </c>
      <c r="N184" s="212" t="str">
        <f t="shared" si="165"/>
        <v/>
      </c>
      <c r="O184" s="1016" t="str">
        <f t="shared" si="196"/>
        <v/>
      </c>
      <c r="P184" s="1125" t="str">
        <f t="shared" si="197"/>
        <v/>
      </c>
      <c r="Q184" s="1016" t="str">
        <f t="shared" si="198"/>
        <v/>
      </c>
      <c r="R184" s="214" t="str">
        <f t="shared" si="199"/>
        <v/>
      </c>
      <c r="S184" s="1125" t="str">
        <f t="shared" si="200"/>
        <v/>
      </c>
      <c r="T184" s="236" t="str">
        <f t="shared" si="201"/>
        <v/>
      </c>
      <c r="V184" s="642" t="e">
        <f>INDEX('Vessel Gauging Data'!$B$26:$V$56,MATCH($C184,'Vessel Gauging Data'!$B$26:$B$56,0),$V$18)</f>
        <v>#N/A</v>
      </c>
      <c r="W184" s="642" t="e">
        <f>INDEX('Vessel Gauging Data'!$B$26:$V$56,MATCH($C184,'Vessel Gauging Data'!$B$26:$B$56,0),$W$18)</f>
        <v>#N/A</v>
      </c>
      <c r="X184" s="642" t="e">
        <f>INDEX('Vessel Gauging Data'!$B$26:$V$56,MATCH($C184,'Vessel Gauging Data'!$B$26:$B$56,0),$X$18)</f>
        <v>#N/A</v>
      </c>
      <c r="Y184" s="642" t="e">
        <f>INDEX('Vessel Gauging Data'!$B$26:$V$56,MATCH($C184,'Vessel Gauging Data'!$B$26:$B$56,0),$Y$18)</f>
        <v>#N/A</v>
      </c>
      <c r="Z184" s="642" t="e">
        <f>INDEX('Vessel Gauging Data'!$B$26:$V$56,MATCH($C184,'Vessel Gauging Data'!$B$26:$B$56,0),$Z$18)</f>
        <v>#N/A</v>
      </c>
      <c r="AB184" s="642" t="e">
        <f>INDEX(API1DENST,MATCH($C184,'Vessel Gauging Data'!$B$27:$B$56,0),1)</f>
        <v>#N/A</v>
      </c>
      <c r="AC184" s="642" t="e">
        <f t="shared" si="138"/>
        <v>#N/A</v>
      </c>
      <c r="AE184" s="661" t="e">
        <f t="shared" si="139"/>
        <v>#VALUE!</v>
      </c>
      <c r="AF184" s="661" t="e">
        <f t="shared" si="140"/>
        <v>#VALUE!</v>
      </c>
      <c r="AH184" s="662" t="str">
        <f t="shared" si="173"/>
        <v/>
      </c>
      <c r="AI184" s="662" t="str">
        <f t="shared" si="174"/>
        <v/>
      </c>
      <c r="AJ184" s="663">
        <f t="shared" si="141"/>
        <v>192.4571</v>
      </c>
      <c r="AK184" s="660">
        <f t="shared" si="142"/>
        <v>0.24379999999999999</v>
      </c>
      <c r="AL184" s="660" t="e">
        <f t="shared" si="143"/>
        <v>#VALUE!</v>
      </c>
      <c r="AM184" s="664" t="e">
        <f t="shared" si="144"/>
        <v>#VALUE!</v>
      </c>
      <c r="AN184" s="664" t="e">
        <f t="shared" si="145"/>
        <v>#VALUE!</v>
      </c>
      <c r="AO184" s="665" t="e">
        <f t="shared" si="146"/>
        <v>#VALUE!</v>
      </c>
      <c r="AP184" s="666" t="e">
        <f t="shared" si="147"/>
        <v>#VALUE!</v>
      </c>
      <c r="AQ184" s="660" t="e">
        <f t="shared" si="148"/>
        <v>#VALUE!</v>
      </c>
      <c r="AR184" s="667" t="e">
        <f t="shared" si="149"/>
        <v>#VALUE!</v>
      </c>
      <c r="AS184" s="667" t="e">
        <f t="shared" si="150"/>
        <v>#VALUE!</v>
      </c>
      <c r="AT184" s="668" t="e">
        <f t="shared" si="151"/>
        <v>#VALUE!</v>
      </c>
      <c r="AU184" s="667" t="e">
        <f t="shared" si="152"/>
        <v>#VALUE!</v>
      </c>
      <c r="AV184" s="669" t="e">
        <f t="shared" si="153"/>
        <v>#VALUE!</v>
      </c>
      <c r="AW184" s="667" t="e">
        <f t="shared" si="154"/>
        <v>#VALUE!</v>
      </c>
      <c r="AX184" s="667" t="e">
        <f t="shared" si="155"/>
        <v>#VALUE!</v>
      </c>
      <c r="AY184" s="660" t="e">
        <f t="shared" si="156"/>
        <v>#VALUE!</v>
      </c>
      <c r="AZ184" s="670" t="e">
        <f t="shared" si="157"/>
        <v>#VALUE!</v>
      </c>
      <c r="BB184" s="662" t="e">
        <f>INDEX('Vessel Gauging Data'!$B$26:$V$56,MATCH($C184,'Vessel Gauging Data'!$B$26:$B$56,0),$BB$18)</f>
        <v>#N/A</v>
      </c>
      <c r="BC184" s="662" t="e">
        <f>INDEX('Vessel Gauging Data'!$B$26:$V$56,MATCH($C184,'Vessel Gauging Data'!$B$26:$B$56,0),$BC$18)</f>
        <v>#N/A</v>
      </c>
      <c r="BD184" s="662" t="e">
        <f>INDEX('Vessel Gauging Data'!$B$26:$V$56,MATCH($C184,'Vessel Gauging Data'!$B$26:$B$56,0),$BD$18)</f>
        <v>#N/A</v>
      </c>
      <c r="BE184" s="662" t="e">
        <f>INDEX('Vessel Gauging Data'!$B$26:$V$56,MATCH($C184,'Vessel Gauging Data'!$B$26:$B$56,0),$BE$18)</f>
        <v>#N/A</v>
      </c>
    </row>
    <row r="185" spans="1:57" hidden="1">
      <c r="A185" s="641" t="str">
        <f t="shared" si="172"/>
        <v>N</v>
      </c>
      <c r="C185" s="235" t="str">
        <f t="array" ref="C185">IF(SUMPRODUCT((ISERROR(MATCH('Vessel Gauging Data'!$C$27:$C$56,IF(GRADECHNO=2,RESIDUALS,IF(GRADECHNO=3,DISTILLATES,GRADESLIST)),0))=FALSE)*('Vessel Gauging Data'!$D$27:$D$56=NOMN)*1)&lt;ROWS($C$160:$C185),"",INDEX('Vessel Gauging Data'!$B$27:$B$56,SMALL(IF(((ISERROR(MATCH('Vessel Gauging Data'!$C$27:$C$56,IF(GRADECHNO=2,RESIDUALS,IF(GRADECHNO=3,DISTILLATES,GRADESLIST)),0))=FALSE)+('Vessel Gauging Data'!$D$27:$D$56=NOMN))=2,ROW('Vessel Gauging Data'!$B$27:$B$56)-ROW('Vessel Gauging Data'!$C$26)),ROW()-ROW(C$159))))</f>
        <v/>
      </c>
      <c r="D185" s="211" t="str">
        <f>IF(OR($C185="",$C185=0),"",INDEX('Vessel Gauging Data'!$B$26:$V$56,MATCH($C185,'Vessel Gauging Data'!$B$27:$B$56,0)+1,2))</f>
        <v/>
      </c>
      <c r="E185" s="1016" t="str">
        <f t="shared" si="158"/>
        <v/>
      </c>
      <c r="F185" s="1016" t="str">
        <f t="shared" si="159"/>
        <v/>
      </c>
      <c r="G185" s="1016" t="str">
        <f t="shared" si="160"/>
        <v/>
      </c>
      <c r="H185" s="1016" t="str">
        <f t="shared" si="160"/>
        <v/>
      </c>
      <c r="I185" s="211" t="str">
        <f t="shared" si="161"/>
        <v/>
      </c>
      <c r="J185" s="1016" t="str">
        <f t="shared" si="162"/>
        <v/>
      </c>
      <c r="K185" s="213" t="str">
        <f t="shared" si="163"/>
        <v/>
      </c>
      <c r="L185" s="212" t="str">
        <f t="shared" si="164"/>
        <v/>
      </c>
      <c r="M185" s="1125" t="str">
        <f>IF(OR($C185="",$C185=0),"",INDEX(API1DENST,MATCH($C185,'Vessel Gauging Data'!$B$27:$B$56,0),$AA$1))</f>
        <v/>
      </c>
      <c r="N185" s="212" t="str">
        <f t="shared" si="165"/>
        <v/>
      </c>
      <c r="O185" s="1016" t="str">
        <f t="shared" si="196"/>
        <v/>
      </c>
      <c r="P185" s="1125" t="str">
        <f t="shared" si="197"/>
        <v/>
      </c>
      <c r="Q185" s="1016" t="str">
        <f t="shared" si="198"/>
        <v/>
      </c>
      <c r="R185" s="214" t="str">
        <f t="shared" si="199"/>
        <v/>
      </c>
      <c r="S185" s="1125" t="str">
        <f t="shared" si="200"/>
        <v/>
      </c>
      <c r="T185" s="236" t="str">
        <f t="shared" si="201"/>
        <v/>
      </c>
      <c r="V185" s="642" t="e">
        <f>INDEX('Vessel Gauging Data'!$B$26:$V$56,MATCH($C185,'Vessel Gauging Data'!$B$26:$B$56,0),$V$18)</f>
        <v>#N/A</v>
      </c>
      <c r="W185" s="642" t="e">
        <f>INDEX('Vessel Gauging Data'!$B$26:$V$56,MATCH($C185,'Vessel Gauging Data'!$B$26:$B$56,0),$W$18)</f>
        <v>#N/A</v>
      </c>
      <c r="X185" s="642" t="e">
        <f>INDEX('Vessel Gauging Data'!$B$26:$V$56,MATCH($C185,'Vessel Gauging Data'!$B$26:$B$56,0),$X$18)</f>
        <v>#N/A</v>
      </c>
      <c r="Y185" s="642" t="e">
        <f>INDEX('Vessel Gauging Data'!$B$26:$V$56,MATCH($C185,'Vessel Gauging Data'!$B$26:$B$56,0),$Y$18)</f>
        <v>#N/A</v>
      </c>
      <c r="Z185" s="642" t="e">
        <f>INDEX('Vessel Gauging Data'!$B$26:$V$56,MATCH($C185,'Vessel Gauging Data'!$B$26:$B$56,0),$Z$18)</f>
        <v>#N/A</v>
      </c>
      <c r="AB185" s="642" t="e">
        <f>INDEX(API1DENST,MATCH($C185,'Vessel Gauging Data'!$B$27:$B$56,0),1)</f>
        <v>#N/A</v>
      </c>
      <c r="AC185" s="642" t="e">
        <f t="shared" si="138"/>
        <v>#N/A</v>
      </c>
      <c r="AE185" s="661" t="e">
        <f t="shared" si="139"/>
        <v>#VALUE!</v>
      </c>
      <c r="AF185" s="661" t="e">
        <f t="shared" si="140"/>
        <v>#VALUE!</v>
      </c>
      <c r="AH185" s="662" t="str">
        <f t="shared" si="173"/>
        <v/>
      </c>
      <c r="AI185" s="662" t="str">
        <f t="shared" si="174"/>
        <v/>
      </c>
      <c r="AJ185" s="663">
        <f t="shared" si="141"/>
        <v>192.4571</v>
      </c>
      <c r="AK185" s="660">
        <f t="shared" si="142"/>
        <v>0.24379999999999999</v>
      </c>
      <c r="AL185" s="660" t="e">
        <f t="shared" si="143"/>
        <v>#VALUE!</v>
      </c>
      <c r="AM185" s="664" t="e">
        <f t="shared" si="144"/>
        <v>#VALUE!</v>
      </c>
      <c r="AN185" s="664" t="e">
        <f t="shared" si="145"/>
        <v>#VALUE!</v>
      </c>
      <c r="AO185" s="665" t="e">
        <f t="shared" si="146"/>
        <v>#VALUE!</v>
      </c>
      <c r="AP185" s="666" t="e">
        <f t="shared" si="147"/>
        <v>#VALUE!</v>
      </c>
      <c r="AQ185" s="660" t="e">
        <f t="shared" si="148"/>
        <v>#VALUE!</v>
      </c>
      <c r="AR185" s="667" t="e">
        <f t="shared" si="149"/>
        <v>#VALUE!</v>
      </c>
      <c r="AS185" s="667" t="e">
        <f t="shared" si="150"/>
        <v>#VALUE!</v>
      </c>
      <c r="AT185" s="668" t="e">
        <f t="shared" si="151"/>
        <v>#VALUE!</v>
      </c>
      <c r="AU185" s="667" t="e">
        <f t="shared" si="152"/>
        <v>#VALUE!</v>
      </c>
      <c r="AV185" s="669" t="e">
        <f t="shared" si="153"/>
        <v>#VALUE!</v>
      </c>
      <c r="AW185" s="667" t="e">
        <f t="shared" si="154"/>
        <v>#VALUE!</v>
      </c>
      <c r="AX185" s="667" t="e">
        <f t="shared" si="155"/>
        <v>#VALUE!</v>
      </c>
      <c r="AY185" s="660" t="e">
        <f t="shared" si="156"/>
        <v>#VALUE!</v>
      </c>
      <c r="AZ185" s="670" t="e">
        <f t="shared" si="157"/>
        <v>#VALUE!</v>
      </c>
      <c r="BB185" s="662" t="e">
        <f>INDEX('Vessel Gauging Data'!$B$26:$V$56,MATCH($C185,'Vessel Gauging Data'!$B$26:$B$56,0),$BB$18)</f>
        <v>#N/A</v>
      </c>
      <c r="BC185" s="662" t="e">
        <f>INDEX('Vessel Gauging Data'!$B$26:$V$56,MATCH($C185,'Vessel Gauging Data'!$B$26:$B$56,0),$BC$18)</f>
        <v>#N/A</v>
      </c>
      <c r="BD185" s="662" t="e">
        <f>INDEX('Vessel Gauging Data'!$B$26:$V$56,MATCH($C185,'Vessel Gauging Data'!$B$26:$B$56,0),$BD$18)</f>
        <v>#N/A</v>
      </c>
      <c r="BE185" s="662" t="e">
        <f>INDEX('Vessel Gauging Data'!$B$26:$V$56,MATCH($C185,'Vessel Gauging Data'!$B$26:$B$56,0),$BE$18)</f>
        <v>#N/A</v>
      </c>
    </row>
    <row r="186" spans="1:57" hidden="1">
      <c r="A186" s="641" t="str">
        <f t="shared" si="172"/>
        <v>N</v>
      </c>
      <c r="C186" s="235" t="str">
        <f t="array" ref="C186">IF(SUMPRODUCT((ISERROR(MATCH('Vessel Gauging Data'!$C$27:$C$56,IF(GRADECHNO=2,RESIDUALS,IF(GRADECHNO=3,DISTILLATES,GRADESLIST)),0))=FALSE)*('Vessel Gauging Data'!$D$27:$D$56=NOMN)*1)&lt;ROWS($C$160:$C186),"",INDEX('Vessel Gauging Data'!$B$27:$B$56,SMALL(IF(((ISERROR(MATCH('Vessel Gauging Data'!$C$27:$C$56,IF(GRADECHNO=2,RESIDUALS,IF(GRADECHNO=3,DISTILLATES,GRADESLIST)),0))=FALSE)+('Vessel Gauging Data'!$D$27:$D$56=NOMN))=2,ROW('Vessel Gauging Data'!$B$27:$B$56)-ROW('Vessel Gauging Data'!$C$26)),ROW()-ROW(C$159))))</f>
        <v/>
      </c>
      <c r="D186" s="211" t="str">
        <f>IF(OR($C186="",$C186=0),"",INDEX('Vessel Gauging Data'!$B$26:$V$56,MATCH($C186,'Vessel Gauging Data'!$B$27:$B$56,0)+1,2))</f>
        <v/>
      </c>
      <c r="E186" s="1016" t="str">
        <f t="shared" si="158"/>
        <v/>
      </c>
      <c r="F186" s="1016" t="str">
        <f t="shared" si="159"/>
        <v/>
      </c>
      <c r="G186" s="1016" t="str">
        <f t="shared" si="160"/>
        <v/>
      </c>
      <c r="H186" s="1016" t="str">
        <f t="shared" si="160"/>
        <v/>
      </c>
      <c r="I186" s="211" t="str">
        <f t="shared" si="161"/>
        <v/>
      </c>
      <c r="J186" s="1016" t="str">
        <f t="shared" si="162"/>
        <v/>
      </c>
      <c r="K186" s="213" t="str">
        <f t="shared" si="163"/>
        <v/>
      </c>
      <c r="L186" s="212" t="str">
        <f t="shared" si="164"/>
        <v/>
      </c>
      <c r="M186" s="1125" t="str">
        <f>IF(OR($C186="",$C186=0),"",INDEX(API1DENST,MATCH($C186,'Vessel Gauging Data'!$B$27:$B$56,0),$AA$1))</f>
        <v/>
      </c>
      <c r="N186" s="212" t="str">
        <f t="shared" si="165"/>
        <v/>
      </c>
      <c r="O186" s="1016" t="str">
        <f t="shared" si="196"/>
        <v/>
      </c>
      <c r="P186" s="1125" t="str">
        <f t="shared" si="197"/>
        <v/>
      </c>
      <c r="Q186" s="1016" t="str">
        <f t="shared" si="198"/>
        <v/>
      </c>
      <c r="R186" s="214" t="str">
        <f t="shared" si="199"/>
        <v/>
      </c>
      <c r="S186" s="1125" t="str">
        <f t="shared" si="200"/>
        <v/>
      </c>
      <c r="T186" s="236" t="str">
        <f t="shared" si="201"/>
        <v/>
      </c>
      <c r="V186" s="642" t="e">
        <f>INDEX('Vessel Gauging Data'!$B$26:$V$56,MATCH($C186,'Vessel Gauging Data'!$B$26:$B$56,0),$V$18)</f>
        <v>#N/A</v>
      </c>
      <c r="W186" s="642" t="e">
        <f>INDEX('Vessel Gauging Data'!$B$26:$V$56,MATCH($C186,'Vessel Gauging Data'!$B$26:$B$56,0),$W$18)</f>
        <v>#N/A</v>
      </c>
      <c r="X186" s="642" t="e">
        <f>INDEX('Vessel Gauging Data'!$B$26:$V$56,MATCH($C186,'Vessel Gauging Data'!$B$26:$B$56,0),$X$18)</f>
        <v>#N/A</v>
      </c>
      <c r="Y186" s="642" t="e">
        <f>INDEX('Vessel Gauging Data'!$B$26:$V$56,MATCH($C186,'Vessel Gauging Data'!$B$26:$B$56,0),$Y$18)</f>
        <v>#N/A</v>
      </c>
      <c r="Z186" s="642" t="e">
        <f>INDEX('Vessel Gauging Data'!$B$26:$V$56,MATCH($C186,'Vessel Gauging Data'!$B$26:$B$56,0),$Z$18)</f>
        <v>#N/A</v>
      </c>
      <c r="AB186" s="642" t="e">
        <f>INDEX(API1DENST,MATCH($C186,'Vessel Gauging Data'!$B$27:$B$56,0),1)</f>
        <v>#N/A</v>
      </c>
      <c r="AC186" s="642" t="e">
        <f t="shared" si="138"/>
        <v>#N/A</v>
      </c>
      <c r="AE186" s="661" t="e">
        <f t="shared" si="139"/>
        <v>#VALUE!</v>
      </c>
      <c r="AF186" s="661" t="e">
        <f t="shared" si="140"/>
        <v>#VALUE!</v>
      </c>
      <c r="AH186" s="662" t="str">
        <f t="shared" si="173"/>
        <v/>
      </c>
      <c r="AI186" s="662" t="str">
        <f t="shared" si="174"/>
        <v/>
      </c>
      <c r="AJ186" s="663">
        <f t="shared" si="141"/>
        <v>192.4571</v>
      </c>
      <c r="AK186" s="660">
        <f t="shared" si="142"/>
        <v>0.24379999999999999</v>
      </c>
      <c r="AL186" s="660" t="e">
        <f t="shared" si="143"/>
        <v>#VALUE!</v>
      </c>
      <c r="AM186" s="664" t="e">
        <f t="shared" si="144"/>
        <v>#VALUE!</v>
      </c>
      <c r="AN186" s="664" t="e">
        <f t="shared" si="145"/>
        <v>#VALUE!</v>
      </c>
      <c r="AO186" s="665" t="e">
        <f t="shared" si="146"/>
        <v>#VALUE!</v>
      </c>
      <c r="AP186" s="666" t="e">
        <f t="shared" si="147"/>
        <v>#VALUE!</v>
      </c>
      <c r="AQ186" s="660" t="e">
        <f t="shared" si="148"/>
        <v>#VALUE!</v>
      </c>
      <c r="AR186" s="667" t="e">
        <f t="shared" si="149"/>
        <v>#VALUE!</v>
      </c>
      <c r="AS186" s="667" t="e">
        <f t="shared" si="150"/>
        <v>#VALUE!</v>
      </c>
      <c r="AT186" s="668" t="e">
        <f t="shared" si="151"/>
        <v>#VALUE!</v>
      </c>
      <c r="AU186" s="667" t="e">
        <f t="shared" si="152"/>
        <v>#VALUE!</v>
      </c>
      <c r="AV186" s="669" t="e">
        <f t="shared" si="153"/>
        <v>#VALUE!</v>
      </c>
      <c r="AW186" s="667" t="e">
        <f t="shared" si="154"/>
        <v>#VALUE!</v>
      </c>
      <c r="AX186" s="667" t="e">
        <f t="shared" si="155"/>
        <v>#VALUE!</v>
      </c>
      <c r="AY186" s="660" t="e">
        <f t="shared" si="156"/>
        <v>#VALUE!</v>
      </c>
      <c r="AZ186" s="670" t="e">
        <f t="shared" si="157"/>
        <v>#VALUE!</v>
      </c>
      <c r="BB186" s="662" t="e">
        <f>INDEX('Vessel Gauging Data'!$B$26:$V$56,MATCH($C186,'Vessel Gauging Data'!$B$26:$B$56,0),$BB$18)</f>
        <v>#N/A</v>
      </c>
      <c r="BC186" s="662" t="e">
        <f>INDEX('Vessel Gauging Data'!$B$26:$V$56,MATCH($C186,'Vessel Gauging Data'!$B$26:$B$56,0),$BC$18)</f>
        <v>#N/A</v>
      </c>
      <c r="BD186" s="662" t="e">
        <f>INDEX('Vessel Gauging Data'!$B$26:$V$56,MATCH($C186,'Vessel Gauging Data'!$B$26:$B$56,0),$BD$18)</f>
        <v>#N/A</v>
      </c>
      <c r="BE186" s="662" t="e">
        <f>INDEX('Vessel Gauging Data'!$B$26:$V$56,MATCH($C186,'Vessel Gauging Data'!$B$26:$B$56,0),$BE$18)</f>
        <v>#N/A</v>
      </c>
    </row>
    <row r="187" spans="1:57" hidden="1">
      <c r="A187" s="641" t="str">
        <f t="shared" si="172"/>
        <v>N</v>
      </c>
      <c r="C187" s="235" t="str">
        <f t="array" ref="C187">IF(SUMPRODUCT((ISERROR(MATCH('Vessel Gauging Data'!$C$27:$C$56,IF(GRADECHNO=2,RESIDUALS,IF(GRADECHNO=3,DISTILLATES,GRADESLIST)),0))=FALSE)*('Vessel Gauging Data'!$D$27:$D$56=NOMN)*1)&lt;ROWS($C$160:$C187),"",INDEX('Vessel Gauging Data'!$B$27:$B$56,SMALL(IF(((ISERROR(MATCH('Vessel Gauging Data'!$C$27:$C$56,IF(GRADECHNO=2,RESIDUALS,IF(GRADECHNO=3,DISTILLATES,GRADESLIST)),0))=FALSE)+('Vessel Gauging Data'!$D$27:$D$56=NOMN))=2,ROW('Vessel Gauging Data'!$B$27:$B$56)-ROW('Vessel Gauging Data'!$C$26)),ROW()-ROW(C$159))))</f>
        <v/>
      </c>
      <c r="D187" s="211" t="str">
        <f>IF(OR($C187="",$C187=0),"",INDEX('Vessel Gauging Data'!$B$26:$V$56,MATCH($C187,'Vessel Gauging Data'!$B$27:$B$56,0)+1,2))</f>
        <v/>
      </c>
      <c r="E187" s="1016" t="str">
        <f t="shared" si="158"/>
        <v/>
      </c>
      <c r="F187" s="1016" t="str">
        <f t="shared" si="159"/>
        <v/>
      </c>
      <c r="G187" s="1016" t="str">
        <f t="shared" si="160"/>
        <v/>
      </c>
      <c r="H187" s="1016" t="str">
        <f t="shared" si="160"/>
        <v/>
      </c>
      <c r="I187" s="211" t="str">
        <f t="shared" si="161"/>
        <v/>
      </c>
      <c r="J187" s="1016" t="str">
        <f t="shared" si="162"/>
        <v/>
      </c>
      <c r="K187" s="213" t="str">
        <f t="shared" si="163"/>
        <v/>
      </c>
      <c r="L187" s="212" t="str">
        <f t="shared" si="164"/>
        <v/>
      </c>
      <c r="M187" s="1125" t="str">
        <f>IF(OR($C187="",$C187=0),"",INDEX(API1DENST,MATCH($C187,'Vessel Gauging Data'!$B$27:$B$56,0),$AA$1))</f>
        <v/>
      </c>
      <c r="N187" s="212" t="str">
        <f t="shared" si="165"/>
        <v/>
      </c>
      <c r="O187" s="1016" t="str">
        <f t="shared" si="196"/>
        <v/>
      </c>
      <c r="P187" s="1125" t="str">
        <f t="shared" si="197"/>
        <v/>
      </c>
      <c r="Q187" s="1016" t="str">
        <f t="shared" si="198"/>
        <v/>
      </c>
      <c r="R187" s="214" t="str">
        <f t="shared" si="199"/>
        <v/>
      </c>
      <c r="S187" s="1125" t="str">
        <f t="shared" si="200"/>
        <v/>
      </c>
      <c r="T187" s="236" t="str">
        <f t="shared" si="201"/>
        <v/>
      </c>
      <c r="V187" s="642" t="e">
        <f>INDEX('Vessel Gauging Data'!$B$26:$V$56,MATCH($C187,'Vessel Gauging Data'!$B$26:$B$56,0),$V$18)</f>
        <v>#N/A</v>
      </c>
      <c r="W187" s="642" t="e">
        <f>INDEX('Vessel Gauging Data'!$B$26:$V$56,MATCH($C187,'Vessel Gauging Data'!$B$26:$B$56,0),$W$18)</f>
        <v>#N/A</v>
      </c>
      <c r="X187" s="642" t="e">
        <f>INDEX('Vessel Gauging Data'!$B$26:$V$56,MATCH($C187,'Vessel Gauging Data'!$B$26:$B$56,0),$X$18)</f>
        <v>#N/A</v>
      </c>
      <c r="Y187" s="642" t="e">
        <f>INDEX('Vessel Gauging Data'!$B$26:$V$56,MATCH($C187,'Vessel Gauging Data'!$B$26:$B$56,0),$Y$18)</f>
        <v>#N/A</v>
      </c>
      <c r="Z187" s="642" t="e">
        <f>INDEX('Vessel Gauging Data'!$B$26:$V$56,MATCH($C187,'Vessel Gauging Data'!$B$26:$B$56,0),$Z$18)</f>
        <v>#N/A</v>
      </c>
      <c r="AB187" s="642" t="e">
        <f>INDEX(API1DENST,MATCH($C187,'Vessel Gauging Data'!$B$27:$B$56,0),1)</f>
        <v>#N/A</v>
      </c>
      <c r="AC187" s="642" t="e">
        <f t="shared" si="138"/>
        <v>#N/A</v>
      </c>
      <c r="AE187" s="661" t="e">
        <f t="shared" si="139"/>
        <v>#VALUE!</v>
      </c>
      <c r="AF187" s="661" t="e">
        <f t="shared" si="140"/>
        <v>#VALUE!</v>
      </c>
      <c r="AH187" s="662" t="str">
        <f t="shared" si="173"/>
        <v/>
      </c>
      <c r="AI187" s="662" t="str">
        <f t="shared" si="174"/>
        <v/>
      </c>
      <c r="AJ187" s="663">
        <f t="shared" si="141"/>
        <v>192.4571</v>
      </c>
      <c r="AK187" s="660">
        <f t="shared" si="142"/>
        <v>0.24379999999999999</v>
      </c>
      <c r="AL187" s="660" t="e">
        <f t="shared" si="143"/>
        <v>#VALUE!</v>
      </c>
      <c r="AM187" s="664" t="e">
        <f t="shared" si="144"/>
        <v>#VALUE!</v>
      </c>
      <c r="AN187" s="664" t="e">
        <f t="shared" si="145"/>
        <v>#VALUE!</v>
      </c>
      <c r="AO187" s="665" t="e">
        <f t="shared" si="146"/>
        <v>#VALUE!</v>
      </c>
      <c r="AP187" s="666" t="e">
        <f t="shared" si="147"/>
        <v>#VALUE!</v>
      </c>
      <c r="AQ187" s="660" t="e">
        <f t="shared" si="148"/>
        <v>#VALUE!</v>
      </c>
      <c r="AR187" s="667" t="e">
        <f t="shared" si="149"/>
        <v>#VALUE!</v>
      </c>
      <c r="AS187" s="667" t="e">
        <f t="shared" si="150"/>
        <v>#VALUE!</v>
      </c>
      <c r="AT187" s="668" t="e">
        <f t="shared" si="151"/>
        <v>#VALUE!</v>
      </c>
      <c r="AU187" s="667" t="e">
        <f t="shared" si="152"/>
        <v>#VALUE!</v>
      </c>
      <c r="AV187" s="669" t="e">
        <f t="shared" si="153"/>
        <v>#VALUE!</v>
      </c>
      <c r="AW187" s="667" t="e">
        <f t="shared" si="154"/>
        <v>#VALUE!</v>
      </c>
      <c r="AX187" s="667" t="e">
        <f t="shared" si="155"/>
        <v>#VALUE!</v>
      </c>
      <c r="AY187" s="660" t="e">
        <f t="shared" si="156"/>
        <v>#VALUE!</v>
      </c>
      <c r="AZ187" s="670" t="e">
        <f t="shared" si="157"/>
        <v>#VALUE!</v>
      </c>
      <c r="BB187" s="662" t="e">
        <f>INDEX('Vessel Gauging Data'!$B$26:$V$56,MATCH($C187,'Vessel Gauging Data'!$B$26:$B$56,0),$BB$18)</f>
        <v>#N/A</v>
      </c>
      <c r="BC187" s="662" t="e">
        <f>INDEX('Vessel Gauging Data'!$B$26:$V$56,MATCH($C187,'Vessel Gauging Data'!$B$26:$B$56,0),$BC$18)</f>
        <v>#N/A</v>
      </c>
      <c r="BD187" s="662" t="e">
        <f>INDEX('Vessel Gauging Data'!$B$26:$V$56,MATCH($C187,'Vessel Gauging Data'!$B$26:$B$56,0),$BD$18)</f>
        <v>#N/A</v>
      </c>
      <c r="BE187" s="662" t="e">
        <f>INDEX('Vessel Gauging Data'!$B$26:$V$56,MATCH($C187,'Vessel Gauging Data'!$B$26:$B$56,0),$BE$18)</f>
        <v>#N/A</v>
      </c>
    </row>
    <row r="188" spans="1:57" hidden="1">
      <c r="A188" s="641" t="str">
        <f t="shared" si="172"/>
        <v>N</v>
      </c>
      <c r="C188" s="235" t="str">
        <f t="array" ref="C188">IF(SUMPRODUCT((ISERROR(MATCH('Vessel Gauging Data'!$C$27:$C$56,IF(GRADECHNO=2,RESIDUALS,IF(GRADECHNO=3,DISTILLATES,GRADESLIST)),0))=FALSE)*('Vessel Gauging Data'!$D$27:$D$56=NOMN)*1)&lt;ROWS($C$160:$C188),"",INDEX('Vessel Gauging Data'!$B$27:$B$56,SMALL(IF(((ISERROR(MATCH('Vessel Gauging Data'!$C$27:$C$56,IF(GRADECHNO=2,RESIDUALS,IF(GRADECHNO=3,DISTILLATES,GRADESLIST)),0))=FALSE)+('Vessel Gauging Data'!$D$27:$D$56=NOMN))=2,ROW('Vessel Gauging Data'!$B$27:$B$56)-ROW('Vessel Gauging Data'!$C$26)),ROW()-ROW(C$159))))</f>
        <v/>
      </c>
      <c r="D188" s="211" t="str">
        <f>IF(OR($C188="",$C188=0),"",INDEX('Vessel Gauging Data'!$B$26:$V$56,MATCH($C188,'Vessel Gauging Data'!$B$27:$B$56,0)+1,2))</f>
        <v/>
      </c>
      <c r="E188" s="1016" t="str">
        <f t="shared" si="158"/>
        <v/>
      </c>
      <c r="F188" s="1016" t="str">
        <f t="shared" si="159"/>
        <v/>
      </c>
      <c r="G188" s="1016" t="str">
        <f t="shared" si="160"/>
        <v/>
      </c>
      <c r="H188" s="1016" t="str">
        <f t="shared" si="160"/>
        <v/>
      </c>
      <c r="I188" s="211" t="str">
        <f t="shared" si="161"/>
        <v/>
      </c>
      <c r="J188" s="1016" t="str">
        <f t="shared" si="162"/>
        <v/>
      </c>
      <c r="K188" s="213" t="str">
        <f t="shared" si="163"/>
        <v/>
      </c>
      <c r="L188" s="212" t="str">
        <f t="shared" si="164"/>
        <v/>
      </c>
      <c r="M188" s="1125" t="str">
        <f>IF(OR($C188="",$C188=0),"",INDEX(API1DENST,MATCH($C188,'Vessel Gauging Data'!$B$27:$B$56,0),$AA$1))</f>
        <v/>
      </c>
      <c r="N188" s="212" t="str">
        <f t="shared" si="165"/>
        <v/>
      </c>
      <c r="O188" s="1016" t="str">
        <f t="shared" si="196"/>
        <v/>
      </c>
      <c r="P188" s="1125" t="str">
        <f t="shared" si="197"/>
        <v/>
      </c>
      <c r="Q188" s="1016" t="str">
        <f t="shared" si="198"/>
        <v/>
      </c>
      <c r="R188" s="214" t="str">
        <f t="shared" si="199"/>
        <v/>
      </c>
      <c r="S188" s="1125" t="str">
        <f t="shared" si="200"/>
        <v/>
      </c>
      <c r="T188" s="236" t="str">
        <f t="shared" si="201"/>
        <v/>
      </c>
      <c r="V188" s="642" t="e">
        <f>INDEX('Vessel Gauging Data'!$B$26:$V$56,MATCH($C188,'Vessel Gauging Data'!$B$26:$B$56,0),$V$18)</f>
        <v>#N/A</v>
      </c>
      <c r="W188" s="642" t="e">
        <f>INDEX('Vessel Gauging Data'!$B$26:$V$56,MATCH($C188,'Vessel Gauging Data'!$B$26:$B$56,0),$W$18)</f>
        <v>#N/A</v>
      </c>
      <c r="X188" s="642" t="e">
        <f>INDEX('Vessel Gauging Data'!$B$26:$V$56,MATCH($C188,'Vessel Gauging Data'!$B$26:$B$56,0),$X$18)</f>
        <v>#N/A</v>
      </c>
      <c r="Y188" s="642" t="e">
        <f>INDEX('Vessel Gauging Data'!$B$26:$V$56,MATCH($C188,'Vessel Gauging Data'!$B$26:$B$56,0),$Y$18)</f>
        <v>#N/A</v>
      </c>
      <c r="Z188" s="642" t="e">
        <f>INDEX('Vessel Gauging Data'!$B$26:$V$56,MATCH($C188,'Vessel Gauging Data'!$B$26:$B$56,0),$Z$18)</f>
        <v>#N/A</v>
      </c>
      <c r="AB188" s="642" t="e">
        <f>INDEX(API1DENST,MATCH($C188,'Vessel Gauging Data'!$B$27:$B$56,0),1)</f>
        <v>#N/A</v>
      </c>
      <c r="AC188" s="642" t="e">
        <f t="shared" si="138"/>
        <v>#N/A</v>
      </c>
      <c r="AE188" s="661" t="e">
        <f t="shared" si="139"/>
        <v>#VALUE!</v>
      </c>
      <c r="AF188" s="661" t="e">
        <f t="shared" si="140"/>
        <v>#VALUE!</v>
      </c>
      <c r="AH188" s="662" t="str">
        <f t="shared" si="173"/>
        <v/>
      </c>
      <c r="AI188" s="662" t="str">
        <f t="shared" si="174"/>
        <v/>
      </c>
      <c r="AJ188" s="663">
        <f t="shared" si="141"/>
        <v>192.4571</v>
      </c>
      <c r="AK188" s="660">
        <f t="shared" si="142"/>
        <v>0.24379999999999999</v>
      </c>
      <c r="AL188" s="660" t="e">
        <f t="shared" si="143"/>
        <v>#VALUE!</v>
      </c>
      <c r="AM188" s="664" t="e">
        <f t="shared" si="144"/>
        <v>#VALUE!</v>
      </c>
      <c r="AN188" s="664" t="e">
        <f t="shared" si="145"/>
        <v>#VALUE!</v>
      </c>
      <c r="AO188" s="665" t="e">
        <f t="shared" si="146"/>
        <v>#VALUE!</v>
      </c>
      <c r="AP188" s="666" t="e">
        <f t="shared" si="147"/>
        <v>#VALUE!</v>
      </c>
      <c r="AQ188" s="660" t="e">
        <f t="shared" si="148"/>
        <v>#VALUE!</v>
      </c>
      <c r="AR188" s="667" t="e">
        <f t="shared" si="149"/>
        <v>#VALUE!</v>
      </c>
      <c r="AS188" s="667" t="e">
        <f t="shared" si="150"/>
        <v>#VALUE!</v>
      </c>
      <c r="AT188" s="668" t="e">
        <f t="shared" si="151"/>
        <v>#VALUE!</v>
      </c>
      <c r="AU188" s="667" t="e">
        <f t="shared" si="152"/>
        <v>#VALUE!</v>
      </c>
      <c r="AV188" s="669" t="e">
        <f t="shared" si="153"/>
        <v>#VALUE!</v>
      </c>
      <c r="AW188" s="667" t="e">
        <f t="shared" si="154"/>
        <v>#VALUE!</v>
      </c>
      <c r="AX188" s="667" t="e">
        <f t="shared" si="155"/>
        <v>#VALUE!</v>
      </c>
      <c r="AY188" s="660" t="e">
        <f t="shared" si="156"/>
        <v>#VALUE!</v>
      </c>
      <c r="AZ188" s="670" t="e">
        <f t="shared" si="157"/>
        <v>#VALUE!</v>
      </c>
      <c r="BB188" s="662" t="e">
        <f>INDEX('Vessel Gauging Data'!$B$26:$V$56,MATCH($C188,'Vessel Gauging Data'!$B$26:$B$56,0),$BB$18)</f>
        <v>#N/A</v>
      </c>
      <c r="BC188" s="662" t="e">
        <f>INDEX('Vessel Gauging Data'!$B$26:$V$56,MATCH($C188,'Vessel Gauging Data'!$B$26:$B$56,0),$BC$18)</f>
        <v>#N/A</v>
      </c>
      <c r="BD188" s="662" t="e">
        <f>INDEX('Vessel Gauging Data'!$B$26:$V$56,MATCH($C188,'Vessel Gauging Data'!$B$26:$B$56,0),$BD$18)</f>
        <v>#N/A</v>
      </c>
      <c r="BE188" s="662" t="e">
        <f>INDEX('Vessel Gauging Data'!$B$26:$V$56,MATCH($C188,'Vessel Gauging Data'!$B$26:$B$56,0),$BE$18)</f>
        <v>#N/A</v>
      </c>
    </row>
    <row r="189" spans="1:57" hidden="1">
      <c r="A189" s="641" t="str">
        <f t="shared" si="172"/>
        <v>N</v>
      </c>
      <c r="C189" s="237" t="str">
        <f t="array" ref="C189">IF(SUMPRODUCT((ISERROR(MATCH('Vessel Gauging Data'!$C$27:$C$56,IF(GRADECHNO=2,RESIDUALS,IF(GRADECHNO=3,DISTILLATES,GRADESLIST)),0))=FALSE)*('Vessel Gauging Data'!$D$27:$D$56=NOMN)*1)&lt;ROWS($C$160:$C189),"",INDEX('Vessel Gauging Data'!$B$27:$B$56,SMALL(IF(((ISERROR(MATCH('Vessel Gauging Data'!$C$27:$C$56,IF(GRADECHNO=2,RESIDUALS,IF(GRADECHNO=3,DISTILLATES,GRADESLIST)),0))=FALSE)+('Vessel Gauging Data'!$D$27:$D$56=NOMN))=2,ROW('Vessel Gauging Data'!$B$27:$B$56)-ROW('Vessel Gauging Data'!$C$26)),ROW()-ROW(C$159))))</f>
        <v/>
      </c>
      <c r="D189" s="238" t="str">
        <f>IF(OR($C189="",$C189=0),"",INDEX('Vessel Gauging Data'!$B$26:$V$56,MATCH($C189,'Vessel Gauging Data'!$B$27:$B$56,0)+1,2))</f>
        <v/>
      </c>
      <c r="E189" s="1017" t="str">
        <f t="shared" si="158"/>
        <v/>
      </c>
      <c r="F189" s="1017" t="str">
        <f t="shared" si="159"/>
        <v/>
      </c>
      <c r="G189" s="1017" t="str">
        <f t="shared" si="160"/>
        <v/>
      </c>
      <c r="H189" s="1017" t="str">
        <f t="shared" si="160"/>
        <v/>
      </c>
      <c r="I189" s="238" t="str">
        <f t="shared" si="161"/>
        <v/>
      </c>
      <c r="J189" s="1017" t="str">
        <f t="shared" si="162"/>
        <v/>
      </c>
      <c r="K189" s="240" t="str">
        <f t="shared" si="163"/>
        <v/>
      </c>
      <c r="L189" s="239" t="str">
        <f t="shared" si="164"/>
        <v/>
      </c>
      <c r="M189" s="1126" t="str">
        <f>IF(OR($C189="",$C189=0),"",INDEX(API1DENST,MATCH($C189,'Vessel Gauging Data'!$B$27:$B$56,0),$AA$1))</f>
        <v/>
      </c>
      <c r="N189" s="239" t="str">
        <f t="shared" si="165"/>
        <v/>
      </c>
      <c r="O189" s="1017" t="str">
        <f t="shared" si="196"/>
        <v/>
      </c>
      <c r="P189" s="1126" t="str">
        <f t="shared" si="197"/>
        <v/>
      </c>
      <c r="Q189" s="1017" t="str">
        <f t="shared" si="198"/>
        <v/>
      </c>
      <c r="R189" s="241" t="str">
        <f t="shared" si="199"/>
        <v/>
      </c>
      <c r="S189" s="1126" t="str">
        <f t="shared" si="200"/>
        <v/>
      </c>
      <c r="T189" s="242" t="str">
        <f t="shared" si="201"/>
        <v/>
      </c>
      <c r="V189" s="642" t="e">
        <f>INDEX('Vessel Gauging Data'!$B$26:$V$56,MATCH($C189,'Vessel Gauging Data'!$B$26:$B$56,0),$V$18)</f>
        <v>#N/A</v>
      </c>
      <c r="W189" s="642" t="e">
        <f>INDEX('Vessel Gauging Data'!$B$26:$V$56,MATCH($C189,'Vessel Gauging Data'!$B$26:$B$56,0),$W$18)</f>
        <v>#N/A</v>
      </c>
      <c r="X189" s="642" t="e">
        <f>INDEX('Vessel Gauging Data'!$B$26:$V$56,MATCH($C189,'Vessel Gauging Data'!$B$26:$B$56,0),$X$18)</f>
        <v>#N/A</v>
      </c>
      <c r="Y189" s="642" t="e">
        <f>INDEX('Vessel Gauging Data'!$B$26:$V$56,MATCH($C189,'Vessel Gauging Data'!$B$26:$B$56,0),$Y$18)</f>
        <v>#N/A</v>
      </c>
      <c r="Z189" s="642" t="e">
        <f>INDEX('Vessel Gauging Data'!$B$26:$V$56,MATCH($C189,'Vessel Gauging Data'!$B$26:$B$56,0),$Z$18)</f>
        <v>#N/A</v>
      </c>
      <c r="AB189" s="642" t="e">
        <f>INDEX(API1DENST,MATCH($C189,'Vessel Gauging Data'!$B$27:$B$56,0),1)</f>
        <v>#N/A</v>
      </c>
      <c r="AC189" s="642" t="e">
        <f t="shared" si="138"/>
        <v>#N/A</v>
      </c>
      <c r="AE189" s="661" t="e">
        <f t="shared" si="139"/>
        <v>#VALUE!</v>
      </c>
      <c r="AF189" s="661" t="e">
        <f t="shared" si="140"/>
        <v>#VALUE!</v>
      </c>
      <c r="AH189" s="662" t="str">
        <f t="shared" si="173"/>
        <v/>
      </c>
      <c r="AI189" s="662" t="str">
        <f t="shared" si="174"/>
        <v/>
      </c>
      <c r="AJ189" s="663">
        <f t="shared" si="141"/>
        <v>192.4571</v>
      </c>
      <c r="AK189" s="660">
        <f t="shared" si="142"/>
        <v>0.24379999999999999</v>
      </c>
      <c r="AL189" s="660" t="e">
        <f t="shared" si="143"/>
        <v>#VALUE!</v>
      </c>
      <c r="AM189" s="664" t="e">
        <f t="shared" si="144"/>
        <v>#VALUE!</v>
      </c>
      <c r="AN189" s="664" t="e">
        <f t="shared" si="145"/>
        <v>#VALUE!</v>
      </c>
      <c r="AO189" s="665" t="e">
        <f t="shared" si="146"/>
        <v>#VALUE!</v>
      </c>
      <c r="AP189" s="666" t="e">
        <f t="shared" si="147"/>
        <v>#VALUE!</v>
      </c>
      <c r="AQ189" s="660" t="e">
        <f t="shared" si="148"/>
        <v>#VALUE!</v>
      </c>
      <c r="AR189" s="667" t="e">
        <f t="shared" si="149"/>
        <v>#VALUE!</v>
      </c>
      <c r="AS189" s="667" t="e">
        <f t="shared" si="150"/>
        <v>#VALUE!</v>
      </c>
      <c r="AT189" s="668" t="e">
        <f t="shared" si="151"/>
        <v>#VALUE!</v>
      </c>
      <c r="AU189" s="667" t="e">
        <f t="shared" si="152"/>
        <v>#VALUE!</v>
      </c>
      <c r="AV189" s="669" t="e">
        <f t="shared" si="153"/>
        <v>#VALUE!</v>
      </c>
      <c r="AW189" s="667" t="e">
        <f t="shared" si="154"/>
        <v>#VALUE!</v>
      </c>
      <c r="AX189" s="667" t="e">
        <f t="shared" si="155"/>
        <v>#VALUE!</v>
      </c>
      <c r="AY189" s="660" t="e">
        <f t="shared" si="156"/>
        <v>#VALUE!</v>
      </c>
      <c r="AZ189" s="670" t="e">
        <f t="shared" si="157"/>
        <v>#VALUE!</v>
      </c>
      <c r="BB189" s="662" t="e">
        <f>INDEX('Vessel Gauging Data'!$B$26:$V$56,MATCH($C189,'Vessel Gauging Data'!$B$26:$B$56,0),$BB$18)</f>
        <v>#N/A</v>
      </c>
      <c r="BC189" s="662" t="e">
        <f>INDEX('Vessel Gauging Data'!$B$26:$V$56,MATCH($C189,'Vessel Gauging Data'!$B$26:$B$56,0),$BC$18)</f>
        <v>#N/A</v>
      </c>
      <c r="BD189" s="662" t="e">
        <f>INDEX('Vessel Gauging Data'!$B$26:$V$56,MATCH($C189,'Vessel Gauging Data'!$B$26:$B$56,0),$BD$18)</f>
        <v>#N/A</v>
      </c>
      <c r="BE189" s="662" t="e">
        <f>INDEX('Vessel Gauging Data'!$B$26:$V$56,MATCH($C189,'Vessel Gauging Data'!$B$26:$B$56,0),$BE$18)</f>
        <v>#N/A</v>
      </c>
    </row>
    <row r="190" spans="1:57">
      <c r="A190" s="641" t="str">
        <f>A159</f>
        <v>Y</v>
      </c>
      <c r="C190" s="671"/>
      <c r="D190" s="671"/>
      <c r="E190" s="672"/>
      <c r="F190" s="672"/>
      <c r="G190" s="672"/>
      <c r="H190" s="1501"/>
      <c r="I190" s="671"/>
      <c r="J190" s="672"/>
      <c r="K190" s="673"/>
      <c r="L190" s="672"/>
      <c r="M190" s="674"/>
      <c r="N190" s="672"/>
      <c r="O190" s="672"/>
      <c r="P190" s="1127"/>
      <c r="Q190" s="672"/>
      <c r="R190" s="675"/>
      <c r="S190" s="1138" t="s">
        <v>401</v>
      </c>
      <c r="T190" s="620">
        <f>SUM(T160:T189)</f>
        <v>115.43400000000001</v>
      </c>
      <c r="V190" s="676"/>
      <c r="W190" s="676"/>
      <c r="X190" s="676"/>
      <c r="Y190" s="676"/>
      <c r="Z190" s="676"/>
      <c r="AB190" s="676"/>
      <c r="AC190" s="676"/>
      <c r="AE190" s="677"/>
      <c r="AF190" s="677"/>
      <c r="AH190" s="678"/>
      <c r="AI190" s="678"/>
      <c r="AJ190" s="679"/>
      <c r="AK190" s="680"/>
      <c r="AL190" s="680"/>
      <c r="AM190" s="681"/>
      <c r="AN190" s="681"/>
      <c r="AO190" s="682"/>
      <c r="AP190" s="683"/>
      <c r="AQ190" s="680"/>
      <c r="AR190" s="684"/>
      <c r="AS190" s="684"/>
      <c r="AT190" s="685"/>
      <c r="AU190" s="684"/>
      <c r="AV190" s="686"/>
      <c r="AW190" s="684"/>
      <c r="AX190" s="684"/>
      <c r="AY190" s="680"/>
      <c r="AZ190" s="687"/>
      <c r="BB190" s="678"/>
      <c r="BC190" s="678"/>
      <c r="BD190" s="678"/>
      <c r="BE190" s="678"/>
    </row>
    <row r="191" spans="1:57" s="702" customFormat="1" ht="5.25">
      <c r="A191" s="702" t="s">
        <v>284</v>
      </c>
      <c r="C191" s="704"/>
      <c r="D191" s="704"/>
      <c r="E191" s="704"/>
      <c r="F191" s="704"/>
      <c r="G191" s="704"/>
      <c r="H191" s="704"/>
      <c r="I191" s="704"/>
      <c r="J191" s="704"/>
      <c r="K191" s="704"/>
      <c r="L191" s="704"/>
      <c r="M191" s="704"/>
      <c r="N191" s="704"/>
      <c r="O191" s="704"/>
      <c r="P191" s="1130"/>
      <c r="Q191" s="704"/>
      <c r="R191" s="704"/>
      <c r="S191" s="1139"/>
      <c r="T191" s="748"/>
      <c r="V191" s="707"/>
      <c r="W191" s="707"/>
      <c r="X191" s="707"/>
      <c r="Y191" s="707"/>
      <c r="Z191" s="707"/>
      <c r="AA191" s="707"/>
      <c r="AB191" s="707"/>
      <c r="AC191" s="707"/>
      <c r="AD191" s="707"/>
      <c r="AE191" s="708"/>
      <c r="AF191" s="708"/>
      <c r="AG191" s="707"/>
      <c r="AH191" s="709"/>
      <c r="AI191" s="709"/>
      <c r="AJ191" s="710"/>
      <c r="AK191" s="711"/>
      <c r="AL191" s="711"/>
      <c r="AM191" s="712"/>
      <c r="AN191" s="712"/>
      <c r="AO191" s="713"/>
      <c r="AP191" s="714"/>
      <c r="AQ191" s="711"/>
      <c r="AR191" s="715"/>
      <c r="AS191" s="715"/>
      <c r="AT191" s="716"/>
      <c r="AU191" s="715"/>
      <c r="AV191" s="717"/>
      <c r="AW191" s="715"/>
      <c r="AX191" s="715"/>
      <c r="AY191" s="711"/>
      <c r="AZ191" s="718"/>
      <c r="BA191" s="707"/>
      <c r="BB191" s="709"/>
      <c r="BC191" s="709"/>
      <c r="BD191" s="709"/>
      <c r="BE191" s="709"/>
    </row>
    <row r="192" spans="1:57" hidden="1">
      <c r="A192" s="654" t="str">
        <f>IF(SUMCALC="No","N","Y")</f>
        <v>N</v>
      </c>
      <c r="C192" s="777" t="str">
        <f>C19</f>
        <v>BEFORE BUNKERING (OPENING GAUGING)</v>
      </c>
      <c r="D192" s="778"/>
      <c r="E192" s="778"/>
      <c r="F192" s="778"/>
      <c r="G192" s="778" t="s">
        <v>401</v>
      </c>
      <c r="H192" s="778"/>
      <c r="I192" s="779"/>
      <c r="J192" s="780">
        <f>SUMIF($A21:$A189,"Y",(J21:J189))</f>
        <v>140.80000000000001</v>
      </c>
      <c r="K192" s="780"/>
      <c r="L192" s="780">
        <f>SUMIF($A21:$A189,"Y",(L21:L189))</f>
        <v>0</v>
      </c>
      <c r="M192" s="780"/>
      <c r="N192" s="780"/>
      <c r="O192" s="780">
        <f>SUMIF($A21:$A189,"Y",(O21:O189))</f>
        <v>140.80000000000001</v>
      </c>
      <c r="P192" s="1131"/>
      <c r="Q192" s="780">
        <f>SUMIF($A21:$A189,"Y",(Q21:Q189))</f>
        <v>138.04399999999998</v>
      </c>
      <c r="R192" s="780">
        <f>SUMIF($A21:$A189,"Y",(R21:R189))</f>
        <v>115.667</v>
      </c>
      <c r="S192" s="1131"/>
      <c r="T192" s="781">
        <f>SUMIF($A21:$A190,"Y",(T21:T190))/2</f>
        <v>115.51600000000001</v>
      </c>
    </row>
    <row r="193" spans="1:57" hidden="1">
      <c r="A193" s="654" t="str">
        <f>A192</f>
        <v>N</v>
      </c>
      <c r="C193" s="782"/>
      <c r="D193" s="783"/>
      <c r="E193" s="783"/>
      <c r="F193" s="783"/>
      <c r="G193" s="783" t="s">
        <v>403</v>
      </c>
      <c r="H193" s="783"/>
      <c r="I193" s="784"/>
      <c r="J193" s="785">
        <f>SUMIF($A21:$A156,"Y",(J21:J156))</f>
        <v>0.1</v>
      </c>
      <c r="K193" s="785"/>
      <c r="L193" s="785">
        <f>SUMIF($A21:$A156,"Y",(L21:L156))</f>
        <v>0</v>
      </c>
      <c r="M193" s="785"/>
      <c r="N193" s="785"/>
      <c r="O193" s="785">
        <f>SUMIF($A21:$A156,"Y",(O21:O156))</f>
        <v>0.1</v>
      </c>
      <c r="P193" s="1132"/>
      <c r="Q193" s="785">
        <f>SUMIF($A21:$A156,"Y",(Q21:Q156))</f>
        <v>9.8000000000000004E-2</v>
      </c>
      <c r="R193" s="785">
        <f>SUMIF($A21:$A156,"Y",(R21:R156))</f>
        <v>8.2000000000000003E-2</v>
      </c>
      <c r="S193" s="1132"/>
      <c r="T193" s="786">
        <f>SUMIF($A21:$A157,"Y",(T21:T157))/2</f>
        <v>8.2000000000000003E-2</v>
      </c>
    </row>
    <row r="194" spans="1:57" hidden="1">
      <c r="A194" s="688" t="str">
        <f>A192</f>
        <v>N</v>
      </c>
      <c r="C194" s="787"/>
      <c r="D194" s="788"/>
      <c r="E194" s="788"/>
      <c r="F194" s="788"/>
      <c r="G194" s="788" t="s">
        <v>402</v>
      </c>
      <c r="H194" s="788"/>
      <c r="I194" s="789"/>
      <c r="J194" s="790">
        <f>SUMIF($A159:$A189,"Y",(J159:J189))</f>
        <v>140.69999999999999</v>
      </c>
      <c r="K194" s="790"/>
      <c r="L194" s="790">
        <f>SUMIF($A159:$A189,"Y",(L159:L189))</f>
        <v>0</v>
      </c>
      <c r="M194" s="790"/>
      <c r="N194" s="790"/>
      <c r="O194" s="790">
        <f>SUMIF($A159:$A189,"Y",(O159:O189))</f>
        <v>140.69999999999999</v>
      </c>
      <c r="P194" s="1133"/>
      <c r="Q194" s="790">
        <f>SUMIF($A159:$A189,"Y",(Q159:Q189))</f>
        <v>137.946</v>
      </c>
      <c r="R194" s="790">
        <f>SUMIF($A159:$A189,"Y",(R159:R189))</f>
        <v>115.58500000000001</v>
      </c>
      <c r="S194" s="1133"/>
      <c r="T194" s="791">
        <f>SUMIF($A159:$A190,"Y",(T159:T190))/2</f>
        <v>115.43400000000001</v>
      </c>
    </row>
    <row r="195" spans="1:57" s="702" customFormat="1" ht="5.25" hidden="1">
      <c r="A195" s="702" t="str">
        <f>A192</f>
        <v>N</v>
      </c>
      <c r="P195" s="1134"/>
      <c r="S195" s="1134"/>
    </row>
    <row r="196" spans="1:57" s="658" customFormat="1" ht="18.75">
      <c r="A196" s="658" t="s">
        <v>284</v>
      </c>
      <c r="C196" s="695" t="s">
        <v>164</v>
      </c>
      <c r="D196" s="696"/>
      <c r="E196" s="696"/>
      <c r="F196" s="696"/>
      <c r="G196" s="696"/>
      <c r="H196" s="696"/>
      <c r="I196" s="696"/>
      <c r="J196" s="696"/>
      <c r="K196" s="696"/>
      <c r="L196" s="696"/>
      <c r="M196" s="696"/>
      <c r="N196" s="696"/>
      <c r="O196" s="696"/>
      <c r="P196" s="1135"/>
      <c r="Q196" s="696"/>
      <c r="R196" s="696"/>
      <c r="S196" s="1135"/>
      <c r="T196" s="697"/>
      <c r="W196" s="1155" t="s">
        <v>39</v>
      </c>
      <c r="X196" s="1151" t="s">
        <v>38</v>
      </c>
      <c r="Y196" s="1151" t="s">
        <v>38</v>
      </c>
      <c r="Z196" s="1151" t="s">
        <v>36</v>
      </c>
      <c r="BB196" s="1151" t="s">
        <v>37</v>
      </c>
      <c r="BC196" s="1152" t="s">
        <v>352</v>
      </c>
      <c r="BD196" s="1151" t="s">
        <v>170</v>
      </c>
      <c r="BE196" s="1151" t="s">
        <v>169</v>
      </c>
    </row>
    <row r="197" spans="1:57" s="707" customFormat="1" ht="5.25">
      <c r="A197" s="702" t="s">
        <v>284</v>
      </c>
      <c r="B197" s="702"/>
      <c r="C197" s="704"/>
      <c r="D197" s="704"/>
      <c r="E197" s="704"/>
      <c r="F197" s="704"/>
      <c r="G197" s="705"/>
      <c r="H197" s="705"/>
      <c r="I197" s="705"/>
      <c r="J197" s="706"/>
      <c r="K197" s="706"/>
      <c r="L197" s="706"/>
      <c r="M197" s="706"/>
      <c r="N197" s="706"/>
      <c r="O197" s="706"/>
      <c r="P197" s="1136"/>
      <c r="Q197" s="706"/>
      <c r="R197" s="706"/>
      <c r="S197" s="1140"/>
      <c r="T197" s="747"/>
      <c r="W197" s="1156"/>
      <c r="X197" s="1156"/>
      <c r="Y197" s="1156"/>
      <c r="Z197" s="1156"/>
      <c r="AC197" s="708"/>
      <c r="AD197" s="708"/>
      <c r="AF197" s="709"/>
      <c r="AG197" s="709"/>
      <c r="AH197" s="710"/>
      <c r="AI197" s="711"/>
      <c r="AJ197" s="711"/>
      <c r="AK197" s="712"/>
      <c r="AL197" s="712"/>
      <c r="AM197" s="713"/>
      <c r="AN197" s="714"/>
      <c r="AO197" s="711"/>
      <c r="AP197" s="715"/>
      <c r="AQ197" s="715"/>
      <c r="AR197" s="716"/>
      <c r="AS197" s="715"/>
      <c r="AT197" s="717"/>
      <c r="AU197" s="715"/>
      <c r="AV197" s="715"/>
      <c r="AW197" s="711"/>
      <c r="AX197" s="718"/>
      <c r="AZ197" s="709"/>
      <c r="BA197" s="709"/>
      <c r="BB197" s="1156"/>
      <c r="BC197" s="1156"/>
      <c r="BD197" s="1156"/>
      <c r="BE197" s="1156"/>
    </row>
    <row r="198" spans="1:57" ht="15.75" hidden="1">
      <c r="A198" s="641" t="str">
        <f t="shared" ref="A198:A229" si="202">A21</f>
        <v>N</v>
      </c>
      <c r="B198" s="641">
        <v>1</v>
      </c>
      <c r="C198" s="2797" t="s">
        <v>163</v>
      </c>
      <c r="D198" s="2798"/>
      <c r="E198" s="2799" t="str">
        <f t="shared" ref="E198:E218" si="203">E21</f>
        <v>HSFO</v>
      </c>
      <c r="F198" s="2800"/>
      <c r="G198" s="2800"/>
      <c r="H198" s="2800"/>
      <c r="I198" s="2801"/>
      <c r="J198" s="700"/>
      <c r="K198" s="699"/>
      <c r="L198" s="700"/>
      <c r="M198" s="699"/>
      <c r="N198" s="699"/>
      <c r="O198" s="700"/>
      <c r="P198" s="1129"/>
      <c r="Q198" s="700"/>
      <c r="R198" s="701"/>
      <c r="S198" s="1129"/>
      <c r="T198" s="701"/>
      <c r="W198" s="1151" t="str">
        <f>'Vessel Gauging Data'!F26</f>
        <v>5</v>
      </c>
      <c r="X198" s="1151" t="str">
        <f>'Vessel Gauging Data'!P26</f>
        <v>15</v>
      </c>
      <c r="Y198" s="1151" t="str">
        <f>'Vessel Gauging Data'!Q26</f>
        <v>16</v>
      </c>
      <c r="Z198" s="1151" t="str">
        <f>'Vessel Gauging Data'!S26</f>
        <v>18</v>
      </c>
      <c r="BB198" s="1151" t="str">
        <f>'Vessel Gauging Data'!O26</f>
        <v>14</v>
      </c>
      <c r="BC198" s="1154" t="str">
        <f>'Vessel Gauging Data'!R26</f>
        <v>17</v>
      </c>
      <c r="BD198" s="1154">
        <f>'Vessel Gauging Data'!U26</f>
        <v>20</v>
      </c>
      <c r="BE198" s="1154">
        <f>'Vessel Gauging Data'!V26</f>
        <v>21</v>
      </c>
    </row>
    <row r="199" spans="1:57" hidden="1">
      <c r="A199" s="641" t="str">
        <f t="shared" si="202"/>
        <v>N</v>
      </c>
      <c r="C199" s="622" t="str">
        <f t="shared" ref="C199:D218" si="204">C22</f>
        <v/>
      </c>
      <c r="D199" s="623" t="str">
        <f t="shared" si="204"/>
        <v/>
      </c>
      <c r="E199" s="1018" t="str">
        <f t="shared" si="203"/>
        <v/>
      </c>
      <c r="F199" s="1018" t="str">
        <f t="shared" ref="F199:F218" si="205">IF(ISERROR(W199),"",IF(OR($C199="",$C199=0),"",IF(ISTEXT(W199),W199,IF($AB$1=1,W199*UNITOR_1,INT(W199*UNITOR_1)&amp;"'-"&amp;TRIM(TEXT(ROUND(MOD(W199*UNITOR_1,1)*12,1),"# ???/???"))&amp;""""))))</f>
        <v/>
      </c>
      <c r="G199" s="1018" t="str">
        <f t="shared" ref="G199:H218" si="206">IF(ISERROR(X199),"",IF(OR($C199="",$C199=0),"",IF(ISTEXT(X199),X199,IF($AB$1=1,X199*UNITOR_1,INT(X199*UNITOR_1)&amp;"'-"&amp;TRIM(TEXT(ROUND(MOD(X199*UNITOR_1,1)*12,1),"# ???/???"))&amp;""""))))</f>
        <v/>
      </c>
      <c r="H199" s="1018" t="str">
        <f t="shared" si="206"/>
        <v/>
      </c>
      <c r="I199" s="623" t="str">
        <f t="shared" ref="I199:I218" si="207">IF(ISERROR($BB199),"",IF(OR($C199="",$C199=0,$BB199=0),"",$BB199))</f>
        <v/>
      </c>
      <c r="J199" s="1018" t="str">
        <f t="shared" ref="J199:J218" si="208">IF(ISERROR($BC199),"",IF(OR($C199="",$C199=0,$BC199=""),"",IF(ISTEXT($BC199),$BC199,$BC199*IF($AA$1=B1SEL,1,IF($AA$1=2,FBBLS,1/FBBLS)))))</f>
        <v/>
      </c>
      <c r="K199" s="625" t="str">
        <f t="shared" ref="K199:K218" si="209">IF(ISERROR($BD199),"",IF(OR($C199="",$C199=0,$BD199=""),0,IF(ISTEXT($BD199),$BD199,$BD199*IF($AB$1=W1SEL,1,IF($AB$1=2,FINCH,1/FINCH)))))</f>
        <v/>
      </c>
      <c r="L199" s="624" t="str">
        <f t="shared" ref="L199:L218" si="210">IF(ISERROR($BE199),"",IF(OR($C199="",$C199=0,$BE199=""),0,IF(ISTEXT($BE199),$BE199,$BE199*IF($AA$1=B1SEL,1,IF($AA$1=2,FBBLS,1/FBBLS)))))</f>
        <v/>
      </c>
      <c r="M199" s="1124" t="str">
        <f>IF(OR($C199="",$C199=0),"",INDEX(API2DENST,MATCH($C199,'Vessel Gauging Data'!$B$27:$B$56,0),$AA$1))</f>
        <v/>
      </c>
      <c r="N199" s="624" t="str">
        <f t="shared" ref="N199:N218" si="211">IF(ISERROR(Z199),"",IF(OR($C199="",$C199=0,Z199=""),"",IF(ISTEXT(Z199),Z199,IF($AA$1=T1SEL,Z199,IF($AA$1=2,(Z199*9/5)+32,(Z199-32)*5/9)))))</f>
        <v/>
      </c>
      <c r="O199" s="1018" t="str">
        <f t="shared" ref="O199:O218" si="212">IF(OR(J199="",L199=""),"",IF(ISTEXT(J199),"N/A",IF(ISTEXT(L199),J199,J199-L199)))</f>
        <v/>
      </c>
      <c r="P199" s="1124" t="str">
        <f t="shared" ref="P199:P218" si="213">IF(OR(M199="",N199=""),"",IF(OR(ISTEXT(M199),ISTEXT(N199)),"N/A",IF($AA$1=1,ROUND(EXP(-AF199*(N199-15)*(1+0.8*AF199*(N199-15))),5),AZ199)))</f>
        <v/>
      </c>
      <c r="Q199" s="1018" t="str">
        <f t="shared" ref="Q199:Q218" si="214">IF(OR(M199="",N199=""),"",IF(OR(ISTEXT(M199),ISTEXT(N199)),"N/A",ROUND(O199*P199,3)))</f>
        <v/>
      </c>
      <c r="R199" s="626" t="str">
        <f t="shared" ref="R199:R218" si="215">IF(M199="","",IF($AA$1=1,IF(ISTEXT(Q199),"N/A",ROUND(Q199*M199,3)),IF(ISTEXT(T199),"N/A",ROUND(T199*AC199,3))))</f>
        <v/>
      </c>
      <c r="S199" s="1124" t="str">
        <f t="shared" ref="S199:S218" si="216">IF(M199="","",IF($AA$1=1,ROUND(M199-0.0011,5),ROUND((1.00122697*(141.5/(M199+131.5))-1.22269727*10^-3)*8.32823*42/2204.62,5+2)))</f>
        <v/>
      </c>
      <c r="T199" s="627" t="str">
        <f t="shared" ref="T199:T218" si="217">IF(OR(M199="",N199=""),"",IF(ISTEXT(Q199),"N/A",IF($AA$1=1,ROUND((Q199*(M199-0.0011)),3),ROUND(Q199*S199,3))))</f>
        <v/>
      </c>
      <c r="W199" s="642" t="e">
        <f>INDEX('Vessel Gauging Data'!$B$26:$V$56,MATCH($C199,'Vessel Gauging Data'!$B$26:$B$56,0),$W$198)</f>
        <v>#N/A</v>
      </c>
      <c r="X199" s="642" t="e">
        <f>INDEX('Vessel Gauging Data'!$B$26:$V$56,MATCH($C199,'Vessel Gauging Data'!$B$26:$B$56,0),$X$198)</f>
        <v>#N/A</v>
      </c>
      <c r="Y199" s="642" t="e">
        <f>INDEX('Vessel Gauging Data'!$B$26:$V$56,MATCH($C199,'Vessel Gauging Data'!$B$26:$B$56,0),$Y$198)</f>
        <v>#N/A</v>
      </c>
      <c r="Z199" s="642" t="e">
        <f>INDEX('Vessel Gauging Data'!$B$26:$V$56,MATCH($C199,'Vessel Gauging Data'!$B$26:$B$56,0),$Z$198)</f>
        <v>#N/A</v>
      </c>
      <c r="AB199" s="642" t="e">
        <f>INDEX(API2DENST,MATCH($C199,'Vessel Gauging Data'!$B$27:$B$56,0),1)</f>
        <v>#N/A</v>
      </c>
      <c r="AC199" s="642" t="e">
        <f t="shared" si="138"/>
        <v>#N/A</v>
      </c>
      <c r="AE199" s="661" t="e">
        <f t="shared" si="139"/>
        <v>#VALUE!</v>
      </c>
      <c r="AF199" s="661" t="e">
        <f t="shared" si="140"/>
        <v>#VALUE!</v>
      </c>
      <c r="AH199" s="662" t="str">
        <f t="shared" ref="AH199:AH232" si="218">N199</f>
        <v/>
      </c>
      <c r="AI199" s="662" t="str">
        <f t="shared" ref="AI199:AI232" si="219">M199</f>
        <v/>
      </c>
      <c r="AJ199" s="663">
        <f t="shared" si="141"/>
        <v>192.4571</v>
      </c>
      <c r="AK199" s="660">
        <f t="shared" si="142"/>
        <v>0.24379999999999999</v>
      </c>
      <c r="AL199" s="660" t="e">
        <f t="shared" si="143"/>
        <v>#VALUE!</v>
      </c>
      <c r="AM199" s="664" t="e">
        <f t="shared" si="144"/>
        <v>#VALUE!</v>
      </c>
      <c r="AN199" s="664" t="e">
        <f t="shared" si="145"/>
        <v>#VALUE!</v>
      </c>
      <c r="AO199" s="665" t="e">
        <f t="shared" si="146"/>
        <v>#VALUE!</v>
      </c>
      <c r="AP199" s="666" t="e">
        <f t="shared" si="147"/>
        <v>#VALUE!</v>
      </c>
      <c r="AQ199" s="660" t="e">
        <f t="shared" si="148"/>
        <v>#VALUE!</v>
      </c>
      <c r="AR199" s="667" t="e">
        <f t="shared" si="149"/>
        <v>#VALUE!</v>
      </c>
      <c r="AS199" s="667" t="e">
        <f t="shared" si="150"/>
        <v>#VALUE!</v>
      </c>
      <c r="AT199" s="668" t="e">
        <f t="shared" si="151"/>
        <v>#VALUE!</v>
      </c>
      <c r="AU199" s="667" t="e">
        <f t="shared" si="152"/>
        <v>#VALUE!</v>
      </c>
      <c r="AV199" s="669" t="e">
        <f t="shared" si="153"/>
        <v>#VALUE!</v>
      </c>
      <c r="AW199" s="667" t="e">
        <f t="shared" si="154"/>
        <v>#VALUE!</v>
      </c>
      <c r="AX199" s="667" t="e">
        <f t="shared" si="155"/>
        <v>#VALUE!</v>
      </c>
      <c r="AY199" s="660" t="e">
        <f t="shared" si="156"/>
        <v>#VALUE!</v>
      </c>
      <c r="AZ199" s="670" t="e">
        <f t="shared" si="157"/>
        <v>#VALUE!</v>
      </c>
      <c r="BB199" s="662" t="e">
        <f>INDEX('Vessel Gauging Data'!$B$26:$V$56,MATCH($C199,'Vessel Gauging Data'!$B$26:$B$56,0),$BB$198)</f>
        <v>#N/A</v>
      </c>
      <c r="BC199" s="662" t="e">
        <f>INDEX('Vessel Gauging Data'!$B$26:$V$56,MATCH($C199,'Vessel Gauging Data'!$B$26:$B$56,0),$BC$198)</f>
        <v>#N/A</v>
      </c>
      <c r="BD199" s="662" t="e">
        <f>INDEX('Vessel Gauging Data'!$B$26:$V$56,MATCH($C199,'Vessel Gauging Data'!$B$26:$B$56,0),$BD$198)</f>
        <v>#N/A</v>
      </c>
      <c r="BE199" s="662" t="e">
        <f>INDEX('Vessel Gauging Data'!$B$26:$V$56,MATCH($C199,'Vessel Gauging Data'!$B$26:$B$56,0),$BE$198)</f>
        <v>#N/A</v>
      </c>
    </row>
    <row r="200" spans="1:57" hidden="1">
      <c r="A200" s="641" t="str">
        <f t="shared" si="202"/>
        <v>N</v>
      </c>
      <c r="C200" s="235" t="str">
        <f t="shared" si="204"/>
        <v/>
      </c>
      <c r="D200" s="211" t="str">
        <f t="shared" si="204"/>
        <v/>
      </c>
      <c r="E200" s="1016" t="str">
        <f t="shared" si="203"/>
        <v/>
      </c>
      <c r="F200" s="1016" t="str">
        <f t="shared" si="205"/>
        <v/>
      </c>
      <c r="G200" s="1016" t="str">
        <f t="shared" si="206"/>
        <v/>
      </c>
      <c r="H200" s="1016" t="str">
        <f t="shared" si="206"/>
        <v/>
      </c>
      <c r="I200" s="211" t="str">
        <f t="shared" si="207"/>
        <v/>
      </c>
      <c r="J200" s="1016" t="str">
        <f t="shared" si="208"/>
        <v/>
      </c>
      <c r="K200" s="213" t="str">
        <f t="shared" si="209"/>
        <v/>
      </c>
      <c r="L200" s="212" t="str">
        <f t="shared" si="210"/>
        <v/>
      </c>
      <c r="M200" s="1125" t="str">
        <f>IF(OR($C200="",$C200=0),"",INDEX(API2DENST,MATCH($C200,'Vessel Gauging Data'!$B$27:$B$56,0),$AA$1))</f>
        <v/>
      </c>
      <c r="N200" s="212" t="str">
        <f t="shared" si="211"/>
        <v/>
      </c>
      <c r="O200" s="1016" t="str">
        <f t="shared" si="212"/>
        <v/>
      </c>
      <c r="P200" s="1125" t="str">
        <f t="shared" si="213"/>
        <v/>
      </c>
      <c r="Q200" s="1016" t="str">
        <f t="shared" si="214"/>
        <v/>
      </c>
      <c r="R200" s="214" t="str">
        <f t="shared" si="215"/>
        <v/>
      </c>
      <c r="S200" s="1125" t="str">
        <f t="shared" si="216"/>
        <v/>
      </c>
      <c r="T200" s="236" t="str">
        <f t="shared" si="217"/>
        <v/>
      </c>
      <c r="W200" s="642" t="e">
        <f>INDEX('Vessel Gauging Data'!$B$26:$V$56,MATCH($C200,'Vessel Gauging Data'!$B$26:$B$56,0),$W$198)</f>
        <v>#N/A</v>
      </c>
      <c r="X200" s="642" t="e">
        <f>INDEX('Vessel Gauging Data'!$B$26:$V$56,MATCH($C200,'Vessel Gauging Data'!$B$26:$B$56,0),$X$198)</f>
        <v>#N/A</v>
      </c>
      <c r="Y200" s="642" t="e">
        <f>INDEX('Vessel Gauging Data'!$B$26:$V$56,MATCH($C200,'Vessel Gauging Data'!$B$26:$B$56,0),$Y$198)</f>
        <v>#N/A</v>
      </c>
      <c r="Z200" s="642" t="e">
        <f>INDEX('Vessel Gauging Data'!$B$26:$V$56,MATCH($C200,'Vessel Gauging Data'!$B$26:$B$56,0),$Z$198)</f>
        <v>#N/A</v>
      </c>
      <c r="AB200" s="642" t="e">
        <f>INDEX(API2DENST,MATCH($C200,'Vessel Gauging Data'!$B$27:$B$56,0),1)</f>
        <v>#N/A</v>
      </c>
      <c r="AC200" s="642" t="e">
        <f t="shared" ref="AC200:AC269" si="220">((INT((AB200/(1.0001506*AB200-0.0012202))*10000)+0.5)/10000)</f>
        <v>#N/A</v>
      </c>
      <c r="AE200" s="661" t="e">
        <f t="shared" ref="AE200:AE269" si="221">ROUND(+M200/2*1000,0)*2</f>
        <v>#VALUE!</v>
      </c>
      <c r="AF200" s="661" t="e">
        <f t="shared" ref="AF200:AF269" si="222">ROUND(186.9696/(AE200*AE200)+(0.4862/AE200),8)</f>
        <v>#VALUE!</v>
      </c>
      <c r="AH200" s="662" t="str">
        <f t="shared" si="218"/>
        <v/>
      </c>
      <c r="AI200" s="662" t="str">
        <f t="shared" si="219"/>
        <v/>
      </c>
      <c r="AJ200" s="663">
        <f t="shared" ref="AJ200:AJ269" si="223">IF(AND(AI200&gt;=0,AI200&lt;=37),103.872,IF(AND(AI200&gt;=48,AI200&lt;=52),-0.0018684,IF(AND(AI200&gt;=37.1,AI200&lt;=47.9),330.301,IF(AND(AI200&gt;=52.1),192.4571))))</f>
        <v>192.4571</v>
      </c>
      <c r="AK200" s="660">
        <f t="shared" ref="AK200:AK269" si="224">IF(AND(AI200&gt;=0,AI200&lt;=37),0.2701,IF(AND(AI200&gt;=48,AJ200&lt;=52),1489.067,IF(AND(AI200&gt;=37.1,AI200&lt;=47.9),0,IF(AI200&gt;=52.1,0.2438))))</f>
        <v>0.24379999999999999</v>
      </c>
      <c r="AL200" s="660" t="e">
        <f t="shared" ref="AL200:AL269" si="225">ROUND(141360.198/(AI200+131.5),2)</f>
        <v>#VALUE!</v>
      </c>
      <c r="AM200" s="664" t="e">
        <f t="shared" ref="AM200:AM269" si="226">TRUNC(AJ200/AL200,8)</f>
        <v>#VALUE!</v>
      </c>
      <c r="AN200" s="664" t="e">
        <f t="shared" ref="AN200:AN269" si="227">TRUNC(AM200/AL200,10)</f>
        <v>#VALUE!</v>
      </c>
      <c r="AO200" s="665" t="e">
        <f t="shared" ref="AO200:AO269" si="228">TRUNC(AK200/AL200,10)</f>
        <v>#VALUE!</v>
      </c>
      <c r="AP200" s="666" t="e">
        <f t="shared" ref="AP200:AP269" si="229">IF(AND(AI200&gt;=48,AI200&lt;=52),ROUND(AW200+AJ200,7),ROUND(AN200+AO200,7))</f>
        <v>#VALUE!</v>
      </c>
      <c r="AQ200" s="660" t="e">
        <f t="shared" ref="AQ200:AQ269" si="230">AH200-60</f>
        <v>#VALUE!</v>
      </c>
      <c r="AR200" s="667" t="e">
        <f t="shared" ref="AR200:AR269" si="231">TRUNC(AP200*AQ200,8)</f>
        <v>#VALUE!</v>
      </c>
      <c r="AS200" s="667" t="e">
        <f t="shared" ref="AS200:AS269" si="232">TRUNC(0.8*AR200,8)</f>
        <v>#VALUE!</v>
      </c>
      <c r="AT200" s="668" t="e">
        <f t="shared" ref="AT200:AT269" si="233">TRUNC(0.8*AP200^2*AQ200^2,8)</f>
        <v>#VALUE!</v>
      </c>
      <c r="AU200" s="667" t="e">
        <f t="shared" ref="AU200:AU269" si="234">-AR200-AT200</f>
        <v>#VALUE!</v>
      </c>
      <c r="AV200" s="669" t="e">
        <f t="shared" ref="AV200:AV269" si="235">TRUNC(AK200/AL200,5)</f>
        <v>#VALUE!</v>
      </c>
      <c r="AW200" s="667" t="e">
        <f t="shared" ref="AW200:AW269" si="236">ROUND(AV200/AL200,8)</f>
        <v>#VALUE!</v>
      </c>
      <c r="AX200" s="667" t="e">
        <f t="shared" ref="AX200:AX269" si="237">ROUND(AW200+AJ200,8)</f>
        <v>#VALUE!</v>
      </c>
      <c r="AY200" s="660" t="e">
        <f t="shared" ref="AY200:AY269" si="238">IF(AND(AI200&gt;=48,AI200&lt;=52),AX200,AP200)</f>
        <v>#VALUE!</v>
      </c>
      <c r="AZ200" s="670" t="e">
        <f t="shared" ref="AZ200:AZ269" si="239">ROUND(EXP(AU200),5)</f>
        <v>#VALUE!</v>
      </c>
      <c r="BB200" s="662" t="e">
        <f>INDEX('Vessel Gauging Data'!$B$26:$V$56,MATCH($C200,'Vessel Gauging Data'!$B$26:$B$56,0),$BB$198)</f>
        <v>#N/A</v>
      </c>
      <c r="BC200" s="662" t="e">
        <f>INDEX('Vessel Gauging Data'!$B$26:$V$56,MATCH($C200,'Vessel Gauging Data'!$B$26:$B$56,0),$BC$198)</f>
        <v>#N/A</v>
      </c>
      <c r="BD200" s="662" t="e">
        <f>INDEX('Vessel Gauging Data'!$B$26:$V$56,MATCH($C200,'Vessel Gauging Data'!$B$26:$B$56,0),$BD$198)</f>
        <v>#N/A</v>
      </c>
      <c r="BE200" s="662" t="e">
        <f>INDEX('Vessel Gauging Data'!$B$26:$V$56,MATCH($C200,'Vessel Gauging Data'!$B$26:$B$56,0),$BE$198)</f>
        <v>#N/A</v>
      </c>
    </row>
    <row r="201" spans="1:57" hidden="1">
      <c r="A201" s="641" t="str">
        <f t="shared" si="202"/>
        <v>N</v>
      </c>
      <c r="C201" s="235" t="str">
        <f t="shared" si="204"/>
        <v/>
      </c>
      <c r="D201" s="211" t="str">
        <f t="shared" si="204"/>
        <v/>
      </c>
      <c r="E201" s="1016" t="str">
        <f t="shared" si="203"/>
        <v/>
      </c>
      <c r="F201" s="1016" t="str">
        <f t="shared" si="205"/>
        <v/>
      </c>
      <c r="G201" s="1016" t="str">
        <f t="shared" si="206"/>
        <v/>
      </c>
      <c r="H201" s="1016" t="str">
        <f t="shared" si="206"/>
        <v/>
      </c>
      <c r="I201" s="211" t="str">
        <f t="shared" si="207"/>
        <v/>
      </c>
      <c r="J201" s="1016" t="str">
        <f t="shared" si="208"/>
        <v/>
      </c>
      <c r="K201" s="213" t="str">
        <f t="shared" si="209"/>
        <v/>
      </c>
      <c r="L201" s="212" t="str">
        <f t="shared" si="210"/>
        <v/>
      </c>
      <c r="M201" s="1125" t="str">
        <f>IF(OR($C201="",$C201=0),"",INDEX(API2DENST,MATCH($C201,'Vessel Gauging Data'!$B$27:$B$56,0),$AA$1))</f>
        <v/>
      </c>
      <c r="N201" s="212" t="str">
        <f t="shared" si="211"/>
        <v/>
      </c>
      <c r="O201" s="1016" t="str">
        <f t="shared" si="212"/>
        <v/>
      </c>
      <c r="P201" s="1125" t="str">
        <f t="shared" si="213"/>
        <v/>
      </c>
      <c r="Q201" s="1016" t="str">
        <f t="shared" si="214"/>
        <v/>
      </c>
      <c r="R201" s="214" t="str">
        <f t="shared" si="215"/>
        <v/>
      </c>
      <c r="S201" s="1125" t="str">
        <f t="shared" si="216"/>
        <v/>
      </c>
      <c r="T201" s="236" t="str">
        <f t="shared" si="217"/>
        <v/>
      </c>
      <c r="W201" s="642" t="e">
        <f>INDEX('Vessel Gauging Data'!$B$26:$V$56,MATCH($C201,'Vessel Gauging Data'!$B$26:$B$56,0),$W$198)</f>
        <v>#N/A</v>
      </c>
      <c r="X201" s="642" t="e">
        <f>INDEX('Vessel Gauging Data'!$B$26:$V$56,MATCH($C201,'Vessel Gauging Data'!$B$26:$B$56,0),$X$198)</f>
        <v>#N/A</v>
      </c>
      <c r="Y201" s="642" t="e">
        <f>INDEX('Vessel Gauging Data'!$B$26:$V$56,MATCH($C201,'Vessel Gauging Data'!$B$26:$B$56,0),$Y$198)</f>
        <v>#N/A</v>
      </c>
      <c r="Z201" s="642" t="e">
        <f>INDEX('Vessel Gauging Data'!$B$26:$V$56,MATCH($C201,'Vessel Gauging Data'!$B$26:$B$56,0),$Z$198)</f>
        <v>#N/A</v>
      </c>
      <c r="AB201" s="642" t="e">
        <f>INDEX(API2DENST,MATCH($C201,'Vessel Gauging Data'!$B$27:$B$56,0),1)</f>
        <v>#N/A</v>
      </c>
      <c r="AC201" s="642" t="e">
        <f t="shared" si="220"/>
        <v>#N/A</v>
      </c>
      <c r="AE201" s="661" t="e">
        <f t="shared" si="221"/>
        <v>#VALUE!</v>
      </c>
      <c r="AF201" s="661" t="e">
        <f t="shared" si="222"/>
        <v>#VALUE!</v>
      </c>
      <c r="AH201" s="662" t="str">
        <f t="shared" si="218"/>
        <v/>
      </c>
      <c r="AI201" s="662" t="str">
        <f t="shared" si="219"/>
        <v/>
      </c>
      <c r="AJ201" s="663">
        <f t="shared" si="223"/>
        <v>192.4571</v>
      </c>
      <c r="AK201" s="660">
        <f t="shared" si="224"/>
        <v>0.24379999999999999</v>
      </c>
      <c r="AL201" s="660" t="e">
        <f t="shared" si="225"/>
        <v>#VALUE!</v>
      </c>
      <c r="AM201" s="664" t="e">
        <f t="shared" si="226"/>
        <v>#VALUE!</v>
      </c>
      <c r="AN201" s="664" t="e">
        <f t="shared" si="227"/>
        <v>#VALUE!</v>
      </c>
      <c r="AO201" s="665" t="e">
        <f t="shared" si="228"/>
        <v>#VALUE!</v>
      </c>
      <c r="AP201" s="666" t="e">
        <f t="shared" si="229"/>
        <v>#VALUE!</v>
      </c>
      <c r="AQ201" s="660" t="e">
        <f t="shared" si="230"/>
        <v>#VALUE!</v>
      </c>
      <c r="AR201" s="667" t="e">
        <f t="shared" si="231"/>
        <v>#VALUE!</v>
      </c>
      <c r="AS201" s="667" t="e">
        <f t="shared" si="232"/>
        <v>#VALUE!</v>
      </c>
      <c r="AT201" s="668" t="e">
        <f t="shared" si="233"/>
        <v>#VALUE!</v>
      </c>
      <c r="AU201" s="667" t="e">
        <f t="shared" si="234"/>
        <v>#VALUE!</v>
      </c>
      <c r="AV201" s="669" t="e">
        <f t="shared" si="235"/>
        <v>#VALUE!</v>
      </c>
      <c r="AW201" s="667" t="e">
        <f t="shared" si="236"/>
        <v>#VALUE!</v>
      </c>
      <c r="AX201" s="667" t="e">
        <f t="shared" si="237"/>
        <v>#VALUE!</v>
      </c>
      <c r="AY201" s="660" t="e">
        <f t="shared" si="238"/>
        <v>#VALUE!</v>
      </c>
      <c r="AZ201" s="670" t="e">
        <f t="shared" si="239"/>
        <v>#VALUE!</v>
      </c>
      <c r="BB201" s="662" t="e">
        <f>INDEX('Vessel Gauging Data'!$B$26:$V$56,MATCH($C201,'Vessel Gauging Data'!$B$26:$B$56,0),$BB$198)</f>
        <v>#N/A</v>
      </c>
      <c r="BC201" s="662" t="e">
        <f>INDEX('Vessel Gauging Data'!$B$26:$V$56,MATCH($C201,'Vessel Gauging Data'!$B$26:$B$56,0),$BC$198)</f>
        <v>#N/A</v>
      </c>
      <c r="BD201" s="662" t="e">
        <f>INDEX('Vessel Gauging Data'!$B$26:$V$56,MATCH($C201,'Vessel Gauging Data'!$B$26:$B$56,0),$BD$198)</f>
        <v>#N/A</v>
      </c>
      <c r="BE201" s="662" t="e">
        <f>INDEX('Vessel Gauging Data'!$B$26:$V$56,MATCH($C201,'Vessel Gauging Data'!$B$26:$B$56,0),$BE$198)</f>
        <v>#N/A</v>
      </c>
    </row>
    <row r="202" spans="1:57" hidden="1">
      <c r="A202" s="641" t="str">
        <f t="shared" si="202"/>
        <v>N</v>
      </c>
      <c r="C202" s="235" t="str">
        <f t="shared" si="204"/>
        <v/>
      </c>
      <c r="D202" s="211" t="str">
        <f t="shared" si="204"/>
        <v/>
      </c>
      <c r="E202" s="1016" t="str">
        <f t="shared" si="203"/>
        <v/>
      </c>
      <c r="F202" s="1016" t="str">
        <f t="shared" si="205"/>
        <v/>
      </c>
      <c r="G202" s="1016" t="str">
        <f t="shared" si="206"/>
        <v/>
      </c>
      <c r="H202" s="1016" t="str">
        <f t="shared" si="206"/>
        <v/>
      </c>
      <c r="I202" s="211" t="str">
        <f t="shared" si="207"/>
        <v/>
      </c>
      <c r="J202" s="1016" t="str">
        <f t="shared" si="208"/>
        <v/>
      </c>
      <c r="K202" s="213" t="str">
        <f t="shared" si="209"/>
        <v/>
      </c>
      <c r="L202" s="212" t="str">
        <f t="shared" si="210"/>
        <v/>
      </c>
      <c r="M202" s="1125" t="str">
        <f>IF(OR($C202="",$C202=0),"",INDEX(API2DENST,MATCH($C202,'Vessel Gauging Data'!$B$27:$B$56,0),$AA$1))</f>
        <v/>
      </c>
      <c r="N202" s="212" t="str">
        <f t="shared" si="211"/>
        <v/>
      </c>
      <c r="O202" s="1016" t="str">
        <f t="shared" si="212"/>
        <v/>
      </c>
      <c r="P202" s="1125" t="str">
        <f t="shared" si="213"/>
        <v/>
      </c>
      <c r="Q202" s="1016" t="str">
        <f t="shared" si="214"/>
        <v/>
      </c>
      <c r="R202" s="214" t="str">
        <f t="shared" si="215"/>
        <v/>
      </c>
      <c r="S202" s="1125" t="str">
        <f t="shared" si="216"/>
        <v/>
      </c>
      <c r="T202" s="236" t="str">
        <f t="shared" si="217"/>
        <v/>
      </c>
      <c r="W202" s="642" t="e">
        <f>INDEX('Vessel Gauging Data'!$B$26:$V$56,MATCH($C202,'Vessel Gauging Data'!$B$26:$B$56,0),$W$198)</f>
        <v>#N/A</v>
      </c>
      <c r="X202" s="642" t="e">
        <f>INDEX('Vessel Gauging Data'!$B$26:$V$56,MATCH($C202,'Vessel Gauging Data'!$B$26:$B$56,0),$X$198)</f>
        <v>#N/A</v>
      </c>
      <c r="Y202" s="642" t="e">
        <f>INDEX('Vessel Gauging Data'!$B$26:$V$56,MATCH($C202,'Vessel Gauging Data'!$B$26:$B$56,0),$Y$198)</f>
        <v>#N/A</v>
      </c>
      <c r="Z202" s="642" t="e">
        <f>INDEX('Vessel Gauging Data'!$B$26:$V$56,MATCH($C202,'Vessel Gauging Data'!$B$26:$B$56,0),$Z$198)</f>
        <v>#N/A</v>
      </c>
      <c r="AB202" s="642" t="e">
        <f>INDEX(API2DENST,MATCH($C202,'Vessel Gauging Data'!$B$27:$B$56,0),1)</f>
        <v>#N/A</v>
      </c>
      <c r="AC202" s="642" t="e">
        <f t="shared" si="220"/>
        <v>#N/A</v>
      </c>
      <c r="AE202" s="661" t="e">
        <f t="shared" si="221"/>
        <v>#VALUE!</v>
      </c>
      <c r="AF202" s="661" t="e">
        <f t="shared" si="222"/>
        <v>#VALUE!</v>
      </c>
      <c r="AH202" s="662" t="str">
        <f t="shared" si="218"/>
        <v/>
      </c>
      <c r="AI202" s="662" t="str">
        <f t="shared" si="219"/>
        <v/>
      </c>
      <c r="AJ202" s="663">
        <f t="shared" si="223"/>
        <v>192.4571</v>
      </c>
      <c r="AK202" s="660">
        <f t="shared" si="224"/>
        <v>0.24379999999999999</v>
      </c>
      <c r="AL202" s="660" t="e">
        <f t="shared" si="225"/>
        <v>#VALUE!</v>
      </c>
      <c r="AM202" s="664" t="e">
        <f t="shared" si="226"/>
        <v>#VALUE!</v>
      </c>
      <c r="AN202" s="664" t="e">
        <f t="shared" si="227"/>
        <v>#VALUE!</v>
      </c>
      <c r="AO202" s="665" t="e">
        <f t="shared" si="228"/>
        <v>#VALUE!</v>
      </c>
      <c r="AP202" s="666" t="e">
        <f t="shared" si="229"/>
        <v>#VALUE!</v>
      </c>
      <c r="AQ202" s="660" t="e">
        <f t="shared" si="230"/>
        <v>#VALUE!</v>
      </c>
      <c r="AR202" s="667" t="e">
        <f t="shared" si="231"/>
        <v>#VALUE!</v>
      </c>
      <c r="AS202" s="667" t="e">
        <f t="shared" si="232"/>
        <v>#VALUE!</v>
      </c>
      <c r="AT202" s="668" t="e">
        <f t="shared" si="233"/>
        <v>#VALUE!</v>
      </c>
      <c r="AU202" s="667" t="e">
        <f t="shared" si="234"/>
        <v>#VALUE!</v>
      </c>
      <c r="AV202" s="669" t="e">
        <f t="shared" si="235"/>
        <v>#VALUE!</v>
      </c>
      <c r="AW202" s="667" t="e">
        <f t="shared" si="236"/>
        <v>#VALUE!</v>
      </c>
      <c r="AX202" s="667" t="e">
        <f t="shared" si="237"/>
        <v>#VALUE!</v>
      </c>
      <c r="AY202" s="660" t="e">
        <f t="shared" si="238"/>
        <v>#VALUE!</v>
      </c>
      <c r="AZ202" s="670" t="e">
        <f t="shared" si="239"/>
        <v>#VALUE!</v>
      </c>
      <c r="BB202" s="662" t="e">
        <f>INDEX('Vessel Gauging Data'!$B$26:$V$56,MATCH($C202,'Vessel Gauging Data'!$B$26:$B$56,0),$BB$198)</f>
        <v>#N/A</v>
      </c>
      <c r="BC202" s="662" t="e">
        <f>INDEX('Vessel Gauging Data'!$B$26:$V$56,MATCH($C202,'Vessel Gauging Data'!$B$26:$B$56,0),$BC$198)</f>
        <v>#N/A</v>
      </c>
      <c r="BD202" s="662" t="e">
        <f>INDEX('Vessel Gauging Data'!$B$26:$V$56,MATCH($C202,'Vessel Gauging Data'!$B$26:$B$56,0),$BD$198)</f>
        <v>#N/A</v>
      </c>
      <c r="BE202" s="662" t="e">
        <f>INDEX('Vessel Gauging Data'!$B$26:$V$56,MATCH($C202,'Vessel Gauging Data'!$B$26:$B$56,0),$BE$198)</f>
        <v>#N/A</v>
      </c>
    </row>
    <row r="203" spans="1:57" hidden="1">
      <c r="A203" s="641" t="str">
        <f t="shared" si="202"/>
        <v>N</v>
      </c>
      <c r="C203" s="235" t="str">
        <f t="shared" si="204"/>
        <v/>
      </c>
      <c r="D203" s="211" t="str">
        <f t="shared" si="204"/>
        <v/>
      </c>
      <c r="E203" s="1016" t="str">
        <f t="shared" si="203"/>
        <v/>
      </c>
      <c r="F203" s="1016" t="str">
        <f t="shared" si="205"/>
        <v/>
      </c>
      <c r="G203" s="1016" t="str">
        <f t="shared" si="206"/>
        <v/>
      </c>
      <c r="H203" s="1016" t="str">
        <f t="shared" si="206"/>
        <v/>
      </c>
      <c r="I203" s="211" t="str">
        <f t="shared" si="207"/>
        <v/>
      </c>
      <c r="J203" s="1016" t="str">
        <f t="shared" si="208"/>
        <v/>
      </c>
      <c r="K203" s="213" t="str">
        <f t="shared" si="209"/>
        <v/>
      </c>
      <c r="L203" s="212" t="str">
        <f t="shared" si="210"/>
        <v/>
      </c>
      <c r="M203" s="1125" t="str">
        <f>IF(OR($C203="",$C203=0),"",INDEX(API2DENST,MATCH($C203,'Vessel Gauging Data'!$B$27:$B$56,0),$AA$1))</f>
        <v/>
      </c>
      <c r="N203" s="212" t="str">
        <f t="shared" si="211"/>
        <v/>
      </c>
      <c r="O203" s="1016" t="str">
        <f t="shared" si="212"/>
        <v/>
      </c>
      <c r="P203" s="1125" t="str">
        <f t="shared" si="213"/>
        <v/>
      </c>
      <c r="Q203" s="1016" t="str">
        <f t="shared" si="214"/>
        <v/>
      </c>
      <c r="R203" s="214" t="str">
        <f t="shared" si="215"/>
        <v/>
      </c>
      <c r="S203" s="1125" t="str">
        <f t="shared" si="216"/>
        <v/>
      </c>
      <c r="T203" s="236" t="str">
        <f t="shared" si="217"/>
        <v/>
      </c>
      <c r="W203" s="642" t="e">
        <f>INDEX('Vessel Gauging Data'!$B$26:$V$56,MATCH($C203,'Vessel Gauging Data'!$B$26:$B$56,0),$W$198)</f>
        <v>#N/A</v>
      </c>
      <c r="X203" s="642" t="e">
        <f>INDEX('Vessel Gauging Data'!$B$26:$V$56,MATCH($C203,'Vessel Gauging Data'!$B$26:$B$56,0),$X$198)</f>
        <v>#N/A</v>
      </c>
      <c r="Y203" s="642" t="e">
        <f>INDEX('Vessel Gauging Data'!$B$26:$V$56,MATCH($C203,'Vessel Gauging Data'!$B$26:$B$56,0),$Y$198)</f>
        <v>#N/A</v>
      </c>
      <c r="Z203" s="642" t="e">
        <f>INDEX('Vessel Gauging Data'!$B$26:$V$56,MATCH($C203,'Vessel Gauging Data'!$B$26:$B$56,0),$Z$198)</f>
        <v>#N/A</v>
      </c>
      <c r="AB203" s="642" t="e">
        <f>INDEX(API2DENST,MATCH($C203,'Vessel Gauging Data'!$B$27:$B$56,0),1)</f>
        <v>#N/A</v>
      </c>
      <c r="AC203" s="642" t="e">
        <f t="shared" si="220"/>
        <v>#N/A</v>
      </c>
      <c r="AE203" s="661" t="e">
        <f t="shared" si="221"/>
        <v>#VALUE!</v>
      </c>
      <c r="AF203" s="661" t="e">
        <f t="shared" si="222"/>
        <v>#VALUE!</v>
      </c>
      <c r="AH203" s="662" t="str">
        <f t="shared" si="218"/>
        <v/>
      </c>
      <c r="AI203" s="662" t="str">
        <f t="shared" si="219"/>
        <v/>
      </c>
      <c r="AJ203" s="663">
        <f t="shared" si="223"/>
        <v>192.4571</v>
      </c>
      <c r="AK203" s="660">
        <f t="shared" si="224"/>
        <v>0.24379999999999999</v>
      </c>
      <c r="AL203" s="660" t="e">
        <f t="shared" si="225"/>
        <v>#VALUE!</v>
      </c>
      <c r="AM203" s="664" t="e">
        <f t="shared" si="226"/>
        <v>#VALUE!</v>
      </c>
      <c r="AN203" s="664" t="e">
        <f t="shared" si="227"/>
        <v>#VALUE!</v>
      </c>
      <c r="AO203" s="665" t="e">
        <f t="shared" si="228"/>
        <v>#VALUE!</v>
      </c>
      <c r="AP203" s="666" t="e">
        <f t="shared" si="229"/>
        <v>#VALUE!</v>
      </c>
      <c r="AQ203" s="660" t="e">
        <f t="shared" si="230"/>
        <v>#VALUE!</v>
      </c>
      <c r="AR203" s="667" t="e">
        <f t="shared" si="231"/>
        <v>#VALUE!</v>
      </c>
      <c r="AS203" s="667" t="e">
        <f t="shared" si="232"/>
        <v>#VALUE!</v>
      </c>
      <c r="AT203" s="668" t="e">
        <f t="shared" si="233"/>
        <v>#VALUE!</v>
      </c>
      <c r="AU203" s="667" t="e">
        <f t="shared" si="234"/>
        <v>#VALUE!</v>
      </c>
      <c r="AV203" s="669" t="e">
        <f t="shared" si="235"/>
        <v>#VALUE!</v>
      </c>
      <c r="AW203" s="667" t="e">
        <f t="shared" si="236"/>
        <v>#VALUE!</v>
      </c>
      <c r="AX203" s="667" t="e">
        <f t="shared" si="237"/>
        <v>#VALUE!</v>
      </c>
      <c r="AY203" s="660" t="e">
        <f t="shared" si="238"/>
        <v>#VALUE!</v>
      </c>
      <c r="AZ203" s="670" t="e">
        <f t="shared" si="239"/>
        <v>#VALUE!</v>
      </c>
      <c r="BB203" s="662" t="e">
        <f>INDEX('Vessel Gauging Data'!$B$26:$V$56,MATCH($C203,'Vessel Gauging Data'!$B$26:$B$56,0),$BB$198)</f>
        <v>#N/A</v>
      </c>
      <c r="BC203" s="662" t="e">
        <f>INDEX('Vessel Gauging Data'!$B$26:$V$56,MATCH($C203,'Vessel Gauging Data'!$B$26:$B$56,0),$BC$198)</f>
        <v>#N/A</v>
      </c>
      <c r="BD203" s="662" t="e">
        <f>INDEX('Vessel Gauging Data'!$B$26:$V$56,MATCH($C203,'Vessel Gauging Data'!$B$26:$B$56,0),$BD$198)</f>
        <v>#N/A</v>
      </c>
      <c r="BE203" s="662" t="e">
        <f>INDEX('Vessel Gauging Data'!$B$26:$V$56,MATCH($C203,'Vessel Gauging Data'!$B$26:$B$56,0),$BE$198)</f>
        <v>#N/A</v>
      </c>
    </row>
    <row r="204" spans="1:57" hidden="1">
      <c r="A204" s="641" t="str">
        <f t="shared" si="202"/>
        <v>N</v>
      </c>
      <c r="C204" s="235" t="str">
        <f t="shared" si="204"/>
        <v/>
      </c>
      <c r="D204" s="211" t="str">
        <f t="shared" si="204"/>
        <v/>
      </c>
      <c r="E204" s="1016" t="str">
        <f t="shared" si="203"/>
        <v/>
      </c>
      <c r="F204" s="1016" t="str">
        <f t="shared" si="205"/>
        <v/>
      </c>
      <c r="G204" s="1016" t="str">
        <f t="shared" si="206"/>
        <v/>
      </c>
      <c r="H204" s="1016" t="str">
        <f t="shared" si="206"/>
        <v/>
      </c>
      <c r="I204" s="211" t="str">
        <f t="shared" si="207"/>
        <v/>
      </c>
      <c r="J204" s="1016" t="str">
        <f t="shared" si="208"/>
        <v/>
      </c>
      <c r="K204" s="213" t="str">
        <f t="shared" si="209"/>
        <v/>
      </c>
      <c r="L204" s="212" t="str">
        <f t="shared" si="210"/>
        <v/>
      </c>
      <c r="M204" s="1125" t="str">
        <f>IF(OR($C204="",$C204=0),"",INDEX(API2DENST,MATCH($C204,'Vessel Gauging Data'!$B$27:$B$56,0),$AA$1))</f>
        <v/>
      </c>
      <c r="N204" s="212" t="str">
        <f t="shared" si="211"/>
        <v/>
      </c>
      <c r="O204" s="1016" t="str">
        <f t="shared" si="212"/>
        <v/>
      </c>
      <c r="P204" s="1125" t="str">
        <f t="shared" si="213"/>
        <v/>
      </c>
      <c r="Q204" s="1016" t="str">
        <f t="shared" si="214"/>
        <v/>
      </c>
      <c r="R204" s="214" t="str">
        <f t="shared" si="215"/>
        <v/>
      </c>
      <c r="S204" s="1125" t="str">
        <f t="shared" si="216"/>
        <v/>
      </c>
      <c r="T204" s="236" t="str">
        <f t="shared" si="217"/>
        <v/>
      </c>
      <c r="W204" s="642" t="e">
        <f>INDEX('Vessel Gauging Data'!$B$26:$V$56,MATCH($C204,'Vessel Gauging Data'!$B$26:$B$56,0),$W$198)</f>
        <v>#N/A</v>
      </c>
      <c r="X204" s="642" t="e">
        <f>INDEX('Vessel Gauging Data'!$B$26:$V$56,MATCH($C204,'Vessel Gauging Data'!$B$26:$B$56,0),$X$198)</f>
        <v>#N/A</v>
      </c>
      <c r="Y204" s="642" t="e">
        <f>INDEX('Vessel Gauging Data'!$B$26:$V$56,MATCH($C204,'Vessel Gauging Data'!$B$26:$B$56,0),$Y$198)</f>
        <v>#N/A</v>
      </c>
      <c r="Z204" s="642" t="e">
        <f>INDEX('Vessel Gauging Data'!$B$26:$V$56,MATCH($C204,'Vessel Gauging Data'!$B$26:$B$56,0),$Z$198)</f>
        <v>#N/A</v>
      </c>
      <c r="AB204" s="642" t="e">
        <f>INDEX(API2DENST,MATCH($C204,'Vessel Gauging Data'!$B$27:$B$56,0),1)</f>
        <v>#N/A</v>
      </c>
      <c r="AC204" s="642" t="e">
        <f t="shared" si="220"/>
        <v>#N/A</v>
      </c>
      <c r="AE204" s="661" t="e">
        <f t="shared" si="221"/>
        <v>#VALUE!</v>
      </c>
      <c r="AF204" s="661" t="e">
        <f t="shared" si="222"/>
        <v>#VALUE!</v>
      </c>
      <c r="AH204" s="662" t="str">
        <f t="shared" si="218"/>
        <v/>
      </c>
      <c r="AI204" s="662" t="str">
        <f t="shared" si="219"/>
        <v/>
      </c>
      <c r="AJ204" s="663">
        <f t="shared" si="223"/>
        <v>192.4571</v>
      </c>
      <c r="AK204" s="660">
        <f t="shared" si="224"/>
        <v>0.24379999999999999</v>
      </c>
      <c r="AL204" s="660" t="e">
        <f t="shared" si="225"/>
        <v>#VALUE!</v>
      </c>
      <c r="AM204" s="664" t="e">
        <f t="shared" si="226"/>
        <v>#VALUE!</v>
      </c>
      <c r="AN204" s="664" t="e">
        <f t="shared" si="227"/>
        <v>#VALUE!</v>
      </c>
      <c r="AO204" s="665" t="e">
        <f t="shared" si="228"/>
        <v>#VALUE!</v>
      </c>
      <c r="AP204" s="666" t="e">
        <f t="shared" si="229"/>
        <v>#VALUE!</v>
      </c>
      <c r="AQ204" s="660" t="e">
        <f t="shared" si="230"/>
        <v>#VALUE!</v>
      </c>
      <c r="AR204" s="667" t="e">
        <f t="shared" si="231"/>
        <v>#VALUE!</v>
      </c>
      <c r="AS204" s="667" t="e">
        <f t="shared" si="232"/>
        <v>#VALUE!</v>
      </c>
      <c r="AT204" s="668" t="e">
        <f t="shared" si="233"/>
        <v>#VALUE!</v>
      </c>
      <c r="AU204" s="667" t="e">
        <f t="shared" si="234"/>
        <v>#VALUE!</v>
      </c>
      <c r="AV204" s="669" t="e">
        <f t="shared" si="235"/>
        <v>#VALUE!</v>
      </c>
      <c r="AW204" s="667" t="e">
        <f t="shared" si="236"/>
        <v>#VALUE!</v>
      </c>
      <c r="AX204" s="667" t="e">
        <f t="shared" si="237"/>
        <v>#VALUE!</v>
      </c>
      <c r="AY204" s="660" t="e">
        <f t="shared" si="238"/>
        <v>#VALUE!</v>
      </c>
      <c r="AZ204" s="670" t="e">
        <f t="shared" si="239"/>
        <v>#VALUE!</v>
      </c>
      <c r="BB204" s="662" t="e">
        <f>INDEX('Vessel Gauging Data'!$B$26:$V$56,MATCH($C204,'Vessel Gauging Data'!$B$26:$B$56,0),$BB$198)</f>
        <v>#N/A</v>
      </c>
      <c r="BC204" s="662" t="e">
        <f>INDEX('Vessel Gauging Data'!$B$26:$V$56,MATCH($C204,'Vessel Gauging Data'!$B$26:$B$56,0),$BC$198)</f>
        <v>#N/A</v>
      </c>
      <c r="BD204" s="662" t="e">
        <f>INDEX('Vessel Gauging Data'!$B$26:$V$56,MATCH($C204,'Vessel Gauging Data'!$B$26:$B$56,0),$BD$198)</f>
        <v>#N/A</v>
      </c>
      <c r="BE204" s="662" t="e">
        <f>INDEX('Vessel Gauging Data'!$B$26:$V$56,MATCH($C204,'Vessel Gauging Data'!$B$26:$B$56,0),$BE$198)</f>
        <v>#N/A</v>
      </c>
    </row>
    <row r="205" spans="1:57" hidden="1">
      <c r="A205" s="641" t="str">
        <f t="shared" si="202"/>
        <v>N</v>
      </c>
      <c r="C205" s="235" t="str">
        <f t="shared" si="204"/>
        <v/>
      </c>
      <c r="D205" s="211" t="str">
        <f t="shared" si="204"/>
        <v/>
      </c>
      <c r="E205" s="1016" t="str">
        <f t="shared" si="203"/>
        <v/>
      </c>
      <c r="F205" s="1016" t="str">
        <f t="shared" si="205"/>
        <v/>
      </c>
      <c r="G205" s="1016" t="str">
        <f t="shared" si="206"/>
        <v/>
      </c>
      <c r="H205" s="1016" t="str">
        <f t="shared" si="206"/>
        <v/>
      </c>
      <c r="I205" s="211" t="str">
        <f t="shared" si="207"/>
        <v/>
      </c>
      <c r="J205" s="1016" t="str">
        <f t="shared" si="208"/>
        <v/>
      </c>
      <c r="K205" s="213" t="str">
        <f t="shared" si="209"/>
        <v/>
      </c>
      <c r="L205" s="212" t="str">
        <f t="shared" si="210"/>
        <v/>
      </c>
      <c r="M205" s="1125" t="str">
        <f>IF(OR($C205="",$C205=0),"",INDEX(API2DENST,MATCH($C205,'Vessel Gauging Data'!$B$27:$B$56,0),$AA$1))</f>
        <v/>
      </c>
      <c r="N205" s="212" t="str">
        <f t="shared" si="211"/>
        <v/>
      </c>
      <c r="O205" s="1016" t="str">
        <f t="shared" si="212"/>
        <v/>
      </c>
      <c r="P205" s="1125" t="str">
        <f t="shared" si="213"/>
        <v/>
      </c>
      <c r="Q205" s="1016" t="str">
        <f t="shared" si="214"/>
        <v/>
      </c>
      <c r="R205" s="214" t="str">
        <f t="shared" si="215"/>
        <v/>
      </c>
      <c r="S205" s="1125" t="str">
        <f t="shared" si="216"/>
        <v/>
      </c>
      <c r="T205" s="236" t="str">
        <f t="shared" si="217"/>
        <v/>
      </c>
      <c r="W205" s="642" t="e">
        <f>INDEX('Vessel Gauging Data'!$B$26:$V$56,MATCH($C205,'Vessel Gauging Data'!$B$26:$B$56,0),$W$198)</f>
        <v>#N/A</v>
      </c>
      <c r="X205" s="642" t="e">
        <f>INDEX('Vessel Gauging Data'!$B$26:$V$56,MATCH($C205,'Vessel Gauging Data'!$B$26:$B$56,0),$X$198)</f>
        <v>#N/A</v>
      </c>
      <c r="Y205" s="642" t="e">
        <f>INDEX('Vessel Gauging Data'!$B$26:$V$56,MATCH($C205,'Vessel Gauging Data'!$B$26:$B$56,0),$Y$198)</f>
        <v>#N/A</v>
      </c>
      <c r="Z205" s="642" t="e">
        <f>INDEX('Vessel Gauging Data'!$B$26:$V$56,MATCH($C205,'Vessel Gauging Data'!$B$26:$B$56,0),$Z$198)</f>
        <v>#N/A</v>
      </c>
      <c r="AB205" s="642" t="e">
        <f>INDEX(API2DENST,MATCH($C205,'Vessel Gauging Data'!$B$27:$B$56,0),1)</f>
        <v>#N/A</v>
      </c>
      <c r="AC205" s="642" t="e">
        <f t="shared" si="220"/>
        <v>#N/A</v>
      </c>
      <c r="AE205" s="661" t="e">
        <f t="shared" si="221"/>
        <v>#VALUE!</v>
      </c>
      <c r="AF205" s="661" t="e">
        <f t="shared" si="222"/>
        <v>#VALUE!</v>
      </c>
      <c r="AH205" s="662" t="str">
        <f t="shared" si="218"/>
        <v/>
      </c>
      <c r="AI205" s="662" t="str">
        <f t="shared" si="219"/>
        <v/>
      </c>
      <c r="AJ205" s="663">
        <f t="shared" si="223"/>
        <v>192.4571</v>
      </c>
      <c r="AK205" s="660">
        <f t="shared" si="224"/>
        <v>0.24379999999999999</v>
      </c>
      <c r="AL205" s="660" t="e">
        <f t="shared" si="225"/>
        <v>#VALUE!</v>
      </c>
      <c r="AM205" s="664" t="e">
        <f t="shared" si="226"/>
        <v>#VALUE!</v>
      </c>
      <c r="AN205" s="664" t="e">
        <f t="shared" si="227"/>
        <v>#VALUE!</v>
      </c>
      <c r="AO205" s="665" t="e">
        <f t="shared" si="228"/>
        <v>#VALUE!</v>
      </c>
      <c r="AP205" s="666" t="e">
        <f t="shared" si="229"/>
        <v>#VALUE!</v>
      </c>
      <c r="AQ205" s="660" t="e">
        <f t="shared" si="230"/>
        <v>#VALUE!</v>
      </c>
      <c r="AR205" s="667" t="e">
        <f t="shared" si="231"/>
        <v>#VALUE!</v>
      </c>
      <c r="AS205" s="667" t="e">
        <f t="shared" si="232"/>
        <v>#VALUE!</v>
      </c>
      <c r="AT205" s="668" t="e">
        <f t="shared" si="233"/>
        <v>#VALUE!</v>
      </c>
      <c r="AU205" s="667" t="e">
        <f t="shared" si="234"/>
        <v>#VALUE!</v>
      </c>
      <c r="AV205" s="669" t="e">
        <f t="shared" si="235"/>
        <v>#VALUE!</v>
      </c>
      <c r="AW205" s="667" t="e">
        <f t="shared" si="236"/>
        <v>#VALUE!</v>
      </c>
      <c r="AX205" s="667" t="e">
        <f t="shared" si="237"/>
        <v>#VALUE!</v>
      </c>
      <c r="AY205" s="660" t="e">
        <f t="shared" si="238"/>
        <v>#VALUE!</v>
      </c>
      <c r="AZ205" s="670" t="e">
        <f t="shared" si="239"/>
        <v>#VALUE!</v>
      </c>
      <c r="BB205" s="662" t="e">
        <f>INDEX('Vessel Gauging Data'!$B$26:$V$56,MATCH($C205,'Vessel Gauging Data'!$B$26:$B$56,0),$BB$198)</f>
        <v>#N/A</v>
      </c>
      <c r="BC205" s="662" t="e">
        <f>INDEX('Vessel Gauging Data'!$B$26:$V$56,MATCH($C205,'Vessel Gauging Data'!$B$26:$B$56,0),$BC$198)</f>
        <v>#N/A</v>
      </c>
      <c r="BD205" s="662" t="e">
        <f>INDEX('Vessel Gauging Data'!$B$26:$V$56,MATCH($C205,'Vessel Gauging Data'!$B$26:$B$56,0),$BD$198)</f>
        <v>#N/A</v>
      </c>
      <c r="BE205" s="662" t="e">
        <f>INDEX('Vessel Gauging Data'!$B$26:$V$56,MATCH($C205,'Vessel Gauging Data'!$B$26:$B$56,0),$BE$198)</f>
        <v>#N/A</v>
      </c>
    </row>
    <row r="206" spans="1:57" hidden="1">
      <c r="A206" s="641" t="str">
        <f t="shared" si="202"/>
        <v>N</v>
      </c>
      <c r="C206" s="235" t="str">
        <f t="shared" si="204"/>
        <v/>
      </c>
      <c r="D206" s="211" t="str">
        <f t="shared" si="204"/>
        <v/>
      </c>
      <c r="E206" s="1016" t="str">
        <f t="shared" si="203"/>
        <v/>
      </c>
      <c r="F206" s="1016" t="str">
        <f t="shared" si="205"/>
        <v/>
      </c>
      <c r="G206" s="1016" t="str">
        <f t="shared" si="206"/>
        <v/>
      </c>
      <c r="H206" s="1016" t="str">
        <f t="shared" si="206"/>
        <v/>
      </c>
      <c r="I206" s="211" t="str">
        <f t="shared" si="207"/>
        <v/>
      </c>
      <c r="J206" s="1016" t="str">
        <f t="shared" si="208"/>
        <v/>
      </c>
      <c r="K206" s="213" t="str">
        <f t="shared" si="209"/>
        <v/>
      </c>
      <c r="L206" s="212" t="str">
        <f t="shared" si="210"/>
        <v/>
      </c>
      <c r="M206" s="1125" t="str">
        <f>IF(OR($C206="",$C206=0),"",INDEX(API2DENST,MATCH($C206,'Vessel Gauging Data'!$B$27:$B$56,0),$AA$1))</f>
        <v/>
      </c>
      <c r="N206" s="212" t="str">
        <f t="shared" si="211"/>
        <v/>
      </c>
      <c r="O206" s="1016" t="str">
        <f t="shared" si="212"/>
        <v/>
      </c>
      <c r="P206" s="1125" t="str">
        <f t="shared" si="213"/>
        <v/>
      </c>
      <c r="Q206" s="1016" t="str">
        <f t="shared" si="214"/>
        <v/>
      </c>
      <c r="R206" s="214" t="str">
        <f t="shared" si="215"/>
        <v/>
      </c>
      <c r="S206" s="1125" t="str">
        <f t="shared" si="216"/>
        <v/>
      </c>
      <c r="T206" s="236" t="str">
        <f t="shared" si="217"/>
        <v/>
      </c>
      <c r="W206" s="642" t="e">
        <f>INDEX('Vessel Gauging Data'!$B$26:$V$56,MATCH($C206,'Vessel Gauging Data'!$B$26:$B$56,0),$W$198)</f>
        <v>#N/A</v>
      </c>
      <c r="X206" s="642" t="e">
        <f>INDEX('Vessel Gauging Data'!$B$26:$V$56,MATCH($C206,'Vessel Gauging Data'!$B$26:$B$56,0),$X$198)</f>
        <v>#N/A</v>
      </c>
      <c r="Y206" s="642" t="e">
        <f>INDEX('Vessel Gauging Data'!$B$26:$V$56,MATCH($C206,'Vessel Gauging Data'!$B$26:$B$56,0),$Y$198)</f>
        <v>#N/A</v>
      </c>
      <c r="Z206" s="642" t="e">
        <f>INDEX('Vessel Gauging Data'!$B$26:$V$56,MATCH($C206,'Vessel Gauging Data'!$B$26:$B$56,0),$Z$198)</f>
        <v>#N/A</v>
      </c>
      <c r="AB206" s="642" t="e">
        <f>INDEX(API2DENST,MATCH($C206,'Vessel Gauging Data'!$B$27:$B$56,0),1)</f>
        <v>#N/A</v>
      </c>
      <c r="AC206" s="642" t="e">
        <f t="shared" si="220"/>
        <v>#N/A</v>
      </c>
      <c r="AE206" s="661" t="e">
        <f t="shared" si="221"/>
        <v>#VALUE!</v>
      </c>
      <c r="AF206" s="661" t="e">
        <f t="shared" si="222"/>
        <v>#VALUE!</v>
      </c>
      <c r="AH206" s="662" t="str">
        <f t="shared" si="218"/>
        <v/>
      </c>
      <c r="AI206" s="662" t="str">
        <f t="shared" si="219"/>
        <v/>
      </c>
      <c r="AJ206" s="663">
        <f t="shared" si="223"/>
        <v>192.4571</v>
      </c>
      <c r="AK206" s="660">
        <f t="shared" si="224"/>
        <v>0.24379999999999999</v>
      </c>
      <c r="AL206" s="660" t="e">
        <f t="shared" si="225"/>
        <v>#VALUE!</v>
      </c>
      <c r="AM206" s="664" t="e">
        <f t="shared" si="226"/>
        <v>#VALUE!</v>
      </c>
      <c r="AN206" s="664" t="e">
        <f t="shared" si="227"/>
        <v>#VALUE!</v>
      </c>
      <c r="AO206" s="665" t="e">
        <f t="shared" si="228"/>
        <v>#VALUE!</v>
      </c>
      <c r="AP206" s="666" t="e">
        <f t="shared" si="229"/>
        <v>#VALUE!</v>
      </c>
      <c r="AQ206" s="660" t="e">
        <f t="shared" si="230"/>
        <v>#VALUE!</v>
      </c>
      <c r="AR206" s="667" t="e">
        <f t="shared" si="231"/>
        <v>#VALUE!</v>
      </c>
      <c r="AS206" s="667" t="e">
        <f t="shared" si="232"/>
        <v>#VALUE!</v>
      </c>
      <c r="AT206" s="668" t="e">
        <f t="shared" si="233"/>
        <v>#VALUE!</v>
      </c>
      <c r="AU206" s="667" t="e">
        <f t="shared" si="234"/>
        <v>#VALUE!</v>
      </c>
      <c r="AV206" s="669" t="e">
        <f t="shared" si="235"/>
        <v>#VALUE!</v>
      </c>
      <c r="AW206" s="667" t="e">
        <f t="shared" si="236"/>
        <v>#VALUE!</v>
      </c>
      <c r="AX206" s="667" t="e">
        <f t="shared" si="237"/>
        <v>#VALUE!</v>
      </c>
      <c r="AY206" s="660" t="e">
        <f t="shared" si="238"/>
        <v>#VALUE!</v>
      </c>
      <c r="AZ206" s="670" t="e">
        <f t="shared" si="239"/>
        <v>#VALUE!</v>
      </c>
      <c r="BB206" s="662" t="e">
        <f>INDEX('Vessel Gauging Data'!$B$26:$V$56,MATCH($C206,'Vessel Gauging Data'!$B$26:$B$56,0),$BB$198)</f>
        <v>#N/A</v>
      </c>
      <c r="BC206" s="662" t="e">
        <f>INDEX('Vessel Gauging Data'!$B$26:$V$56,MATCH($C206,'Vessel Gauging Data'!$B$26:$B$56,0),$BC$198)</f>
        <v>#N/A</v>
      </c>
      <c r="BD206" s="662" t="e">
        <f>INDEX('Vessel Gauging Data'!$B$26:$V$56,MATCH($C206,'Vessel Gauging Data'!$B$26:$B$56,0),$BD$198)</f>
        <v>#N/A</v>
      </c>
      <c r="BE206" s="662" t="e">
        <f>INDEX('Vessel Gauging Data'!$B$26:$V$56,MATCH($C206,'Vessel Gauging Data'!$B$26:$B$56,0),$BE$198)</f>
        <v>#N/A</v>
      </c>
    </row>
    <row r="207" spans="1:57" hidden="1">
      <c r="A207" s="641" t="str">
        <f t="shared" si="202"/>
        <v>N</v>
      </c>
      <c r="C207" s="235" t="str">
        <f t="shared" si="204"/>
        <v/>
      </c>
      <c r="D207" s="211" t="str">
        <f t="shared" si="204"/>
        <v/>
      </c>
      <c r="E207" s="1016" t="str">
        <f t="shared" si="203"/>
        <v/>
      </c>
      <c r="F207" s="1016" t="str">
        <f t="shared" si="205"/>
        <v/>
      </c>
      <c r="G207" s="1016" t="str">
        <f t="shared" si="206"/>
        <v/>
      </c>
      <c r="H207" s="1016" t="str">
        <f t="shared" si="206"/>
        <v/>
      </c>
      <c r="I207" s="211" t="str">
        <f t="shared" si="207"/>
        <v/>
      </c>
      <c r="J207" s="1016" t="str">
        <f t="shared" si="208"/>
        <v/>
      </c>
      <c r="K207" s="213" t="str">
        <f t="shared" si="209"/>
        <v/>
      </c>
      <c r="L207" s="212" t="str">
        <f t="shared" si="210"/>
        <v/>
      </c>
      <c r="M207" s="1125" t="str">
        <f>IF(OR($C207="",$C207=0),"",INDEX(API2DENST,MATCH($C207,'Vessel Gauging Data'!$B$27:$B$56,0),$AA$1))</f>
        <v/>
      </c>
      <c r="N207" s="212" t="str">
        <f t="shared" si="211"/>
        <v/>
      </c>
      <c r="O207" s="1016" t="str">
        <f t="shared" si="212"/>
        <v/>
      </c>
      <c r="P207" s="1125" t="str">
        <f t="shared" si="213"/>
        <v/>
      </c>
      <c r="Q207" s="1016" t="str">
        <f t="shared" si="214"/>
        <v/>
      </c>
      <c r="R207" s="214" t="str">
        <f t="shared" si="215"/>
        <v/>
      </c>
      <c r="S207" s="1125" t="str">
        <f t="shared" si="216"/>
        <v/>
      </c>
      <c r="T207" s="236" t="str">
        <f t="shared" si="217"/>
        <v/>
      </c>
      <c r="W207" s="642" t="e">
        <f>INDEX('Vessel Gauging Data'!$B$26:$V$56,MATCH($C207,'Vessel Gauging Data'!$B$26:$B$56,0),$W$198)</f>
        <v>#N/A</v>
      </c>
      <c r="X207" s="642" t="e">
        <f>INDEX('Vessel Gauging Data'!$B$26:$V$56,MATCH($C207,'Vessel Gauging Data'!$B$26:$B$56,0),$X$198)</f>
        <v>#N/A</v>
      </c>
      <c r="Y207" s="642" t="e">
        <f>INDEX('Vessel Gauging Data'!$B$26:$V$56,MATCH($C207,'Vessel Gauging Data'!$B$26:$B$56,0),$Y$198)</f>
        <v>#N/A</v>
      </c>
      <c r="Z207" s="642" t="e">
        <f>INDEX('Vessel Gauging Data'!$B$26:$V$56,MATCH($C207,'Vessel Gauging Data'!$B$26:$B$56,0),$Z$198)</f>
        <v>#N/A</v>
      </c>
      <c r="AB207" s="642" t="e">
        <f>INDEX(API2DENST,MATCH($C207,'Vessel Gauging Data'!$B$27:$B$56,0),1)</f>
        <v>#N/A</v>
      </c>
      <c r="AC207" s="642" t="e">
        <f t="shared" si="220"/>
        <v>#N/A</v>
      </c>
      <c r="AE207" s="661" t="e">
        <f t="shared" si="221"/>
        <v>#VALUE!</v>
      </c>
      <c r="AF207" s="661" t="e">
        <f t="shared" si="222"/>
        <v>#VALUE!</v>
      </c>
      <c r="AH207" s="662" t="str">
        <f t="shared" si="218"/>
        <v/>
      </c>
      <c r="AI207" s="662" t="str">
        <f t="shared" si="219"/>
        <v/>
      </c>
      <c r="AJ207" s="663">
        <f t="shared" si="223"/>
        <v>192.4571</v>
      </c>
      <c r="AK207" s="660">
        <f t="shared" si="224"/>
        <v>0.24379999999999999</v>
      </c>
      <c r="AL207" s="660" t="e">
        <f t="shared" si="225"/>
        <v>#VALUE!</v>
      </c>
      <c r="AM207" s="664" t="e">
        <f t="shared" si="226"/>
        <v>#VALUE!</v>
      </c>
      <c r="AN207" s="664" t="e">
        <f t="shared" si="227"/>
        <v>#VALUE!</v>
      </c>
      <c r="AO207" s="665" t="e">
        <f t="shared" si="228"/>
        <v>#VALUE!</v>
      </c>
      <c r="AP207" s="666" t="e">
        <f t="shared" si="229"/>
        <v>#VALUE!</v>
      </c>
      <c r="AQ207" s="660" t="e">
        <f t="shared" si="230"/>
        <v>#VALUE!</v>
      </c>
      <c r="AR207" s="667" t="e">
        <f t="shared" si="231"/>
        <v>#VALUE!</v>
      </c>
      <c r="AS207" s="667" t="e">
        <f t="shared" si="232"/>
        <v>#VALUE!</v>
      </c>
      <c r="AT207" s="668" t="e">
        <f t="shared" si="233"/>
        <v>#VALUE!</v>
      </c>
      <c r="AU207" s="667" t="e">
        <f t="shared" si="234"/>
        <v>#VALUE!</v>
      </c>
      <c r="AV207" s="669" t="e">
        <f t="shared" si="235"/>
        <v>#VALUE!</v>
      </c>
      <c r="AW207" s="667" t="e">
        <f t="shared" si="236"/>
        <v>#VALUE!</v>
      </c>
      <c r="AX207" s="667" t="e">
        <f t="shared" si="237"/>
        <v>#VALUE!</v>
      </c>
      <c r="AY207" s="660" t="e">
        <f t="shared" si="238"/>
        <v>#VALUE!</v>
      </c>
      <c r="AZ207" s="670" t="e">
        <f t="shared" si="239"/>
        <v>#VALUE!</v>
      </c>
      <c r="BB207" s="662" t="e">
        <f>INDEX('Vessel Gauging Data'!$B$26:$V$56,MATCH($C207,'Vessel Gauging Data'!$B$26:$B$56,0),$BB$198)</f>
        <v>#N/A</v>
      </c>
      <c r="BC207" s="662" t="e">
        <f>INDEX('Vessel Gauging Data'!$B$26:$V$56,MATCH($C207,'Vessel Gauging Data'!$B$26:$B$56,0),$BC$198)</f>
        <v>#N/A</v>
      </c>
      <c r="BD207" s="662" t="e">
        <f>INDEX('Vessel Gauging Data'!$B$26:$V$56,MATCH($C207,'Vessel Gauging Data'!$B$26:$B$56,0),$BD$198)</f>
        <v>#N/A</v>
      </c>
      <c r="BE207" s="662" t="e">
        <f>INDEX('Vessel Gauging Data'!$B$26:$V$56,MATCH($C207,'Vessel Gauging Data'!$B$26:$B$56,0),$BE$198)</f>
        <v>#N/A</v>
      </c>
    </row>
    <row r="208" spans="1:57" hidden="1">
      <c r="A208" s="641" t="str">
        <f t="shared" si="202"/>
        <v>N</v>
      </c>
      <c r="C208" s="235" t="str">
        <f t="shared" si="204"/>
        <v/>
      </c>
      <c r="D208" s="211" t="str">
        <f t="shared" si="204"/>
        <v/>
      </c>
      <c r="E208" s="1016" t="str">
        <f t="shared" si="203"/>
        <v/>
      </c>
      <c r="F208" s="1016" t="str">
        <f t="shared" si="205"/>
        <v/>
      </c>
      <c r="G208" s="1016" t="str">
        <f t="shared" si="206"/>
        <v/>
      </c>
      <c r="H208" s="1016" t="str">
        <f t="shared" si="206"/>
        <v/>
      </c>
      <c r="I208" s="211" t="str">
        <f t="shared" si="207"/>
        <v/>
      </c>
      <c r="J208" s="1016" t="str">
        <f t="shared" si="208"/>
        <v/>
      </c>
      <c r="K208" s="213" t="str">
        <f t="shared" si="209"/>
        <v/>
      </c>
      <c r="L208" s="212" t="str">
        <f t="shared" si="210"/>
        <v/>
      </c>
      <c r="M208" s="1125" t="str">
        <f>IF(OR($C208="",$C208=0),"",INDEX(API2DENST,MATCH($C208,'Vessel Gauging Data'!$B$27:$B$56,0),$AA$1))</f>
        <v/>
      </c>
      <c r="N208" s="212" t="str">
        <f t="shared" si="211"/>
        <v/>
      </c>
      <c r="O208" s="1016" t="str">
        <f t="shared" si="212"/>
        <v/>
      </c>
      <c r="P208" s="1125" t="str">
        <f t="shared" si="213"/>
        <v/>
      </c>
      <c r="Q208" s="1016" t="str">
        <f t="shared" si="214"/>
        <v/>
      </c>
      <c r="R208" s="214" t="str">
        <f t="shared" si="215"/>
        <v/>
      </c>
      <c r="S208" s="1125" t="str">
        <f t="shared" si="216"/>
        <v/>
      </c>
      <c r="T208" s="236" t="str">
        <f t="shared" si="217"/>
        <v/>
      </c>
      <c r="W208" s="642" t="e">
        <f>INDEX('Vessel Gauging Data'!$B$26:$V$56,MATCH($C208,'Vessel Gauging Data'!$B$26:$B$56,0),$W$198)</f>
        <v>#N/A</v>
      </c>
      <c r="X208" s="642" t="e">
        <f>INDEX('Vessel Gauging Data'!$B$26:$V$56,MATCH($C208,'Vessel Gauging Data'!$B$26:$B$56,0),$X$198)</f>
        <v>#N/A</v>
      </c>
      <c r="Y208" s="642" t="e">
        <f>INDEX('Vessel Gauging Data'!$B$26:$V$56,MATCH($C208,'Vessel Gauging Data'!$B$26:$B$56,0),$Y$198)</f>
        <v>#N/A</v>
      </c>
      <c r="Z208" s="642" t="e">
        <f>INDEX('Vessel Gauging Data'!$B$26:$V$56,MATCH($C208,'Vessel Gauging Data'!$B$26:$B$56,0),$Z$198)</f>
        <v>#N/A</v>
      </c>
      <c r="AB208" s="642" t="e">
        <f>INDEX(API2DENST,MATCH($C208,'Vessel Gauging Data'!$B$27:$B$56,0),1)</f>
        <v>#N/A</v>
      </c>
      <c r="AC208" s="642" t="e">
        <f t="shared" si="220"/>
        <v>#N/A</v>
      </c>
      <c r="AE208" s="661" t="e">
        <f t="shared" si="221"/>
        <v>#VALUE!</v>
      </c>
      <c r="AF208" s="661" t="e">
        <f t="shared" si="222"/>
        <v>#VALUE!</v>
      </c>
      <c r="AH208" s="662" t="str">
        <f t="shared" si="218"/>
        <v/>
      </c>
      <c r="AI208" s="662" t="str">
        <f t="shared" si="219"/>
        <v/>
      </c>
      <c r="AJ208" s="663">
        <f t="shared" si="223"/>
        <v>192.4571</v>
      </c>
      <c r="AK208" s="660">
        <f t="shared" si="224"/>
        <v>0.24379999999999999</v>
      </c>
      <c r="AL208" s="660" t="e">
        <f t="shared" si="225"/>
        <v>#VALUE!</v>
      </c>
      <c r="AM208" s="664" t="e">
        <f t="shared" si="226"/>
        <v>#VALUE!</v>
      </c>
      <c r="AN208" s="664" t="e">
        <f t="shared" si="227"/>
        <v>#VALUE!</v>
      </c>
      <c r="AO208" s="665" t="e">
        <f t="shared" si="228"/>
        <v>#VALUE!</v>
      </c>
      <c r="AP208" s="666" t="e">
        <f t="shared" si="229"/>
        <v>#VALUE!</v>
      </c>
      <c r="AQ208" s="660" t="e">
        <f t="shared" si="230"/>
        <v>#VALUE!</v>
      </c>
      <c r="AR208" s="667" t="e">
        <f t="shared" si="231"/>
        <v>#VALUE!</v>
      </c>
      <c r="AS208" s="667" t="e">
        <f t="shared" si="232"/>
        <v>#VALUE!</v>
      </c>
      <c r="AT208" s="668" t="e">
        <f t="shared" si="233"/>
        <v>#VALUE!</v>
      </c>
      <c r="AU208" s="667" t="e">
        <f t="shared" si="234"/>
        <v>#VALUE!</v>
      </c>
      <c r="AV208" s="669" t="e">
        <f t="shared" si="235"/>
        <v>#VALUE!</v>
      </c>
      <c r="AW208" s="667" t="e">
        <f t="shared" si="236"/>
        <v>#VALUE!</v>
      </c>
      <c r="AX208" s="667" t="e">
        <f t="shared" si="237"/>
        <v>#VALUE!</v>
      </c>
      <c r="AY208" s="660" t="e">
        <f t="shared" si="238"/>
        <v>#VALUE!</v>
      </c>
      <c r="AZ208" s="670" t="e">
        <f t="shared" si="239"/>
        <v>#VALUE!</v>
      </c>
      <c r="BB208" s="662" t="e">
        <f>INDEX('Vessel Gauging Data'!$B$26:$V$56,MATCH($C208,'Vessel Gauging Data'!$B$26:$B$56,0),$BB$198)</f>
        <v>#N/A</v>
      </c>
      <c r="BC208" s="662" t="e">
        <f>INDEX('Vessel Gauging Data'!$B$26:$V$56,MATCH($C208,'Vessel Gauging Data'!$B$26:$B$56,0),$BC$198)</f>
        <v>#N/A</v>
      </c>
      <c r="BD208" s="662" t="e">
        <f>INDEX('Vessel Gauging Data'!$B$26:$V$56,MATCH($C208,'Vessel Gauging Data'!$B$26:$B$56,0),$BD$198)</f>
        <v>#N/A</v>
      </c>
      <c r="BE208" s="662" t="e">
        <f>INDEX('Vessel Gauging Data'!$B$26:$V$56,MATCH($C208,'Vessel Gauging Data'!$B$26:$B$56,0),$BE$198)</f>
        <v>#N/A</v>
      </c>
    </row>
    <row r="209" spans="1:57" hidden="1">
      <c r="A209" s="641" t="str">
        <f t="shared" si="202"/>
        <v>N</v>
      </c>
      <c r="C209" s="235" t="str">
        <f t="shared" si="204"/>
        <v/>
      </c>
      <c r="D209" s="211" t="str">
        <f t="shared" si="204"/>
        <v/>
      </c>
      <c r="E209" s="1016" t="str">
        <f t="shared" si="203"/>
        <v/>
      </c>
      <c r="F209" s="1016" t="str">
        <f t="shared" si="205"/>
        <v/>
      </c>
      <c r="G209" s="1016" t="str">
        <f t="shared" si="206"/>
        <v/>
      </c>
      <c r="H209" s="1016" t="str">
        <f t="shared" si="206"/>
        <v/>
      </c>
      <c r="I209" s="211" t="str">
        <f t="shared" si="207"/>
        <v/>
      </c>
      <c r="J209" s="1016" t="str">
        <f t="shared" si="208"/>
        <v/>
      </c>
      <c r="K209" s="213" t="str">
        <f t="shared" si="209"/>
        <v/>
      </c>
      <c r="L209" s="212" t="str">
        <f t="shared" si="210"/>
        <v/>
      </c>
      <c r="M209" s="1125" t="str">
        <f>IF(OR($C209="",$C209=0),"",INDEX(API2DENST,MATCH($C209,'Vessel Gauging Data'!$B$27:$B$56,0),$AA$1))</f>
        <v/>
      </c>
      <c r="N209" s="212" t="str">
        <f t="shared" si="211"/>
        <v/>
      </c>
      <c r="O209" s="1016" t="str">
        <f t="shared" si="212"/>
        <v/>
      </c>
      <c r="P209" s="1125" t="str">
        <f t="shared" si="213"/>
        <v/>
      </c>
      <c r="Q209" s="1016" t="str">
        <f t="shared" si="214"/>
        <v/>
      </c>
      <c r="R209" s="214" t="str">
        <f t="shared" si="215"/>
        <v/>
      </c>
      <c r="S209" s="1125" t="str">
        <f t="shared" si="216"/>
        <v/>
      </c>
      <c r="T209" s="236" t="str">
        <f t="shared" si="217"/>
        <v/>
      </c>
      <c r="W209" s="642" t="e">
        <f>INDEX('Vessel Gauging Data'!$B$26:$V$56,MATCH($C209,'Vessel Gauging Data'!$B$26:$B$56,0),$W$198)</f>
        <v>#N/A</v>
      </c>
      <c r="X209" s="642" t="e">
        <f>INDEX('Vessel Gauging Data'!$B$26:$V$56,MATCH($C209,'Vessel Gauging Data'!$B$26:$B$56,0),$X$198)</f>
        <v>#N/A</v>
      </c>
      <c r="Y209" s="642" t="e">
        <f>INDEX('Vessel Gauging Data'!$B$26:$V$56,MATCH($C209,'Vessel Gauging Data'!$B$26:$B$56,0),$Y$198)</f>
        <v>#N/A</v>
      </c>
      <c r="Z209" s="642" t="e">
        <f>INDEX('Vessel Gauging Data'!$B$26:$V$56,MATCH($C209,'Vessel Gauging Data'!$B$26:$B$56,0),$Z$198)</f>
        <v>#N/A</v>
      </c>
      <c r="AB209" s="642" t="e">
        <f>INDEX(API2DENST,MATCH($C209,'Vessel Gauging Data'!$B$27:$B$56,0),1)</f>
        <v>#N/A</v>
      </c>
      <c r="AC209" s="642" t="e">
        <f t="shared" si="220"/>
        <v>#N/A</v>
      </c>
      <c r="AE209" s="661" t="e">
        <f t="shared" si="221"/>
        <v>#VALUE!</v>
      </c>
      <c r="AF209" s="661" t="e">
        <f t="shared" si="222"/>
        <v>#VALUE!</v>
      </c>
      <c r="AH209" s="662" t="str">
        <f t="shared" si="218"/>
        <v/>
      </c>
      <c r="AI209" s="662" t="str">
        <f t="shared" si="219"/>
        <v/>
      </c>
      <c r="AJ209" s="663">
        <f t="shared" si="223"/>
        <v>192.4571</v>
      </c>
      <c r="AK209" s="660">
        <f t="shared" si="224"/>
        <v>0.24379999999999999</v>
      </c>
      <c r="AL209" s="660" t="e">
        <f t="shared" si="225"/>
        <v>#VALUE!</v>
      </c>
      <c r="AM209" s="664" t="e">
        <f t="shared" si="226"/>
        <v>#VALUE!</v>
      </c>
      <c r="AN209" s="664" t="e">
        <f t="shared" si="227"/>
        <v>#VALUE!</v>
      </c>
      <c r="AO209" s="665" t="e">
        <f t="shared" si="228"/>
        <v>#VALUE!</v>
      </c>
      <c r="AP209" s="666" t="e">
        <f t="shared" si="229"/>
        <v>#VALUE!</v>
      </c>
      <c r="AQ209" s="660" t="e">
        <f t="shared" si="230"/>
        <v>#VALUE!</v>
      </c>
      <c r="AR209" s="667" t="e">
        <f t="shared" si="231"/>
        <v>#VALUE!</v>
      </c>
      <c r="AS209" s="667" t="e">
        <f t="shared" si="232"/>
        <v>#VALUE!</v>
      </c>
      <c r="AT209" s="668" t="e">
        <f t="shared" si="233"/>
        <v>#VALUE!</v>
      </c>
      <c r="AU209" s="667" t="e">
        <f t="shared" si="234"/>
        <v>#VALUE!</v>
      </c>
      <c r="AV209" s="669" t="e">
        <f t="shared" si="235"/>
        <v>#VALUE!</v>
      </c>
      <c r="AW209" s="667" t="e">
        <f t="shared" si="236"/>
        <v>#VALUE!</v>
      </c>
      <c r="AX209" s="667" t="e">
        <f t="shared" si="237"/>
        <v>#VALUE!</v>
      </c>
      <c r="AY209" s="660" t="e">
        <f t="shared" si="238"/>
        <v>#VALUE!</v>
      </c>
      <c r="AZ209" s="670" t="e">
        <f t="shared" si="239"/>
        <v>#VALUE!</v>
      </c>
      <c r="BB209" s="662" t="e">
        <f>INDEX('Vessel Gauging Data'!$B$26:$V$56,MATCH($C209,'Vessel Gauging Data'!$B$26:$B$56,0),$BB$198)</f>
        <v>#N/A</v>
      </c>
      <c r="BC209" s="662" t="e">
        <f>INDEX('Vessel Gauging Data'!$B$26:$V$56,MATCH($C209,'Vessel Gauging Data'!$B$26:$B$56,0),$BC$198)</f>
        <v>#N/A</v>
      </c>
      <c r="BD209" s="662" t="e">
        <f>INDEX('Vessel Gauging Data'!$B$26:$V$56,MATCH($C209,'Vessel Gauging Data'!$B$26:$B$56,0),$BD$198)</f>
        <v>#N/A</v>
      </c>
      <c r="BE209" s="662" t="e">
        <f>INDEX('Vessel Gauging Data'!$B$26:$V$56,MATCH($C209,'Vessel Gauging Data'!$B$26:$B$56,0),$BE$198)</f>
        <v>#N/A</v>
      </c>
    </row>
    <row r="210" spans="1:57" hidden="1">
      <c r="A210" s="641" t="str">
        <f t="shared" si="202"/>
        <v>N</v>
      </c>
      <c r="C210" s="235" t="str">
        <f t="shared" si="204"/>
        <v/>
      </c>
      <c r="D210" s="211" t="str">
        <f t="shared" si="204"/>
        <v/>
      </c>
      <c r="E210" s="1016" t="str">
        <f t="shared" si="203"/>
        <v/>
      </c>
      <c r="F210" s="1016" t="str">
        <f t="shared" si="205"/>
        <v/>
      </c>
      <c r="G210" s="1016" t="str">
        <f t="shared" si="206"/>
        <v/>
      </c>
      <c r="H210" s="1016" t="str">
        <f t="shared" si="206"/>
        <v/>
      </c>
      <c r="I210" s="211" t="str">
        <f t="shared" si="207"/>
        <v/>
      </c>
      <c r="J210" s="1016" t="str">
        <f t="shared" si="208"/>
        <v/>
      </c>
      <c r="K210" s="213" t="str">
        <f t="shared" si="209"/>
        <v/>
      </c>
      <c r="L210" s="212" t="str">
        <f t="shared" si="210"/>
        <v/>
      </c>
      <c r="M210" s="1125" t="str">
        <f>IF(OR($C210="",$C210=0),"",INDEX(API2DENST,MATCH($C210,'Vessel Gauging Data'!$B$27:$B$56,0),$AA$1))</f>
        <v/>
      </c>
      <c r="N210" s="212" t="str">
        <f t="shared" si="211"/>
        <v/>
      </c>
      <c r="O210" s="1016" t="str">
        <f t="shared" si="212"/>
        <v/>
      </c>
      <c r="P210" s="1125" t="str">
        <f t="shared" si="213"/>
        <v/>
      </c>
      <c r="Q210" s="1016" t="str">
        <f t="shared" si="214"/>
        <v/>
      </c>
      <c r="R210" s="214" t="str">
        <f t="shared" si="215"/>
        <v/>
      </c>
      <c r="S210" s="1125" t="str">
        <f t="shared" si="216"/>
        <v/>
      </c>
      <c r="T210" s="236" t="str">
        <f t="shared" si="217"/>
        <v/>
      </c>
      <c r="W210" s="642" t="e">
        <f>INDEX('Vessel Gauging Data'!$B$26:$V$56,MATCH($C210,'Vessel Gauging Data'!$B$26:$B$56,0),$W$198)</f>
        <v>#N/A</v>
      </c>
      <c r="X210" s="642" t="e">
        <f>INDEX('Vessel Gauging Data'!$B$26:$V$56,MATCH($C210,'Vessel Gauging Data'!$B$26:$B$56,0),$X$198)</f>
        <v>#N/A</v>
      </c>
      <c r="Y210" s="642" t="e">
        <f>INDEX('Vessel Gauging Data'!$B$26:$V$56,MATCH($C210,'Vessel Gauging Data'!$B$26:$B$56,0),$Y$198)</f>
        <v>#N/A</v>
      </c>
      <c r="Z210" s="642" t="e">
        <f>INDEX('Vessel Gauging Data'!$B$26:$V$56,MATCH($C210,'Vessel Gauging Data'!$B$26:$B$56,0),$Z$198)</f>
        <v>#N/A</v>
      </c>
      <c r="AB210" s="642" t="e">
        <f>INDEX(API2DENST,MATCH($C210,'Vessel Gauging Data'!$B$27:$B$56,0),1)</f>
        <v>#N/A</v>
      </c>
      <c r="AC210" s="642" t="e">
        <f t="shared" si="220"/>
        <v>#N/A</v>
      </c>
      <c r="AE210" s="661" t="e">
        <f t="shared" si="221"/>
        <v>#VALUE!</v>
      </c>
      <c r="AF210" s="661" t="e">
        <f t="shared" si="222"/>
        <v>#VALUE!</v>
      </c>
      <c r="AH210" s="662" t="str">
        <f t="shared" si="218"/>
        <v/>
      </c>
      <c r="AI210" s="662" t="str">
        <f t="shared" si="219"/>
        <v/>
      </c>
      <c r="AJ210" s="663">
        <f t="shared" si="223"/>
        <v>192.4571</v>
      </c>
      <c r="AK210" s="660">
        <f t="shared" si="224"/>
        <v>0.24379999999999999</v>
      </c>
      <c r="AL210" s="660" t="e">
        <f t="shared" si="225"/>
        <v>#VALUE!</v>
      </c>
      <c r="AM210" s="664" t="e">
        <f t="shared" si="226"/>
        <v>#VALUE!</v>
      </c>
      <c r="AN210" s="664" t="e">
        <f t="shared" si="227"/>
        <v>#VALUE!</v>
      </c>
      <c r="AO210" s="665" t="e">
        <f t="shared" si="228"/>
        <v>#VALUE!</v>
      </c>
      <c r="AP210" s="666" t="e">
        <f t="shared" si="229"/>
        <v>#VALUE!</v>
      </c>
      <c r="AQ210" s="660" t="e">
        <f t="shared" si="230"/>
        <v>#VALUE!</v>
      </c>
      <c r="AR210" s="667" t="e">
        <f t="shared" si="231"/>
        <v>#VALUE!</v>
      </c>
      <c r="AS210" s="667" t="e">
        <f t="shared" si="232"/>
        <v>#VALUE!</v>
      </c>
      <c r="AT210" s="668" t="e">
        <f t="shared" si="233"/>
        <v>#VALUE!</v>
      </c>
      <c r="AU210" s="667" t="e">
        <f t="shared" si="234"/>
        <v>#VALUE!</v>
      </c>
      <c r="AV210" s="669" t="e">
        <f t="shared" si="235"/>
        <v>#VALUE!</v>
      </c>
      <c r="AW210" s="667" t="e">
        <f t="shared" si="236"/>
        <v>#VALUE!</v>
      </c>
      <c r="AX210" s="667" t="e">
        <f t="shared" si="237"/>
        <v>#VALUE!</v>
      </c>
      <c r="AY210" s="660" t="e">
        <f t="shared" si="238"/>
        <v>#VALUE!</v>
      </c>
      <c r="AZ210" s="670" t="e">
        <f t="shared" si="239"/>
        <v>#VALUE!</v>
      </c>
      <c r="BB210" s="662" t="e">
        <f>INDEX('Vessel Gauging Data'!$B$26:$V$56,MATCH($C210,'Vessel Gauging Data'!$B$26:$B$56,0),$BB$198)</f>
        <v>#N/A</v>
      </c>
      <c r="BC210" s="662" t="e">
        <f>INDEX('Vessel Gauging Data'!$B$26:$V$56,MATCH($C210,'Vessel Gauging Data'!$B$26:$B$56,0),$BC$198)</f>
        <v>#N/A</v>
      </c>
      <c r="BD210" s="662" t="e">
        <f>INDEX('Vessel Gauging Data'!$B$26:$V$56,MATCH($C210,'Vessel Gauging Data'!$B$26:$B$56,0),$BD$198)</f>
        <v>#N/A</v>
      </c>
      <c r="BE210" s="662" t="e">
        <f>INDEX('Vessel Gauging Data'!$B$26:$V$56,MATCH($C210,'Vessel Gauging Data'!$B$26:$B$56,0),$BE$198)</f>
        <v>#N/A</v>
      </c>
    </row>
    <row r="211" spans="1:57" hidden="1">
      <c r="A211" s="641" t="str">
        <f t="shared" si="202"/>
        <v>N</v>
      </c>
      <c r="C211" s="235" t="str">
        <f t="shared" si="204"/>
        <v/>
      </c>
      <c r="D211" s="211" t="str">
        <f t="shared" si="204"/>
        <v/>
      </c>
      <c r="E211" s="1016" t="str">
        <f t="shared" si="203"/>
        <v/>
      </c>
      <c r="F211" s="1016" t="str">
        <f t="shared" si="205"/>
        <v/>
      </c>
      <c r="G211" s="1016" t="str">
        <f t="shared" si="206"/>
        <v/>
      </c>
      <c r="H211" s="1016" t="str">
        <f t="shared" si="206"/>
        <v/>
      </c>
      <c r="I211" s="211" t="str">
        <f t="shared" si="207"/>
        <v/>
      </c>
      <c r="J211" s="1016" t="str">
        <f t="shared" si="208"/>
        <v/>
      </c>
      <c r="K211" s="213" t="str">
        <f t="shared" si="209"/>
        <v/>
      </c>
      <c r="L211" s="212" t="str">
        <f t="shared" si="210"/>
        <v/>
      </c>
      <c r="M211" s="1125" t="str">
        <f>IF(OR($C211="",$C211=0),"",INDEX(API2DENST,MATCH($C211,'Vessel Gauging Data'!$B$27:$B$56,0),$AA$1))</f>
        <v/>
      </c>
      <c r="N211" s="212" t="str">
        <f t="shared" si="211"/>
        <v/>
      </c>
      <c r="O211" s="1016" t="str">
        <f t="shared" si="212"/>
        <v/>
      </c>
      <c r="P211" s="1125" t="str">
        <f t="shared" si="213"/>
        <v/>
      </c>
      <c r="Q211" s="1016" t="str">
        <f t="shared" si="214"/>
        <v/>
      </c>
      <c r="R211" s="214" t="str">
        <f t="shared" si="215"/>
        <v/>
      </c>
      <c r="S211" s="1125" t="str">
        <f t="shared" si="216"/>
        <v/>
      </c>
      <c r="T211" s="236" t="str">
        <f t="shared" si="217"/>
        <v/>
      </c>
      <c r="W211" s="642" t="e">
        <f>INDEX('Vessel Gauging Data'!$B$26:$V$56,MATCH($C211,'Vessel Gauging Data'!$B$26:$B$56,0),$W$198)</f>
        <v>#N/A</v>
      </c>
      <c r="X211" s="642" t="e">
        <f>INDEX('Vessel Gauging Data'!$B$26:$V$56,MATCH($C211,'Vessel Gauging Data'!$B$26:$B$56,0),$X$198)</f>
        <v>#N/A</v>
      </c>
      <c r="Y211" s="642" t="e">
        <f>INDEX('Vessel Gauging Data'!$B$26:$V$56,MATCH($C211,'Vessel Gauging Data'!$B$26:$B$56,0),$Y$198)</f>
        <v>#N/A</v>
      </c>
      <c r="Z211" s="642" t="e">
        <f>INDEX('Vessel Gauging Data'!$B$26:$V$56,MATCH($C211,'Vessel Gauging Data'!$B$26:$B$56,0),$Z$198)</f>
        <v>#N/A</v>
      </c>
      <c r="AB211" s="642" t="e">
        <f>INDEX(API2DENST,MATCH($C211,'Vessel Gauging Data'!$B$27:$B$56,0),1)</f>
        <v>#N/A</v>
      </c>
      <c r="AC211" s="642" t="e">
        <f t="shared" si="220"/>
        <v>#N/A</v>
      </c>
      <c r="AE211" s="661" t="e">
        <f t="shared" si="221"/>
        <v>#VALUE!</v>
      </c>
      <c r="AF211" s="661" t="e">
        <f t="shared" si="222"/>
        <v>#VALUE!</v>
      </c>
      <c r="AH211" s="662" t="str">
        <f t="shared" si="218"/>
        <v/>
      </c>
      <c r="AI211" s="662" t="str">
        <f t="shared" si="219"/>
        <v/>
      </c>
      <c r="AJ211" s="663">
        <f t="shared" si="223"/>
        <v>192.4571</v>
      </c>
      <c r="AK211" s="660">
        <f t="shared" si="224"/>
        <v>0.24379999999999999</v>
      </c>
      <c r="AL211" s="660" t="e">
        <f t="shared" si="225"/>
        <v>#VALUE!</v>
      </c>
      <c r="AM211" s="664" t="e">
        <f t="shared" si="226"/>
        <v>#VALUE!</v>
      </c>
      <c r="AN211" s="664" t="e">
        <f t="shared" si="227"/>
        <v>#VALUE!</v>
      </c>
      <c r="AO211" s="665" t="e">
        <f t="shared" si="228"/>
        <v>#VALUE!</v>
      </c>
      <c r="AP211" s="666" t="e">
        <f t="shared" si="229"/>
        <v>#VALUE!</v>
      </c>
      <c r="AQ211" s="660" t="e">
        <f t="shared" si="230"/>
        <v>#VALUE!</v>
      </c>
      <c r="AR211" s="667" t="e">
        <f t="shared" si="231"/>
        <v>#VALUE!</v>
      </c>
      <c r="AS211" s="667" t="e">
        <f t="shared" si="232"/>
        <v>#VALUE!</v>
      </c>
      <c r="AT211" s="668" t="e">
        <f t="shared" si="233"/>
        <v>#VALUE!</v>
      </c>
      <c r="AU211" s="667" t="e">
        <f t="shared" si="234"/>
        <v>#VALUE!</v>
      </c>
      <c r="AV211" s="669" t="e">
        <f t="shared" si="235"/>
        <v>#VALUE!</v>
      </c>
      <c r="AW211" s="667" t="e">
        <f t="shared" si="236"/>
        <v>#VALUE!</v>
      </c>
      <c r="AX211" s="667" t="e">
        <f t="shared" si="237"/>
        <v>#VALUE!</v>
      </c>
      <c r="AY211" s="660" t="e">
        <f t="shared" si="238"/>
        <v>#VALUE!</v>
      </c>
      <c r="AZ211" s="670" t="e">
        <f t="shared" si="239"/>
        <v>#VALUE!</v>
      </c>
      <c r="BB211" s="662" t="e">
        <f>INDEX('Vessel Gauging Data'!$B$26:$V$56,MATCH($C211,'Vessel Gauging Data'!$B$26:$B$56,0),$BB$198)</f>
        <v>#N/A</v>
      </c>
      <c r="BC211" s="662" t="e">
        <f>INDEX('Vessel Gauging Data'!$B$26:$V$56,MATCH($C211,'Vessel Gauging Data'!$B$26:$B$56,0),$BC$198)</f>
        <v>#N/A</v>
      </c>
      <c r="BD211" s="662" t="e">
        <f>INDEX('Vessel Gauging Data'!$B$26:$V$56,MATCH($C211,'Vessel Gauging Data'!$B$26:$B$56,0),$BD$198)</f>
        <v>#N/A</v>
      </c>
      <c r="BE211" s="662" t="e">
        <f>INDEX('Vessel Gauging Data'!$B$26:$V$56,MATCH($C211,'Vessel Gauging Data'!$B$26:$B$56,0),$BE$198)</f>
        <v>#N/A</v>
      </c>
    </row>
    <row r="212" spans="1:57" hidden="1">
      <c r="A212" s="641" t="str">
        <f t="shared" si="202"/>
        <v>N</v>
      </c>
      <c r="C212" s="235" t="str">
        <f t="shared" si="204"/>
        <v/>
      </c>
      <c r="D212" s="211" t="str">
        <f t="shared" si="204"/>
        <v/>
      </c>
      <c r="E212" s="1016" t="str">
        <f t="shared" si="203"/>
        <v/>
      </c>
      <c r="F212" s="1016" t="str">
        <f t="shared" si="205"/>
        <v/>
      </c>
      <c r="G212" s="1016" t="str">
        <f t="shared" si="206"/>
        <v/>
      </c>
      <c r="H212" s="1016" t="str">
        <f t="shared" si="206"/>
        <v/>
      </c>
      <c r="I212" s="211" t="str">
        <f t="shared" si="207"/>
        <v/>
      </c>
      <c r="J212" s="1016" t="str">
        <f t="shared" si="208"/>
        <v/>
      </c>
      <c r="K212" s="213" t="str">
        <f t="shared" si="209"/>
        <v/>
      </c>
      <c r="L212" s="212" t="str">
        <f t="shared" si="210"/>
        <v/>
      </c>
      <c r="M212" s="1125" t="str">
        <f>IF(OR($C212="",$C212=0),"",INDEX(API2DENST,MATCH($C212,'Vessel Gauging Data'!$B$27:$B$56,0),$AA$1))</f>
        <v/>
      </c>
      <c r="N212" s="212" t="str">
        <f t="shared" si="211"/>
        <v/>
      </c>
      <c r="O212" s="1016" t="str">
        <f t="shared" si="212"/>
        <v/>
      </c>
      <c r="P212" s="1125" t="str">
        <f t="shared" si="213"/>
        <v/>
      </c>
      <c r="Q212" s="1016" t="str">
        <f t="shared" si="214"/>
        <v/>
      </c>
      <c r="R212" s="214" t="str">
        <f t="shared" si="215"/>
        <v/>
      </c>
      <c r="S212" s="1125" t="str">
        <f t="shared" si="216"/>
        <v/>
      </c>
      <c r="T212" s="236" t="str">
        <f t="shared" si="217"/>
        <v/>
      </c>
      <c r="W212" s="642" t="e">
        <f>INDEX('Vessel Gauging Data'!$B$26:$V$56,MATCH($C212,'Vessel Gauging Data'!$B$26:$B$56,0),$W$198)</f>
        <v>#N/A</v>
      </c>
      <c r="X212" s="642" t="e">
        <f>INDEX('Vessel Gauging Data'!$B$26:$V$56,MATCH($C212,'Vessel Gauging Data'!$B$26:$B$56,0),$X$198)</f>
        <v>#N/A</v>
      </c>
      <c r="Y212" s="642" t="e">
        <f>INDEX('Vessel Gauging Data'!$B$26:$V$56,MATCH($C212,'Vessel Gauging Data'!$B$26:$B$56,0),$Y$198)</f>
        <v>#N/A</v>
      </c>
      <c r="Z212" s="642" t="e">
        <f>INDEX('Vessel Gauging Data'!$B$26:$V$56,MATCH($C212,'Vessel Gauging Data'!$B$26:$B$56,0),$Z$198)</f>
        <v>#N/A</v>
      </c>
      <c r="AB212" s="642" t="e">
        <f>INDEX(API2DENST,MATCH($C212,'Vessel Gauging Data'!$B$27:$B$56,0),1)</f>
        <v>#N/A</v>
      </c>
      <c r="AC212" s="642" t="e">
        <f t="shared" si="220"/>
        <v>#N/A</v>
      </c>
      <c r="AE212" s="661" t="e">
        <f t="shared" si="221"/>
        <v>#VALUE!</v>
      </c>
      <c r="AF212" s="661" t="e">
        <f t="shared" si="222"/>
        <v>#VALUE!</v>
      </c>
      <c r="AH212" s="662" t="str">
        <f t="shared" si="218"/>
        <v/>
      </c>
      <c r="AI212" s="662" t="str">
        <f t="shared" si="219"/>
        <v/>
      </c>
      <c r="AJ212" s="663">
        <f t="shared" si="223"/>
        <v>192.4571</v>
      </c>
      <c r="AK212" s="660">
        <f t="shared" si="224"/>
        <v>0.24379999999999999</v>
      </c>
      <c r="AL212" s="660" t="e">
        <f t="shared" si="225"/>
        <v>#VALUE!</v>
      </c>
      <c r="AM212" s="664" t="e">
        <f t="shared" si="226"/>
        <v>#VALUE!</v>
      </c>
      <c r="AN212" s="664" t="e">
        <f t="shared" si="227"/>
        <v>#VALUE!</v>
      </c>
      <c r="AO212" s="665" t="e">
        <f t="shared" si="228"/>
        <v>#VALUE!</v>
      </c>
      <c r="AP212" s="666" t="e">
        <f t="shared" si="229"/>
        <v>#VALUE!</v>
      </c>
      <c r="AQ212" s="660" t="e">
        <f t="shared" si="230"/>
        <v>#VALUE!</v>
      </c>
      <c r="AR212" s="667" t="e">
        <f t="shared" si="231"/>
        <v>#VALUE!</v>
      </c>
      <c r="AS212" s="667" t="e">
        <f t="shared" si="232"/>
        <v>#VALUE!</v>
      </c>
      <c r="AT212" s="668" t="e">
        <f t="shared" si="233"/>
        <v>#VALUE!</v>
      </c>
      <c r="AU212" s="667" t="e">
        <f t="shared" si="234"/>
        <v>#VALUE!</v>
      </c>
      <c r="AV212" s="669" t="e">
        <f t="shared" si="235"/>
        <v>#VALUE!</v>
      </c>
      <c r="AW212" s="667" t="e">
        <f t="shared" si="236"/>
        <v>#VALUE!</v>
      </c>
      <c r="AX212" s="667" t="e">
        <f t="shared" si="237"/>
        <v>#VALUE!</v>
      </c>
      <c r="AY212" s="660" t="e">
        <f t="shared" si="238"/>
        <v>#VALUE!</v>
      </c>
      <c r="AZ212" s="670" t="e">
        <f t="shared" si="239"/>
        <v>#VALUE!</v>
      </c>
      <c r="BB212" s="662" t="e">
        <f>INDEX('Vessel Gauging Data'!$B$26:$V$56,MATCH($C212,'Vessel Gauging Data'!$B$26:$B$56,0),$BB$198)</f>
        <v>#N/A</v>
      </c>
      <c r="BC212" s="662" t="e">
        <f>INDEX('Vessel Gauging Data'!$B$26:$V$56,MATCH($C212,'Vessel Gauging Data'!$B$26:$B$56,0),$BC$198)</f>
        <v>#N/A</v>
      </c>
      <c r="BD212" s="662" t="e">
        <f>INDEX('Vessel Gauging Data'!$B$26:$V$56,MATCH($C212,'Vessel Gauging Data'!$B$26:$B$56,0),$BD$198)</f>
        <v>#N/A</v>
      </c>
      <c r="BE212" s="662" t="e">
        <f>INDEX('Vessel Gauging Data'!$B$26:$V$56,MATCH($C212,'Vessel Gauging Data'!$B$26:$B$56,0),$BE$198)</f>
        <v>#N/A</v>
      </c>
    </row>
    <row r="213" spans="1:57" hidden="1">
      <c r="A213" s="641" t="str">
        <f t="shared" si="202"/>
        <v>N</v>
      </c>
      <c r="C213" s="235" t="str">
        <f t="shared" si="204"/>
        <v/>
      </c>
      <c r="D213" s="211" t="str">
        <f t="shared" si="204"/>
        <v/>
      </c>
      <c r="E213" s="1016" t="str">
        <f t="shared" si="203"/>
        <v/>
      </c>
      <c r="F213" s="1016" t="str">
        <f t="shared" si="205"/>
        <v/>
      </c>
      <c r="G213" s="1016" t="str">
        <f t="shared" si="206"/>
        <v/>
      </c>
      <c r="H213" s="1016" t="str">
        <f t="shared" si="206"/>
        <v/>
      </c>
      <c r="I213" s="211" t="str">
        <f t="shared" si="207"/>
        <v/>
      </c>
      <c r="J213" s="1016" t="str">
        <f t="shared" si="208"/>
        <v/>
      </c>
      <c r="K213" s="213" t="str">
        <f t="shared" si="209"/>
        <v/>
      </c>
      <c r="L213" s="212" t="str">
        <f t="shared" si="210"/>
        <v/>
      </c>
      <c r="M213" s="1125" t="str">
        <f>IF(OR($C213="",$C213=0),"",INDEX(API2DENST,MATCH($C213,'Vessel Gauging Data'!$B$27:$B$56,0),$AA$1))</f>
        <v/>
      </c>
      <c r="N213" s="212" t="str">
        <f t="shared" si="211"/>
        <v/>
      </c>
      <c r="O213" s="1016" t="str">
        <f t="shared" si="212"/>
        <v/>
      </c>
      <c r="P213" s="1125" t="str">
        <f t="shared" si="213"/>
        <v/>
      </c>
      <c r="Q213" s="1016" t="str">
        <f t="shared" si="214"/>
        <v/>
      </c>
      <c r="R213" s="214" t="str">
        <f t="shared" si="215"/>
        <v/>
      </c>
      <c r="S213" s="1125" t="str">
        <f t="shared" si="216"/>
        <v/>
      </c>
      <c r="T213" s="236" t="str">
        <f t="shared" si="217"/>
        <v/>
      </c>
      <c r="W213" s="642" t="e">
        <f>INDEX('Vessel Gauging Data'!$B$26:$V$56,MATCH($C213,'Vessel Gauging Data'!$B$26:$B$56,0),$W$198)</f>
        <v>#N/A</v>
      </c>
      <c r="X213" s="642" t="e">
        <f>INDEX('Vessel Gauging Data'!$B$26:$V$56,MATCH($C213,'Vessel Gauging Data'!$B$26:$B$56,0),$X$198)</f>
        <v>#N/A</v>
      </c>
      <c r="Y213" s="642" t="e">
        <f>INDEX('Vessel Gauging Data'!$B$26:$V$56,MATCH($C213,'Vessel Gauging Data'!$B$26:$B$56,0),$Y$198)</f>
        <v>#N/A</v>
      </c>
      <c r="Z213" s="642" t="e">
        <f>INDEX('Vessel Gauging Data'!$B$26:$V$56,MATCH($C213,'Vessel Gauging Data'!$B$26:$B$56,0),$Z$198)</f>
        <v>#N/A</v>
      </c>
      <c r="AB213" s="642" t="e">
        <f>INDEX(API2DENST,MATCH($C213,'Vessel Gauging Data'!$B$27:$B$56,0),1)</f>
        <v>#N/A</v>
      </c>
      <c r="AC213" s="642" t="e">
        <f t="shared" si="220"/>
        <v>#N/A</v>
      </c>
      <c r="AE213" s="661" t="e">
        <f t="shared" si="221"/>
        <v>#VALUE!</v>
      </c>
      <c r="AF213" s="661" t="e">
        <f t="shared" si="222"/>
        <v>#VALUE!</v>
      </c>
      <c r="AH213" s="662" t="str">
        <f t="shared" si="218"/>
        <v/>
      </c>
      <c r="AI213" s="662" t="str">
        <f t="shared" si="219"/>
        <v/>
      </c>
      <c r="AJ213" s="663">
        <f t="shared" si="223"/>
        <v>192.4571</v>
      </c>
      <c r="AK213" s="660">
        <f t="shared" si="224"/>
        <v>0.24379999999999999</v>
      </c>
      <c r="AL213" s="660" t="e">
        <f t="shared" si="225"/>
        <v>#VALUE!</v>
      </c>
      <c r="AM213" s="664" t="e">
        <f t="shared" si="226"/>
        <v>#VALUE!</v>
      </c>
      <c r="AN213" s="664" t="e">
        <f t="shared" si="227"/>
        <v>#VALUE!</v>
      </c>
      <c r="AO213" s="665" t="e">
        <f t="shared" si="228"/>
        <v>#VALUE!</v>
      </c>
      <c r="AP213" s="666" t="e">
        <f t="shared" si="229"/>
        <v>#VALUE!</v>
      </c>
      <c r="AQ213" s="660" t="e">
        <f t="shared" si="230"/>
        <v>#VALUE!</v>
      </c>
      <c r="AR213" s="667" t="e">
        <f t="shared" si="231"/>
        <v>#VALUE!</v>
      </c>
      <c r="AS213" s="667" t="e">
        <f t="shared" si="232"/>
        <v>#VALUE!</v>
      </c>
      <c r="AT213" s="668" t="e">
        <f t="shared" si="233"/>
        <v>#VALUE!</v>
      </c>
      <c r="AU213" s="667" t="e">
        <f t="shared" si="234"/>
        <v>#VALUE!</v>
      </c>
      <c r="AV213" s="669" t="e">
        <f t="shared" si="235"/>
        <v>#VALUE!</v>
      </c>
      <c r="AW213" s="667" t="e">
        <f t="shared" si="236"/>
        <v>#VALUE!</v>
      </c>
      <c r="AX213" s="667" t="e">
        <f t="shared" si="237"/>
        <v>#VALUE!</v>
      </c>
      <c r="AY213" s="660" t="e">
        <f t="shared" si="238"/>
        <v>#VALUE!</v>
      </c>
      <c r="AZ213" s="670" t="e">
        <f t="shared" si="239"/>
        <v>#VALUE!</v>
      </c>
      <c r="BB213" s="662" t="e">
        <f>INDEX('Vessel Gauging Data'!$B$26:$V$56,MATCH($C213,'Vessel Gauging Data'!$B$26:$B$56,0),$BB$198)</f>
        <v>#N/A</v>
      </c>
      <c r="BC213" s="662" t="e">
        <f>INDEX('Vessel Gauging Data'!$B$26:$V$56,MATCH($C213,'Vessel Gauging Data'!$B$26:$B$56,0),$BC$198)</f>
        <v>#N/A</v>
      </c>
      <c r="BD213" s="662" t="e">
        <f>INDEX('Vessel Gauging Data'!$B$26:$V$56,MATCH($C213,'Vessel Gauging Data'!$B$26:$B$56,0),$BD$198)</f>
        <v>#N/A</v>
      </c>
      <c r="BE213" s="662" t="e">
        <f>INDEX('Vessel Gauging Data'!$B$26:$V$56,MATCH($C213,'Vessel Gauging Data'!$B$26:$B$56,0),$BE$198)</f>
        <v>#N/A</v>
      </c>
    </row>
    <row r="214" spans="1:57" hidden="1">
      <c r="A214" s="641" t="str">
        <f t="shared" si="202"/>
        <v>N</v>
      </c>
      <c r="C214" s="235" t="str">
        <f t="shared" si="204"/>
        <v/>
      </c>
      <c r="D214" s="211" t="str">
        <f t="shared" si="204"/>
        <v/>
      </c>
      <c r="E214" s="1016" t="str">
        <f t="shared" si="203"/>
        <v/>
      </c>
      <c r="F214" s="1016" t="str">
        <f t="shared" si="205"/>
        <v/>
      </c>
      <c r="G214" s="1016" t="str">
        <f t="shared" si="206"/>
        <v/>
      </c>
      <c r="H214" s="1016" t="str">
        <f t="shared" si="206"/>
        <v/>
      </c>
      <c r="I214" s="211" t="str">
        <f t="shared" si="207"/>
        <v/>
      </c>
      <c r="J214" s="1016" t="str">
        <f t="shared" si="208"/>
        <v/>
      </c>
      <c r="K214" s="213" t="str">
        <f t="shared" si="209"/>
        <v/>
      </c>
      <c r="L214" s="212" t="str">
        <f t="shared" si="210"/>
        <v/>
      </c>
      <c r="M214" s="1125" t="str">
        <f>IF(OR($C214="",$C214=0),"",INDEX(API2DENST,MATCH($C214,'Vessel Gauging Data'!$B$27:$B$56,0),$AA$1))</f>
        <v/>
      </c>
      <c r="N214" s="212" t="str">
        <f t="shared" si="211"/>
        <v/>
      </c>
      <c r="O214" s="1016" t="str">
        <f t="shared" si="212"/>
        <v/>
      </c>
      <c r="P214" s="1125" t="str">
        <f t="shared" si="213"/>
        <v/>
      </c>
      <c r="Q214" s="1016" t="str">
        <f t="shared" si="214"/>
        <v/>
      </c>
      <c r="R214" s="214" t="str">
        <f t="shared" si="215"/>
        <v/>
      </c>
      <c r="S214" s="1125" t="str">
        <f t="shared" si="216"/>
        <v/>
      </c>
      <c r="T214" s="236" t="str">
        <f t="shared" si="217"/>
        <v/>
      </c>
      <c r="W214" s="642" t="e">
        <f>INDEX('Vessel Gauging Data'!$B$26:$V$56,MATCH($C214,'Vessel Gauging Data'!$B$26:$B$56,0),$W$198)</f>
        <v>#N/A</v>
      </c>
      <c r="X214" s="642" t="e">
        <f>INDEX('Vessel Gauging Data'!$B$26:$V$56,MATCH($C214,'Vessel Gauging Data'!$B$26:$B$56,0),$X$198)</f>
        <v>#N/A</v>
      </c>
      <c r="Y214" s="642" t="e">
        <f>INDEX('Vessel Gauging Data'!$B$26:$V$56,MATCH($C214,'Vessel Gauging Data'!$B$26:$B$56,0),$Y$198)</f>
        <v>#N/A</v>
      </c>
      <c r="Z214" s="642" t="e">
        <f>INDEX('Vessel Gauging Data'!$B$26:$V$56,MATCH($C214,'Vessel Gauging Data'!$B$26:$B$56,0),$Z$198)</f>
        <v>#N/A</v>
      </c>
      <c r="AB214" s="642" t="e">
        <f>INDEX(API2DENST,MATCH($C214,'Vessel Gauging Data'!$B$27:$B$56,0),1)</f>
        <v>#N/A</v>
      </c>
      <c r="AC214" s="642" t="e">
        <f t="shared" si="220"/>
        <v>#N/A</v>
      </c>
      <c r="AE214" s="661" t="e">
        <f t="shared" si="221"/>
        <v>#VALUE!</v>
      </c>
      <c r="AF214" s="661" t="e">
        <f t="shared" si="222"/>
        <v>#VALUE!</v>
      </c>
      <c r="AH214" s="662" t="str">
        <f t="shared" si="218"/>
        <v/>
      </c>
      <c r="AI214" s="662" t="str">
        <f t="shared" si="219"/>
        <v/>
      </c>
      <c r="AJ214" s="663">
        <f t="shared" si="223"/>
        <v>192.4571</v>
      </c>
      <c r="AK214" s="660">
        <f t="shared" si="224"/>
        <v>0.24379999999999999</v>
      </c>
      <c r="AL214" s="660" t="e">
        <f t="shared" si="225"/>
        <v>#VALUE!</v>
      </c>
      <c r="AM214" s="664" t="e">
        <f t="shared" si="226"/>
        <v>#VALUE!</v>
      </c>
      <c r="AN214" s="664" t="e">
        <f t="shared" si="227"/>
        <v>#VALUE!</v>
      </c>
      <c r="AO214" s="665" t="e">
        <f t="shared" si="228"/>
        <v>#VALUE!</v>
      </c>
      <c r="AP214" s="666" t="e">
        <f t="shared" si="229"/>
        <v>#VALUE!</v>
      </c>
      <c r="AQ214" s="660" t="e">
        <f t="shared" si="230"/>
        <v>#VALUE!</v>
      </c>
      <c r="AR214" s="667" t="e">
        <f t="shared" si="231"/>
        <v>#VALUE!</v>
      </c>
      <c r="AS214" s="667" t="e">
        <f t="shared" si="232"/>
        <v>#VALUE!</v>
      </c>
      <c r="AT214" s="668" t="e">
        <f t="shared" si="233"/>
        <v>#VALUE!</v>
      </c>
      <c r="AU214" s="667" t="e">
        <f t="shared" si="234"/>
        <v>#VALUE!</v>
      </c>
      <c r="AV214" s="669" t="e">
        <f t="shared" si="235"/>
        <v>#VALUE!</v>
      </c>
      <c r="AW214" s="667" t="e">
        <f t="shared" si="236"/>
        <v>#VALUE!</v>
      </c>
      <c r="AX214" s="667" t="e">
        <f t="shared" si="237"/>
        <v>#VALUE!</v>
      </c>
      <c r="AY214" s="660" t="e">
        <f t="shared" si="238"/>
        <v>#VALUE!</v>
      </c>
      <c r="AZ214" s="670" t="e">
        <f t="shared" si="239"/>
        <v>#VALUE!</v>
      </c>
      <c r="BB214" s="662" t="e">
        <f>INDEX('Vessel Gauging Data'!$B$26:$V$56,MATCH($C214,'Vessel Gauging Data'!$B$26:$B$56,0),$BB$198)</f>
        <v>#N/A</v>
      </c>
      <c r="BC214" s="662" t="e">
        <f>INDEX('Vessel Gauging Data'!$B$26:$V$56,MATCH($C214,'Vessel Gauging Data'!$B$26:$B$56,0),$BC$198)</f>
        <v>#N/A</v>
      </c>
      <c r="BD214" s="662" t="e">
        <f>INDEX('Vessel Gauging Data'!$B$26:$V$56,MATCH($C214,'Vessel Gauging Data'!$B$26:$B$56,0),$BD$198)</f>
        <v>#N/A</v>
      </c>
      <c r="BE214" s="662" t="e">
        <f>INDEX('Vessel Gauging Data'!$B$26:$V$56,MATCH($C214,'Vessel Gauging Data'!$B$26:$B$56,0),$BE$198)</f>
        <v>#N/A</v>
      </c>
    </row>
    <row r="215" spans="1:57" hidden="1">
      <c r="A215" s="641" t="str">
        <f t="shared" si="202"/>
        <v>N</v>
      </c>
      <c r="C215" s="235" t="str">
        <f t="shared" si="204"/>
        <v/>
      </c>
      <c r="D215" s="211" t="str">
        <f t="shared" si="204"/>
        <v/>
      </c>
      <c r="E215" s="1016" t="str">
        <f t="shared" si="203"/>
        <v/>
      </c>
      <c r="F215" s="1016" t="str">
        <f t="shared" si="205"/>
        <v/>
      </c>
      <c r="G215" s="1016" t="str">
        <f t="shared" si="206"/>
        <v/>
      </c>
      <c r="H215" s="1016" t="str">
        <f t="shared" si="206"/>
        <v/>
      </c>
      <c r="I215" s="211" t="str">
        <f t="shared" si="207"/>
        <v/>
      </c>
      <c r="J215" s="1016" t="str">
        <f t="shared" si="208"/>
        <v/>
      </c>
      <c r="K215" s="213" t="str">
        <f t="shared" si="209"/>
        <v/>
      </c>
      <c r="L215" s="212" t="str">
        <f t="shared" si="210"/>
        <v/>
      </c>
      <c r="M215" s="1125" t="str">
        <f>IF(OR($C215="",$C215=0),"",INDEX(API2DENST,MATCH($C215,'Vessel Gauging Data'!$B$27:$B$56,0),$AA$1))</f>
        <v/>
      </c>
      <c r="N215" s="212" t="str">
        <f t="shared" si="211"/>
        <v/>
      </c>
      <c r="O215" s="1016" t="str">
        <f t="shared" si="212"/>
        <v/>
      </c>
      <c r="P215" s="1125" t="str">
        <f t="shared" si="213"/>
        <v/>
      </c>
      <c r="Q215" s="1016" t="str">
        <f t="shared" si="214"/>
        <v/>
      </c>
      <c r="R215" s="214" t="str">
        <f t="shared" si="215"/>
        <v/>
      </c>
      <c r="S215" s="1125" t="str">
        <f t="shared" si="216"/>
        <v/>
      </c>
      <c r="T215" s="236" t="str">
        <f t="shared" si="217"/>
        <v/>
      </c>
      <c r="W215" s="642" t="e">
        <f>INDEX('Vessel Gauging Data'!$B$26:$V$56,MATCH($C215,'Vessel Gauging Data'!$B$26:$B$56,0),$W$198)</f>
        <v>#N/A</v>
      </c>
      <c r="X215" s="642" t="e">
        <f>INDEX('Vessel Gauging Data'!$B$26:$V$56,MATCH($C215,'Vessel Gauging Data'!$B$26:$B$56,0),$X$198)</f>
        <v>#N/A</v>
      </c>
      <c r="Y215" s="642" t="e">
        <f>INDEX('Vessel Gauging Data'!$B$26:$V$56,MATCH($C215,'Vessel Gauging Data'!$B$26:$B$56,0),$Y$198)</f>
        <v>#N/A</v>
      </c>
      <c r="Z215" s="642" t="e">
        <f>INDEX('Vessel Gauging Data'!$B$26:$V$56,MATCH($C215,'Vessel Gauging Data'!$B$26:$B$56,0),$Z$198)</f>
        <v>#N/A</v>
      </c>
      <c r="AB215" s="642" t="e">
        <f>INDEX(API2DENST,MATCH($C215,'Vessel Gauging Data'!$B$27:$B$56,0),1)</f>
        <v>#N/A</v>
      </c>
      <c r="AC215" s="642" t="e">
        <f t="shared" si="220"/>
        <v>#N/A</v>
      </c>
      <c r="AE215" s="661" t="e">
        <f t="shared" si="221"/>
        <v>#VALUE!</v>
      </c>
      <c r="AF215" s="661" t="e">
        <f t="shared" si="222"/>
        <v>#VALUE!</v>
      </c>
      <c r="AH215" s="662" t="str">
        <f t="shared" si="218"/>
        <v/>
      </c>
      <c r="AI215" s="662" t="str">
        <f t="shared" si="219"/>
        <v/>
      </c>
      <c r="AJ215" s="663">
        <f t="shared" si="223"/>
        <v>192.4571</v>
      </c>
      <c r="AK215" s="660">
        <f t="shared" si="224"/>
        <v>0.24379999999999999</v>
      </c>
      <c r="AL215" s="660" t="e">
        <f t="shared" si="225"/>
        <v>#VALUE!</v>
      </c>
      <c r="AM215" s="664" t="e">
        <f t="shared" si="226"/>
        <v>#VALUE!</v>
      </c>
      <c r="AN215" s="664" t="e">
        <f t="shared" si="227"/>
        <v>#VALUE!</v>
      </c>
      <c r="AO215" s="665" t="e">
        <f t="shared" si="228"/>
        <v>#VALUE!</v>
      </c>
      <c r="AP215" s="666" t="e">
        <f t="shared" si="229"/>
        <v>#VALUE!</v>
      </c>
      <c r="AQ215" s="660" t="e">
        <f t="shared" si="230"/>
        <v>#VALUE!</v>
      </c>
      <c r="AR215" s="667" t="e">
        <f t="shared" si="231"/>
        <v>#VALUE!</v>
      </c>
      <c r="AS215" s="667" t="e">
        <f t="shared" si="232"/>
        <v>#VALUE!</v>
      </c>
      <c r="AT215" s="668" t="e">
        <f t="shared" si="233"/>
        <v>#VALUE!</v>
      </c>
      <c r="AU215" s="667" t="e">
        <f t="shared" si="234"/>
        <v>#VALUE!</v>
      </c>
      <c r="AV215" s="669" t="e">
        <f t="shared" si="235"/>
        <v>#VALUE!</v>
      </c>
      <c r="AW215" s="667" t="e">
        <f t="shared" si="236"/>
        <v>#VALUE!</v>
      </c>
      <c r="AX215" s="667" t="e">
        <f t="shared" si="237"/>
        <v>#VALUE!</v>
      </c>
      <c r="AY215" s="660" t="e">
        <f t="shared" si="238"/>
        <v>#VALUE!</v>
      </c>
      <c r="AZ215" s="670" t="e">
        <f t="shared" si="239"/>
        <v>#VALUE!</v>
      </c>
      <c r="BB215" s="662" t="e">
        <f>INDEX('Vessel Gauging Data'!$B$26:$V$56,MATCH($C215,'Vessel Gauging Data'!$B$26:$B$56,0),$BB$198)</f>
        <v>#N/A</v>
      </c>
      <c r="BC215" s="662" t="e">
        <f>INDEX('Vessel Gauging Data'!$B$26:$V$56,MATCH($C215,'Vessel Gauging Data'!$B$26:$B$56,0),$BC$198)</f>
        <v>#N/A</v>
      </c>
      <c r="BD215" s="662" t="e">
        <f>INDEX('Vessel Gauging Data'!$B$26:$V$56,MATCH($C215,'Vessel Gauging Data'!$B$26:$B$56,0),$BD$198)</f>
        <v>#N/A</v>
      </c>
      <c r="BE215" s="662" t="e">
        <f>INDEX('Vessel Gauging Data'!$B$26:$V$56,MATCH($C215,'Vessel Gauging Data'!$B$26:$B$56,0),$BE$198)</f>
        <v>#N/A</v>
      </c>
    </row>
    <row r="216" spans="1:57" hidden="1">
      <c r="A216" s="641" t="str">
        <f t="shared" si="202"/>
        <v>N</v>
      </c>
      <c r="C216" s="235" t="str">
        <f t="shared" si="204"/>
        <v/>
      </c>
      <c r="D216" s="211" t="str">
        <f t="shared" si="204"/>
        <v/>
      </c>
      <c r="E216" s="1016" t="str">
        <f t="shared" si="203"/>
        <v/>
      </c>
      <c r="F216" s="1016" t="str">
        <f t="shared" si="205"/>
        <v/>
      </c>
      <c r="G216" s="1016" t="str">
        <f t="shared" si="206"/>
        <v/>
      </c>
      <c r="H216" s="1016" t="str">
        <f t="shared" si="206"/>
        <v/>
      </c>
      <c r="I216" s="211" t="str">
        <f t="shared" si="207"/>
        <v/>
      </c>
      <c r="J216" s="1016" t="str">
        <f t="shared" si="208"/>
        <v/>
      </c>
      <c r="K216" s="213" t="str">
        <f t="shared" si="209"/>
        <v/>
      </c>
      <c r="L216" s="212" t="str">
        <f t="shared" si="210"/>
        <v/>
      </c>
      <c r="M216" s="1125" t="str">
        <f>IF(OR($C216="",$C216=0),"",INDEX(API2DENST,MATCH($C216,'Vessel Gauging Data'!$B$27:$B$56,0),$AA$1))</f>
        <v/>
      </c>
      <c r="N216" s="212" t="str">
        <f t="shared" si="211"/>
        <v/>
      </c>
      <c r="O216" s="1016" t="str">
        <f t="shared" si="212"/>
        <v/>
      </c>
      <c r="P216" s="1125" t="str">
        <f t="shared" si="213"/>
        <v/>
      </c>
      <c r="Q216" s="1016" t="str">
        <f t="shared" si="214"/>
        <v/>
      </c>
      <c r="R216" s="214" t="str">
        <f t="shared" si="215"/>
        <v/>
      </c>
      <c r="S216" s="1125" t="str">
        <f t="shared" si="216"/>
        <v/>
      </c>
      <c r="T216" s="236" t="str">
        <f t="shared" si="217"/>
        <v/>
      </c>
      <c r="W216" s="642" t="e">
        <f>INDEX('Vessel Gauging Data'!$B$26:$V$56,MATCH($C216,'Vessel Gauging Data'!$B$26:$B$56,0),$W$198)</f>
        <v>#N/A</v>
      </c>
      <c r="X216" s="642" t="e">
        <f>INDEX('Vessel Gauging Data'!$B$26:$V$56,MATCH($C216,'Vessel Gauging Data'!$B$26:$B$56,0),$X$198)</f>
        <v>#N/A</v>
      </c>
      <c r="Y216" s="642" t="e">
        <f>INDEX('Vessel Gauging Data'!$B$26:$V$56,MATCH($C216,'Vessel Gauging Data'!$B$26:$B$56,0),$Y$198)</f>
        <v>#N/A</v>
      </c>
      <c r="Z216" s="642" t="e">
        <f>INDEX('Vessel Gauging Data'!$B$26:$V$56,MATCH($C216,'Vessel Gauging Data'!$B$26:$B$56,0),$Z$198)</f>
        <v>#N/A</v>
      </c>
      <c r="AB216" s="642" t="e">
        <f>INDEX(API2DENST,MATCH($C216,'Vessel Gauging Data'!$B$27:$B$56,0),1)</f>
        <v>#N/A</v>
      </c>
      <c r="AC216" s="642" t="e">
        <f t="shared" si="220"/>
        <v>#N/A</v>
      </c>
      <c r="AE216" s="661" t="e">
        <f t="shared" si="221"/>
        <v>#VALUE!</v>
      </c>
      <c r="AF216" s="661" t="e">
        <f t="shared" si="222"/>
        <v>#VALUE!</v>
      </c>
      <c r="AH216" s="662" t="str">
        <f t="shared" si="218"/>
        <v/>
      </c>
      <c r="AI216" s="662" t="str">
        <f t="shared" si="219"/>
        <v/>
      </c>
      <c r="AJ216" s="663">
        <f t="shared" si="223"/>
        <v>192.4571</v>
      </c>
      <c r="AK216" s="660">
        <f t="shared" si="224"/>
        <v>0.24379999999999999</v>
      </c>
      <c r="AL216" s="660" t="e">
        <f t="shared" si="225"/>
        <v>#VALUE!</v>
      </c>
      <c r="AM216" s="664" t="e">
        <f t="shared" si="226"/>
        <v>#VALUE!</v>
      </c>
      <c r="AN216" s="664" t="e">
        <f t="shared" si="227"/>
        <v>#VALUE!</v>
      </c>
      <c r="AO216" s="665" t="e">
        <f t="shared" si="228"/>
        <v>#VALUE!</v>
      </c>
      <c r="AP216" s="666" t="e">
        <f t="shared" si="229"/>
        <v>#VALUE!</v>
      </c>
      <c r="AQ216" s="660" t="e">
        <f t="shared" si="230"/>
        <v>#VALUE!</v>
      </c>
      <c r="AR216" s="667" t="e">
        <f t="shared" si="231"/>
        <v>#VALUE!</v>
      </c>
      <c r="AS216" s="667" t="e">
        <f t="shared" si="232"/>
        <v>#VALUE!</v>
      </c>
      <c r="AT216" s="668" t="e">
        <f t="shared" si="233"/>
        <v>#VALUE!</v>
      </c>
      <c r="AU216" s="667" t="e">
        <f t="shared" si="234"/>
        <v>#VALUE!</v>
      </c>
      <c r="AV216" s="669" t="e">
        <f t="shared" si="235"/>
        <v>#VALUE!</v>
      </c>
      <c r="AW216" s="667" t="e">
        <f t="shared" si="236"/>
        <v>#VALUE!</v>
      </c>
      <c r="AX216" s="667" t="e">
        <f t="shared" si="237"/>
        <v>#VALUE!</v>
      </c>
      <c r="AY216" s="660" t="e">
        <f t="shared" si="238"/>
        <v>#VALUE!</v>
      </c>
      <c r="AZ216" s="670" t="e">
        <f t="shared" si="239"/>
        <v>#VALUE!</v>
      </c>
      <c r="BB216" s="662" t="e">
        <f>INDEX('Vessel Gauging Data'!$B$26:$V$56,MATCH($C216,'Vessel Gauging Data'!$B$26:$B$56,0),$BB$198)</f>
        <v>#N/A</v>
      </c>
      <c r="BC216" s="662" t="e">
        <f>INDEX('Vessel Gauging Data'!$B$26:$V$56,MATCH($C216,'Vessel Gauging Data'!$B$26:$B$56,0),$BC$198)</f>
        <v>#N/A</v>
      </c>
      <c r="BD216" s="662" t="e">
        <f>INDEX('Vessel Gauging Data'!$B$26:$V$56,MATCH($C216,'Vessel Gauging Data'!$B$26:$B$56,0),$BD$198)</f>
        <v>#N/A</v>
      </c>
      <c r="BE216" s="662" t="e">
        <f>INDEX('Vessel Gauging Data'!$B$26:$V$56,MATCH($C216,'Vessel Gauging Data'!$B$26:$B$56,0),$BE$198)</f>
        <v>#N/A</v>
      </c>
    </row>
    <row r="217" spans="1:57" hidden="1">
      <c r="A217" s="641" t="str">
        <f t="shared" si="202"/>
        <v>N</v>
      </c>
      <c r="C217" s="235" t="str">
        <f t="shared" si="204"/>
        <v/>
      </c>
      <c r="D217" s="211" t="str">
        <f t="shared" si="204"/>
        <v/>
      </c>
      <c r="E217" s="1016" t="str">
        <f t="shared" si="203"/>
        <v/>
      </c>
      <c r="F217" s="1016" t="str">
        <f t="shared" si="205"/>
        <v/>
      </c>
      <c r="G217" s="1016" t="str">
        <f t="shared" si="206"/>
        <v/>
      </c>
      <c r="H217" s="1016" t="str">
        <f t="shared" si="206"/>
        <v/>
      </c>
      <c r="I217" s="211" t="str">
        <f t="shared" si="207"/>
        <v/>
      </c>
      <c r="J217" s="1016" t="str">
        <f t="shared" si="208"/>
        <v/>
      </c>
      <c r="K217" s="213" t="str">
        <f t="shared" si="209"/>
        <v/>
      </c>
      <c r="L217" s="212" t="str">
        <f t="shared" si="210"/>
        <v/>
      </c>
      <c r="M217" s="1125" t="str">
        <f>IF(OR($C217="",$C217=0),"",INDEX(API2DENST,MATCH($C217,'Vessel Gauging Data'!$B$27:$B$56,0),$AA$1))</f>
        <v/>
      </c>
      <c r="N217" s="212" t="str">
        <f t="shared" si="211"/>
        <v/>
      </c>
      <c r="O217" s="1016" t="str">
        <f t="shared" si="212"/>
        <v/>
      </c>
      <c r="P217" s="1125" t="str">
        <f t="shared" si="213"/>
        <v/>
      </c>
      <c r="Q217" s="1016" t="str">
        <f t="shared" si="214"/>
        <v/>
      </c>
      <c r="R217" s="214" t="str">
        <f t="shared" si="215"/>
        <v/>
      </c>
      <c r="S217" s="1125" t="str">
        <f t="shared" si="216"/>
        <v/>
      </c>
      <c r="T217" s="236" t="str">
        <f t="shared" si="217"/>
        <v/>
      </c>
      <c r="W217" s="642" t="e">
        <f>INDEX('Vessel Gauging Data'!$B$26:$V$56,MATCH($C217,'Vessel Gauging Data'!$B$26:$B$56,0),$W$198)</f>
        <v>#N/A</v>
      </c>
      <c r="X217" s="642" t="e">
        <f>INDEX('Vessel Gauging Data'!$B$26:$V$56,MATCH($C217,'Vessel Gauging Data'!$B$26:$B$56,0),$X$198)</f>
        <v>#N/A</v>
      </c>
      <c r="Y217" s="642" t="e">
        <f>INDEX('Vessel Gauging Data'!$B$26:$V$56,MATCH($C217,'Vessel Gauging Data'!$B$26:$B$56,0),$Y$198)</f>
        <v>#N/A</v>
      </c>
      <c r="Z217" s="642" t="e">
        <f>INDEX('Vessel Gauging Data'!$B$26:$V$56,MATCH($C217,'Vessel Gauging Data'!$B$26:$B$56,0),$Z$198)</f>
        <v>#N/A</v>
      </c>
      <c r="AB217" s="642" t="e">
        <f>INDEX(API2DENST,MATCH($C217,'Vessel Gauging Data'!$B$27:$B$56,0),1)</f>
        <v>#N/A</v>
      </c>
      <c r="AC217" s="642" t="e">
        <f t="shared" si="220"/>
        <v>#N/A</v>
      </c>
      <c r="AE217" s="661" t="e">
        <f t="shared" si="221"/>
        <v>#VALUE!</v>
      </c>
      <c r="AF217" s="661" t="e">
        <f t="shared" si="222"/>
        <v>#VALUE!</v>
      </c>
      <c r="AH217" s="662" t="str">
        <f t="shared" si="218"/>
        <v/>
      </c>
      <c r="AI217" s="662" t="str">
        <f t="shared" si="219"/>
        <v/>
      </c>
      <c r="AJ217" s="663">
        <f t="shared" si="223"/>
        <v>192.4571</v>
      </c>
      <c r="AK217" s="660">
        <f t="shared" si="224"/>
        <v>0.24379999999999999</v>
      </c>
      <c r="AL217" s="660" t="e">
        <f t="shared" si="225"/>
        <v>#VALUE!</v>
      </c>
      <c r="AM217" s="664" t="e">
        <f t="shared" si="226"/>
        <v>#VALUE!</v>
      </c>
      <c r="AN217" s="664" t="e">
        <f t="shared" si="227"/>
        <v>#VALUE!</v>
      </c>
      <c r="AO217" s="665" t="e">
        <f t="shared" si="228"/>
        <v>#VALUE!</v>
      </c>
      <c r="AP217" s="666" t="e">
        <f t="shared" si="229"/>
        <v>#VALUE!</v>
      </c>
      <c r="AQ217" s="660" t="e">
        <f t="shared" si="230"/>
        <v>#VALUE!</v>
      </c>
      <c r="AR217" s="667" t="e">
        <f t="shared" si="231"/>
        <v>#VALUE!</v>
      </c>
      <c r="AS217" s="667" t="e">
        <f t="shared" si="232"/>
        <v>#VALUE!</v>
      </c>
      <c r="AT217" s="668" t="e">
        <f t="shared" si="233"/>
        <v>#VALUE!</v>
      </c>
      <c r="AU217" s="667" t="e">
        <f t="shared" si="234"/>
        <v>#VALUE!</v>
      </c>
      <c r="AV217" s="669" t="e">
        <f t="shared" si="235"/>
        <v>#VALUE!</v>
      </c>
      <c r="AW217" s="667" t="e">
        <f t="shared" si="236"/>
        <v>#VALUE!</v>
      </c>
      <c r="AX217" s="667" t="e">
        <f t="shared" si="237"/>
        <v>#VALUE!</v>
      </c>
      <c r="AY217" s="660" t="e">
        <f t="shared" si="238"/>
        <v>#VALUE!</v>
      </c>
      <c r="AZ217" s="670" t="e">
        <f t="shared" si="239"/>
        <v>#VALUE!</v>
      </c>
      <c r="BB217" s="662" t="e">
        <f>INDEX('Vessel Gauging Data'!$B$26:$V$56,MATCH($C217,'Vessel Gauging Data'!$B$26:$B$56,0),$BB$198)</f>
        <v>#N/A</v>
      </c>
      <c r="BC217" s="662" t="e">
        <f>INDEX('Vessel Gauging Data'!$B$26:$V$56,MATCH($C217,'Vessel Gauging Data'!$B$26:$B$56,0),$BC$198)</f>
        <v>#N/A</v>
      </c>
      <c r="BD217" s="662" t="e">
        <f>INDEX('Vessel Gauging Data'!$B$26:$V$56,MATCH($C217,'Vessel Gauging Data'!$B$26:$B$56,0),$BD$198)</f>
        <v>#N/A</v>
      </c>
      <c r="BE217" s="662" t="e">
        <f>INDEX('Vessel Gauging Data'!$B$26:$V$56,MATCH($C217,'Vessel Gauging Data'!$B$26:$B$56,0),$BE$198)</f>
        <v>#N/A</v>
      </c>
    </row>
    <row r="218" spans="1:57" hidden="1">
      <c r="A218" s="641" t="str">
        <f t="shared" si="202"/>
        <v>N</v>
      </c>
      <c r="C218" s="237" t="str">
        <f t="shared" si="204"/>
        <v/>
      </c>
      <c r="D218" s="238" t="str">
        <f t="shared" si="204"/>
        <v/>
      </c>
      <c r="E218" s="1017" t="str">
        <f t="shared" si="203"/>
        <v/>
      </c>
      <c r="F218" s="1017" t="str">
        <f t="shared" si="205"/>
        <v/>
      </c>
      <c r="G218" s="1017" t="str">
        <f t="shared" si="206"/>
        <v/>
      </c>
      <c r="H218" s="1017" t="str">
        <f t="shared" si="206"/>
        <v/>
      </c>
      <c r="I218" s="238" t="str">
        <f t="shared" si="207"/>
        <v/>
      </c>
      <c r="J218" s="1017" t="str">
        <f t="shared" si="208"/>
        <v/>
      </c>
      <c r="K218" s="240" t="str">
        <f t="shared" si="209"/>
        <v/>
      </c>
      <c r="L218" s="239" t="str">
        <f t="shared" si="210"/>
        <v/>
      </c>
      <c r="M218" s="1126" t="str">
        <f>IF(OR($C218="",$C218=0),"",INDEX(API2DENST,MATCH($C218,'Vessel Gauging Data'!$B$27:$B$56,0),$AA$1))</f>
        <v/>
      </c>
      <c r="N218" s="239" t="str">
        <f t="shared" si="211"/>
        <v/>
      </c>
      <c r="O218" s="1017" t="str">
        <f t="shared" si="212"/>
        <v/>
      </c>
      <c r="P218" s="1126" t="str">
        <f t="shared" si="213"/>
        <v/>
      </c>
      <c r="Q218" s="1017" t="str">
        <f t="shared" si="214"/>
        <v/>
      </c>
      <c r="R218" s="241" t="str">
        <f t="shared" si="215"/>
        <v/>
      </c>
      <c r="S218" s="1126" t="str">
        <f t="shared" si="216"/>
        <v/>
      </c>
      <c r="T218" s="242" t="str">
        <f t="shared" si="217"/>
        <v/>
      </c>
      <c r="W218" s="642" t="e">
        <f>INDEX('Vessel Gauging Data'!$B$26:$V$56,MATCH($C218,'Vessel Gauging Data'!$B$26:$B$56,0),$W$198)</f>
        <v>#N/A</v>
      </c>
      <c r="X218" s="642" t="e">
        <f>INDEX('Vessel Gauging Data'!$B$26:$V$56,MATCH($C218,'Vessel Gauging Data'!$B$26:$B$56,0),$X$198)</f>
        <v>#N/A</v>
      </c>
      <c r="Y218" s="642" t="e">
        <f>INDEX('Vessel Gauging Data'!$B$26:$V$56,MATCH($C218,'Vessel Gauging Data'!$B$26:$B$56,0),$Y$198)</f>
        <v>#N/A</v>
      </c>
      <c r="Z218" s="642" t="e">
        <f>INDEX('Vessel Gauging Data'!$B$26:$V$56,MATCH($C218,'Vessel Gauging Data'!$B$26:$B$56,0),$Z$198)</f>
        <v>#N/A</v>
      </c>
      <c r="AB218" s="642" t="e">
        <f>INDEX(API2DENST,MATCH($C218,'Vessel Gauging Data'!$B$27:$B$56,0),1)</f>
        <v>#N/A</v>
      </c>
      <c r="AC218" s="642" t="e">
        <f t="shared" si="220"/>
        <v>#N/A</v>
      </c>
      <c r="AE218" s="661" t="e">
        <f t="shared" si="221"/>
        <v>#VALUE!</v>
      </c>
      <c r="AF218" s="661" t="e">
        <f t="shared" si="222"/>
        <v>#VALUE!</v>
      </c>
      <c r="AH218" s="662" t="str">
        <f t="shared" si="218"/>
        <v/>
      </c>
      <c r="AI218" s="662" t="str">
        <f t="shared" si="219"/>
        <v/>
      </c>
      <c r="AJ218" s="663">
        <f t="shared" si="223"/>
        <v>192.4571</v>
      </c>
      <c r="AK218" s="660">
        <f t="shared" si="224"/>
        <v>0.24379999999999999</v>
      </c>
      <c r="AL218" s="660" t="e">
        <f t="shared" si="225"/>
        <v>#VALUE!</v>
      </c>
      <c r="AM218" s="664" t="e">
        <f t="shared" si="226"/>
        <v>#VALUE!</v>
      </c>
      <c r="AN218" s="664" t="e">
        <f t="shared" si="227"/>
        <v>#VALUE!</v>
      </c>
      <c r="AO218" s="665" t="e">
        <f t="shared" si="228"/>
        <v>#VALUE!</v>
      </c>
      <c r="AP218" s="666" t="e">
        <f t="shared" si="229"/>
        <v>#VALUE!</v>
      </c>
      <c r="AQ218" s="660" t="e">
        <f t="shared" si="230"/>
        <v>#VALUE!</v>
      </c>
      <c r="AR218" s="667" t="e">
        <f t="shared" si="231"/>
        <v>#VALUE!</v>
      </c>
      <c r="AS218" s="667" t="e">
        <f t="shared" si="232"/>
        <v>#VALUE!</v>
      </c>
      <c r="AT218" s="668" t="e">
        <f t="shared" si="233"/>
        <v>#VALUE!</v>
      </c>
      <c r="AU218" s="667" t="e">
        <f t="shared" si="234"/>
        <v>#VALUE!</v>
      </c>
      <c r="AV218" s="669" t="e">
        <f t="shared" si="235"/>
        <v>#VALUE!</v>
      </c>
      <c r="AW218" s="667" t="e">
        <f t="shared" si="236"/>
        <v>#VALUE!</v>
      </c>
      <c r="AX218" s="667" t="e">
        <f t="shared" si="237"/>
        <v>#VALUE!</v>
      </c>
      <c r="AY218" s="660" t="e">
        <f t="shared" si="238"/>
        <v>#VALUE!</v>
      </c>
      <c r="AZ218" s="670" t="e">
        <f t="shared" si="239"/>
        <v>#VALUE!</v>
      </c>
      <c r="BB218" s="662" t="e">
        <f>INDEX('Vessel Gauging Data'!$B$26:$V$56,MATCH($C218,'Vessel Gauging Data'!$B$26:$B$56,0),$BB$198)</f>
        <v>#N/A</v>
      </c>
      <c r="BC218" s="662" t="e">
        <f>INDEX('Vessel Gauging Data'!$B$26:$V$56,MATCH($C218,'Vessel Gauging Data'!$B$26:$B$56,0),$BC$198)</f>
        <v>#N/A</v>
      </c>
      <c r="BD218" s="662" t="e">
        <f>INDEX('Vessel Gauging Data'!$B$26:$V$56,MATCH($C218,'Vessel Gauging Data'!$B$26:$B$56,0),$BD$198)</f>
        <v>#N/A</v>
      </c>
      <c r="BE218" s="662" t="e">
        <f>INDEX('Vessel Gauging Data'!$B$26:$V$56,MATCH($C218,'Vessel Gauging Data'!$B$26:$B$56,0),$BE$198)</f>
        <v>#N/A</v>
      </c>
    </row>
    <row r="219" spans="1:57" hidden="1">
      <c r="A219" s="641" t="str">
        <f t="shared" si="202"/>
        <v>N</v>
      </c>
      <c r="C219" s="671"/>
      <c r="D219" s="671"/>
      <c r="E219" s="672"/>
      <c r="F219" s="672"/>
      <c r="G219" s="672"/>
      <c r="H219" s="1501"/>
      <c r="I219" s="671"/>
      <c r="J219" s="672"/>
      <c r="K219" s="673"/>
      <c r="L219" s="672"/>
      <c r="M219" s="674"/>
      <c r="N219" s="672"/>
      <c r="O219" s="672"/>
      <c r="P219" s="1127"/>
      <c r="Q219" s="672"/>
      <c r="R219" s="675"/>
      <c r="S219" s="1137" t="s">
        <v>401</v>
      </c>
      <c r="T219" s="619">
        <f>SUM(T199:T218)</f>
        <v>0</v>
      </c>
      <c r="V219" s="676"/>
      <c r="W219" s="719"/>
      <c r="X219" s="719"/>
      <c r="Y219" s="719"/>
      <c r="Z219" s="719"/>
      <c r="AA219" s="676"/>
      <c r="AB219" s="719"/>
      <c r="AC219" s="719"/>
      <c r="AD219" s="676"/>
      <c r="AE219" s="720"/>
      <c r="AF219" s="720"/>
      <c r="AG219" s="676"/>
      <c r="AH219" s="721"/>
      <c r="AI219" s="721"/>
      <c r="AJ219" s="722"/>
      <c r="AK219" s="723"/>
      <c r="AL219" s="723"/>
      <c r="AM219" s="724"/>
      <c r="AN219" s="724"/>
      <c r="AO219" s="725"/>
      <c r="AP219" s="726"/>
      <c r="AQ219" s="723"/>
      <c r="AR219" s="727"/>
      <c r="AS219" s="727"/>
      <c r="AT219" s="728"/>
      <c r="AU219" s="727"/>
      <c r="AV219" s="729"/>
      <c r="AW219" s="727"/>
      <c r="AX219" s="727"/>
      <c r="AY219" s="723"/>
      <c r="AZ219" s="730"/>
      <c r="BA219" s="676"/>
      <c r="BB219" s="721"/>
      <c r="BC219" s="721"/>
      <c r="BD219" s="721"/>
      <c r="BE219" s="721"/>
    </row>
    <row r="220" spans="1:57" s="702" customFormat="1" ht="5.25" hidden="1">
      <c r="A220" s="702" t="str">
        <f t="shared" si="202"/>
        <v>N</v>
      </c>
      <c r="C220" s="704"/>
      <c r="D220" s="704"/>
      <c r="E220" s="704"/>
      <c r="F220" s="704"/>
      <c r="G220" s="704"/>
      <c r="H220" s="704"/>
      <c r="I220" s="704"/>
      <c r="J220" s="705"/>
      <c r="K220" s="705"/>
      <c r="L220" s="705"/>
      <c r="M220" s="705"/>
      <c r="N220" s="705"/>
      <c r="O220" s="705"/>
      <c r="P220" s="1128"/>
      <c r="Q220" s="705"/>
      <c r="R220" s="705"/>
      <c r="S220" s="1136"/>
      <c r="T220" s="706"/>
      <c r="V220" s="707"/>
      <c r="W220" s="707"/>
      <c r="X220" s="707"/>
      <c r="Y220" s="707"/>
      <c r="Z220" s="707"/>
      <c r="AA220" s="707"/>
      <c r="AB220" s="707"/>
      <c r="AC220" s="707"/>
      <c r="AD220" s="707"/>
      <c r="AE220" s="708"/>
      <c r="AF220" s="708"/>
      <c r="AG220" s="707"/>
      <c r="AH220" s="709"/>
      <c r="AI220" s="709"/>
      <c r="AJ220" s="710"/>
      <c r="AK220" s="711"/>
      <c r="AL220" s="711"/>
      <c r="AM220" s="712"/>
      <c r="AN220" s="712"/>
      <c r="AO220" s="713"/>
      <c r="AP220" s="714"/>
      <c r="AQ220" s="711"/>
      <c r="AR220" s="715"/>
      <c r="AS220" s="715"/>
      <c r="AT220" s="716"/>
      <c r="AU220" s="715"/>
      <c r="AV220" s="717"/>
      <c r="AW220" s="715"/>
      <c r="AX220" s="715"/>
      <c r="AY220" s="711"/>
      <c r="AZ220" s="718"/>
      <c r="BA220" s="707"/>
      <c r="BB220" s="709"/>
      <c r="BC220" s="709"/>
      <c r="BD220" s="709"/>
      <c r="BE220" s="709"/>
    </row>
    <row r="221" spans="1:57" ht="15.75" hidden="1">
      <c r="A221" s="641" t="str">
        <f t="shared" si="202"/>
        <v>N</v>
      </c>
      <c r="B221" s="641">
        <v>2</v>
      </c>
      <c r="C221" s="2797" t="s">
        <v>163</v>
      </c>
      <c r="D221" s="2798"/>
      <c r="E221" s="2799" t="str">
        <f t="shared" ref="E221:E241" si="240">E44</f>
        <v>LSFO</v>
      </c>
      <c r="F221" s="2800"/>
      <c r="G221" s="2800"/>
      <c r="H221" s="2800"/>
      <c r="I221" s="2801"/>
      <c r="J221" s="698"/>
      <c r="K221" s="699"/>
      <c r="L221" s="700"/>
      <c r="M221" s="699"/>
      <c r="N221" s="699"/>
      <c r="O221" s="700"/>
      <c r="P221" s="1129"/>
      <c r="Q221" s="700"/>
      <c r="R221" s="701"/>
      <c r="S221" s="1129"/>
      <c r="T221" s="701"/>
      <c r="V221" s="676"/>
      <c r="W221" s="731"/>
      <c r="X221" s="731"/>
      <c r="Y221" s="731"/>
      <c r="Z221" s="731"/>
      <c r="AA221" s="676"/>
      <c r="AB221" s="731"/>
      <c r="AC221" s="731"/>
      <c r="AD221" s="676"/>
      <c r="AE221" s="732"/>
      <c r="AF221" s="732"/>
      <c r="AG221" s="676"/>
      <c r="AH221" s="733"/>
      <c r="AI221" s="733"/>
      <c r="AJ221" s="734"/>
      <c r="AK221" s="735"/>
      <c r="AL221" s="735"/>
      <c r="AM221" s="736"/>
      <c r="AN221" s="736"/>
      <c r="AO221" s="737"/>
      <c r="AP221" s="738"/>
      <c r="AQ221" s="735"/>
      <c r="AR221" s="739"/>
      <c r="AS221" s="739"/>
      <c r="AT221" s="740"/>
      <c r="AU221" s="739"/>
      <c r="AV221" s="741"/>
      <c r="AW221" s="739"/>
      <c r="AX221" s="739"/>
      <c r="AY221" s="735"/>
      <c r="AZ221" s="742"/>
      <c r="BA221" s="676"/>
      <c r="BB221" s="733"/>
      <c r="BC221" s="733"/>
      <c r="BD221" s="733"/>
      <c r="BE221" s="733"/>
    </row>
    <row r="222" spans="1:57" hidden="1">
      <c r="A222" s="641" t="str">
        <f t="shared" si="202"/>
        <v>N</v>
      </c>
      <c r="C222" s="622" t="str">
        <f t="shared" ref="C222:D241" si="241">C45</f>
        <v>A FO P</v>
      </c>
      <c r="D222" s="623" t="str">
        <f t="shared" si="241"/>
        <v>LSFO</v>
      </c>
      <c r="E222" s="1018">
        <f t="shared" si="240"/>
        <v>17.43</v>
      </c>
      <c r="F222" s="1018">
        <f t="shared" ref="F222:F241" si="242">IF(ISERROR(W222),"",IF(OR($C222="",$C222=0),"",IF(ISTEXT(W222),W222,IF($AB$1=1,W222*UNITOR_1,INT(W222*UNITOR_1)&amp;"'-"&amp;TRIM(TEXT(ROUND(MOD(W222*UNITOR_1,1)*12,1),"# ???/???"))&amp;""""))))</f>
        <v>17.43</v>
      </c>
      <c r="G222" s="1018">
        <f t="shared" ref="G222:H241" si="243">IF(ISERROR(X222),"",IF(OR($C222="",$C222=0),"",IF(ISTEXT(X222),X222,IF($AB$1=1,X222*UNITOR_1,INT(X222*UNITOR_1)&amp;"'-"&amp;TRIM(TEXT(ROUND(MOD(X222*UNITOR_1,1)*12,1),"# ???/???"))&amp;""""))))</f>
        <v>2.4700000000000002</v>
      </c>
      <c r="H222" s="1018">
        <f t="shared" si="243"/>
        <v>2.4700000000000002</v>
      </c>
      <c r="I222" s="623" t="str">
        <f t="shared" ref="I222:I241" si="244">IF(ISERROR($BB222),"",IF(OR($C222="",$C222=0,$BB222=0),"",$BB222))</f>
        <v>S</v>
      </c>
      <c r="J222" s="1018">
        <f t="shared" ref="J222:J241" si="245">IF(ISERROR($BC222),"",IF(OR($C222="",$C222=0,$BC222=""),"",IF(ISTEXT($BC222),$BC222,$BC222*IF($AA$1=B1SEL,1,IF($AA$1=2,FBBLS,1/FBBLS)))))</f>
        <v>276</v>
      </c>
      <c r="K222" s="625">
        <f t="shared" ref="K222:K241" si="246">IF(ISERROR($BD222),"",IF(OR($C222="",$C222=0,$BD222=""),0,IF(ISTEXT($BD222),$BD222,$BD222*IF($AB$1=W1SEL,1,IF($AB$1=2,FINCH,1/FINCH)))))</f>
        <v>0</v>
      </c>
      <c r="L222" s="624">
        <f t="shared" ref="L222:L241" si="247">IF(ISERROR($BE222),"",IF(OR($C222="",$C222=0,$BE222=""),0,IF(ISTEXT($BE222),$BE222,$BE222*IF($AA$1=B1SEL,1,IF($AA$1=2,FBBLS,1/FBBLS)))))</f>
        <v>0</v>
      </c>
      <c r="M222" s="1124">
        <f>IF(OR($C222="",$C222=0),"",INDEX(API2DENST,MATCH($C222,'Vessel Gauging Data'!$B$27:$B$56,0),$AA$1))</f>
        <v>0.92059894900000006</v>
      </c>
      <c r="N222" s="624">
        <f t="shared" ref="N222:N241" si="248">IF(ISERROR(Z222),"",IF(OR($C222="",$C222=0,Z222=""),"",IF(ISTEXT(Z222),Z222,IF($AA$1=T1SEL,Z222,IF($AA$1=2,(Z222*9/5)+32,(Z222-32)*5/9)))))</f>
        <v>34</v>
      </c>
      <c r="O222" s="1018">
        <f t="shared" ref="O222:O241" si="249">IF(OR(J222="",L222=""),"",IF(ISTEXT(J222),"N/A",IF(ISTEXT(L222),J222,J222-L222)))</f>
        <v>276</v>
      </c>
      <c r="P222" s="1124">
        <f t="shared" ref="P222:P241" si="250">IF(OR(M222="",N222=""),"",IF(OR(ISTEXT(M222),ISTEXT(N222)),"N/A",IF($AA$1=1,ROUND(EXP(-AF222*(N222-15)*(1+0.8*AF222*(N222-15))),5),AZ222)))</f>
        <v>0.98570000000000002</v>
      </c>
      <c r="Q222" s="1018">
        <f t="shared" ref="Q222:Q241" si="251">IF(OR(M222="",N222=""),"",IF(OR(ISTEXT(M222),ISTEXT(N222)),"N/A",ROUND(O222*P222,3)))</f>
        <v>272.053</v>
      </c>
      <c r="R222" s="626">
        <f t="shared" ref="R222:R241" si="252">IF(M222="","",IF($AA$1=1,IF(ISTEXT(Q222),"N/A",ROUND(Q222*M222,3)),IF(ISTEXT(T222),"N/A",ROUND(T222*AC222,3))))</f>
        <v>250.452</v>
      </c>
      <c r="S222" s="1124">
        <f t="shared" ref="S222:S241" si="253">IF(M222="","",IF($AA$1=1,ROUND(M222-0.0011,5),ROUND((1.00122697*(141.5/(M222+131.5))-1.22269727*10^-3)*8.32823*42/2204.62,5+2)))</f>
        <v>0.91949999999999998</v>
      </c>
      <c r="T222" s="627">
        <f t="shared" ref="T222:T241" si="254">IF(OR(M222="",N222=""),"",IF(ISTEXT(Q222),"N/A",IF($AA$1=1,ROUND((Q222*(M222-0.0011)),3),ROUND(Q222*S222,3))))</f>
        <v>250.15199999999999</v>
      </c>
      <c r="W222" s="642">
        <f>INDEX('Vessel Gauging Data'!$B$26:$V$56,MATCH($C222,'Vessel Gauging Data'!$B$26:$B$56,0),$W$198)</f>
        <v>17.43</v>
      </c>
      <c r="X222" s="642">
        <f>INDEX('Vessel Gauging Data'!$B$26:$V$56,MATCH($C222,'Vessel Gauging Data'!$B$26:$B$56,0),$X$198)</f>
        <v>2.4700000000000002</v>
      </c>
      <c r="Y222" s="642">
        <f>INDEX('Vessel Gauging Data'!$B$26:$V$56,MATCH($C222,'Vessel Gauging Data'!$B$26:$B$56,0),$Y$198)</f>
        <v>2.4700000000000002</v>
      </c>
      <c r="Z222" s="642">
        <f>INDEX('Vessel Gauging Data'!$B$26:$V$56,MATCH($C222,'Vessel Gauging Data'!$B$26:$B$56,0),$Z$198)</f>
        <v>34</v>
      </c>
      <c r="AB222" s="642">
        <f>INDEX(API2DENST,MATCH($C222,'Vessel Gauging Data'!$B$27:$B$56,0),1)</f>
        <v>0.92059894900000006</v>
      </c>
      <c r="AC222" s="642">
        <f t="shared" si="220"/>
        <v>1.00115</v>
      </c>
      <c r="AE222" s="661">
        <f t="shared" si="221"/>
        <v>920</v>
      </c>
      <c r="AF222" s="661">
        <f t="shared" si="222"/>
        <v>7.4938000000000001E-4</v>
      </c>
      <c r="AH222" s="662">
        <f t="shared" si="218"/>
        <v>34</v>
      </c>
      <c r="AI222" s="662">
        <f t="shared" si="219"/>
        <v>0.92059894900000006</v>
      </c>
      <c r="AJ222" s="663">
        <f t="shared" si="223"/>
        <v>103.872</v>
      </c>
      <c r="AK222" s="660">
        <f t="shared" si="224"/>
        <v>0.27010000000000001</v>
      </c>
      <c r="AL222" s="660">
        <f t="shared" si="225"/>
        <v>1067.51</v>
      </c>
      <c r="AM222" s="664">
        <f t="shared" si="226"/>
        <v>9.7303059999999997E-2</v>
      </c>
      <c r="AN222" s="664">
        <f t="shared" si="227"/>
        <v>9.1149499999999999E-5</v>
      </c>
      <c r="AO222" s="665">
        <f t="shared" si="228"/>
        <v>2.530187E-4</v>
      </c>
      <c r="AP222" s="666">
        <f t="shared" si="229"/>
        <v>3.4420000000000002E-4</v>
      </c>
      <c r="AQ222" s="660">
        <f t="shared" si="230"/>
        <v>-26</v>
      </c>
      <c r="AR222" s="667">
        <f t="shared" si="231"/>
        <v>-8.9491999999999992E-3</v>
      </c>
      <c r="AS222" s="667">
        <f t="shared" si="232"/>
        <v>-7.15936E-3</v>
      </c>
      <c r="AT222" s="668">
        <f t="shared" si="233"/>
        <v>6.4070000000000002E-5</v>
      </c>
      <c r="AU222" s="667">
        <f t="shared" si="234"/>
        <v>8.8851299999999998E-3</v>
      </c>
      <c r="AV222" s="669">
        <f t="shared" si="235"/>
        <v>2.5000000000000001E-4</v>
      </c>
      <c r="AW222" s="667">
        <f t="shared" si="236"/>
        <v>2.2999999999999999E-7</v>
      </c>
      <c r="AX222" s="667">
        <f t="shared" si="237"/>
        <v>103.87200023</v>
      </c>
      <c r="AY222" s="660">
        <f t="shared" si="238"/>
        <v>3.4420000000000002E-4</v>
      </c>
      <c r="AZ222" s="670">
        <f t="shared" si="239"/>
        <v>1.00892</v>
      </c>
      <c r="BB222" s="662" t="str">
        <f>INDEX('Vessel Gauging Data'!$B$26:$V$56,MATCH($C222,'Vessel Gauging Data'!$B$26:$B$56,0),$BB$198)</f>
        <v>S</v>
      </c>
      <c r="BC222" s="662">
        <f>INDEX('Vessel Gauging Data'!$B$26:$V$56,MATCH($C222,'Vessel Gauging Data'!$B$26:$B$56,0),$BC$198)</f>
        <v>276</v>
      </c>
      <c r="BD222" s="662">
        <f>INDEX('Vessel Gauging Data'!$B$26:$V$56,MATCH($C222,'Vessel Gauging Data'!$B$26:$B$56,0),$BD$198)</f>
        <v>0</v>
      </c>
      <c r="BE222" s="662">
        <f>INDEX('Vessel Gauging Data'!$B$26:$V$56,MATCH($C222,'Vessel Gauging Data'!$B$26:$B$56,0),$BE$198)</f>
        <v>0</v>
      </c>
    </row>
    <row r="223" spans="1:57" hidden="1">
      <c r="A223" s="641" t="str">
        <f t="shared" si="202"/>
        <v>N</v>
      </c>
      <c r="C223" s="235" t="str">
        <f t="shared" si="241"/>
        <v/>
      </c>
      <c r="D223" s="211" t="str">
        <f t="shared" si="241"/>
        <v/>
      </c>
      <c r="E223" s="1016" t="str">
        <f t="shared" si="240"/>
        <v/>
      </c>
      <c r="F223" s="1016" t="str">
        <f t="shared" si="242"/>
        <v/>
      </c>
      <c r="G223" s="1016" t="str">
        <f t="shared" si="243"/>
        <v/>
      </c>
      <c r="H223" s="1016" t="str">
        <f t="shared" si="243"/>
        <v/>
      </c>
      <c r="I223" s="211" t="str">
        <f t="shared" si="244"/>
        <v/>
      </c>
      <c r="J223" s="1016" t="str">
        <f t="shared" si="245"/>
        <v/>
      </c>
      <c r="K223" s="213" t="str">
        <f t="shared" si="246"/>
        <v/>
      </c>
      <c r="L223" s="212" t="str">
        <f t="shared" si="247"/>
        <v/>
      </c>
      <c r="M223" s="1125" t="str">
        <f>IF(OR($C223="",$C223=0),"",INDEX(API2DENST,MATCH($C223,'Vessel Gauging Data'!$B$27:$B$56,0),$AA$1))</f>
        <v/>
      </c>
      <c r="N223" s="212" t="str">
        <f t="shared" si="248"/>
        <v/>
      </c>
      <c r="O223" s="1016" t="str">
        <f t="shared" si="249"/>
        <v/>
      </c>
      <c r="P223" s="1125" t="str">
        <f t="shared" si="250"/>
        <v/>
      </c>
      <c r="Q223" s="1016" t="str">
        <f t="shared" si="251"/>
        <v/>
      </c>
      <c r="R223" s="214" t="str">
        <f t="shared" si="252"/>
        <v/>
      </c>
      <c r="S223" s="1125" t="str">
        <f t="shared" si="253"/>
        <v/>
      </c>
      <c r="T223" s="236" t="str">
        <f t="shared" si="254"/>
        <v/>
      </c>
      <c r="W223" s="642" t="e">
        <f>INDEX('Vessel Gauging Data'!$B$26:$V$56,MATCH($C223,'Vessel Gauging Data'!$B$26:$B$56,0),$W$198)</f>
        <v>#N/A</v>
      </c>
      <c r="X223" s="642" t="e">
        <f>INDEX('Vessel Gauging Data'!$B$26:$V$56,MATCH($C223,'Vessel Gauging Data'!$B$26:$B$56,0),$X$198)</f>
        <v>#N/A</v>
      </c>
      <c r="Y223" s="642" t="e">
        <f>INDEX('Vessel Gauging Data'!$B$26:$V$56,MATCH($C223,'Vessel Gauging Data'!$B$26:$B$56,0),$Y$198)</f>
        <v>#N/A</v>
      </c>
      <c r="Z223" s="642" t="e">
        <f>INDEX('Vessel Gauging Data'!$B$26:$V$56,MATCH($C223,'Vessel Gauging Data'!$B$26:$B$56,0),$Z$198)</f>
        <v>#N/A</v>
      </c>
      <c r="AB223" s="642" t="e">
        <f>INDEX(API2DENST,MATCH($C223,'Vessel Gauging Data'!$B$27:$B$56,0),1)</f>
        <v>#N/A</v>
      </c>
      <c r="AC223" s="642" t="e">
        <f t="shared" si="220"/>
        <v>#N/A</v>
      </c>
      <c r="AE223" s="661" t="e">
        <f t="shared" si="221"/>
        <v>#VALUE!</v>
      </c>
      <c r="AF223" s="661" t="e">
        <f t="shared" si="222"/>
        <v>#VALUE!</v>
      </c>
      <c r="AH223" s="662" t="str">
        <f t="shared" si="218"/>
        <v/>
      </c>
      <c r="AI223" s="662" t="str">
        <f t="shared" si="219"/>
        <v/>
      </c>
      <c r="AJ223" s="663">
        <f t="shared" si="223"/>
        <v>192.4571</v>
      </c>
      <c r="AK223" s="660">
        <f t="shared" si="224"/>
        <v>0.24379999999999999</v>
      </c>
      <c r="AL223" s="660" t="e">
        <f t="shared" si="225"/>
        <v>#VALUE!</v>
      </c>
      <c r="AM223" s="664" t="e">
        <f t="shared" si="226"/>
        <v>#VALUE!</v>
      </c>
      <c r="AN223" s="664" t="e">
        <f t="shared" si="227"/>
        <v>#VALUE!</v>
      </c>
      <c r="AO223" s="665" t="e">
        <f t="shared" si="228"/>
        <v>#VALUE!</v>
      </c>
      <c r="AP223" s="666" t="e">
        <f t="shared" si="229"/>
        <v>#VALUE!</v>
      </c>
      <c r="AQ223" s="660" t="e">
        <f t="shared" si="230"/>
        <v>#VALUE!</v>
      </c>
      <c r="AR223" s="667" t="e">
        <f t="shared" si="231"/>
        <v>#VALUE!</v>
      </c>
      <c r="AS223" s="667" t="e">
        <f t="shared" si="232"/>
        <v>#VALUE!</v>
      </c>
      <c r="AT223" s="668" t="e">
        <f t="shared" si="233"/>
        <v>#VALUE!</v>
      </c>
      <c r="AU223" s="667" t="e">
        <f t="shared" si="234"/>
        <v>#VALUE!</v>
      </c>
      <c r="AV223" s="669" t="e">
        <f t="shared" si="235"/>
        <v>#VALUE!</v>
      </c>
      <c r="AW223" s="667" t="e">
        <f t="shared" si="236"/>
        <v>#VALUE!</v>
      </c>
      <c r="AX223" s="667" t="e">
        <f t="shared" si="237"/>
        <v>#VALUE!</v>
      </c>
      <c r="AY223" s="660" t="e">
        <f t="shared" si="238"/>
        <v>#VALUE!</v>
      </c>
      <c r="AZ223" s="670" t="e">
        <f t="shared" si="239"/>
        <v>#VALUE!</v>
      </c>
      <c r="BB223" s="662" t="e">
        <f>INDEX('Vessel Gauging Data'!$B$26:$V$56,MATCH($C223,'Vessel Gauging Data'!$B$26:$B$56,0),$BB$198)</f>
        <v>#N/A</v>
      </c>
      <c r="BC223" s="662" t="e">
        <f>INDEX('Vessel Gauging Data'!$B$26:$V$56,MATCH($C223,'Vessel Gauging Data'!$B$26:$B$56,0),$BC$198)</f>
        <v>#N/A</v>
      </c>
      <c r="BD223" s="662" t="e">
        <f>INDEX('Vessel Gauging Data'!$B$26:$V$56,MATCH($C223,'Vessel Gauging Data'!$B$26:$B$56,0),$BD$198)</f>
        <v>#N/A</v>
      </c>
      <c r="BE223" s="662" t="e">
        <f>INDEX('Vessel Gauging Data'!$B$26:$V$56,MATCH($C223,'Vessel Gauging Data'!$B$26:$B$56,0),$BE$198)</f>
        <v>#N/A</v>
      </c>
    </row>
    <row r="224" spans="1:57" hidden="1">
      <c r="A224" s="641" t="str">
        <f t="shared" si="202"/>
        <v>N</v>
      </c>
      <c r="C224" s="235" t="str">
        <f t="shared" si="241"/>
        <v/>
      </c>
      <c r="D224" s="211" t="str">
        <f t="shared" si="241"/>
        <v/>
      </c>
      <c r="E224" s="1016" t="str">
        <f t="shared" si="240"/>
        <v/>
      </c>
      <c r="F224" s="1016" t="str">
        <f t="shared" si="242"/>
        <v/>
      </c>
      <c r="G224" s="1016" t="str">
        <f t="shared" si="243"/>
        <v/>
      </c>
      <c r="H224" s="1016" t="str">
        <f t="shared" si="243"/>
        <v/>
      </c>
      <c r="I224" s="211" t="str">
        <f t="shared" si="244"/>
        <v/>
      </c>
      <c r="J224" s="1016" t="str">
        <f t="shared" si="245"/>
        <v/>
      </c>
      <c r="K224" s="213" t="str">
        <f t="shared" si="246"/>
        <v/>
      </c>
      <c r="L224" s="212" t="str">
        <f t="shared" si="247"/>
        <v/>
      </c>
      <c r="M224" s="1125" t="str">
        <f>IF(OR($C224="",$C224=0),"",INDEX(API2DENST,MATCH($C224,'Vessel Gauging Data'!$B$27:$B$56,0),$AA$1))</f>
        <v/>
      </c>
      <c r="N224" s="212" t="str">
        <f t="shared" si="248"/>
        <v/>
      </c>
      <c r="O224" s="1016" t="str">
        <f t="shared" si="249"/>
        <v/>
      </c>
      <c r="P224" s="1125" t="str">
        <f t="shared" si="250"/>
        <v/>
      </c>
      <c r="Q224" s="1016" t="str">
        <f t="shared" si="251"/>
        <v/>
      </c>
      <c r="R224" s="214" t="str">
        <f t="shared" si="252"/>
        <v/>
      </c>
      <c r="S224" s="1125" t="str">
        <f t="shared" si="253"/>
        <v/>
      </c>
      <c r="T224" s="236" t="str">
        <f t="shared" si="254"/>
        <v/>
      </c>
      <c r="W224" s="642" t="e">
        <f>INDEX('Vessel Gauging Data'!$B$26:$V$56,MATCH($C224,'Vessel Gauging Data'!$B$26:$B$56,0),$W$198)</f>
        <v>#N/A</v>
      </c>
      <c r="X224" s="642" t="e">
        <f>INDEX('Vessel Gauging Data'!$B$26:$V$56,MATCH($C224,'Vessel Gauging Data'!$B$26:$B$56,0),$X$198)</f>
        <v>#N/A</v>
      </c>
      <c r="Y224" s="642" t="e">
        <f>INDEX('Vessel Gauging Data'!$B$26:$V$56,MATCH($C224,'Vessel Gauging Data'!$B$26:$B$56,0),$Y$198)</f>
        <v>#N/A</v>
      </c>
      <c r="Z224" s="642" t="e">
        <f>INDEX('Vessel Gauging Data'!$B$26:$V$56,MATCH($C224,'Vessel Gauging Data'!$B$26:$B$56,0),$Z$198)</f>
        <v>#N/A</v>
      </c>
      <c r="AB224" s="642" t="e">
        <f>INDEX(API2DENST,MATCH($C224,'Vessel Gauging Data'!$B$27:$B$56,0),1)</f>
        <v>#N/A</v>
      </c>
      <c r="AC224" s="642" t="e">
        <f t="shared" si="220"/>
        <v>#N/A</v>
      </c>
      <c r="AE224" s="661" t="e">
        <f t="shared" si="221"/>
        <v>#VALUE!</v>
      </c>
      <c r="AF224" s="661" t="e">
        <f t="shared" si="222"/>
        <v>#VALUE!</v>
      </c>
      <c r="AH224" s="662" t="str">
        <f t="shared" si="218"/>
        <v/>
      </c>
      <c r="AI224" s="662" t="str">
        <f t="shared" si="219"/>
        <v/>
      </c>
      <c r="AJ224" s="663">
        <f t="shared" si="223"/>
        <v>192.4571</v>
      </c>
      <c r="AK224" s="660">
        <f t="shared" si="224"/>
        <v>0.24379999999999999</v>
      </c>
      <c r="AL224" s="660" t="e">
        <f t="shared" si="225"/>
        <v>#VALUE!</v>
      </c>
      <c r="AM224" s="664" t="e">
        <f t="shared" si="226"/>
        <v>#VALUE!</v>
      </c>
      <c r="AN224" s="664" t="e">
        <f t="shared" si="227"/>
        <v>#VALUE!</v>
      </c>
      <c r="AO224" s="665" t="e">
        <f t="shared" si="228"/>
        <v>#VALUE!</v>
      </c>
      <c r="AP224" s="666" t="e">
        <f t="shared" si="229"/>
        <v>#VALUE!</v>
      </c>
      <c r="AQ224" s="660" t="e">
        <f t="shared" si="230"/>
        <v>#VALUE!</v>
      </c>
      <c r="AR224" s="667" t="e">
        <f t="shared" si="231"/>
        <v>#VALUE!</v>
      </c>
      <c r="AS224" s="667" t="e">
        <f t="shared" si="232"/>
        <v>#VALUE!</v>
      </c>
      <c r="AT224" s="668" t="e">
        <f t="shared" si="233"/>
        <v>#VALUE!</v>
      </c>
      <c r="AU224" s="667" t="e">
        <f t="shared" si="234"/>
        <v>#VALUE!</v>
      </c>
      <c r="AV224" s="669" t="e">
        <f t="shared" si="235"/>
        <v>#VALUE!</v>
      </c>
      <c r="AW224" s="667" t="e">
        <f t="shared" si="236"/>
        <v>#VALUE!</v>
      </c>
      <c r="AX224" s="667" t="e">
        <f t="shared" si="237"/>
        <v>#VALUE!</v>
      </c>
      <c r="AY224" s="660" t="e">
        <f t="shared" si="238"/>
        <v>#VALUE!</v>
      </c>
      <c r="AZ224" s="670" t="e">
        <f t="shared" si="239"/>
        <v>#VALUE!</v>
      </c>
      <c r="BB224" s="662" t="e">
        <f>INDEX('Vessel Gauging Data'!$B$26:$V$56,MATCH($C224,'Vessel Gauging Data'!$B$26:$B$56,0),$BB$198)</f>
        <v>#N/A</v>
      </c>
      <c r="BC224" s="662" t="e">
        <f>INDEX('Vessel Gauging Data'!$B$26:$V$56,MATCH($C224,'Vessel Gauging Data'!$B$26:$B$56,0),$BC$198)</f>
        <v>#N/A</v>
      </c>
      <c r="BD224" s="662" t="e">
        <f>INDEX('Vessel Gauging Data'!$B$26:$V$56,MATCH($C224,'Vessel Gauging Data'!$B$26:$B$56,0),$BD$198)</f>
        <v>#N/A</v>
      </c>
      <c r="BE224" s="662" t="e">
        <f>INDEX('Vessel Gauging Data'!$B$26:$V$56,MATCH($C224,'Vessel Gauging Data'!$B$26:$B$56,0),$BE$198)</f>
        <v>#N/A</v>
      </c>
    </row>
    <row r="225" spans="1:57" hidden="1">
      <c r="A225" s="641" t="str">
        <f t="shared" si="202"/>
        <v>N</v>
      </c>
      <c r="C225" s="235" t="str">
        <f t="shared" si="241"/>
        <v/>
      </c>
      <c r="D225" s="211" t="str">
        <f t="shared" si="241"/>
        <v/>
      </c>
      <c r="E225" s="1016" t="str">
        <f t="shared" si="240"/>
        <v/>
      </c>
      <c r="F225" s="1016" t="str">
        <f t="shared" si="242"/>
        <v/>
      </c>
      <c r="G225" s="1016" t="str">
        <f t="shared" si="243"/>
        <v/>
      </c>
      <c r="H225" s="1016" t="str">
        <f t="shared" si="243"/>
        <v/>
      </c>
      <c r="I225" s="211" t="str">
        <f t="shared" si="244"/>
        <v/>
      </c>
      <c r="J225" s="1016" t="str">
        <f t="shared" si="245"/>
        <v/>
      </c>
      <c r="K225" s="213" t="str">
        <f t="shared" si="246"/>
        <v/>
      </c>
      <c r="L225" s="212" t="str">
        <f t="shared" si="247"/>
        <v/>
      </c>
      <c r="M225" s="1125" t="str">
        <f>IF(OR($C225="",$C225=0),"",INDEX(API2DENST,MATCH($C225,'Vessel Gauging Data'!$B$27:$B$56,0),$AA$1))</f>
        <v/>
      </c>
      <c r="N225" s="212" t="str">
        <f t="shared" si="248"/>
        <v/>
      </c>
      <c r="O225" s="1016" t="str">
        <f t="shared" si="249"/>
        <v/>
      </c>
      <c r="P225" s="1125" t="str">
        <f t="shared" si="250"/>
        <v/>
      </c>
      <c r="Q225" s="1016" t="str">
        <f t="shared" si="251"/>
        <v/>
      </c>
      <c r="R225" s="214" t="str">
        <f t="shared" si="252"/>
        <v/>
      </c>
      <c r="S225" s="1125" t="str">
        <f t="shared" si="253"/>
        <v/>
      </c>
      <c r="T225" s="236" t="str">
        <f t="shared" si="254"/>
        <v/>
      </c>
      <c r="W225" s="642" t="e">
        <f>INDEX('Vessel Gauging Data'!$B$26:$V$56,MATCH($C225,'Vessel Gauging Data'!$B$26:$B$56,0),$W$198)</f>
        <v>#N/A</v>
      </c>
      <c r="X225" s="642" t="e">
        <f>INDEX('Vessel Gauging Data'!$B$26:$V$56,MATCH($C225,'Vessel Gauging Data'!$B$26:$B$56,0),$X$198)</f>
        <v>#N/A</v>
      </c>
      <c r="Y225" s="642" t="e">
        <f>INDEX('Vessel Gauging Data'!$B$26:$V$56,MATCH($C225,'Vessel Gauging Data'!$B$26:$B$56,0),$Y$198)</f>
        <v>#N/A</v>
      </c>
      <c r="Z225" s="642" t="e">
        <f>INDEX('Vessel Gauging Data'!$B$26:$V$56,MATCH($C225,'Vessel Gauging Data'!$B$26:$B$56,0),$Z$198)</f>
        <v>#N/A</v>
      </c>
      <c r="AB225" s="642" t="e">
        <f>INDEX(API2DENST,MATCH($C225,'Vessel Gauging Data'!$B$27:$B$56,0),1)</f>
        <v>#N/A</v>
      </c>
      <c r="AC225" s="642" t="e">
        <f t="shared" si="220"/>
        <v>#N/A</v>
      </c>
      <c r="AE225" s="661" t="e">
        <f t="shared" si="221"/>
        <v>#VALUE!</v>
      </c>
      <c r="AF225" s="661" t="e">
        <f t="shared" si="222"/>
        <v>#VALUE!</v>
      </c>
      <c r="AH225" s="662" t="str">
        <f t="shared" si="218"/>
        <v/>
      </c>
      <c r="AI225" s="662" t="str">
        <f t="shared" si="219"/>
        <v/>
      </c>
      <c r="AJ225" s="663">
        <f t="shared" si="223"/>
        <v>192.4571</v>
      </c>
      <c r="AK225" s="660">
        <f t="shared" si="224"/>
        <v>0.24379999999999999</v>
      </c>
      <c r="AL225" s="660" t="e">
        <f t="shared" si="225"/>
        <v>#VALUE!</v>
      </c>
      <c r="AM225" s="664" t="e">
        <f t="shared" si="226"/>
        <v>#VALUE!</v>
      </c>
      <c r="AN225" s="664" t="e">
        <f t="shared" si="227"/>
        <v>#VALUE!</v>
      </c>
      <c r="AO225" s="665" t="e">
        <f t="shared" si="228"/>
        <v>#VALUE!</v>
      </c>
      <c r="AP225" s="666" t="e">
        <f t="shared" si="229"/>
        <v>#VALUE!</v>
      </c>
      <c r="AQ225" s="660" t="e">
        <f t="shared" si="230"/>
        <v>#VALUE!</v>
      </c>
      <c r="AR225" s="667" t="e">
        <f t="shared" si="231"/>
        <v>#VALUE!</v>
      </c>
      <c r="AS225" s="667" t="e">
        <f t="shared" si="232"/>
        <v>#VALUE!</v>
      </c>
      <c r="AT225" s="668" t="e">
        <f t="shared" si="233"/>
        <v>#VALUE!</v>
      </c>
      <c r="AU225" s="667" t="e">
        <f t="shared" si="234"/>
        <v>#VALUE!</v>
      </c>
      <c r="AV225" s="669" t="e">
        <f t="shared" si="235"/>
        <v>#VALUE!</v>
      </c>
      <c r="AW225" s="667" t="e">
        <f t="shared" si="236"/>
        <v>#VALUE!</v>
      </c>
      <c r="AX225" s="667" t="e">
        <f t="shared" si="237"/>
        <v>#VALUE!</v>
      </c>
      <c r="AY225" s="660" t="e">
        <f t="shared" si="238"/>
        <v>#VALUE!</v>
      </c>
      <c r="AZ225" s="670" t="e">
        <f t="shared" si="239"/>
        <v>#VALUE!</v>
      </c>
      <c r="BB225" s="662" t="e">
        <f>INDEX('Vessel Gauging Data'!$B$26:$V$56,MATCH($C225,'Vessel Gauging Data'!$B$26:$B$56,0),$BB$198)</f>
        <v>#N/A</v>
      </c>
      <c r="BC225" s="662" t="e">
        <f>INDEX('Vessel Gauging Data'!$B$26:$V$56,MATCH($C225,'Vessel Gauging Data'!$B$26:$B$56,0),$BC$198)</f>
        <v>#N/A</v>
      </c>
      <c r="BD225" s="662" t="e">
        <f>INDEX('Vessel Gauging Data'!$B$26:$V$56,MATCH($C225,'Vessel Gauging Data'!$B$26:$B$56,0),$BD$198)</f>
        <v>#N/A</v>
      </c>
      <c r="BE225" s="662" t="e">
        <f>INDEX('Vessel Gauging Data'!$B$26:$V$56,MATCH($C225,'Vessel Gauging Data'!$B$26:$B$56,0),$BE$198)</f>
        <v>#N/A</v>
      </c>
    </row>
    <row r="226" spans="1:57" hidden="1">
      <c r="A226" s="641" t="str">
        <f t="shared" si="202"/>
        <v>N</v>
      </c>
      <c r="C226" s="235" t="str">
        <f t="shared" si="241"/>
        <v/>
      </c>
      <c r="D226" s="211" t="str">
        <f t="shared" si="241"/>
        <v/>
      </c>
      <c r="E226" s="1016" t="str">
        <f t="shared" si="240"/>
        <v/>
      </c>
      <c r="F226" s="1016" t="str">
        <f t="shared" si="242"/>
        <v/>
      </c>
      <c r="G226" s="1016" t="str">
        <f t="shared" si="243"/>
        <v/>
      </c>
      <c r="H226" s="1016" t="str">
        <f t="shared" si="243"/>
        <v/>
      </c>
      <c r="I226" s="211" t="str">
        <f t="shared" si="244"/>
        <v/>
      </c>
      <c r="J226" s="1016" t="str">
        <f t="shared" si="245"/>
        <v/>
      </c>
      <c r="K226" s="213" t="str">
        <f t="shared" si="246"/>
        <v/>
      </c>
      <c r="L226" s="212" t="str">
        <f t="shared" si="247"/>
        <v/>
      </c>
      <c r="M226" s="1125" t="str">
        <f>IF(OR($C226="",$C226=0),"",INDEX(API2DENST,MATCH($C226,'Vessel Gauging Data'!$B$27:$B$56,0),$AA$1))</f>
        <v/>
      </c>
      <c r="N226" s="212" t="str">
        <f t="shared" si="248"/>
        <v/>
      </c>
      <c r="O226" s="1016" t="str">
        <f t="shared" si="249"/>
        <v/>
      </c>
      <c r="P226" s="1125" t="str">
        <f t="shared" si="250"/>
        <v/>
      </c>
      <c r="Q226" s="1016" t="str">
        <f t="shared" si="251"/>
        <v/>
      </c>
      <c r="R226" s="214" t="str">
        <f t="shared" si="252"/>
        <v/>
      </c>
      <c r="S226" s="1125" t="str">
        <f t="shared" si="253"/>
        <v/>
      </c>
      <c r="T226" s="236" t="str">
        <f t="shared" si="254"/>
        <v/>
      </c>
      <c r="W226" s="642" t="e">
        <f>INDEX('Vessel Gauging Data'!$B$26:$V$56,MATCH($C226,'Vessel Gauging Data'!$B$26:$B$56,0),$W$198)</f>
        <v>#N/A</v>
      </c>
      <c r="X226" s="642" t="e">
        <f>INDEX('Vessel Gauging Data'!$B$26:$V$56,MATCH($C226,'Vessel Gauging Data'!$B$26:$B$56,0),$X$198)</f>
        <v>#N/A</v>
      </c>
      <c r="Y226" s="642" t="e">
        <f>INDEX('Vessel Gauging Data'!$B$26:$V$56,MATCH($C226,'Vessel Gauging Data'!$B$26:$B$56,0),$Y$198)</f>
        <v>#N/A</v>
      </c>
      <c r="Z226" s="642" t="e">
        <f>INDEX('Vessel Gauging Data'!$B$26:$V$56,MATCH($C226,'Vessel Gauging Data'!$B$26:$B$56,0),$Z$198)</f>
        <v>#N/A</v>
      </c>
      <c r="AB226" s="642" t="e">
        <f>INDEX(API2DENST,MATCH($C226,'Vessel Gauging Data'!$B$27:$B$56,0),1)</f>
        <v>#N/A</v>
      </c>
      <c r="AC226" s="642" t="e">
        <f t="shared" si="220"/>
        <v>#N/A</v>
      </c>
      <c r="AE226" s="661" t="e">
        <f t="shared" si="221"/>
        <v>#VALUE!</v>
      </c>
      <c r="AF226" s="661" t="e">
        <f t="shared" si="222"/>
        <v>#VALUE!</v>
      </c>
      <c r="AH226" s="662" t="str">
        <f t="shared" si="218"/>
        <v/>
      </c>
      <c r="AI226" s="662" t="str">
        <f t="shared" si="219"/>
        <v/>
      </c>
      <c r="AJ226" s="663">
        <f t="shared" si="223"/>
        <v>192.4571</v>
      </c>
      <c r="AK226" s="660">
        <f t="shared" si="224"/>
        <v>0.24379999999999999</v>
      </c>
      <c r="AL226" s="660" t="e">
        <f t="shared" si="225"/>
        <v>#VALUE!</v>
      </c>
      <c r="AM226" s="664" t="e">
        <f t="shared" si="226"/>
        <v>#VALUE!</v>
      </c>
      <c r="AN226" s="664" t="e">
        <f t="shared" si="227"/>
        <v>#VALUE!</v>
      </c>
      <c r="AO226" s="665" t="e">
        <f t="shared" si="228"/>
        <v>#VALUE!</v>
      </c>
      <c r="AP226" s="666" t="e">
        <f t="shared" si="229"/>
        <v>#VALUE!</v>
      </c>
      <c r="AQ226" s="660" t="e">
        <f t="shared" si="230"/>
        <v>#VALUE!</v>
      </c>
      <c r="AR226" s="667" t="e">
        <f t="shared" si="231"/>
        <v>#VALUE!</v>
      </c>
      <c r="AS226" s="667" t="e">
        <f t="shared" si="232"/>
        <v>#VALUE!</v>
      </c>
      <c r="AT226" s="668" t="e">
        <f t="shared" si="233"/>
        <v>#VALUE!</v>
      </c>
      <c r="AU226" s="667" t="e">
        <f t="shared" si="234"/>
        <v>#VALUE!</v>
      </c>
      <c r="AV226" s="669" t="e">
        <f t="shared" si="235"/>
        <v>#VALUE!</v>
      </c>
      <c r="AW226" s="667" t="e">
        <f t="shared" si="236"/>
        <v>#VALUE!</v>
      </c>
      <c r="AX226" s="667" t="e">
        <f t="shared" si="237"/>
        <v>#VALUE!</v>
      </c>
      <c r="AY226" s="660" t="e">
        <f t="shared" si="238"/>
        <v>#VALUE!</v>
      </c>
      <c r="AZ226" s="670" t="e">
        <f t="shared" si="239"/>
        <v>#VALUE!</v>
      </c>
      <c r="BB226" s="662" t="e">
        <f>INDEX('Vessel Gauging Data'!$B$26:$V$56,MATCH($C226,'Vessel Gauging Data'!$B$26:$B$56,0),$BB$198)</f>
        <v>#N/A</v>
      </c>
      <c r="BC226" s="662" t="e">
        <f>INDEX('Vessel Gauging Data'!$B$26:$V$56,MATCH($C226,'Vessel Gauging Data'!$B$26:$B$56,0),$BC$198)</f>
        <v>#N/A</v>
      </c>
      <c r="BD226" s="662" t="e">
        <f>INDEX('Vessel Gauging Data'!$B$26:$V$56,MATCH($C226,'Vessel Gauging Data'!$B$26:$B$56,0),$BD$198)</f>
        <v>#N/A</v>
      </c>
      <c r="BE226" s="662" t="e">
        <f>INDEX('Vessel Gauging Data'!$B$26:$V$56,MATCH($C226,'Vessel Gauging Data'!$B$26:$B$56,0),$BE$198)</f>
        <v>#N/A</v>
      </c>
    </row>
    <row r="227" spans="1:57" hidden="1">
      <c r="A227" s="641" t="str">
        <f t="shared" si="202"/>
        <v>N</v>
      </c>
      <c r="C227" s="235" t="str">
        <f t="shared" si="241"/>
        <v/>
      </c>
      <c r="D227" s="211" t="str">
        <f t="shared" si="241"/>
        <v/>
      </c>
      <c r="E227" s="1016" t="str">
        <f t="shared" si="240"/>
        <v/>
      </c>
      <c r="F227" s="1016" t="str">
        <f t="shared" si="242"/>
        <v/>
      </c>
      <c r="G227" s="1016" t="str">
        <f t="shared" si="243"/>
        <v/>
      </c>
      <c r="H227" s="1016" t="str">
        <f t="shared" si="243"/>
        <v/>
      </c>
      <c r="I227" s="211" t="str">
        <f t="shared" si="244"/>
        <v/>
      </c>
      <c r="J227" s="1016" t="str">
        <f t="shared" si="245"/>
        <v/>
      </c>
      <c r="K227" s="213" t="str">
        <f t="shared" si="246"/>
        <v/>
      </c>
      <c r="L227" s="212" t="str">
        <f t="shared" si="247"/>
        <v/>
      </c>
      <c r="M227" s="1125" t="str">
        <f>IF(OR($C227="",$C227=0),"",INDEX(API2DENST,MATCH($C227,'Vessel Gauging Data'!$B$27:$B$56,0),$AA$1))</f>
        <v/>
      </c>
      <c r="N227" s="212" t="str">
        <f t="shared" si="248"/>
        <v/>
      </c>
      <c r="O227" s="1016" t="str">
        <f t="shared" si="249"/>
        <v/>
      </c>
      <c r="P227" s="1125" t="str">
        <f t="shared" si="250"/>
        <v/>
      </c>
      <c r="Q227" s="1016" t="str">
        <f t="shared" si="251"/>
        <v/>
      </c>
      <c r="R227" s="214" t="str">
        <f t="shared" si="252"/>
        <v/>
      </c>
      <c r="S227" s="1125" t="str">
        <f t="shared" si="253"/>
        <v/>
      </c>
      <c r="T227" s="236" t="str">
        <f t="shared" si="254"/>
        <v/>
      </c>
      <c r="W227" s="642" t="e">
        <f>INDEX('Vessel Gauging Data'!$B$26:$V$56,MATCH($C227,'Vessel Gauging Data'!$B$26:$B$56,0),$W$198)</f>
        <v>#N/A</v>
      </c>
      <c r="X227" s="642" t="e">
        <f>INDEX('Vessel Gauging Data'!$B$26:$V$56,MATCH($C227,'Vessel Gauging Data'!$B$26:$B$56,0),$X$198)</f>
        <v>#N/A</v>
      </c>
      <c r="Y227" s="642" t="e">
        <f>INDEX('Vessel Gauging Data'!$B$26:$V$56,MATCH($C227,'Vessel Gauging Data'!$B$26:$B$56,0),$Y$198)</f>
        <v>#N/A</v>
      </c>
      <c r="Z227" s="642" t="e">
        <f>INDEX('Vessel Gauging Data'!$B$26:$V$56,MATCH($C227,'Vessel Gauging Data'!$B$26:$B$56,0),$Z$198)</f>
        <v>#N/A</v>
      </c>
      <c r="AB227" s="642" t="e">
        <f>INDEX(API2DENST,MATCH($C227,'Vessel Gauging Data'!$B$27:$B$56,0),1)</f>
        <v>#N/A</v>
      </c>
      <c r="AC227" s="642" t="e">
        <f t="shared" si="220"/>
        <v>#N/A</v>
      </c>
      <c r="AE227" s="661" t="e">
        <f t="shared" si="221"/>
        <v>#VALUE!</v>
      </c>
      <c r="AF227" s="661" t="e">
        <f t="shared" si="222"/>
        <v>#VALUE!</v>
      </c>
      <c r="AH227" s="662" t="str">
        <f t="shared" si="218"/>
        <v/>
      </c>
      <c r="AI227" s="662" t="str">
        <f t="shared" si="219"/>
        <v/>
      </c>
      <c r="AJ227" s="663">
        <f t="shared" si="223"/>
        <v>192.4571</v>
      </c>
      <c r="AK227" s="660">
        <f t="shared" si="224"/>
        <v>0.24379999999999999</v>
      </c>
      <c r="AL227" s="660" t="e">
        <f t="shared" si="225"/>
        <v>#VALUE!</v>
      </c>
      <c r="AM227" s="664" t="e">
        <f t="shared" si="226"/>
        <v>#VALUE!</v>
      </c>
      <c r="AN227" s="664" t="e">
        <f t="shared" si="227"/>
        <v>#VALUE!</v>
      </c>
      <c r="AO227" s="665" t="e">
        <f t="shared" si="228"/>
        <v>#VALUE!</v>
      </c>
      <c r="AP227" s="666" t="e">
        <f t="shared" si="229"/>
        <v>#VALUE!</v>
      </c>
      <c r="AQ227" s="660" t="e">
        <f t="shared" si="230"/>
        <v>#VALUE!</v>
      </c>
      <c r="AR227" s="667" t="e">
        <f t="shared" si="231"/>
        <v>#VALUE!</v>
      </c>
      <c r="AS227" s="667" t="e">
        <f t="shared" si="232"/>
        <v>#VALUE!</v>
      </c>
      <c r="AT227" s="668" t="e">
        <f t="shared" si="233"/>
        <v>#VALUE!</v>
      </c>
      <c r="AU227" s="667" t="e">
        <f t="shared" si="234"/>
        <v>#VALUE!</v>
      </c>
      <c r="AV227" s="669" t="e">
        <f t="shared" si="235"/>
        <v>#VALUE!</v>
      </c>
      <c r="AW227" s="667" t="e">
        <f t="shared" si="236"/>
        <v>#VALUE!</v>
      </c>
      <c r="AX227" s="667" t="e">
        <f t="shared" si="237"/>
        <v>#VALUE!</v>
      </c>
      <c r="AY227" s="660" t="e">
        <f t="shared" si="238"/>
        <v>#VALUE!</v>
      </c>
      <c r="AZ227" s="670" t="e">
        <f t="shared" si="239"/>
        <v>#VALUE!</v>
      </c>
      <c r="BB227" s="662" t="e">
        <f>INDEX('Vessel Gauging Data'!$B$26:$V$56,MATCH($C227,'Vessel Gauging Data'!$B$26:$B$56,0),$BB$198)</f>
        <v>#N/A</v>
      </c>
      <c r="BC227" s="662" t="e">
        <f>INDEX('Vessel Gauging Data'!$B$26:$V$56,MATCH($C227,'Vessel Gauging Data'!$B$26:$B$56,0),$BC$198)</f>
        <v>#N/A</v>
      </c>
      <c r="BD227" s="662" t="e">
        <f>INDEX('Vessel Gauging Data'!$B$26:$V$56,MATCH($C227,'Vessel Gauging Data'!$B$26:$B$56,0),$BD$198)</f>
        <v>#N/A</v>
      </c>
      <c r="BE227" s="662" t="e">
        <f>INDEX('Vessel Gauging Data'!$B$26:$V$56,MATCH($C227,'Vessel Gauging Data'!$B$26:$B$56,0),$BE$198)</f>
        <v>#N/A</v>
      </c>
    </row>
    <row r="228" spans="1:57" hidden="1">
      <c r="A228" s="641" t="str">
        <f t="shared" si="202"/>
        <v>N</v>
      </c>
      <c r="C228" s="235" t="str">
        <f t="shared" si="241"/>
        <v/>
      </c>
      <c r="D228" s="211" t="str">
        <f t="shared" si="241"/>
        <v/>
      </c>
      <c r="E228" s="1016" t="str">
        <f t="shared" si="240"/>
        <v/>
      </c>
      <c r="F228" s="1016" t="str">
        <f t="shared" si="242"/>
        <v/>
      </c>
      <c r="G228" s="1016" t="str">
        <f t="shared" si="243"/>
        <v/>
      </c>
      <c r="H228" s="1016" t="str">
        <f t="shared" si="243"/>
        <v/>
      </c>
      <c r="I228" s="211" t="str">
        <f t="shared" si="244"/>
        <v/>
      </c>
      <c r="J228" s="1016" t="str">
        <f t="shared" si="245"/>
        <v/>
      </c>
      <c r="K228" s="213" t="str">
        <f t="shared" si="246"/>
        <v/>
      </c>
      <c r="L228" s="212" t="str">
        <f t="shared" si="247"/>
        <v/>
      </c>
      <c r="M228" s="1125" t="str">
        <f>IF(OR($C228="",$C228=0),"",INDEX(API2DENST,MATCH($C228,'Vessel Gauging Data'!$B$27:$B$56,0),$AA$1))</f>
        <v/>
      </c>
      <c r="N228" s="212" t="str">
        <f t="shared" si="248"/>
        <v/>
      </c>
      <c r="O228" s="1016" t="str">
        <f t="shared" si="249"/>
        <v/>
      </c>
      <c r="P228" s="1125" t="str">
        <f t="shared" si="250"/>
        <v/>
      </c>
      <c r="Q228" s="1016" t="str">
        <f t="shared" si="251"/>
        <v/>
      </c>
      <c r="R228" s="214" t="str">
        <f t="shared" si="252"/>
        <v/>
      </c>
      <c r="S228" s="1125" t="str">
        <f t="shared" si="253"/>
        <v/>
      </c>
      <c r="T228" s="236" t="str">
        <f t="shared" si="254"/>
        <v/>
      </c>
      <c r="W228" s="642" t="e">
        <f>INDEX('Vessel Gauging Data'!$B$26:$V$56,MATCH($C228,'Vessel Gauging Data'!$B$26:$B$56,0),$W$198)</f>
        <v>#N/A</v>
      </c>
      <c r="X228" s="642" t="e">
        <f>INDEX('Vessel Gauging Data'!$B$26:$V$56,MATCH($C228,'Vessel Gauging Data'!$B$26:$B$56,0),$X$198)</f>
        <v>#N/A</v>
      </c>
      <c r="Y228" s="642" t="e">
        <f>INDEX('Vessel Gauging Data'!$B$26:$V$56,MATCH($C228,'Vessel Gauging Data'!$B$26:$B$56,0),$Y$198)</f>
        <v>#N/A</v>
      </c>
      <c r="Z228" s="642" t="e">
        <f>INDEX('Vessel Gauging Data'!$B$26:$V$56,MATCH($C228,'Vessel Gauging Data'!$B$26:$B$56,0),$Z$198)</f>
        <v>#N/A</v>
      </c>
      <c r="AB228" s="642" t="e">
        <f>INDEX(API2DENST,MATCH($C228,'Vessel Gauging Data'!$B$27:$B$56,0),1)</f>
        <v>#N/A</v>
      </c>
      <c r="AC228" s="642" t="e">
        <f t="shared" si="220"/>
        <v>#N/A</v>
      </c>
      <c r="AE228" s="661" t="e">
        <f t="shared" si="221"/>
        <v>#VALUE!</v>
      </c>
      <c r="AF228" s="661" t="e">
        <f t="shared" si="222"/>
        <v>#VALUE!</v>
      </c>
      <c r="AH228" s="662" t="str">
        <f t="shared" si="218"/>
        <v/>
      </c>
      <c r="AI228" s="662" t="str">
        <f t="shared" si="219"/>
        <v/>
      </c>
      <c r="AJ228" s="663">
        <f t="shared" si="223"/>
        <v>192.4571</v>
      </c>
      <c r="AK228" s="660">
        <f t="shared" si="224"/>
        <v>0.24379999999999999</v>
      </c>
      <c r="AL228" s="660" t="e">
        <f t="shared" si="225"/>
        <v>#VALUE!</v>
      </c>
      <c r="AM228" s="664" t="e">
        <f t="shared" si="226"/>
        <v>#VALUE!</v>
      </c>
      <c r="AN228" s="664" t="e">
        <f t="shared" si="227"/>
        <v>#VALUE!</v>
      </c>
      <c r="AO228" s="665" t="e">
        <f t="shared" si="228"/>
        <v>#VALUE!</v>
      </c>
      <c r="AP228" s="666" t="e">
        <f t="shared" si="229"/>
        <v>#VALUE!</v>
      </c>
      <c r="AQ228" s="660" t="e">
        <f t="shared" si="230"/>
        <v>#VALUE!</v>
      </c>
      <c r="AR228" s="667" t="e">
        <f t="shared" si="231"/>
        <v>#VALUE!</v>
      </c>
      <c r="AS228" s="667" t="e">
        <f t="shared" si="232"/>
        <v>#VALUE!</v>
      </c>
      <c r="AT228" s="668" t="e">
        <f t="shared" si="233"/>
        <v>#VALUE!</v>
      </c>
      <c r="AU228" s="667" t="e">
        <f t="shared" si="234"/>
        <v>#VALUE!</v>
      </c>
      <c r="AV228" s="669" t="e">
        <f t="shared" si="235"/>
        <v>#VALUE!</v>
      </c>
      <c r="AW228" s="667" t="e">
        <f t="shared" si="236"/>
        <v>#VALUE!</v>
      </c>
      <c r="AX228" s="667" t="e">
        <f t="shared" si="237"/>
        <v>#VALUE!</v>
      </c>
      <c r="AY228" s="660" t="e">
        <f t="shared" si="238"/>
        <v>#VALUE!</v>
      </c>
      <c r="AZ228" s="670" t="e">
        <f t="shared" si="239"/>
        <v>#VALUE!</v>
      </c>
      <c r="BB228" s="662" t="e">
        <f>INDEX('Vessel Gauging Data'!$B$26:$V$56,MATCH($C228,'Vessel Gauging Data'!$B$26:$B$56,0),$BB$198)</f>
        <v>#N/A</v>
      </c>
      <c r="BC228" s="662" t="e">
        <f>INDEX('Vessel Gauging Data'!$B$26:$V$56,MATCH($C228,'Vessel Gauging Data'!$B$26:$B$56,0),$BC$198)</f>
        <v>#N/A</v>
      </c>
      <c r="BD228" s="662" t="e">
        <f>INDEX('Vessel Gauging Data'!$B$26:$V$56,MATCH($C228,'Vessel Gauging Data'!$B$26:$B$56,0),$BD$198)</f>
        <v>#N/A</v>
      </c>
      <c r="BE228" s="662" t="e">
        <f>INDEX('Vessel Gauging Data'!$B$26:$V$56,MATCH($C228,'Vessel Gauging Data'!$B$26:$B$56,0),$BE$198)</f>
        <v>#N/A</v>
      </c>
    </row>
    <row r="229" spans="1:57" hidden="1">
      <c r="A229" s="641" t="str">
        <f t="shared" si="202"/>
        <v>N</v>
      </c>
      <c r="C229" s="235" t="str">
        <f t="shared" si="241"/>
        <v/>
      </c>
      <c r="D229" s="211" t="str">
        <f t="shared" si="241"/>
        <v/>
      </c>
      <c r="E229" s="1016" t="str">
        <f t="shared" si="240"/>
        <v/>
      </c>
      <c r="F229" s="1016" t="str">
        <f t="shared" si="242"/>
        <v/>
      </c>
      <c r="G229" s="1016" t="str">
        <f t="shared" si="243"/>
        <v/>
      </c>
      <c r="H229" s="1016" t="str">
        <f t="shared" si="243"/>
        <v/>
      </c>
      <c r="I229" s="211" t="str">
        <f t="shared" si="244"/>
        <v/>
      </c>
      <c r="J229" s="1016" t="str">
        <f t="shared" si="245"/>
        <v/>
      </c>
      <c r="K229" s="213" t="str">
        <f t="shared" si="246"/>
        <v/>
      </c>
      <c r="L229" s="212" t="str">
        <f t="shared" si="247"/>
        <v/>
      </c>
      <c r="M229" s="1125" t="str">
        <f>IF(OR($C229="",$C229=0),"",INDEX(API2DENST,MATCH($C229,'Vessel Gauging Data'!$B$27:$B$56,0),$AA$1))</f>
        <v/>
      </c>
      <c r="N229" s="212" t="str">
        <f t="shared" si="248"/>
        <v/>
      </c>
      <c r="O229" s="1016" t="str">
        <f t="shared" si="249"/>
        <v/>
      </c>
      <c r="P229" s="1125" t="str">
        <f t="shared" si="250"/>
        <v/>
      </c>
      <c r="Q229" s="1016" t="str">
        <f t="shared" si="251"/>
        <v/>
      </c>
      <c r="R229" s="214" t="str">
        <f t="shared" si="252"/>
        <v/>
      </c>
      <c r="S229" s="1125" t="str">
        <f t="shared" si="253"/>
        <v/>
      </c>
      <c r="T229" s="236" t="str">
        <f t="shared" si="254"/>
        <v/>
      </c>
      <c r="W229" s="642" t="e">
        <f>INDEX('Vessel Gauging Data'!$B$26:$V$56,MATCH($C229,'Vessel Gauging Data'!$B$26:$B$56,0),$W$198)</f>
        <v>#N/A</v>
      </c>
      <c r="X229" s="642" t="e">
        <f>INDEX('Vessel Gauging Data'!$B$26:$V$56,MATCH($C229,'Vessel Gauging Data'!$B$26:$B$56,0),$X$198)</f>
        <v>#N/A</v>
      </c>
      <c r="Y229" s="642" t="e">
        <f>INDEX('Vessel Gauging Data'!$B$26:$V$56,MATCH($C229,'Vessel Gauging Data'!$B$26:$B$56,0),$Y$198)</f>
        <v>#N/A</v>
      </c>
      <c r="Z229" s="642" t="e">
        <f>INDEX('Vessel Gauging Data'!$B$26:$V$56,MATCH($C229,'Vessel Gauging Data'!$B$26:$B$56,0),$Z$198)</f>
        <v>#N/A</v>
      </c>
      <c r="AB229" s="642" t="e">
        <f>INDEX(API2DENST,MATCH($C229,'Vessel Gauging Data'!$B$27:$B$56,0),1)</f>
        <v>#N/A</v>
      </c>
      <c r="AC229" s="642" t="e">
        <f t="shared" si="220"/>
        <v>#N/A</v>
      </c>
      <c r="AE229" s="661" t="e">
        <f t="shared" si="221"/>
        <v>#VALUE!</v>
      </c>
      <c r="AF229" s="661" t="e">
        <f t="shared" si="222"/>
        <v>#VALUE!</v>
      </c>
      <c r="AH229" s="662" t="str">
        <f t="shared" si="218"/>
        <v/>
      </c>
      <c r="AI229" s="662" t="str">
        <f t="shared" si="219"/>
        <v/>
      </c>
      <c r="AJ229" s="663">
        <f t="shared" si="223"/>
        <v>192.4571</v>
      </c>
      <c r="AK229" s="660">
        <f t="shared" si="224"/>
        <v>0.24379999999999999</v>
      </c>
      <c r="AL229" s="660" t="e">
        <f t="shared" si="225"/>
        <v>#VALUE!</v>
      </c>
      <c r="AM229" s="664" t="e">
        <f t="shared" si="226"/>
        <v>#VALUE!</v>
      </c>
      <c r="AN229" s="664" t="e">
        <f t="shared" si="227"/>
        <v>#VALUE!</v>
      </c>
      <c r="AO229" s="665" t="e">
        <f t="shared" si="228"/>
        <v>#VALUE!</v>
      </c>
      <c r="AP229" s="666" t="e">
        <f t="shared" si="229"/>
        <v>#VALUE!</v>
      </c>
      <c r="AQ229" s="660" t="e">
        <f t="shared" si="230"/>
        <v>#VALUE!</v>
      </c>
      <c r="AR229" s="667" t="e">
        <f t="shared" si="231"/>
        <v>#VALUE!</v>
      </c>
      <c r="AS229" s="667" t="e">
        <f t="shared" si="232"/>
        <v>#VALUE!</v>
      </c>
      <c r="AT229" s="668" t="e">
        <f t="shared" si="233"/>
        <v>#VALUE!</v>
      </c>
      <c r="AU229" s="667" t="e">
        <f t="shared" si="234"/>
        <v>#VALUE!</v>
      </c>
      <c r="AV229" s="669" t="e">
        <f t="shared" si="235"/>
        <v>#VALUE!</v>
      </c>
      <c r="AW229" s="667" t="e">
        <f t="shared" si="236"/>
        <v>#VALUE!</v>
      </c>
      <c r="AX229" s="667" t="e">
        <f t="shared" si="237"/>
        <v>#VALUE!</v>
      </c>
      <c r="AY229" s="660" t="e">
        <f t="shared" si="238"/>
        <v>#VALUE!</v>
      </c>
      <c r="AZ229" s="670" t="e">
        <f t="shared" si="239"/>
        <v>#VALUE!</v>
      </c>
      <c r="BB229" s="662" t="e">
        <f>INDEX('Vessel Gauging Data'!$B$26:$V$56,MATCH($C229,'Vessel Gauging Data'!$B$26:$B$56,0),$BB$198)</f>
        <v>#N/A</v>
      </c>
      <c r="BC229" s="662" t="e">
        <f>INDEX('Vessel Gauging Data'!$B$26:$V$56,MATCH($C229,'Vessel Gauging Data'!$B$26:$B$56,0),$BC$198)</f>
        <v>#N/A</v>
      </c>
      <c r="BD229" s="662" t="e">
        <f>INDEX('Vessel Gauging Data'!$B$26:$V$56,MATCH($C229,'Vessel Gauging Data'!$B$26:$B$56,0),$BD$198)</f>
        <v>#N/A</v>
      </c>
      <c r="BE229" s="662" t="e">
        <f>INDEX('Vessel Gauging Data'!$B$26:$V$56,MATCH($C229,'Vessel Gauging Data'!$B$26:$B$56,0),$BE$198)</f>
        <v>#N/A</v>
      </c>
    </row>
    <row r="230" spans="1:57" hidden="1">
      <c r="A230" s="641" t="str">
        <f t="shared" ref="A230:A261" si="255">A53</f>
        <v>N</v>
      </c>
      <c r="C230" s="235" t="str">
        <f t="shared" si="241"/>
        <v/>
      </c>
      <c r="D230" s="211" t="str">
        <f t="shared" si="241"/>
        <v/>
      </c>
      <c r="E230" s="1016" t="str">
        <f t="shared" si="240"/>
        <v/>
      </c>
      <c r="F230" s="1016" t="str">
        <f t="shared" si="242"/>
        <v/>
      </c>
      <c r="G230" s="1016" t="str">
        <f t="shared" si="243"/>
        <v/>
      </c>
      <c r="H230" s="1016" t="str">
        <f t="shared" si="243"/>
        <v/>
      </c>
      <c r="I230" s="211" t="str">
        <f t="shared" si="244"/>
        <v/>
      </c>
      <c r="J230" s="1016" t="str">
        <f t="shared" si="245"/>
        <v/>
      </c>
      <c r="K230" s="213" t="str">
        <f t="shared" si="246"/>
        <v/>
      </c>
      <c r="L230" s="212" t="str">
        <f t="shared" si="247"/>
        <v/>
      </c>
      <c r="M230" s="1125" t="str">
        <f>IF(OR($C230="",$C230=0),"",INDEX(API2DENST,MATCH($C230,'Vessel Gauging Data'!$B$27:$B$56,0),$AA$1))</f>
        <v/>
      </c>
      <c r="N230" s="212" t="str">
        <f t="shared" si="248"/>
        <v/>
      </c>
      <c r="O230" s="1016" t="str">
        <f t="shared" si="249"/>
        <v/>
      </c>
      <c r="P230" s="1125" t="str">
        <f t="shared" si="250"/>
        <v/>
      </c>
      <c r="Q230" s="1016" t="str">
        <f t="shared" si="251"/>
        <v/>
      </c>
      <c r="R230" s="214" t="str">
        <f t="shared" si="252"/>
        <v/>
      </c>
      <c r="S230" s="1125" t="str">
        <f t="shared" si="253"/>
        <v/>
      </c>
      <c r="T230" s="236" t="str">
        <f t="shared" si="254"/>
        <v/>
      </c>
      <c r="W230" s="642" t="e">
        <f>INDEX('Vessel Gauging Data'!$B$26:$V$56,MATCH($C230,'Vessel Gauging Data'!$B$26:$B$56,0),$W$198)</f>
        <v>#N/A</v>
      </c>
      <c r="X230" s="642" t="e">
        <f>INDEX('Vessel Gauging Data'!$B$26:$V$56,MATCH($C230,'Vessel Gauging Data'!$B$26:$B$56,0),$X$198)</f>
        <v>#N/A</v>
      </c>
      <c r="Y230" s="642" t="e">
        <f>INDEX('Vessel Gauging Data'!$B$26:$V$56,MATCH($C230,'Vessel Gauging Data'!$B$26:$B$56,0),$Y$198)</f>
        <v>#N/A</v>
      </c>
      <c r="Z230" s="642" t="e">
        <f>INDEX('Vessel Gauging Data'!$B$26:$V$56,MATCH($C230,'Vessel Gauging Data'!$B$26:$B$56,0),$Z$198)</f>
        <v>#N/A</v>
      </c>
      <c r="AB230" s="642" t="e">
        <f>INDEX(API2DENST,MATCH($C230,'Vessel Gauging Data'!$B$27:$B$56,0),1)</f>
        <v>#N/A</v>
      </c>
      <c r="AC230" s="642" t="e">
        <f t="shared" si="220"/>
        <v>#N/A</v>
      </c>
      <c r="AE230" s="661" t="e">
        <f t="shared" si="221"/>
        <v>#VALUE!</v>
      </c>
      <c r="AF230" s="661" t="e">
        <f t="shared" si="222"/>
        <v>#VALUE!</v>
      </c>
      <c r="AH230" s="662" t="str">
        <f t="shared" si="218"/>
        <v/>
      </c>
      <c r="AI230" s="662" t="str">
        <f t="shared" si="219"/>
        <v/>
      </c>
      <c r="AJ230" s="663">
        <f t="shared" si="223"/>
        <v>192.4571</v>
      </c>
      <c r="AK230" s="660">
        <f t="shared" si="224"/>
        <v>0.24379999999999999</v>
      </c>
      <c r="AL230" s="660" t="e">
        <f t="shared" si="225"/>
        <v>#VALUE!</v>
      </c>
      <c r="AM230" s="664" t="e">
        <f t="shared" si="226"/>
        <v>#VALUE!</v>
      </c>
      <c r="AN230" s="664" t="e">
        <f t="shared" si="227"/>
        <v>#VALUE!</v>
      </c>
      <c r="AO230" s="665" t="e">
        <f t="shared" si="228"/>
        <v>#VALUE!</v>
      </c>
      <c r="AP230" s="666" t="e">
        <f t="shared" si="229"/>
        <v>#VALUE!</v>
      </c>
      <c r="AQ230" s="660" t="e">
        <f t="shared" si="230"/>
        <v>#VALUE!</v>
      </c>
      <c r="AR230" s="667" t="e">
        <f t="shared" si="231"/>
        <v>#VALUE!</v>
      </c>
      <c r="AS230" s="667" t="e">
        <f t="shared" si="232"/>
        <v>#VALUE!</v>
      </c>
      <c r="AT230" s="668" t="e">
        <f t="shared" si="233"/>
        <v>#VALUE!</v>
      </c>
      <c r="AU230" s="667" t="e">
        <f t="shared" si="234"/>
        <v>#VALUE!</v>
      </c>
      <c r="AV230" s="669" t="e">
        <f t="shared" si="235"/>
        <v>#VALUE!</v>
      </c>
      <c r="AW230" s="667" t="e">
        <f t="shared" si="236"/>
        <v>#VALUE!</v>
      </c>
      <c r="AX230" s="667" t="e">
        <f t="shared" si="237"/>
        <v>#VALUE!</v>
      </c>
      <c r="AY230" s="660" t="e">
        <f t="shared" si="238"/>
        <v>#VALUE!</v>
      </c>
      <c r="AZ230" s="670" t="e">
        <f t="shared" si="239"/>
        <v>#VALUE!</v>
      </c>
      <c r="BB230" s="662" t="e">
        <f>INDEX('Vessel Gauging Data'!$B$26:$V$56,MATCH($C230,'Vessel Gauging Data'!$B$26:$B$56,0),$BB$198)</f>
        <v>#N/A</v>
      </c>
      <c r="BC230" s="662" t="e">
        <f>INDEX('Vessel Gauging Data'!$B$26:$V$56,MATCH($C230,'Vessel Gauging Data'!$B$26:$B$56,0),$BC$198)</f>
        <v>#N/A</v>
      </c>
      <c r="BD230" s="662" t="e">
        <f>INDEX('Vessel Gauging Data'!$B$26:$V$56,MATCH($C230,'Vessel Gauging Data'!$B$26:$B$56,0),$BD$198)</f>
        <v>#N/A</v>
      </c>
      <c r="BE230" s="662" t="e">
        <f>INDEX('Vessel Gauging Data'!$B$26:$V$56,MATCH($C230,'Vessel Gauging Data'!$B$26:$B$56,0),$BE$198)</f>
        <v>#N/A</v>
      </c>
    </row>
    <row r="231" spans="1:57" hidden="1">
      <c r="A231" s="641" t="str">
        <f t="shared" si="255"/>
        <v>N</v>
      </c>
      <c r="C231" s="235" t="str">
        <f t="shared" si="241"/>
        <v/>
      </c>
      <c r="D231" s="211" t="str">
        <f t="shared" si="241"/>
        <v/>
      </c>
      <c r="E231" s="1016" t="str">
        <f t="shared" si="240"/>
        <v/>
      </c>
      <c r="F231" s="1016" t="str">
        <f t="shared" si="242"/>
        <v/>
      </c>
      <c r="G231" s="1016" t="str">
        <f t="shared" si="243"/>
        <v/>
      </c>
      <c r="H231" s="1016" t="str">
        <f t="shared" si="243"/>
        <v/>
      </c>
      <c r="I231" s="211" t="str">
        <f t="shared" si="244"/>
        <v/>
      </c>
      <c r="J231" s="1016" t="str">
        <f t="shared" si="245"/>
        <v/>
      </c>
      <c r="K231" s="213" t="str">
        <f t="shared" si="246"/>
        <v/>
      </c>
      <c r="L231" s="212" t="str">
        <f t="shared" si="247"/>
        <v/>
      </c>
      <c r="M231" s="1125" t="str">
        <f>IF(OR($C231="",$C231=0),"",INDEX(API2DENST,MATCH($C231,'Vessel Gauging Data'!$B$27:$B$56,0),$AA$1))</f>
        <v/>
      </c>
      <c r="N231" s="212" t="str">
        <f t="shared" si="248"/>
        <v/>
      </c>
      <c r="O231" s="1016" t="str">
        <f t="shared" si="249"/>
        <v/>
      </c>
      <c r="P231" s="1125" t="str">
        <f t="shared" si="250"/>
        <v/>
      </c>
      <c r="Q231" s="1016" t="str">
        <f t="shared" si="251"/>
        <v/>
      </c>
      <c r="R231" s="214" t="str">
        <f t="shared" si="252"/>
        <v/>
      </c>
      <c r="S231" s="1125" t="str">
        <f t="shared" si="253"/>
        <v/>
      </c>
      <c r="T231" s="236" t="str">
        <f t="shared" si="254"/>
        <v/>
      </c>
      <c r="W231" s="642" t="e">
        <f>INDEX('Vessel Gauging Data'!$B$26:$V$56,MATCH($C231,'Vessel Gauging Data'!$B$26:$B$56,0),$W$198)</f>
        <v>#N/A</v>
      </c>
      <c r="X231" s="642" t="e">
        <f>INDEX('Vessel Gauging Data'!$B$26:$V$56,MATCH($C231,'Vessel Gauging Data'!$B$26:$B$56,0),$X$198)</f>
        <v>#N/A</v>
      </c>
      <c r="Y231" s="642" t="e">
        <f>INDEX('Vessel Gauging Data'!$B$26:$V$56,MATCH($C231,'Vessel Gauging Data'!$B$26:$B$56,0),$Y$198)</f>
        <v>#N/A</v>
      </c>
      <c r="Z231" s="642" t="e">
        <f>INDEX('Vessel Gauging Data'!$B$26:$V$56,MATCH($C231,'Vessel Gauging Data'!$B$26:$B$56,0),$Z$198)</f>
        <v>#N/A</v>
      </c>
      <c r="AB231" s="642" t="e">
        <f>INDEX(API2DENST,MATCH($C231,'Vessel Gauging Data'!$B$27:$B$56,0),1)</f>
        <v>#N/A</v>
      </c>
      <c r="AC231" s="642" t="e">
        <f t="shared" si="220"/>
        <v>#N/A</v>
      </c>
      <c r="AE231" s="661" t="e">
        <f t="shared" si="221"/>
        <v>#VALUE!</v>
      </c>
      <c r="AF231" s="661" t="e">
        <f t="shared" si="222"/>
        <v>#VALUE!</v>
      </c>
      <c r="AH231" s="662" t="str">
        <f t="shared" si="218"/>
        <v/>
      </c>
      <c r="AI231" s="662" t="str">
        <f t="shared" si="219"/>
        <v/>
      </c>
      <c r="AJ231" s="663">
        <f t="shared" si="223"/>
        <v>192.4571</v>
      </c>
      <c r="AK231" s="660">
        <f t="shared" si="224"/>
        <v>0.24379999999999999</v>
      </c>
      <c r="AL231" s="660" t="e">
        <f t="shared" si="225"/>
        <v>#VALUE!</v>
      </c>
      <c r="AM231" s="664" t="e">
        <f t="shared" si="226"/>
        <v>#VALUE!</v>
      </c>
      <c r="AN231" s="664" t="e">
        <f t="shared" si="227"/>
        <v>#VALUE!</v>
      </c>
      <c r="AO231" s="665" t="e">
        <f t="shared" si="228"/>
        <v>#VALUE!</v>
      </c>
      <c r="AP231" s="666" t="e">
        <f t="shared" si="229"/>
        <v>#VALUE!</v>
      </c>
      <c r="AQ231" s="660" t="e">
        <f t="shared" si="230"/>
        <v>#VALUE!</v>
      </c>
      <c r="AR231" s="667" t="e">
        <f t="shared" si="231"/>
        <v>#VALUE!</v>
      </c>
      <c r="AS231" s="667" t="e">
        <f t="shared" si="232"/>
        <v>#VALUE!</v>
      </c>
      <c r="AT231" s="668" t="e">
        <f t="shared" si="233"/>
        <v>#VALUE!</v>
      </c>
      <c r="AU231" s="667" t="e">
        <f t="shared" si="234"/>
        <v>#VALUE!</v>
      </c>
      <c r="AV231" s="669" t="e">
        <f t="shared" si="235"/>
        <v>#VALUE!</v>
      </c>
      <c r="AW231" s="667" t="e">
        <f t="shared" si="236"/>
        <v>#VALUE!</v>
      </c>
      <c r="AX231" s="667" t="e">
        <f t="shared" si="237"/>
        <v>#VALUE!</v>
      </c>
      <c r="AY231" s="660" t="e">
        <f t="shared" si="238"/>
        <v>#VALUE!</v>
      </c>
      <c r="AZ231" s="670" t="e">
        <f t="shared" si="239"/>
        <v>#VALUE!</v>
      </c>
      <c r="BB231" s="662" t="e">
        <f>INDEX('Vessel Gauging Data'!$B$26:$V$56,MATCH($C231,'Vessel Gauging Data'!$B$26:$B$56,0),$BB$198)</f>
        <v>#N/A</v>
      </c>
      <c r="BC231" s="662" t="e">
        <f>INDEX('Vessel Gauging Data'!$B$26:$V$56,MATCH($C231,'Vessel Gauging Data'!$B$26:$B$56,0),$BC$198)</f>
        <v>#N/A</v>
      </c>
      <c r="BD231" s="662" t="e">
        <f>INDEX('Vessel Gauging Data'!$B$26:$V$56,MATCH($C231,'Vessel Gauging Data'!$B$26:$B$56,0),$BD$198)</f>
        <v>#N/A</v>
      </c>
      <c r="BE231" s="662" t="e">
        <f>INDEX('Vessel Gauging Data'!$B$26:$V$56,MATCH($C231,'Vessel Gauging Data'!$B$26:$B$56,0),$BE$198)</f>
        <v>#N/A</v>
      </c>
    </row>
    <row r="232" spans="1:57" hidden="1">
      <c r="A232" s="641" t="str">
        <f t="shared" si="255"/>
        <v>N</v>
      </c>
      <c r="C232" s="235" t="str">
        <f t="shared" si="241"/>
        <v/>
      </c>
      <c r="D232" s="211" t="str">
        <f t="shared" si="241"/>
        <v/>
      </c>
      <c r="E232" s="1016" t="str">
        <f t="shared" si="240"/>
        <v/>
      </c>
      <c r="F232" s="1016" t="str">
        <f t="shared" si="242"/>
        <v/>
      </c>
      <c r="G232" s="1016" t="str">
        <f t="shared" si="243"/>
        <v/>
      </c>
      <c r="H232" s="1016" t="str">
        <f t="shared" si="243"/>
        <v/>
      </c>
      <c r="I232" s="211" t="str">
        <f t="shared" si="244"/>
        <v/>
      </c>
      <c r="J232" s="1016" t="str">
        <f t="shared" si="245"/>
        <v/>
      </c>
      <c r="K232" s="213" t="str">
        <f t="shared" si="246"/>
        <v/>
      </c>
      <c r="L232" s="212" t="str">
        <f t="shared" si="247"/>
        <v/>
      </c>
      <c r="M232" s="1125" t="str">
        <f>IF(OR($C232="",$C232=0),"",INDEX(API2DENST,MATCH($C232,'Vessel Gauging Data'!$B$27:$B$56,0),$AA$1))</f>
        <v/>
      </c>
      <c r="N232" s="212" t="str">
        <f t="shared" si="248"/>
        <v/>
      </c>
      <c r="O232" s="1016" t="str">
        <f t="shared" si="249"/>
        <v/>
      </c>
      <c r="P232" s="1125" t="str">
        <f t="shared" si="250"/>
        <v/>
      </c>
      <c r="Q232" s="1016" t="str">
        <f t="shared" si="251"/>
        <v/>
      </c>
      <c r="R232" s="214" t="str">
        <f t="shared" si="252"/>
        <v/>
      </c>
      <c r="S232" s="1125" t="str">
        <f t="shared" si="253"/>
        <v/>
      </c>
      <c r="T232" s="236" t="str">
        <f t="shared" si="254"/>
        <v/>
      </c>
      <c r="W232" s="642" t="e">
        <f>INDEX('Vessel Gauging Data'!$B$26:$V$56,MATCH($C232,'Vessel Gauging Data'!$B$26:$B$56,0),$W$198)</f>
        <v>#N/A</v>
      </c>
      <c r="X232" s="642" t="e">
        <f>INDEX('Vessel Gauging Data'!$B$26:$V$56,MATCH($C232,'Vessel Gauging Data'!$B$26:$B$56,0),$X$198)</f>
        <v>#N/A</v>
      </c>
      <c r="Y232" s="642" t="e">
        <f>INDEX('Vessel Gauging Data'!$B$26:$V$56,MATCH($C232,'Vessel Gauging Data'!$B$26:$B$56,0),$Y$198)</f>
        <v>#N/A</v>
      </c>
      <c r="Z232" s="642" t="e">
        <f>INDEX('Vessel Gauging Data'!$B$26:$V$56,MATCH($C232,'Vessel Gauging Data'!$B$26:$B$56,0),$Z$198)</f>
        <v>#N/A</v>
      </c>
      <c r="AB232" s="642" t="e">
        <f>INDEX(API2DENST,MATCH($C232,'Vessel Gauging Data'!$B$27:$B$56,0),1)</f>
        <v>#N/A</v>
      </c>
      <c r="AC232" s="642" t="e">
        <f t="shared" si="220"/>
        <v>#N/A</v>
      </c>
      <c r="AE232" s="661" t="e">
        <f t="shared" si="221"/>
        <v>#VALUE!</v>
      </c>
      <c r="AF232" s="661" t="e">
        <f t="shared" si="222"/>
        <v>#VALUE!</v>
      </c>
      <c r="AH232" s="662" t="str">
        <f t="shared" si="218"/>
        <v/>
      </c>
      <c r="AI232" s="662" t="str">
        <f t="shared" si="219"/>
        <v/>
      </c>
      <c r="AJ232" s="663">
        <f t="shared" si="223"/>
        <v>192.4571</v>
      </c>
      <c r="AK232" s="660">
        <f t="shared" si="224"/>
        <v>0.24379999999999999</v>
      </c>
      <c r="AL232" s="660" t="e">
        <f t="shared" si="225"/>
        <v>#VALUE!</v>
      </c>
      <c r="AM232" s="664" t="e">
        <f t="shared" si="226"/>
        <v>#VALUE!</v>
      </c>
      <c r="AN232" s="664" t="e">
        <f t="shared" si="227"/>
        <v>#VALUE!</v>
      </c>
      <c r="AO232" s="665" t="e">
        <f t="shared" si="228"/>
        <v>#VALUE!</v>
      </c>
      <c r="AP232" s="666" t="e">
        <f t="shared" si="229"/>
        <v>#VALUE!</v>
      </c>
      <c r="AQ232" s="660" t="e">
        <f t="shared" si="230"/>
        <v>#VALUE!</v>
      </c>
      <c r="AR232" s="667" t="e">
        <f t="shared" si="231"/>
        <v>#VALUE!</v>
      </c>
      <c r="AS232" s="667" t="e">
        <f t="shared" si="232"/>
        <v>#VALUE!</v>
      </c>
      <c r="AT232" s="668" t="e">
        <f t="shared" si="233"/>
        <v>#VALUE!</v>
      </c>
      <c r="AU232" s="667" t="e">
        <f t="shared" si="234"/>
        <v>#VALUE!</v>
      </c>
      <c r="AV232" s="669" t="e">
        <f t="shared" si="235"/>
        <v>#VALUE!</v>
      </c>
      <c r="AW232" s="667" t="e">
        <f t="shared" si="236"/>
        <v>#VALUE!</v>
      </c>
      <c r="AX232" s="667" t="e">
        <f t="shared" si="237"/>
        <v>#VALUE!</v>
      </c>
      <c r="AY232" s="660" t="e">
        <f t="shared" si="238"/>
        <v>#VALUE!</v>
      </c>
      <c r="AZ232" s="670" t="e">
        <f t="shared" si="239"/>
        <v>#VALUE!</v>
      </c>
      <c r="BB232" s="662" t="e">
        <f>INDEX('Vessel Gauging Data'!$B$26:$V$56,MATCH($C232,'Vessel Gauging Data'!$B$26:$B$56,0),$BB$198)</f>
        <v>#N/A</v>
      </c>
      <c r="BC232" s="662" t="e">
        <f>INDEX('Vessel Gauging Data'!$B$26:$V$56,MATCH($C232,'Vessel Gauging Data'!$B$26:$B$56,0),$BC$198)</f>
        <v>#N/A</v>
      </c>
      <c r="BD232" s="662" t="e">
        <f>INDEX('Vessel Gauging Data'!$B$26:$V$56,MATCH($C232,'Vessel Gauging Data'!$B$26:$B$56,0),$BD$198)</f>
        <v>#N/A</v>
      </c>
      <c r="BE232" s="662" t="e">
        <f>INDEX('Vessel Gauging Data'!$B$26:$V$56,MATCH($C232,'Vessel Gauging Data'!$B$26:$B$56,0),$BE$198)</f>
        <v>#N/A</v>
      </c>
    </row>
    <row r="233" spans="1:57" hidden="1">
      <c r="A233" s="641" t="str">
        <f t="shared" si="255"/>
        <v>N</v>
      </c>
      <c r="C233" s="235" t="str">
        <f t="shared" si="241"/>
        <v/>
      </c>
      <c r="D233" s="211" t="str">
        <f t="shared" si="241"/>
        <v/>
      </c>
      <c r="E233" s="1016" t="str">
        <f t="shared" si="240"/>
        <v/>
      </c>
      <c r="F233" s="1016" t="str">
        <f t="shared" si="242"/>
        <v/>
      </c>
      <c r="G233" s="1016" t="str">
        <f t="shared" si="243"/>
        <v/>
      </c>
      <c r="H233" s="1016" t="str">
        <f t="shared" si="243"/>
        <v/>
      </c>
      <c r="I233" s="211" t="str">
        <f t="shared" si="244"/>
        <v/>
      </c>
      <c r="J233" s="1016" t="str">
        <f t="shared" si="245"/>
        <v/>
      </c>
      <c r="K233" s="213" t="str">
        <f t="shared" si="246"/>
        <v/>
      </c>
      <c r="L233" s="212" t="str">
        <f t="shared" si="247"/>
        <v/>
      </c>
      <c r="M233" s="1125" t="str">
        <f>IF(OR($C233="",$C233=0),"",INDEX(API2DENST,MATCH($C233,'Vessel Gauging Data'!$B$27:$B$56,0),$AA$1))</f>
        <v/>
      </c>
      <c r="N233" s="212" t="str">
        <f t="shared" si="248"/>
        <v/>
      </c>
      <c r="O233" s="1016" t="str">
        <f t="shared" si="249"/>
        <v/>
      </c>
      <c r="P233" s="1125" t="str">
        <f t="shared" si="250"/>
        <v/>
      </c>
      <c r="Q233" s="1016" t="str">
        <f t="shared" si="251"/>
        <v/>
      </c>
      <c r="R233" s="214" t="str">
        <f t="shared" si="252"/>
        <v/>
      </c>
      <c r="S233" s="1125" t="str">
        <f t="shared" si="253"/>
        <v/>
      </c>
      <c r="T233" s="236" t="str">
        <f t="shared" si="254"/>
        <v/>
      </c>
      <c r="W233" s="642" t="e">
        <f>INDEX('Vessel Gauging Data'!$B$26:$V$56,MATCH($C233,'Vessel Gauging Data'!$B$26:$B$56,0),$W$198)</f>
        <v>#N/A</v>
      </c>
      <c r="X233" s="642" t="e">
        <f>INDEX('Vessel Gauging Data'!$B$26:$V$56,MATCH($C233,'Vessel Gauging Data'!$B$26:$B$56,0),$X$198)</f>
        <v>#N/A</v>
      </c>
      <c r="Y233" s="642" t="e">
        <f>INDEX('Vessel Gauging Data'!$B$26:$V$56,MATCH($C233,'Vessel Gauging Data'!$B$26:$B$56,0),$Y$198)</f>
        <v>#N/A</v>
      </c>
      <c r="Z233" s="642" t="e">
        <f>INDEX('Vessel Gauging Data'!$B$26:$V$56,MATCH($C233,'Vessel Gauging Data'!$B$26:$B$56,0),$Z$198)</f>
        <v>#N/A</v>
      </c>
      <c r="AB233" s="642" t="e">
        <f>INDEX(API2DENST,MATCH($C233,'Vessel Gauging Data'!$B$27:$B$56,0),1)</f>
        <v>#N/A</v>
      </c>
      <c r="AC233" s="642" t="e">
        <f t="shared" si="220"/>
        <v>#N/A</v>
      </c>
      <c r="AE233" s="661" t="e">
        <f t="shared" si="221"/>
        <v>#VALUE!</v>
      </c>
      <c r="AF233" s="661" t="e">
        <f t="shared" si="222"/>
        <v>#VALUE!</v>
      </c>
      <c r="AH233" s="662" t="str">
        <f t="shared" ref="AH233:AH268" si="256">N233</f>
        <v/>
      </c>
      <c r="AI233" s="662" t="str">
        <f t="shared" ref="AI233:AI268" si="257">M233</f>
        <v/>
      </c>
      <c r="AJ233" s="663">
        <f t="shared" si="223"/>
        <v>192.4571</v>
      </c>
      <c r="AK233" s="660">
        <f t="shared" si="224"/>
        <v>0.24379999999999999</v>
      </c>
      <c r="AL233" s="660" t="e">
        <f t="shared" si="225"/>
        <v>#VALUE!</v>
      </c>
      <c r="AM233" s="664" t="e">
        <f t="shared" si="226"/>
        <v>#VALUE!</v>
      </c>
      <c r="AN233" s="664" t="e">
        <f t="shared" si="227"/>
        <v>#VALUE!</v>
      </c>
      <c r="AO233" s="665" t="e">
        <f t="shared" si="228"/>
        <v>#VALUE!</v>
      </c>
      <c r="AP233" s="666" t="e">
        <f t="shared" si="229"/>
        <v>#VALUE!</v>
      </c>
      <c r="AQ233" s="660" t="e">
        <f t="shared" si="230"/>
        <v>#VALUE!</v>
      </c>
      <c r="AR233" s="667" t="e">
        <f t="shared" si="231"/>
        <v>#VALUE!</v>
      </c>
      <c r="AS233" s="667" t="e">
        <f t="shared" si="232"/>
        <v>#VALUE!</v>
      </c>
      <c r="AT233" s="668" t="e">
        <f t="shared" si="233"/>
        <v>#VALUE!</v>
      </c>
      <c r="AU233" s="667" t="e">
        <f t="shared" si="234"/>
        <v>#VALUE!</v>
      </c>
      <c r="AV233" s="669" t="e">
        <f t="shared" si="235"/>
        <v>#VALUE!</v>
      </c>
      <c r="AW233" s="667" t="e">
        <f t="shared" si="236"/>
        <v>#VALUE!</v>
      </c>
      <c r="AX233" s="667" t="e">
        <f t="shared" si="237"/>
        <v>#VALUE!</v>
      </c>
      <c r="AY233" s="660" t="e">
        <f t="shared" si="238"/>
        <v>#VALUE!</v>
      </c>
      <c r="AZ233" s="670" t="e">
        <f t="shared" si="239"/>
        <v>#VALUE!</v>
      </c>
      <c r="BB233" s="662" t="e">
        <f>INDEX('Vessel Gauging Data'!$B$26:$V$56,MATCH($C233,'Vessel Gauging Data'!$B$26:$B$56,0),$BB$198)</f>
        <v>#N/A</v>
      </c>
      <c r="BC233" s="662" t="e">
        <f>INDEX('Vessel Gauging Data'!$B$26:$V$56,MATCH($C233,'Vessel Gauging Data'!$B$26:$B$56,0),$BC$198)</f>
        <v>#N/A</v>
      </c>
      <c r="BD233" s="662" t="e">
        <f>INDEX('Vessel Gauging Data'!$B$26:$V$56,MATCH($C233,'Vessel Gauging Data'!$B$26:$B$56,0),$BD$198)</f>
        <v>#N/A</v>
      </c>
      <c r="BE233" s="662" t="e">
        <f>INDEX('Vessel Gauging Data'!$B$26:$V$56,MATCH($C233,'Vessel Gauging Data'!$B$26:$B$56,0),$BE$198)</f>
        <v>#N/A</v>
      </c>
    </row>
    <row r="234" spans="1:57" hidden="1">
      <c r="A234" s="641" t="str">
        <f t="shared" si="255"/>
        <v>N</v>
      </c>
      <c r="C234" s="235" t="str">
        <f t="shared" si="241"/>
        <v/>
      </c>
      <c r="D234" s="211" t="str">
        <f t="shared" si="241"/>
        <v/>
      </c>
      <c r="E234" s="1016" t="str">
        <f t="shared" si="240"/>
        <v/>
      </c>
      <c r="F234" s="1016" t="str">
        <f t="shared" si="242"/>
        <v/>
      </c>
      <c r="G234" s="1016" t="str">
        <f t="shared" si="243"/>
        <v/>
      </c>
      <c r="H234" s="1016" t="str">
        <f t="shared" si="243"/>
        <v/>
      </c>
      <c r="I234" s="211" t="str">
        <f t="shared" si="244"/>
        <v/>
      </c>
      <c r="J234" s="1016" t="str">
        <f t="shared" si="245"/>
        <v/>
      </c>
      <c r="K234" s="213" t="str">
        <f t="shared" si="246"/>
        <v/>
      </c>
      <c r="L234" s="212" t="str">
        <f t="shared" si="247"/>
        <v/>
      </c>
      <c r="M234" s="1125" t="str">
        <f>IF(OR($C234="",$C234=0),"",INDEX(API2DENST,MATCH($C234,'Vessel Gauging Data'!$B$27:$B$56,0),$AA$1))</f>
        <v/>
      </c>
      <c r="N234" s="212" t="str">
        <f t="shared" si="248"/>
        <v/>
      </c>
      <c r="O234" s="1016" t="str">
        <f t="shared" si="249"/>
        <v/>
      </c>
      <c r="P234" s="1125" t="str">
        <f t="shared" si="250"/>
        <v/>
      </c>
      <c r="Q234" s="1016" t="str">
        <f t="shared" si="251"/>
        <v/>
      </c>
      <c r="R234" s="214" t="str">
        <f t="shared" si="252"/>
        <v/>
      </c>
      <c r="S234" s="1125" t="str">
        <f t="shared" si="253"/>
        <v/>
      </c>
      <c r="T234" s="236" t="str">
        <f t="shared" si="254"/>
        <v/>
      </c>
      <c r="W234" s="642" t="e">
        <f>INDEX('Vessel Gauging Data'!$B$26:$V$56,MATCH($C234,'Vessel Gauging Data'!$B$26:$B$56,0),$W$198)</f>
        <v>#N/A</v>
      </c>
      <c r="X234" s="642" t="e">
        <f>INDEX('Vessel Gauging Data'!$B$26:$V$56,MATCH($C234,'Vessel Gauging Data'!$B$26:$B$56,0),$X$198)</f>
        <v>#N/A</v>
      </c>
      <c r="Y234" s="642" t="e">
        <f>INDEX('Vessel Gauging Data'!$B$26:$V$56,MATCH($C234,'Vessel Gauging Data'!$B$26:$B$56,0),$Y$198)</f>
        <v>#N/A</v>
      </c>
      <c r="Z234" s="642" t="e">
        <f>INDEX('Vessel Gauging Data'!$B$26:$V$56,MATCH($C234,'Vessel Gauging Data'!$B$26:$B$56,0),$Z$198)</f>
        <v>#N/A</v>
      </c>
      <c r="AB234" s="642" t="e">
        <f>INDEX(API2DENST,MATCH($C234,'Vessel Gauging Data'!$B$27:$B$56,0),1)</f>
        <v>#N/A</v>
      </c>
      <c r="AC234" s="642" t="e">
        <f t="shared" si="220"/>
        <v>#N/A</v>
      </c>
      <c r="AE234" s="661" t="e">
        <f t="shared" si="221"/>
        <v>#VALUE!</v>
      </c>
      <c r="AF234" s="661" t="e">
        <f t="shared" si="222"/>
        <v>#VALUE!</v>
      </c>
      <c r="AH234" s="662" t="str">
        <f t="shared" si="256"/>
        <v/>
      </c>
      <c r="AI234" s="662" t="str">
        <f t="shared" si="257"/>
        <v/>
      </c>
      <c r="AJ234" s="663">
        <f t="shared" si="223"/>
        <v>192.4571</v>
      </c>
      <c r="AK234" s="660">
        <f t="shared" si="224"/>
        <v>0.24379999999999999</v>
      </c>
      <c r="AL234" s="660" t="e">
        <f t="shared" si="225"/>
        <v>#VALUE!</v>
      </c>
      <c r="AM234" s="664" t="e">
        <f t="shared" si="226"/>
        <v>#VALUE!</v>
      </c>
      <c r="AN234" s="664" t="e">
        <f t="shared" si="227"/>
        <v>#VALUE!</v>
      </c>
      <c r="AO234" s="665" t="e">
        <f t="shared" si="228"/>
        <v>#VALUE!</v>
      </c>
      <c r="AP234" s="666" t="e">
        <f t="shared" si="229"/>
        <v>#VALUE!</v>
      </c>
      <c r="AQ234" s="660" t="e">
        <f t="shared" si="230"/>
        <v>#VALUE!</v>
      </c>
      <c r="AR234" s="667" t="e">
        <f t="shared" si="231"/>
        <v>#VALUE!</v>
      </c>
      <c r="AS234" s="667" t="e">
        <f t="shared" si="232"/>
        <v>#VALUE!</v>
      </c>
      <c r="AT234" s="668" t="e">
        <f t="shared" si="233"/>
        <v>#VALUE!</v>
      </c>
      <c r="AU234" s="667" t="e">
        <f t="shared" si="234"/>
        <v>#VALUE!</v>
      </c>
      <c r="AV234" s="669" t="e">
        <f t="shared" si="235"/>
        <v>#VALUE!</v>
      </c>
      <c r="AW234" s="667" t="e">
        <f t="shared" si="236"/>
        <v>#VALUE!</v>
      </c>
      <c r="AX234" s="667" t="e">
        <f t="shared" si="237"/>
        <v>#VALUE!</v>
      </c>
      <c r="AY234" s="660" t="e">
        <f t="shared" si="238"/>
        <v>#VALUE!</v>
      </c>
      <c r="AZ234" s="670" t="e">
        <f t="shared" si="239"/>
        <v>#VALUE!</v>
      </c>
      <c r="BB234" s="662" t="e">
        <f>INDEX('Vessel Gauging Data'!$B$26:$V$56,MATCH($C234,'Vessel Gauging Data'!$B$26:$B$56,0),$BB$198)</f>
        <v>#N/A</v>
      </c>
      <c r="BC234" s="662" t="e">
        <f>INDEX('Vessel Gauging Data'!$B$26:$V$56,MATCH($C234,'Vessel Gauging Data'!$B$26:$B$56,0),$BC$198)</f>
        <v>#N/A</v>
      </c>
      <c r="BD234" s="662" t="e">
        <f>INDEX('Vessel Gauging Data'!$B$26:$V$56,MATCH($C234,'Vessel Gauging Data'!$B$26:$B$56,0),$BD$198)</f>
        <v>#N/A</v>
      </c>
      <c r="BE234" s="662" t="e">
        <f>INDEX('Vessel Gauging Data'!$B$26:$V$56,MATCH($C234,'Vessel Gauging Data'!$B$26:$B$56,0),$BE$198)</f>
        <v>#N/A</v>
      </c>
    </row>
    <row r="235" spans="1:57" hidden="1">
      <c r="A235" s="641" t="str">
        <f t="shared" si="255"/>
        <v>N</v>
      </c>
      <c r="C235" s="235" t="str">
        <f t="shared" si="241"/>
        <v/>
      </c>
      <c r="D235" s="211" t="str">
        <f t="shared" si="241"/>
        <v/>
      </c>
      <c r="E235" s="1016" t="str">
        <f t="shared" si="240"/>
        <v/>
      </c>
      <c r="F235" s="1016" t="str">
        <f t="shared" si="242"/>
        <v/>
      </c>
      <c r="G235" s="1016" t="str">
        <f t="shared" si="243"/>
        <v/>
      </c>
      <c r="H235" s="1016" t="str">
        <f t="shared" si="243"/>
        <v/>
      </c>
      <c r="I235" s="211" t="str">
        <f t="shared" si="244"/>
        <v/>
      </c>
      <c r="J235" s="1016" t="str">
        <f t="shared" si="245"/>
        <v/>
      </c>
      <c r="K235" s="213" t="str">
        <f t="shared" si="246"/>
        <v/>
      </c>
      <c r="L235" s="212" t="str">
        <f t="shared" si="247"/>
        <v/>
      </c>
      <c r="M235" s="1125" t="str">
        <f>IF(OR($C235="",$C235=0),"",INDEX(API2DENST,MATCH($C235,'Vessel Gauging Data'!$B$27:$B$56,0),$AA$1))</f>
        <v/>
      </c>
      <c r="N235" s="212" t="str">
        <f t="shared" si="248"/>
        <v/>
      </c>
      <c r="O235" s="1016" t="str">
        <f t="shared" si="249"/>
        <v/>
      </c>
      <c r="P235" s="1125" t="str">
        <f t="shared" si="250"/>
        <v/>
      </c>
      <c r="Q235" s="1016" t="str">
        <f t="shared" si="251"/>
        <v/>
      </c>
      <c r="R235" s="214" t="str">
        <f t="shared" si="252"/>
        <v/>
      </c>
      <c r="S235" s="1125" t="str">
        <f t="shared" si="253"/>
        <v/>
      </c>
      <c r="T235" s="236" t="str">
        <f t="shared" si="254"/>
        <v/>
      </c>
      <c r="W235" s="642" t="e">
        <f>INDEX('Vessel Gauging Data'!$B$26:$V$56,MATCH($C235,'Vessel Gauging Data'!$B$26:$B$56,0),$W$198)</f>
        <v>#N/A</v>
      </c>
      <c r="X235" s="642" t="e">
        <f>INDEX('Vessel Gauging Data'!$B$26:$V$56,MATCH($C235,'Vessel Gauging Data'!$B$26:$B$56,0),$X$198)</f>
        <v>#N/A</v>
      </c>
      <c r="Y235" s="642" t="e">
        <f>INDEX('Vessel Gauging Data'!$B$26:$V$56,MATCH($C235,'Vessel Gauging Data'!$B$26:$B$56,0),$Y$198)</f>
        <v>#N/A</v>
      </c>
      <c r="Z235" s="642" t="e">
        <f>INDEX('Vessel Gauging Data'!$B$26:$V$56,MATCH($C235,'Vessel Gauging Data'!$B$26:$B$56,0),$Z$198)</f>
        <v>#N/A</v>
      </c>
      <c r="AB235" s="642" t="e">
        <f>INDEX(API2DENST,MATCH($C235,'Vessel Gauging Data'!$B$27:$B$56,0),1)</f>
        <v>#N/A</v>
      </c>
      <c r="AC235" s="642" t="e">
        <f t="shared" si="220"/>
        <v>#N/A</v>
      </c>
      <c r="AE235" s="661" t="e">
        <f t="shared" si="221"/>
        <v>#VALUE!</v>
      </c>
      <c r="AF235" s="661" t="e">
        <f t="shared" si="222"/>
        <v>#VALUE!</v>
      </c>
      <c r="AH235" s="662" t="str">
        <f t="shared" si="256"/>
        <v/>
      </c>
      <c r="AI235" s="662" t="str">
        <f t="shared" si="257"/>
        <v/>
      </c>
      <c r="AJ235" s="663">
        <f t="shared" si="223"/>
        <v>192.4571</v>
      </c>
      <c r="AK235" s="660">
        <f t="shared" si="224"/>
        <v>0.24379999999999999</v>
      </c>
      <c r="AL235" s="660" t="e">
        <f t="shared" si="225"/>
        <v>#VALUE!</v>
      </c>
      <c r="AM235" s="664" t="e">
        <f t="shared" si="226"/>
        <v>#VALUE!</v>
      </c>
      <c r="AN235" s="664" t="e">
        <f t="shared" si="227"/>
        <v>#VALUE!</v>
      </c>
      <c r="AO235" s="665" t="e">
        <f t="shared" si="228"/>
        <v>#VALUE!</v>
      </c>
      <c r="AP235" s="666" t="e">
        <f t="shared" si="229"/>
        <v>#VALUE!</v>
      </c>
      <c r="AQ235" s="660" t="e">
        <f t="shared" si="230"/>
        <v>#VALUE!</v>
      </c>
      <c r="AR235" s="667" t="e">
        <f t="shared" si="231"/>
        <v>#VALUE!</v>
      </c>
      <c r="AS235" s="667" t="e">
        <f t="shared" si="232"/>
        <v>#VALUE!</v>
      </c>
      <c r="AT235" s="668" t="e">
        <f t="shared" si="233"/>
        <v>#VALUE!</v>
      </c>
      <c r="AU235" s="667" t="e">
        <f t="shared" si="234"/>
        <v>#VALUE!</v>
      </c>
      <c r="AV235" s="669" t="e">
        <f t="shared" si="235"/>
        <v>#VALUE!</v>
      </c>
      <c r="AW235" s="667" t="e">
        <f t="shared" si="236"/>
        <v>#VALUE!</v>
      </c>
      <c r="AX235" s="667" t="e">
        <f t="shared" si="237"/>
        <v>#VALUE!</v>
      </c>
      <c r="AY235" s="660" t="e">
        <f t="shared" si="238"/>
        <v>#VALUE!</v>
      </c>
      <c r="AZ235" s="670" t="e">
        <f t="shared" si="239"/>
        <v>#VALUE!</v>
      </c>
      <c r="BB235" s="662" t="e">
        <f>INDEX('Vessel Gauging Data'!$B$26:$V$56,MATCH($C235,'Vessel Gauging Data'!$B$26:$B$56,0),$BB$198)</f>
        <v>#N/A</v>
      </c>
      <c r="BC235" s="662" t="e">
        <f>INDEX('Vessel Gauging Data'!$B$26:$V$56,MATCH($C235,'Vessel Gauging Data'!$B$26:$B$56,0),$BC$198)</f>
        <v>#N/A</v>
      </c>
      <c r="BD235" s="662" t="e">
        <f>INDEX('Vessel Gauging Data'!$B$26:$V$56,MATCH($C235,'Vessel Gauging Data'!$B$26:$B$56,0),$BD$198)</f>
        <v>#N/A</v>
      </c>
      <c r="BE235" s="662" t="e">
        <f>INDEX('Vessel Gauging Data'!$B$26:$V$56,MATCH($C235,'Vessel Gauging Data'!$B$26:$B$56,0),$BE$198)</f>
        <v>#N/A</v>
      </c>
    </row>
    <row r="236" spans="1:57" hidden="1">
      <c r="A236" s="641" t="str">
        <f t="shared" si="255"/>
        <v>N</v>
      </c>
      <c r="C236" s="235" t="str">
        <f t="shared" si="241"/>
        <v/>
      </c>
      <c r="D236" s="211" t="str">
        <f t="shared" si="241"/>
        <v/>
      </c>
      <c r="E236" s="1016" t="str">
        <f t="shared" si="240"/>
        <v/>
      </c>
      <c r="F236" s="1016" t="str">
        <f t="shared" si="242"/>
        <v/>
      </c>
      <c r="G236" s="1016" t="str">
        <f t="shared" si="243"/>
        <v/>
      </c>
      <c r="H236" s="1016" t="str">
        <f t="shared" si="243"/>
        <v/>
      </c>
      <c r="I236" s="211" t="str">
        <f t="shared" si="244"/>
        <v/>
      </c>
      <c r="J236" s="1016" t="str">
        <f t="shared" si="245"/>
        <v/>
      </c>
      <c r="K236" s="213" t="str">
        <f t="shared" si="246"/>
        <v/>
      </c>
      <c r="L236" s="212" t="str">
        <f t="shared" si="247"/>
        <v/>
      </c>
      <c r="M236" s="1125" t="str">
        <f>IF(OR($C236="",$C236=0),"",INDEX(API2DENST,MATCH($C236,'Vessel Gauging Data'!$B$27:$B$56,0),$AA$1))</f>
        <v/>
      </c>
      <c r="N236" s="212" t="str">
        <f t="shared" si="248"/>
        <v/>
      </c>
      <c r="O236" s="1016" t="str">
        <f t="shared" si="249"/>
        <v/>
      </c>
      <c r="P236" s="1125" t="str">
        <f t="shared" si="250"/>
        <v/>
      </c>
      <c r="Q236" s="1016" t="str">
        <f t="shared" si="251"/>
        <v/>
      </c>
      <c r="R236" s="214" t="str">
        <f t="shared" si="252"/>
        <v/>
      </c>
      <c r="S236" s="1125" t="str">
        <f t="shared" si="253"/>
        <v/>
      </c>
      <c r="T236" s="236" t="str">
        <f t="shared" si="254"/>
        <v/>
      </c>
      <c r="W236" s="642" t="e">
        <f>INDEX('Vessel Gauging Data'!$B$26:$V$56,MATCH($C236,'Vessel Gauging Data'!$B$26:$B$56,0),$W$198)</f>
        <v>#N/A</v>
      </c>
      <c r="X236" s="642" t="e">
        <f>INDEX('Vessel Gauging Data'!$B$26:$V$56,MATCH($C236,'Vessel Gauging Data'!$B$26:$B$56,0),$X$198)</f>
        <v>#N/A</v>
      </c>
      <c r="Y236" s="642" t="e">
        <f>INDEX('Vessel Gauging Data'!$B$26:$V$56,MATCH($C236,'Vessel Gauging Data'!$B$26:$B$56,0),$Y$198)</f>
        <v>#N/A</v>
      </c>
      <c r="Z236" s="642" t="e">
        <f>INDEX('Vessel Gauging Data'!$B$26:$V$56,MATCH($C236,'Vessel Gauging Data'!$B$26:$B$56,0),$Z$198)</f>
        <v>#N/A</v>
      </c>
      <c r="AB236" s="642" t="e">
        <f>INDEX(API2DENST,MATCH($C236,'Vessel Gauging Data'!$B$27:$B$56,0),1)</f>
        <v>#N/A</v>
      </c>
      <c r="AC236" s="642" t="e">
        <f t="shared" si="220"/>
        <v>#N/A</v>
      </c>
      <c r="AE236" s="661" t="e">
        <f t="shared" si="221"/>
        <v>#VALUE!</v>
      </c>
      <c r="AF236" s="661" t="e">
        <f t="shared" si="222"/>
        <v>#VALUE!</v>
      </c>
      <c r="AH236" s="662" t="str">
        <f t="shared" si="256"/>
        <v/>
      </c>
      <c r="AI236" s="662" t="str">
        <f t="shared" si="257"/>
        <v/>
      </c>
      <c r="AJ236" s="663">
        <f t="shared" si="223"/>
        <v>192.4571</v>
      </c>
      <c r="AK236" s="660">
        <f t="shared" si="224"/>
        <v>0.24379999999999999</v>
      </c>
      <c r="AL236" s="660" t="e">
        <f t="shared" si="225"/>
        <v>#VALUE!</v>
      </c>
      <c r="AM236" s="664" t="e">
        <f t="shared" si="226"/>
        <v>#VALUE!</v>
      </c>
      <c r="AN236" s="664" t="e">
        <f t="shared" si="227"/>
        <v>#VALUE!</v>
      </c>
      <c r="AO236" s="665" t="e">
        <f t="shared" si="228"/>
        <v>#VALUE!</v>
      </c>
      <c r="AP236" s="666" t="e">
        <f t="shared" si="229"/>
        <v>#VALUE!</v>
      </c>
      <c r="AQ236" s="660" t="e">
        <f t="shared" si="230"/>
        <v>#VALUE!</v>
      </c>
      <c r="AR236" s="667" t="e">
        <f t="shared" si="231"/>
        <v>#VALUE!</v>
      </c>
      <c r="AS236" s="667" t="e">
        <f t="shared" si="232"/>
        <v>#VALUE!</v>
      </c>
      <c r="AT236" s="668" t="e">
        <f t="shared" si="233"/>
        <v>#VALUE!</v>
      </c>
      <c r="AU236" s="667" t="e">
        <f t="shared" si="234"/>
        <v>#VALUE!</v>
      </c>
      <c r="AV236" s="669" t="e">
        <f t="shared" si="235"/>
        <v>#VALUE!</v>
      </c>
      <c r="AW236" s="667" t="e">
        <f t="shared" si="236"/>
        <v>#VALUE!</v>
      </c>
      <c r="AX236" s="667" t="e">
        <f t="shared" si="237"/>
        <v>#VALUE!</v>
      </c>
      <c r="AY236" s="660" t="e">
        <f t="shared" si="238"/>
        <v>#VALUE!</v>
      </c>
      <c r="AZ236" s="670" t="e">
        <f t="shared" si="239"/>
        <v>#VALUE!</v>
      </c>
      <c r="BB236" s="662" t="e">
        <f>INDEX('Vessel Gauging Data'!$B$26:$V$56,MATCH($C236,'Vessel Gauging Data'!$B$26:$B$56,0),$BB$198)</f>
        <v>#N/A</v>
      </c>
      <c r="BC236" s="662" t="e">
        <f>INDEX('Vessel Gauging Data'!$B$26:$V$56,MATCH($C236,'Vessel Gauging Data'!$B$26:$B$56,0),$BC$198)</f>
        <v>#N/A</v>
      </c>
      <c r="BD236" s="662" t="e">
        <f>INDEX('Vessel Gauging Data'!$B$26:$V$56,MATCH($C236,'Vessel Gauging Data'!$B$26:$B$56,0),$BD$198)</f>
        <v>#N/A</v>
      </c>
      <c r="BE236" s="662" t="e">
        <f>INDEX('Vessel Gauging Data'!$B$26:$V$56,MATCH($C236,'Vessel Gauging Data'!$B$26:$B$56,0),$BE$198)</f>
        <v>#N/A</v>
      </c>
    </row>
    <row r="237" spans="1:57" hidden="1">
      <c r="A237" s="641" t="str">
        <f t="shared" si="255"/>
        <v>N</v>
      </c>
      <c r="C237" s="235" t="str">
        <f t="shared" si="241"/>
        <v/>
      </c>
      <c r="D237" s="211" t="str">
        <f t="shared" si="241"/>
        <v/>
      </c>
      <c r="E237" s="1016" t="str">
        <f t="shared" si="240"/>
        <v/>
      </c>
      <c r="F237" s="1016" t="str">
        <f t="shared" si="242"/>
        <v/>
      </c>
      <c r="G237" s="1016" t="str">
        <f t="shared" si="243"/>
        <v/>
      </c>
      <c r="H237" s="1016" t="str">
        <f t="shared" si="243"/>
        <v/>
      </c>
      <c r="I237" s="211" t="str">
        <f t="shared" si="244"/>
        <v/>
      </c>
      <c r="J237" s="1016" t="str">
        <f t="shared" si="245"/>
        <v/>
      </c>
      <c r="K237" s="213" t="str">
        <f t="shared" si="246"/>
        <v/>
      </c>
      <c r="L237" s="212" t="str">
        <f t="shared" si="247"/>
        <v/>
      </c>
      <c r="M237" s="1125" t="str">
        <f>IF(OR($C237="",$C237=0),"",INDEX(API2DENST,MATCH($C237,'Vessel Gauging Data'!$B$27:$B$56,0),$AA$1))</f>
        <v/>
      </c>
      <c r="N237" s="212" t="str">
        <f t="shared" si="248"/>
        <v/>
      </c>
      <c r="O237" s="1016" t="str">
        <f t="shared" si="249"/>
        <v/>
      </c>
      <c r="P237" s="1125" t="str">
        <f t="shared" si="250"/>
        <v/>
      </c>
      <c r="Q237" s="1016" t="str">
        <f t="shared" si="251"/>
        <v/>
      </c>
      <c r="R237" s="214" t="str">
        <f t="shared" si="252"/>
        <v/>
      </c>
      <c r="S237" s="1125" t="str">
        <f t="shared" si="253"/>
        <v/>
      </c>
      <c r="T237" s="236" t="str">
        <f t="shared" si="254"/>
        <v/>
      </c>
      <c r="W237" s="642" t="e">
        <f>INDEX('Vessel Gauging Data'!$B$26:$V$56,MATCH($C237,'Vessel Gauging Data'!$B$26:$B$56,0),$W$198)</f>
        <v>#N/A</v>
      </c>
      <c r="X237" s="642" t="e">
        <f>INDEX('Vessel Gauging Data'!$B$26:$V$56,MATCH($C237,'Vessel Gauging Data'!$B$26:$B$56,0),$X$198)</f>
        <v>#N/A</v>
      </c>
      <c r="Y237" s="642" t="e">
        <f>INDEX('Vessel Gauging Data'!$B$26:$V$56,MATCH($C237,'Vessel Gauging Data'!$B$26:$B$56,0),$Y$198)</f>
        <v>#N/A</v>
      </c>
      <c r="Z237" s="642" t="e">
        <f>INDEX('Vessel Gauging Data'!$B$26:$V$56,MATCH($C237,'Vessel Gauging Data'!$B$26:$B$56,0),$Z$198)</f>
        <v>#N/A</v>
      </c>
      <c r="AB237" s="642" t="e">
        <f>INDEX(API2DENST,MATCH($C237,'Vessel Gauging Data'!$B$27:$B$56,0),1)</f>
        <v>#N/A</v>
      </c>
      <c r="AC237" s="642" t="e">
        <f t="shared" si="220"/>
        <v>#N/A</v>
      </c>
      <c r="AE237" s="661" t="e">
        <f t="shared" si="221"/>
        <v>#VALUE!</v>
      </c>
      <c r="AF237" s="661" t="e">
        <f t="shared" si="222"/>
        <v>#VALUE!</v>
      </c>
      <c r="AH237" s="662" t="str">
        <f t="shared" si="256"/>
        <v/>
      </c>
      <c r="AI237" s="662" t="str">
        <f t="shared" si="257"/>
        <v/>
      </c>
      <c r="AJ237" s="663">
        <f t="shared" si="223"/>
        <v>192.4571</v>
      </c>
      <c r="AK237" s="660">
        <f t="shared" si="224"/>
        <v>0.24379999999999999</v>
      </c>
      <c r="AL237" s="660" t="e">
        <f t="shared" si="225"/>
        <v>#VALUE!</v>
      </c>
      <c r="AM237" s="664" t="e">
        <f t="shared" si="226"/>
        <v>#VALUE!</v>
      </c>
      <c r="AN237" s="664" t="e">
        <f t="shared" si="227"/>
        <v>#VALUE!</v>
      </c>
      <c r="AO237" s="665" t="e">
        <f t="shared" si="228"/>
        <v>#VALUE!</v>
      </c>
      <c r="AP237" s="666" t="e">
        <f t="shared" si="229"/>
        <v>#VALUE!</v>
      </c>
      <c r="AQ237" s="660" t="e">
        <f t="shared" si="230"/>
        <v>#VALUE!</v>
      </c>
      <c r="AR237" s="667" t="e">
        <f t="shared" si="231"/>
        <v>#VALUE!</v>
      </c>
      <c r="AS237" s="667" t="e">
        <f t="shared" si="232"/>
        <v>#VALUE!</v>
      </c>
      <c r="AT237" s="668" t="e">
        <f t="shared" si="233"/>
        <v>#VALUE!</v>
      </c>
      <c r="AU237" s="667" t="e">
        <f t="shared" si="234"/>
        <v>#VALUE!</v>
      </c>
      <c r="AV237" s="669" t="e">
        <f t="shared" si="235"/>
        <v>#VALUE!</v>
      </c>
      <c r="AW237" s="667" t="e">
        <f t="shared" si="236"/>
        <v>#VALUE!</v>
      </c>
      <c r="AX237" s="667" t="e">
        <f t="shared" si="237"/>
        <v>#VALUE!</v>
      </c>
      <c r="AY237" s="660" t="e">
        <f t="shared" si="238"/>
        <v>#VALUE!</v>
      </c>
      <c r="AZ237" s="670" t="e">
        <f t="shared" si="239"/>
        <v>#VALUE!</v>
      </c>
      <c r="BB237" s="662" t="e">
        <f>INDEX('Vessel Gauging Data'!$B$26:$V$56,MATCH($C237,'Vessel Gauging Data'!$B$26:$B$56,0),$BB$198)</f>
        <v>#N/A</v>
      </c>
      <c r="BC237" s="662" t="e">
        <f>INDEX('Vessel Gauging Data'!$B$26:$V$56,MATCH($C237,'Vessel Gauging Data'!$B$26:$B$56,0),$BC$198)</f>
        <v>#N/A</v>
      </c>
      <c r="BD237" s="662" t="e">
        <f>INDEX('Vessel Gauging Data'!$B$26:$V$56,MATCH($C237,'Vessel Gauging Data'!$B$26:$B$56,0),$BD$198)</f>
        <v>#N/A</v>
      </c>
      <c r="BE237" s="662" t="e">
        <f>INDEX('Vessel Gauging Data'!$B$26:$V$56,MATCH($C237,'Vessel Gauging Data'!$B$26:$B$56,0),$BE$198)</f>
        <v>#N/A</v>
      </c>
    </row>
    <row r="238" spans="1:57" hidden="1">
      <c r="A238" s="641" t="str">
        <f t="shared" si="255"/>
        <v>N</v>
      </c>
      <c r="C238" s="235" t="str">
        <f t="shared" si="241"/>
        <v/>
      </c>
      <c r="D238" s="211" t="str">
        <f t="shared" si="241"/>
        <v/>
      </c>
      <c r="E238" s="1016" t="str">
        <f t="shared" si="240"/>
        <v/>
      </c>
      <c r="F238" s="1016" t="str">
        <f t="shared" si="242"/>
        <v/>
      </c>
      <c r="G238" s="1016" t="str">
        <f t="shared" si="243"/>
        <v/>
      </c>
      <c r="H238" s="1016" t="str">
        <f t="shared" si="243"/>
        <v/>
      </c>
      <c r="I238" s="211" t="str">
        <f t="shared" si="244"/>
        <v/>
      </c>
      <c r="J238" s="1016" t="str">
        <f t="shared" si="245"/>
        <v/>
      </c>
      <c r="K238" s="213" t="str">
        <f t="shared" si="246"/>
        <v/>
      </c>
      <c r="L238" s="212" t="str">
        <f t="shared" si="247"/>
        <v/>
      </c>
      <c r="M238" s="1125" t="str">
        <f>IF(OR($C238="",$C238=0),"",INDEX(API2DENST,MATCH($C238,'Vessel Gauging Data'!$B$27:$B$56,0),$AA$1))</f>
        <v/>
      </c>
      <c r="N238" s="212" t="str">
        <f t="shared" si="248"/>
        <v/>
      </c>
      <c r="O238" s="1016" t="str">
        <f t="shared" si="249"/>
        <v/>
      </c>
      <c r="P238" s="1125" t="str">
        <f t="shared" si="250"/>
        <v/>
      </c>
      <c r="Q238" s="1016" t="str">
        <f t="shared" si="251"/>
        <v/>
      </c>
      <c r="R238" s="214" t="str">
        <f t="shared" si="252"/>
        <v/>
      </c>
      <c r="S238" s="1125" t="str">
        <f t="shared" si="253"/>
        <v/>
      </c>
      <c r="T238" s="236" t="str">
        <f t="shared" si="254"/>
        <v/>
      </c>
      <c r="W238" s="642" t="e">
        <f>INDEX('Vessel Gauging Data'!$B$26:$V$56,MATCH($C238,'Vessel Gauging Data'!$B$26:$B$56,0),$W$198)</f>
        <v>#N/A</v>
      </c>
      <c r="X238" s="642" t="e">
        <f>INDEX('Vessel Gauging Data'!$B$26:$V$56,MATCH($C238,'Vessel Gauging Data'!$B$26:$B$56,0),$X$198)</f>
        <v>#N/A</v>
      </c>
      <c r="Y238" s="642" t="e">
        <f>INDEX('Vessel Gauging Data'!$B$26:$V$56,MATCH($C238,'Vessel Gauging Data'!$B$26:$B$56,0),$Y$198)</f>
        <v>#N/A</v>
      </c>
      <c r="Z238" s="642" t="e">
        <f>INDEX('Vessel Gauging Data'!$B$26:$V$56,MATCH($C238,'Vessel Gauging Data'!$B$26:$B$56,0),$Z$198)</f>
        <v>#N/A</v>
      </c>
      <c r="AB238" s="642" t="e">
        <f>INDEX(API2DENST,MATCH($C238,'Vessel Gauging Data'!$B$27:$B$56,0),1)</f>
        <v>#N/A</v>
      </c>
      <c r="AC238" s="642" t="e">
        <f t="shared" si="220"/>
        <v>#N/A</v>
      </c>
      <c r="AE238" s="661" t="e">
        <f t="shared" si="221"/>
        <v>#VALUE!</v>
      </c>
      <c r="AF238" s="661" t="e">
        <f t="shared" si="222"/>
        <v>#VALUE!</v>
      </c>
      <c r="AH238" s="662" t="str">
        <f t="shared" si="256"/>
        <v/>
      </c>
      <c r="AI238" s="662" t="str">
        <f t="shared" si="257"/>
        <v/>
      </c>
      <c r="AJ238" s="663">
        <f t="shared" si="223"/>
        <v>192.4571</v>
      </c>
      <c r="AK238" s="660">
        <f t="shared" si="224"/>
        <v>0.24379999999999999</v>
      </c>
      <c r="AL238" s="660" t="e">
        <f t="shared" si="225"/>
        <v>#VALUE!</v>
      </c>
      <c r="AM238" s="664" t="e">
        <f t="shared" si="226"/>
        <v>#VALUE!</v>
      </c>
      <c r="AN238" s="664" t="e">
        <f t="shared" si="227"/>
        <v>#VALUE!</v>
      </c>
      <c r="AO238" s="665" t="e">
        <f t="shared" si="228"/>
        <v>#VALUE!</v>
      </c>
      <c r="AP238" s="666" t="e">
        <f t="shared" si="229"/>
        <v>#VALUE!</v>
      </c>
      <c r="AQ238" s="660" t="e">
        <f t="shared" si="230"/>
        <v>#VALUE!</v>
      </c>
      <c r="AR238" s="667" t="e">
        <f t="shared" si="231"/>
        <v>#VALUE!</v>
      </c>
      <c r="AS238" s="667" t="e">
        <f t="shared" si="232"/>
        <v>#VALUE!</v>
      </c>
      <c r="AT238" s="668" t="e">
        <f t="shared" si="233"/>
        <v>#VALUE!</v>
      </c>
      <c r="AU238" s="667" t="e">
        <f t="shared" si="234"/>
        <v>#VALUE!</v>
      </c>
      <c r="AV238" s="669" t="e">
        <f t="shared" si="235"/>
        <v>#VALUE!</v>
      </c>
      <c r="AW238" s="667" t="e">
        <f t="shared" si="236"/>
        <v>#VALUE!</v>
      </c>
      <c r="AX238" s="667" t="e">
        <f t="shared" si="237"/>
        <v>#VALUE!</v>
      </c>
      <c r="AY238" s="660" t="e">
        <f t="shared" si="238"/>
        <v>#VALUE!</v>
      </c>
      <c r="AZ238" s="670" t="e">
        <f t="shared" si="239"/>
        <v>#VALUE!</v>
      </c>
      <c r="BB238" s="662" t="e">
        <f>INDEX('Vessel Gauging Data'!$B$26:$V$56,MATCH($C238,'Vessel Gauging Data'!$B$26:$B$56,0),$BB$198)</f>
        <v>#N/A</v>
      </c>
      <c r="BC238" s="662" t="e">
        <f>INDEX('Vessel Gauging Data'!$B$26:$V$56,MATCH($C238,'Vessel Gauging Data'!$B$26:$B$56,0),$BC$198)</f>
        <v>#N/A</v>
      </c>
      <c r="BD238" s="662" t="e">
        <f>INDEX('Vessel Gauging Data'!$B$26:$V$56,MATCH($C238,'Vessel Gauging Data'!$B$26:$B$56,0),$BD$198)</f>
        <v>#N/A</v>
      </c>
      <c r="BE238" s="662" t="e">
        <f>INDEX('Vessel Gauging Data'!$B$26:$V$56,MATCH($C238,'Vessel Gauging Data'!$B$26:$B$56,0),$BE$198)</f>
        <v>#N/A</v>
      </c>
    </row>
    <row r="239" spans="1:57" hidden="1">
      <c r="A239" s="641" t="str">
        <f t="shared" si="255"/>
        <v>N</v>
      </c>
      <c r="C239" s="235" t="str">
        <f t="shared" si="241"/>
        <v/>
      </c>
      <c r="D239" s="211" t="str">
        <f t="shared" si="241"/>
        <v/>
      </c>
      <c r="E239" s="1016" t="str">
        <f t="shared" si="240"/>
        <v/>
      </c>
      <c r="F239" s="1016" t="str">
        <f t="shared" si="242"/>
        <v/>
      </c>
      <c r="G239" s="1016" t="str">
        <f t="shared" si="243"/>
        <v/>
      </c>
      <c r="H239" s="1016" t="str">
        <f t="shared" si="243"/>
        <v/>
      </c>
      <c r="I239" s="211" t="str">
        <f t="shared" si="244"/>
        <v/>
      </c>
      <c r="J239" s="1016" t="str">
        <f t="shared" si="245"/>
        <v/>
      </c>
      <c r="K239" s="213" t="str">
        <f t="shared" si="246"/>
        <v/>
      </c>
      <c r="L239" s="212" t="str">
        <f t="shared" si="247"/>
        <v/>
      </c>
      <c r="M239" s="1125" t="str">
        <f>IF(OR($C239="",$C239=0),"",INDEX(API2DENST,MATCH($C239,'Vessel Gauging Data'!$B$27:$B$56,0),$AA$1))</f>
        <v/>
      </c>
      <c r="N239" s="212" t="str">
        <f t="shared" si="248"/>
        <v/>
      </c>
      <c r="O239" s="1016" t="str">
        <f t="shared" si="249"/>
        <v/>
      </c>
      <c r="P239" s="1125" t="str">
        <f t="shared" si="250"/>
        <v/>
      </c>
      <c r="Q239" s="1016" t="str">
        <f t="shared" si="251"/>
        <v/>
      </c>
      <c r="R239" s="214" t="str">
        <f t="shared" si="252"/>
        <v/>
      </c>
      <c r="S239" s="1125" t="str">
        <f t="shared" si="253"/>
        <v/>
      </c>
      <c r="T239" s="236" t="str">
        <f t="shared" si="254"/>
        <v/>
      </c>
      <c r="W239" s="642" t="e">
        <f>INDEX('Vessel Gauging Data'!$B$26:$V$56,MATCH($C239,'Vessel Gauging Data'!$B$26:$B$56,0),$W$198)</f>
        <v>#N/A</v>
      </c>
      <c r="X239" s="642" t="e">
        <f>INDEX('Vessel Gauging Data'!$B$26:$V$56,MATCH($C239,'Vessel Gauging Data'!$B$26:$B$56,0),$X$198)</f>
        <v>#N/A</v>
      </c>
      <c r="Y239" s="642" t="e">
        <f>INDEX('Vessel Gauging Data'!$B$26:$V$56,MATCH($C239,'Vessel Gauging Data'!$B$26:$B$56,0),$Y$198)</f>
        <v>#N/A</v>
      </c>
      <c r="Z239" s="642" t="e">
        <f>INDEX('Vessel Gauging Data'!$B$26:$V$56,MATCH($C239,'Vessel Gauging Data'!$B$26:$B$56,0),$Z$198)</f>
        <v>#N/A</v>
      </c>
      <c r="AB239" s="642" t="e">
        <f>INDEX(API2DENST,MATCH($C239,'Vessel Gauging Data'!$B$27:$B$56,0),1)</f>
        <v>#N/A</v>
      </c>
      <c r="AC239" s="642" t="e">
        <f t="shared" si="220"/>
        <v>#N/A</v>
      </c>
      <c r="AE239" s="661" t="e">
        <f t="shared" si="221"/>
        <v>#VALUE!</v>
      </c>
      <c r="AF239" s="661" t="e">
        <f t="shared" si="222"/>
        <v>#VALUE!</v>
      </c>
      <c r="AH239" s="662" t="str">
        <f t="shared" si="256"/>
        <v/>
      </c>
      <c r="AI239" s="662" t="str">
        <f t="shared" si="257"/>
        <v/>
      </c>
      <c r="AJ239" s="663">
        <f t="shared" si="223"/>
        <v>192.4571</v>
      </c>
      <c r="AK239" s="660">
        <f t="shared" si="224"/>
        <v>0.24379999999999999</v>
      </c>
      <c r="AL239" s="660" t="e">
        <f t="shared" si="225"/>
        <v>#VALUE!</v>
      </c>
      <c r="AM239" s="664" t="e">
        <f t="shared" si="226"/>
        <v>#VALUE!</v>
      </c>
      <c r="AN239" s="664" t="e">
        <f t="shared" si="227"/>
        <v>#VALUE!</v>
      </c>
      <c r="AO239" s="665" t="e">
        <f t="shared" si="228"/>
        <v>#VALUE!</v>
      </c>
      <c r="AP239" s="666" t="e">
        <f t="shared" si="229"/>
        <v>#VALUE!</v>
      </c>
      <c r="AQ239" s="660" t="e">
        <f t="shared" si="230"/>
        <v>#VALUE!</v>
      </c>
      <c r="AR239" s="667" t="e">
        <f t="shared" si="231"/>
        <v>#VALUE!</v>
      </c>
      <c r="AS239" s="667" t="e">
        <f t="shared" si="232"/>
        <v>#VALUE!</v>
      </c>
      <c r="AT239" s="668" t="e">
        <f t="shared" si="233"/>
        <v>#VALUE!</v>
      </c>
      <c r="AU239" s="667" t="e">
        <f t="shared" si="234"/>
        <v>#VALUE!</v>
      </c>
      <c r="AV239" s="669" t="e">
        <f t="shared" si="235"/>
        <v>#VALUE!</v>
      </c>
      <c r="AW239" s="667" t="e">
        <f t="shared" si="236"/>
        <v>#VALUE!</v>
      </c>
      <c r="AX239" s="667" t="e">
        <f t="shared" si="237"/>
        <v>#VALUE!</v>
      </c>
      <c r="AY239" s="660" t="e">
        <f t="shared" si="238"/>
        <v>#VALUE!</v>
      </c>
      <c r="AZ239" s="670" t="e">
        <f t="shared" si="239"/>
        <v>#VALUE!</v>
      </c>
      <c r="BB239" s="662" t="e">
        <f>INDEX('Vessel Gauging Data'!$B$26:$V$56,MATCH($C239,'Vessel Gauging Data'!$B$26:$B$56,0),$BB$198)</f>
        <v>#N/A</v>
      </c>
      <c r="BC239" s="662" t="e">
        <f>INDEX('Vessel Gauging Data'!$B$26:$V$56,MATCH($C239,'Vessel Gauging Data'!$B$26:$B$56,0),$BC$198)</f>
        <v>#N/A</v>
      </c>
      <c r="BD239" s="662" t="e">
        <f>INDEX('Vessel Gauging Data'!$B$26:$V$56,MATCH($C239,'Vessel Gauging Data'!$B$26:$B$56,0),$BD$198)</f>
        <v>#N/A</v>
      </c>
      <c r="BE239" s="662" t="e">
        <f>INDEX('Vessel Gauging Data'!$B$26:$V$56,MATCH($C239,'Vessel Gauging Data'!$B$26:$B$56,0),$BE$198)</f>
        <v>#N/A</v>
      </c>
    </row>
    <row r="240" spans="1:57" hidden="1">
      <c r="A240" s="641" t="str">
        <f t="shared" si="255"/>
        <v>N</v>
      </c>
      <c r="C240" s="235" t="str">
        <f t="shared" si="241"/>
        <v/>
      </c>
      <c r="D240" s="211" t="str">
        <f t="shared" si="241"/>
        <v/>
      </c>
      <c r="E240" s="1016" t="str">
        <f t="shared" si="240"/>
        <v/>
      </c>
      <c r="F240" s="1016" t="str">
        <f t="shared" si="242"/>
        <v/>
      </c>
      <c r="G240" s="1016" t="str">
        <f t="shared" si="243"/>
        <v/>
      </c>
      <c r="H240" s="1016" t="str">
        <f t="shared" si="243"/>
        <v/>
      </c>
      <c r="I240" s="211" t="str">
        <f t="shared" si="244"/>
        <v/>
      </c>
      <c r="J240" s="1016" t="str">
        <f t="shared" si="245"/>
        <v/>
      </c>
      <c r="K240" s="213" t="str">
        <f t="shared" si="246"/>
        <v/>
      </c>
      <c r="L240" s="212" t="str">
        <f t="shared" si="247"/>
        <v/>
      </c>
      <c r="M240" s="1125" t="str">
        <f>IF(OR($C240="",$C240=0),"",INDEX(API2DENST,MATCH($C240,'Vessel Gauging Data'!$B$27:$B$56,0),$AA$1))</f>
        <v/>
      </c>
      <c r="N240" s="212" t="str">
        <f t="shared" si="248"/>
        <v/>
      </c>
      <c r="O240" s="1016" t="str">
        <f t="shared" si="249"/>
        <v/>
      </c>
      <c r="P240" s="1125" t="str">
        <f t="shared" si="250"/>
        <v/>
      </c>
      <c r="Q240" s="1016" t="str">
        <f t="shared" si="251"/>
        <v/>
      </c>
      <c r="R240" s="214" t="str">
        <f t="shared" si="252"/>
        <v/>
      </c>
      <c r="S240" s="1125" t="str">
        <f t="shared" si="253"/>
        <v/>
      </c>
      <c r="T240" s="236" t="str">
        <f t="shared" si="254"/>
        <v/>
      </c>
      <c r="W240" s="642" t="e">
        <f>INDEX('Vessel Gauging Data'!$B$26:$V$56,MATCH($C240,'Vessel Gauging Data'!$B$26:$B$56,0),$W$198)</f>
        <v>#N/A</v>
      </c>
      <c r="X240" s="642" t="e">
        <f>INDEX('Vessel Gauging Data'!$B$26:$V$56,MATCH($C240,'Vessel Gauging Data'!$B$26:$B$56,0),$X$198)</f>
        <v>#N/A</v>
      </c>
      <c r="Y240" s="642" t="e">
        <f>INDEX('Vessel Gauging Data'!$B$26:$V$56,MATCH($C240,'Vessel Gauging Data'!$B$26:$B$56,0),$Y$198)</f>
        <v>#N/A</v>
      </c>
      <c r="Z240" s="642" t="e">
        <f>INDEX('Vessel Gauging Data'!$B$26:$V$56,MATCH($C240,'Vessel Gauging Data'!$B$26:$B$56,0),$Z$198)</f>
        <v>#N/A</v>
      </c>
      <c r="AB240" s="642" t="e">
        <f>INDEX(API2DENST,MATCH($C240,'Vessel Gauging Data'!$B$27:$B$56,0),1)</f>
        <v>#N/A</v>
      </c>
      <c r="AC240" s="642" t="e">
        <f t="shared" si="220"/>
        <v>#N/A</v>
      </c>
      <c r="AE240" s="661" t="e">
        <f t="shared" si="221"/>
        <v>#VALUE!</v>
      </c>
      <c r="AF240" s="661" t="e">
        <f t="shared" si="222"/>
        <v>#VALUE!</v>
      </c>
      <c r="AH240" s="662" t="str">
        <f t="shared" si="256"/>
        <v/>
      </c>
      <c r="AI240" s="662" t="str">
        <f t="shared" si="257"/>
        <v/>
      </c>
      <c r="AJ240" s="663">
        <f t="shared" si="223"/>
        <v>192.4571</v>
      </c>
      <c r="AK240" s="660">
        <f t="shared" si="224"/>
        <v>0.24379999999999999</v>
      </c>
      <c r="AL240" s="660" t="e">
        <f t="shared" si="225"/>
        <v>#VALUE!</v>
      </c>
      <c r="AM240" s="664" t="e">
        <f t="shared" si="226"/>
        <v>#VALUE!</v>
      </c>
      <c r="AN240" s="664" t="e">
        <f t="shared" si="227"/>
        <v>#VALUE!</v>
      </c>
      <c r="AO240" s="665" t="e">
        <f t="shared" si="228"/>
        <v>#VALUE!</v>
      </c>
      <c r="AP240" s="666" t="e">
        <f t="shared" si="229"/>
        <v>#VALUE!</v>
      </c>
      <c r="AQ240" s="660" t="e">
        <f t="shared" si="230"/>
        <v>#VALUE!</v>
      </c>
      <c r="AR240" s="667" t="e">
        <f t="shared" si="231"/>
        <v>#VALUE!</v>
      </c>
      <c r="AS240" s="667" t="e">
        <f t="shared" si="232"/>
        <v>#VALUE!</v>
      </c>
      <c r="AT240" s="668" t="e">
        <f t="shared" si="233"/>
        <v>#VALUE!</v>
      </c>
      <c r="AU240" s="667" t="e">
        <f t="shared" si="234"/>
        <v>#VALUE!</v>
      </c>
      <c r="AV240" s="669" t="e">
        <f t="shared" si="235"/>
        <v>#VALUE!</v>
      </c>
      <c r="AW240" s="667" t="e">
        <f t="shared" si="236"/>
        <v>#VALUE!</v>
      </c>
      <c r="AX240" s="667" t="e">
        <f t="shared" si="237"/>
        <v>#VALUE!</v>
      </c>
      <c r="AY240" s="660" t="e">
        <f t="shared" si="238"/>
        <v>#VALUE!</v>
      </c>
      <c r="AZ240" s="670" t="e">
        <f t="shared" si="239"/>
        <v>#VALUE!</v>
      </c>
      <c r="BB240" s="662" t="e">
        <f>INDEX('Vessel Gauging Data'!$B$26:$V$56,MATCH($C240,'Vessel Gauging Data'!$B$26:$B$56,0),$BB$198)</f>
        <v>#N/A</v>
      </c>
      <c r="BC240" s="662" t="e">
        <f>INDEX('Vessel Gauging Data'!$B$26:$V$56,MATCH($C240,'Vessel Gauging Data'!$B$26:$B$56,0),$BC$198)</f>
        <v>#N/A</v>
      </c>
      <c r="BD240" s="662" t="e">
        <f>INDEX('Vessel Gauging Data'!$B$26:$V$56,MATCH($C240,'Vessel Gauging Data'!$B$26:$B$56,0),$BD$198)</f>
        <v>#N/A</v>
      </c>
      <c r="BE240" s="662" t="e">
        <f>INDEX('Vessel Gauging Data'!$B$26:$V$56,MATCH($C240,'Vessel Gauging Data'!$B$26:$B$56,0),$BE$198)</f>
        <v>#N/A</v>
      </c>
    </row>
    <row r="241" spans="1:57" hidden="1">
      <c r="A241" s="641" t="str">
        <f t="shared" si="255"/>
        <v>N</v>
      </c>
      <c r="C241" s="237" t="str">
        <f t="shared" si="241"/>
        <v/>
      </c>
      <c r="D241" s="238" t="str">
        <f t="shared" si="241"/>
        <v/>
      </c>
      <c r="E241" s="1017" t="str">
        <f t="shared" si="240"/>
        <v/>
      </c>
      <c r="F241" s="1017" t="str">
        <f t="shared" si="242"/>
        <v/>
      </c>
      <c r="G241" s="1017" t="str">
        <f t="shared" si="243"/>
        <v/>
      </c>
      <c r="H241" s="1017" t="str">
        <f t="shared" si="243"/>
        <v/>
      </c>
      <c r="I241" s="238" t="str">
        <f t="shared" si="244"/>
        <v/>
      </c>
      <c r="J241" s="1017" t="str">
        <f t="shared" si="245"/>
        <v/>
      </c>
      <c r="K241" s="240" t="str">
        <f t="shared" si="246"/>
        <v/>
      </c>
      <c r="L241" s="239" t="str">
        <f t="shared" si="247"/>
        <v/>
      </c>
      <c r="M241" s="1126" t="str">
        <f>IF(OR($C241="",$C241=0),"",INDEX(API2DENST,MATCH($C241,'Vessel Gauging Data'!$B$27:$B$56,0),$AA$1))</f>
        <v/>
      </c>
      <c r="N241" s="239" t="str">
        <f t="shared" si="248"/>
        <v/>
      </c>
      <c r="O241" s="1017" t="str">
        <f t="shared" si="249"/>
        <v/>
      </c>
      <c r="P241" s="1126" t="str">
        <f t="shared" si="250"/>
        <v/>
      </c>
      <c r="Q241" s="1017" t="str">
        <f t="shared" si="251"/>
        <v/>
      </c>
      <c r="R241" s="241" t="str">
        <f t="shared" si="252"/>
        <v/>
      </c>
      <c r="S241" s="1126" t="str">
        <f t="shared" si="253"/>
        <v/>
      </c>
      <c r="T241" s="242" t="str">
        <f t="shared" si="254"/>
        <v/>
      </c>
      <c r="W241" s="642" t="e">
        <f>INDEX('Vessel Gauging Data'!$B$26:$V$56,MATCH($C241,'Vessel Gauging Data'!$B$26:$B$56,0),$W$198)</f>
        <v>#N/A</v>
      </c>
      <c r="X241" s="642" t="e">
        <f>INDEX('Vessel Gauging Data'!$B$26:$V$56,MATCH($C241,'Vessel Gauging Data'!$B$26:$B$56,0),$X$198)</f>
        <v>#N/A</v>
      </c>
      <c r="Y241" s="642" t="e">
        <f>INDEX('Vessel Gauging Data'!$B$26:$V$56,MATCH($C241,'Vessel Gauging Data'!$B$26:$B$56,0),$Y$198)</f>
        <v>#N/A</v>
      </c>
      <c r="Z241" s="642" t="e">
        <f>INDEX('Vessel Gauging Data'!$B$26:$V$56,MATCH($C241,'Vessel Gauging Data'!$B$26:$B$56,0),$Z$198)</f>
        <v>#N/A</v>
      </c>
      <c r="AB241" s="642" t="e">
        <f>INDEX(API2DENST,MATCH($C241,'Vessel Gauging Data'!$B$27:$B$56,0),1)</f>
        <v>#N/A</v>
      </c>
      <c r="AC241" s="642" t="e">
        <f t="shared" si="220"/>
        <v>#N/A</v>
      </c>
      <c r="AE241" s="661" t="e">
        <f t="shared" si="221"/>
        <v>#VALUE!</v>
      </c>
      <c r="AF241" s="661" t="e">
        <f t="shared" si="222"/>
        <v>#VALUE!</v>
      </c>
      <c r="AH241" s="662" t="str">
        <f t="shared" si="256"/>
        <v/>
      </c>
      <c r="AI241" s="662" t="str">
        <f t="shared" si="257"/>
        <v/>
      </c>
      <c r="AJ241" s="663">
        <f t="shared" si="223"/>
        <v>192.4571</v>
      </c>
      <c r="AK241" s="660">
        <f t="shared" si="224"/>
        <v>0.24379999999999999</v>
      </c>
      <c r="AL241" s="660" t="e">
        <f t="shared" si="225"/>
        <v>#VALUE!</v>
      </c>
      <c r="AM241" s="664" t="e">
        <f t="shared" si="226"/>
        <v>#VALUE!</v>
      </c>
      <c r="AN241" s="664" t="e">
        <f t="shared" si="227"/>
        <v>#VALUE!</v>
      </c>
      <c r="AO241" s="665" t="e">
        <f t="shared" si="228"/>
        <v>#VALUE!</v>
      </c>
      <c r="AP241" s="666" t="e">
        <f t="shared" si="229"/>
        <v>#VALUE!</v>
      </c>
      <c r="AQ241" s="660" t="e">
        <f t="shared" si="230"/>
        <v>#VALUE!</v>
      </c>
      <c r="AR241" s="667" t="e">
        <f t="shared" si="231"/>
        <v>#VALUE!</v>
      </c>
      <c r="AS241" s="667" t="e">
        <f t="shared" si="232"/>
        <v>#VALUE!</v>
      </c>
      <c r="AT241" s="668" t="e">
        <f t="shared" si="233"/>
        <v>#VALUE!</v>
      </c>
      <c r="AU241" s="667" t="e">
        <f t="shared" si="234"/>
        <v>#VALUE!</v>
      </c>
      <c r="AV241" s="669" t="e">
        <f t="shared" si="235"/>
        <v>#VALUE!</v>
      </c>
      <c r="AW241" s="667" t="e">
        <f t="shared" si="236"/>
        <v>#VALUE!</v>
      </c>
      <c r="AX241" s="667" t="e">
        <f t="shared" si="237"/>
        <v>#VALUE!</v>
      </c>
      <c r="AY241" s="660" t="e">
        <f t="shared" si="238"/>
        <v>#VALUE!</v>
      </c>
      <c r="AZ241" s="670" t="e">
        <f t="shared" si="239"/>
        <v>#VALUE!</v>
      </c>
      <c r="BB241" s="662" t="e">
        <f>INDEX('Vessel Gauging Data'!$B$26:$V$56,MATCH($C241,'Vessel Gauging Data'!$B$26:$B$56,0),$BB$198)</f>
        <v>#N/A</v>
      </c>
      <c r="BC241" s="662" t="e">
        <f>INDEX('Vessel Gauging Data'!$B$26:$V$56,MATCH($C241,'Vessel Gauging Data'!$B$26:$B$56,0),$BC$198)</f>
        <v>#N/A</v>
      </c>
      <c r="BD241" s="662" t="e">
        <f>INDEX('Vessel Gauging Data'!$B$26:$V$56,MATCH($C241,'Vessel Gauging Data'!$B$26:$B$56,0),$BD$198)</f>
        <v>#N/A</v>
      </c>
      <c r="BE241" s="662" t="e">
        <f>INDEX('Vessel Gauging Data'!$B$26:$V$56,MATCH($C241,'Vessel Gauging Data'!$B$26:$B$56,0),$BE$198)</f>
        <v>#N/A</v>
      </c>
    </row>
    <row r="242" spans="1:57" hidden="1">
      <c r="A242" s="641" t="str">
        <f t="shared" si="255"/>
        <v>N</v>
      </c>
      <c r="C242" s="671"/>
      <c r="D242" s="671"/>
      <c r="E242" s="672"/>
      <c r="F242" s="672"/>
      <c r="G242" s="672"/>
      <c r="H242" s="1501"/>
      <c r="I242" s="671"/>
      <c r="J242" s="672"/>
      <c r="K242" s="673"/>
      <c r="L242" s="672"/>
      <c r="M242" s="674"/>
      <c r="N242" s="672"/>
      <c r="O242" s="672"/>
      <c r="P242" s="1127"/>
      <c r="Q242" s="672"/>
      <c r="R242" s="675"/>
      <c r="S242" s="1137" t="s">
        <v>401</v>
      </c>
      <c r="T242" s="619">
        <f>SUM(T222:T241)</f>
        <v>250.15199999999999</v>
      </c>
      <c r="V242" s="676"/>
      <c r="W242" s="719"/>
      <c r="X242" s="719"/>
      <c r="Y242" s="719"/>
      <c r="Z242" s="719"/>
      <c r="AA242" s="676"/>
      <c r="AB242" s="719"/>
      <c r="AC242" s="719"/>
      <c r="AD242" s="676"/>
      <c r="AE242" s="720"/>
      <c r="AF242" s="720"/>
      <c r="AG242" s="676"/>
      <c r="AH242" s="721"/>
      <c r="AI242" s="721"/>
      <c r="AJ242" s="722"/>
      <c r="AK242" s="723"/>
      <c r="AL242" s="723"/>
      <c r="AM242" s="724"/>
      <c r="AN242" s="724"/>
      <c r="AO242" s="725"/>
      <c r="AP242" s="726"/>
      <c r="AQ242" s="723"/>
      <c r="AR242" s="727"/>
      <c r="AS242" s="727"/>
      <c r="AT242" s="728"/>
      <c r="AU242" s="727"/>
      <c r="AV242" s="729"/>
      <c r="AW242" s="727"/>
      <c r="AX242" s="727"/>
      <c r="AY242" s="723"/>
      <c r="AZ242" s="730"/>
      <c r="BA242" s="676"/>
      <c r="BB242" s="721"/>
      <c r="BC242" s="721"/>
      <c r="BD242" s="721"/>
      <c r="BE242" s="721"/>
    </row>
    <row r="243" spans="1:57" s="702" customFormat="1" ht="5.25" hidden="1">
      <c r="A243" s="702" t="str">
        <f t="shared" si="255"/>
        <v>N</v>
      </c>
      <c r="C243" s="704"/>
      <c r="D243" s="704"/>
      <c r="E243" s="704"/>
      <c r="F243" s="704"/>
      <c r="G243" s="704"/>
      <c r="H243" s="704"/>
      <c r="I243" s="704"/>
      <c r="J243" s="705"/>
      <c r="K243" s="705"/>
      <c r="L243" s="705"/>
      <c r="M243" s="705"/>
      <c r="N243" s="705"/>
      <c r="O243" s="705"/>
      <c r="P243" s="1128"/>
      <c r="Q243" s="705"/>
      <c r="R243" s="705"/>
      <c r="S243" s="1136"/>
      <c r="T243" s="706"/>
      <c r="V243" s="707"/>
      <c r="W243" s="707"/>
      <c r="X243" s="707"/>
      <c r="Y243" s="707"/>
      <c r="Z243" s="707"/>
      <c r="AA243" s="707"/>
      <c r="AB243" s="707"/>
      <c r="AC243" s="707"/>
      <c r="AD243" s="707"/>
      <c r="AE243" s="708"/>
      <c r="AF243" s="708"/>
      <c r="AG243" s="707"/>
      <c r="AH243" s="709"/>
      <c r="AI243" s="709"/>
      <c r="AJ243" s="710"/>
      <c r="AK243" s="711"/>
      <c r="AL243" s="711"/>
      <c r="AM243" s="712"/>
      <c r="AN243" s="712"/>
      <c r="AO243" s="713"/>
      <c r="AP243" s="714"/>
      <c r="AQ243" s="711"/>
      <c r="AR243" s="715"/>
      <c r="AS243" s="715"/>
      <c r="AT243" s="716"/>
      <c r="AU243" s="715"/>
      <c r="AV243" s="717"/>
      <c r="AW243" s="715"/>
      <c r="AX243" s="715"/>
      <c r="AY243" s="711"/>
      <c r="AZ243" s="718"/>
      <c r="BA243" s="707"/>
      <c r="BB243" s="709"/>
      <c r="BC243" s="709"/>
      <c r="BD243" s="709"/>
      <c r="BE243" s="709"/>
    </row>
    <row r="244" spans="1:57" ht="15.75" hidden="1">
      <c r="A244" s="641" t="str">
        <f t="shared" si="255"/>
        <v>N</v>
      </c>
      <c r="B244" s="641">
        <v>3</v>
      </c>
      <c r="C244" s="2797" t="s">
        <v>163</v>
      </c>
      <c r="D244" s="2798"/>
      <c r="E244" s="2799" t="str">
        <f t="shared" ref="E244:E264" si="258">E67</f>
        <v>MDO</v>
      </c>
      <c r="F244" s="2800"/>
      <c r="G244" s="2800"/>
      <c r="H244" s="2800"/>
      <c r="I244" s="2801"/>
      <c r="J244" s="698"/>
      <c r="K244" s="699"/>
      <c r="L244" s="700"/>
      <c r="M244" s="699"/>
      <c r="N244" s="699"/>
      <c r="O244" s="700"/>
      <c r="P244" s="1129"/>
      <c r="Q244" s="700"/>
      <c r="R244" s="701"/>
      <c r="S244" s="1129"/>
      <c r="T244" s="701"/>
      <c r="V244" s="676"/>
      <c r="W244" s="731"/>
      <c r="X244" s="731"/>
      <c r="Y244" s="731"/>
      <c r="Z244" s="731"/>
      <c r="AA244" s="676"/>
      <c r="AB244" s="731"/>
      <c r="AC244" s="731"/>
      <c r="AD244" s="676"/>
      <c r="AE244" s="732"/>
      <c r="AF244" s="732"/>
      <c r="AG244" s="676"/>
      <c r="AH244" s="733"/>
      <c r="AI244" s="733"/>
      <c r="AJ244" s="734"/>
      <c r="AK244" s="735"/>
      <c r="AL244" s="735"/>
      <c r="AM244" s="736"/>
      <c r="AN244" s="736"/>
      <c r="AO244" s="737"/>
      <c r="AP244" s="738"/>
      <c r="AQ244" s="735"/>
      <c r="AR244" s="739"/>
      <c r="AS244" s="739"/>
      <c r="AT244" s="740"/>
      <c r="AU244" s="739"/>
      <c r="AV244" s="741"/>
      <c r="AW244" s="739"/>
      <c r="AX244" s="739"/>
      <c r="AY244" s="735"/>
      <c r="AZ244" s="742"/>
      <c r="BA244" s="676"/>
      <c r="BB244" s="733"/>
      <c r="BC244" s="733"/>
      <c r="BD244" s="733"/>
      <c r="BE244" s="733"/>
    </row>
    <row r="245" spans="1:57" hidden="1">
      <c r="A245" s="641" t="str">
        <f t="shared" si="255"/>
        <v>N</v>
      </c>
      <c r="C245" s="622" t="str">
        <f t="shared" ref="C245:D264" si="259">C68</f>
        <v/>
      </c>
      <c r="D245" s="623" t="str">
        <f t="shared" si="259"/>
        <v/>
      </c>
      <c r="E245" s="1018" t="str">
        <f t="shared" si="258"/>
        <v/>
      </c>
      <c r="F245" s="1018" t="str">
        <f t="shared" ref="F245:F264" si="260">IF(ISERROR(W245),"",IF(OR($C245="",$C245=0),"",IF(ISTEXT(W245),W245,IF($AB$1=1,W245*UNITOR_1,INT(W245*UNITOR_1)&amp;"'-"&amp;TRIM(TEXT(ROUND(MOD(W245*UNITOR_1,1)*12,1),"# ???/???"))&amp;""""))))</f>
        <v/>
      </c>
      <c r="G245" s="1018" t="str">
        <f t="shared" ref="G245:H264" si="261">IF(ISERROR(X245),"",IF(OR($C245="",$C245=0),"",IF(ISTEXT(X245),X245,IF($AB$1=1,X245*UNITOR_1,INT(X245*UNITOR_1)&amp;"'-"&amp;TRIM(TEXT(ROUND(MOD(X245*UNITOR_1,1)*12,1),"# ???/???"))&amp;""""))))</f>
        <v/>
      </c>
      <c r="H245" s="1018" t="str">
        <f t="shared" si="261"/>
        <v/>
      </c>
      <c r="I245" s="623" t="str">
        <f t="shared" ref="I245:I264" si="262">IF(ISERROR($BB245),"",IF(OR($C245="",$C245=0,$BB245=0),"",$BB245))</f>
        <v/>
      </c>
      <c r="J245" s="1018" t="str">
        <f t="shared" ref="J245:J264" si="263">IF(ISERROR($BC245),"",IF(OR($C245="",$C245=0,$BC245=""),"",IF(ISTEXT($BC245),$BC245,$BC245*IF($AA$1=B1SEL,1,IF($AA$1=2,FBBLS,1/FBBLS)))))</f>
        <v/>
      </c>
      <c r="K245" s="625" t="str">
        <f t="shared" ref="K245:K264" si="264">IF(ISERROR($BD245),"",IF(OR($C245="",$C245=0,$BD245=""),0,IF(ISTEXT($BD245),$BD245,$BD245*IF($AB$1=W1SEL,1,IF($AB$1=2,FINCH,1/FINCH)))))</f>
        <v/>
      </c>
      <c r="L245" s="624" t="str">
        <f t="shared" ref="L245:L264" si="265">IF(ISERROR($BE245),"",IF(OR($C245="",$C245=0,$BE245=""),0,IF(ISTEXT($BE245),$BE245,$BE245*IF($AA$1=B1SEL,1,IF($AA$1=2,FBBLS,1/FBBLS)))))</f>
        <v/>
      </c>
      <c r="M245" s="1124" t="str">
        <f>IF(OR($C245="",$C245=0),"",INDEX(API2DENST,MATCH($C245,'Vessel Gauging Data'!$B$27:$B$56,0),$AA$1))</f>
        <v/>
      </c>
      <c r="N245" s="624" t="str">
        <f t="shared" ref="N245:N264" si="266">IF(ISERROR(Z245),"",IF(OR($C245="",$C245=0,Z245=""),"",IF(ISTEXT(Z245),Z245,IF($AA$1=T1SEL,Z245,IF($AA$1=2,(Z245*9/5)+32,(Z245-32)*5/9)))))</f>
        <v/>
      </c>
      <c r="O245" s="1018" t="str">
        <f t="shared" ref="O245:O264" si="267">IF(OR(J245="",L245=""),"",IF(ISTEXT(J245),"N/A",IF(ISTEXT(L245),J245,J245-L245)))</f>
        <v/>
      </c>
      <c r="P245" s="1124" t="str">
        <f t="shared" ref="P245:P264" si="268">IF(OR(M245="",N245=""),"",IF(OR(ISTEXT(M245),ISTEXT(N245)),"N/A",IF($AA$1=1,ROUND(EXP(-AF245*(N245-15)*(1+0.8*AF245*(N245-15))),5),AZ245)))</f>
        <v/>
      </c>
      <c r="Q245" s="1018" t="str">
        <f t="shared" ref="Q245:Q264" si="269">IF(OR(M245="",N245=""),"",IF(OR(ISTEXT(M245),ISTEXT(N245)),"N/A",ROUND(O245*P245,3)))</f>
        <v/>
      </c>
      <c r="R245" s="626" t="str">
        <f t="shared" ref="R245:R264" si="270">IF(M245="","",IF($AA$1=1,IF(ISTEXT(Q245),"N/A",ROUND(Q245*M245,3)),IF(ISTEXT(T245),"N/A",ROUND(T245*AC245,3))))</f>
        <v/>
      </c>
      <c r="S245" s="1124" t="str">
        <f t="shared" ref="S245:S264" si="271">IF(M245="","",IF($AA$1=1,ROUND(M245-0.0011,5),ROUND((1.00122697*(141.5/(M245+131.5))-1.22269727*10^-3)*8.32823*42/2204.62,5+2)))</f>
        <v/>
      </c>
      <c r="T245" s="627" t="str">
        <f t="shared" ref="T245:T264" si="272">IF(OR(M245="",N245=""),"",IF(ISTEXT(Q245),"N/A",IF($AA$1=1,ROUND((Q245*(M245-0.0011)),3),ROUND(Q245*S245,3))))</f>
        <v/>
      </c>
      <c r="W245" s="642" t="e">
        <f>INDEX('Vessel Gauging Data'!$B$26:$V$56,MATCH($C245,'Vessel Gauging Data'!$B$26:$B$56,0),$W$198)</f>
        <v>#N/A</v>
      </c>
      <c r="X245" s="642" t="e">
        <f>INDEX('Vessel Gauging Data'!$B$26:$V$56,MATCH($C245,'Vessel Gauging Data'!$B$26:$B$56,0),$X$198)</f>
        <v>#N/A</v>
      </c>
      <c r="Y245" s="642" t="e">
        <f>INDEX('Vessel Gauging Data'!$B$26:$V$56,MATCH($C245,'Vessel Gauging Data'!$B$26:$B$56,0),$Y$198)</f>
        <v>#N/A</v>
      </c>
      <c r="Z245" s="642" t="e">
        <f>INDEX('Vessel Gauging Data'!$B$26:$V$56,MATCH($C245,'Vessel Gauging Data'!$B$26:$B$56,0),$Z$198)</f>
        <v>#N/A</v>
      </c>
      <c r="AB245" s="642" t="e">
        <f>INDEX(API2DENST,MATCH($C245,'Vessel Gauging Data'!$B$27:$B$56,0),1)</f>
        <v>#N/A</v>
      </c>
      <c r="AC245" s="642" t="e">
        <f t="shared" si="220"/>
        <v>#N/A</v>
      </c>
      <c r="AE245" s="661" t="e">
        <f t="shared" si="221"/>
        <v>#VALUE!</v>
      </c>
      <c r="AF245" s="661" t="e">
        <f t="shared" si="222"/>
        <v>#VALUE!</v>
      </c>
      <c r="AH245" s="662" t="str">
        <f t="shared" si="256"/>
        <v/>
      </c>
      <c r="AI245" s="662" t="str">
        <f t="shared" si="257"/>
        <v/>
      </c>
      <c r="AJ245" s="663">
        <f t="shared" si="223"/>
        <v>192.4571</v>
      </c>
      <c r="AK245" s="660">
        <f t="shared" si="224"/>
        <v>0.24379999999999999</v>
      </c>
      <c r="AL245" s="660" t="e">
        <f t="shared" si="225"/>
        <v>#VALUE!</v>
      </c>
      <c r="AM245" s="664" t="e">
        <f t="shared" si="226"/>
        <v>#VALUE!</v>
      </c>
      <c r="AN245" s="664" t="e">
        <f t="shared" si="227"/>
        <v>#VALUE!</v>
      </c>
      <c r="AO245" s="665" t="e">
        <f t="shared" si="228"/>
        <v>#VALUE!</v>
      </c>
      <c r="AP245" s="666" t="e">
        <f t="shared" si="229"/>
        <v>#VALUE!</v>
      </c>
      <c r="AQ245" s="660" t="e">
        <f t="shared" si="230"/>
        <v>#VALUE!</v>
      </c>
      <c r="AR245" s="667" t="e">
        <f t="shared" si="231"/>
        <v>#VALUE!</v>
      </c>
      <c r="AS245" s="667" t="e">
        <f t="shared" si="232"/>
        <v>#VALUE!</v>
      </c>
      <c r="AT245" s="668" t="e">
        <f t="shared" si="233"/>
        <v>#VALUE!</v>
      </c>
      <c r="AU245" s="667" t="e">
        <f t="shared" si="234"/>
        <v>#VALUE!</v>
      </c>
      <c r="AV245" s="669" t="e">
        <f t="shared" si="235"/>
        <v>#VALUE!</v>
      </c>
      <c r="AW245" s="667" t="e">
        <f t="shared" si="236"/>
        <v>#VALUE!</v>
      </c>
      <c r="AX245" s="667" t="e">
        <f t="shared" si="237"/>
        <v>#VALUE!</v>
      </c>
      <c r="AY245" s="660" t="e">
        <f t="shared" si="238"/>
        <v>#VALUE!</v>
      </c>
      <c r="AZ245" s="670" t="e">
        <f t="shared" si="239"/>
        <v>#VALUE!</v>
      </c>
      <c r="BB245" s="662" t="e">
        <f>INDEX('Vessel Gauging Data'!$B$26:$V$56,MATCH($C245,'Vessel Gauging Data'!$B$26:$B$56,0),$BB$198)</f>
        <v>#N/A</v>
      </c>
      <c r="BC245" s="662" t="e">
        <f>INDEX('Vessel Gauging Data'!$B$26:$V$56,MATCH($C245,'Vessel Gauging Data'!$B$26:$B$56,0),$BC$198)</f>
        <v>#N/A</v>
      </c>
      <c r="BD245" s="662" t="e">
        <f>INDEX('Vessel Gauging Data'!$B$26:$V$56,MATCH($C245,'Vessel Gauging Data'!$B$26:$B$56,0),$BD$198)</f>
        <v>#N/A</v>
      </c>
      <c r="BE245" s="662" t="e">
        <f>INDEX('Vessel Gauging Data'!$B$26:$V$56,MATCH($C245,'Vessel Gauging Data'!$B$26:$B$56,0),$BE$198)</f>
        <v>#N/A</v>
      </c>
    </row>
    <row r="246" spans="1:57" hidden="1">
      <c r="A246" s="641" t="str">
        <f t="shared" si="255"/>
        <v>N</v>
      </c>
      <c r="C246" s="235" t="str">
        <f t="shared" si="259"/>
        <v/>
      </c>
      <c r="D246" s="211" t="str">
        <f t="shared" si="259"/>
        <v/>
      </c>
      <c r="E246" s="1016" t="str">
        <f t="shared" si="258"/>
        <v/>
      </c>
      <c r="F246" s="1016" t="str">
        <f t="shared" si="260"/>
        <v/>
      </c>
      <c r="G246" s="1016" t="str">
        <f t="shared" si="261"/>
        <v/>
      </c>
      <c r="H246" s="1016" t="str">
        <f t="shared" si="261"/>
        <v/>
      </c>
      <c r="I246" s="211" t="str">
        <f t="shared" si="262"/>
        <v/>
      </c>
      <c r="J246" s="1016" t="str">
        <f t="shared" si="263"/>
        <v/>
      </c>
      <c r="K246" s="213" t="str">
        <f t="shared" si="264"/>
        <v/>
      </c>
      <c r="L246" s="212" t="str">
        <f t="shared" si="265"/>
        <v/>
      </c>
      <c r="M246" s="1125" t="str">
        <f>IF(OR($C246="",$C246=0),"",INDEX(API2DENST,MATCH($C246,'Vessel Gauging Data'!$B$27:$B$56,0),$AA$1))</f>
        <v/>
      </c>
      <c r="N246" s="212" t="str">
        <f t="shared" si="266"/>
        <v/>
      </c>
      <c r="O246" s="1016" t="str">
        <f t="shared" si="267"/>
        <v/>
      </c>
      <c r="P246" s="1125" t="str">
        <f t="shared" si="268"/>
        <v/>
      </c>
      <c r="Q246" s="1016" t="str">
        <f t="shared" si="269"/>
        <v/>
      </c>
      <c r="R246" s="214" t="str">
        <f t="shared" si="270"/>
        <v/>
      </c>
      <c r="S246" s="1125" t="str">
        <f t="shared" si="271"/>
        <v/>
      </c>
      <c r="T246" s="236" t="str">
        <f t="shared" si="272"/>
        <v/>
      </c>
      <c r="W246" s="642" t="e">
        <f>INDEX('Vessel Gauging Data'!$B$26:$V$56,MATCH($C246,'Vessel Gauging Data'!$B$26:$B$56,0),$W$198)</f>
        <v>#N/A</v>
      </c>
      <c r="X246" s="642" t="e">
        <f>INDEX('Vessel Gauging Data'!$B$26:$V$56,MATCH($C246,'Vessel Gauging Data'!$B$26:$B$56,0),$X$198)</f>
        <v>#N/A</v>
      </c>
      <c r="Y246" s="642" t="e">
        <f>INDEX('Vessel Gauging Data'!$B$26:$V$56,MATCH($C246,'Vessel Gauging Data'!$B$26:$B$56,0),$Y$198)</f>
        <v>#N/A</v>
      </c>
      <c r="Z246" s="642" t="e">
        <f>INDEX('Vessel Gauging Data'!$B$26:$V$56,MATCH($C246,'Vessel Gauging Data'!$B$26:$B$56,0),$Z$198)</f>
        <v>#N/A</v>
      </c>
      <c r="AB246" s="642" t="e">
        <f>INDEX(API2DENST,MATCH($C246,'Vessel Gauging Data'!$B$27:$B$56,0),1)</f>
        <v>#N/A</v>
      </c>
      <c r="AC246" s="642" t="e">
        <f t="shared" si="220"/>
        <v>#N/A</v>
      </c>
      <c r="AE246" s="661" t="e">
        <f t="shared" si="221"/>
        <v>#VALUE!</v>
      </c>
      <c r="AF246" s="661" t="e">
        <f t="shared" si="222"/>
        <v>#VALUE!</v>
      </c>
      <c r="AH246" s="662" t="str">
        <f t="shared" si="256"/>
        <v/>
      </c>
      <c r="AI246" s="662" t="str">
        <f t="shared" si="257"/>
        <v/>
      </c>
      <c r="AJ246" s="663">
        <f t="shared" si="223"/>
        <v>192.4571</v>
      </c>
      <c r="AK246" s="660">
        <f t="shared" si="224"/>
        <v>0.24379999999999999</v>
      </c>
      <c r="AL246" s="660" t="e">
        <f t="shared" si="225"/>
        <v>#VALUE!</v>
      </c>
      <c r="AM246" s="664" t="e">
        <f t="shared" si="226"/>
        <v>#VALUE!</v>
      </c>
      <c r="AN246" s="664" t="e">
        <f t="shared" si="227"/>
        <v>#VALUE!</v>
      </c>
      <c r="AO246" s="665" t="e">
        <f t="shared" si="228"/>
        <v>#VALUE!</v>
      </c>
      <c r="AP246" s="666" t="e">
        <f t="shared" si="229"/>
        <v>#VALUE!</v>
      </c>
      <c r="AQ246" s="660" t="e">
        <f t="shared" si="230"/>
        <v>#VALUE!</v>
      </c>
      <c r="AR246" s="667" t="e">
        <f t="shared" si="231"/>
        <v>#VALUE!</v>
      </c>
      <c r="AS246" s="667" t="e">
        <f t="shared" si="232"/>
        <v>#VALUE!</v>
      </c>
      <c r="AT246" s="668" t="e">
        <f t="shared" si="233"/>
        <v>#VALUE!</v>
      </c>
      <c r="AU246" s="667" t="e">
        <f t="shared" si="234"/>
        <v>#VALUE!</v>
      </c>
      <c r="AV246" s="669" t="e">
        <f t="shared" si="235"/>
        <v>#VALUE!</v>
      </c>
      <c r="AW246" s="667" t="e">
        <f t="shared" si="236"/>
        <v>#VALUE!</v>
      </c>
      <c r="AX246" s="667" t="e">
        <f t="shared" si="237"/>
        <v>#VALUE!</v>
      </c>
      <c r="AY246" s="660" t="e">
        <f t="shared" si="238"/>
        <v>#VALUE!</v>
      </c>
      <c r="AZ246" s="670" t="e">
        <f t="shared" si="239"/>
        <v>#VALUE!</v>
      </c>
      <c r="BB246" s="662" t="e">
        <f>INDEX('Vessel Gauging Data'!$B$26:$V$56,MATCH($C246,'Vessel Gauging Data'!$B$26:$B$56,0),$BB$198)</f>
        <v>#N/A</v>
      </c>
      <c r="BC246" s="662" t="e">
        <f>INDEX('Vessel Gauging Data'!$B$26:$V$56,MATCH($C246,'Vessel Gauging Data'!$B$26:$B$56,0),$BC$198)</f>
        <v>#N/A</v>
      </c>
      <c r="BD246" s="662" t="e">
        <f>INDEX('Vessel Gauging Data'!$B$26:$V$56,MATCH($C246,'Vessel Gauging Data'!$B$26:$B$56,0),$BD$198)</f>
        <v>#N/A</v>
      </c>
      <c r="BE246" s="662" t="e">
        <f>INDEX('Vessel Gauging Data'!$B$26:$V$56,MATCH($C246,'Vessel Gauging Data'!$B$26:$B$56,0),$BE$198)</f>
        <v>#N/A</v>
      </c>
    </row>
    <row r="247" spans="1:57" hidden="1">
      <c r="A247" s="641" t="str">
        <f t="shared" si="255"/>
        <v>N</v>
      </c>
      <c r="C247" s="235" t="str">
        <f t="shared" si="259"/>
        <v/>
      </c>
      <c r="D247" s="211" t="str">
        <f t="shared" si="259"/>
        <v/>
      </c>
      <c r="E247" s="1016" t="str">
        <f t="shared" si="258"/>
        <v/>
      </c>
      <c r="F247" s="1016" t="str">
        <f t="shared" si="260"/>
        <v/>
      </c>
      <c r="G247" s="1016" t="str">
        <f t="shared" si="261"/>
        <v/>
      </c>
      <c r="H247" s="1016" t="str">
        <f t="shared" si="261"/>
        <v/>
      </c>
      <c r="I247" s="211" t="str">
        <f t="shared" si="262"/>
        <v/>
      </c>
      <c r="J247" s="1016" t="str">
        <f t="shared" si="263"/>
        <v/>
      </c>
      <c r="K247" s="213" t="str">
        <f t="shared" si="264"/>
        <v/>
      </c>
      <c r="L247" s="212" t="str">
        <f t="shared" si="265"/>
        <v/>
      </c>
      <c r="M247" s="1125" t="str">
        <f>IF(OR($C247="",$C247=0),"",INDEX(API2DENST,MATCH($C247,'Vessel Gauging Data'!$B$27:$B$56,0),$AA$1))</f>
        <v/>
      </c>
      <c r="N247" s="212" t="str">
        <f t="shared" si="266"/>
        <v/>
      </c>
      <c r="O247" s="1016" t="str">
        <f t="shared" si="267"/>
        <v/>
      </c>
      <c r="P247" s="1125" t="str">
        <f t="shared" si="268"/>
        <v/>
      </c>
      <c r="Q247" s="1016" t="str">
        <f t="shared" si="269"/>
        <v/>
      </c>
      <c r="R247" s="214" t="str">
        <f t="shared" si="270"/>
        <v/>
      </c>
      <c r="S247" s="1125" t="str">
        <f t="shared" si="271"/>
        <v/>
      </c>
      <c r="T247" s="236" t="str">
        <f t="shared" si="272"/>
        <v/>
      </c>
      <c r="W247" s="642" t="e">
        <f>INDEX('Vessel Gauging Data'!$B$26:$V$56,MATCH($C247,'Vessel Gauging Data'!$B$26:$B$56,0),$W$198)</f>
        <v>#N/A</v>
      </c>
      <c r="X247" s="642" t="e">
        <f>INDEX('Vessel Gauging Data'!$B$26:$V$56,MATCH($C247,'Vessel Gauging Data'!$B$26:$B$56,0),$X$198)</f>
        <v>#N/A</v>
      </c>
      <c r="Y247" s="642" t="e">
        <f>INDEX('Vessel Gauging Data'!$B$26:$V$56,MATCH($C247,'Vessel Gauging Data'!$B$26:$B$56,0),$Y$198)</f>
        <v>#N/A</v>
      </c>
      <c r="Z247" s="642" t="e">
        <f>INDEX('Vessel Gauging Data'!$B$26:$V$56,MATCH($C247,'Vessel Gauging Data'!$B$26:$B$56,0),$Z$198)</f>
        <v>#N/A</v>
      </c>
      <c r="AB247" s="642" t="e">
        <f>INDEX(API2DENST,MATCH($C247,'Vessel Gauging Data'!$B$27:$B$56,0),1)</f>
        <v>#N/A</v>
      </c>
      <c r="AC247" s="642" t="e">
        <f t="shared" si="220"/>
        <v>#N/A</v>
      </c>
      <c r="AE247" s="661" t="e">
        <f t="shared" si="221"/>
        <v>#VALUE!</v>
      </c>
      <c r="AF247" s="661" t="e">
        <f t="shared" si="222"/>
        <v>#VALUE!</v>
      </c>
      <c r="AH247" s="662" t="str">
        <f t="shared" si="256"/>
        <v/>
      </c>
      <c r="AI247" s="662" t="str">
        <f t="shared" si="257"/>
        <v/>
      </c>
      <c r="AJ247" s="663">
        <f t="shared" si="223"/>
        <v>192.4571</v>
      </c>
      <c r="AK247" s="660">
        <f t="shared" si="224"/>
        <v>0.24379999999999999</v>
      </c>
      <c r="AL247" s="660" t="e">
        <f t="shared" si="225"/>
        <v>#VALUE!</v>
      </c>
      <c r="AM247" s="664" t="e">
        <f t="shared" si="226"/>
        <v>#VALUE!</v>
      </c>
      <c r="AN247" s="664" t="e">
        <f t="shared" si="227"/>
        <v>#VALUE!</v>
      </c>
      <c r="AO247" s="665" t="e">
        <f t="shared" si="228"/>
        <v>#VALUE!</v>
      </c>
      <c r="AP247" s="666" t="e">
        <f t="shared" si="229"/>
        <v>#VALUE!</v>
      </c>
      <c r="AQ247" s="660" t="e">
        <f t="shared" si="230"/>
        <v>#VALUE!</v>
      </c>
      <c r="AR247" s="667" t="e">
        <f t="shared" si="231"/>
        <v>#VALUE!</v>
      </c>
      <c r="AS247" s="667" t="e">
        <f t="shared" si="232"/>
        <v>#VALUE!</v>
      </c>
      <c r="AT247" s="668" t="e">
        <f t="shared" si="233"/>
        <v>#VALUE!</v>
      </c>
      <c r="AU247" s="667" t="e">
        <f t="shared" si="234"/>
        <v>#VALUE!</v>
      </c>
      <c r="AV247" s="669" t="e">
        <f t="shared" si="235"/>
        <v>#VALUE!</v>
      </c>
      <c r="AW247" s="667" t="e">
        <f t="shared" si="236"/>
        <v>#VALUE!</v>
      </c>
      <c r="AX247" s="667" t="e">
        <f t="shared" si="237"/>
        <v>#VALUE!</v>
      </c>
      <c r="AY247" s="660" t="e">
        <f t="shared" si="238"/>
        <v>#VALUE!</v>
      </c>
      <c r="AZ247" s="670" t="e">
        <f t="shared" si="239"/>
        <v>#VALUE!</v>
      </c>
      <c r="BB247" s="662" t="e">
        <f>INDEX('Vessel Gauging Data'!$B$26:$V$56,MATCH($C247,'Vessel Gauging Data'!$B$26:$B$56,0),$BB$198)</f>
        <v>#N/A</v>
      </c>
      <c r="BC247" s="662" t="e">
        <f>INDEX('Vessel Gauging Data'!$B$26:$V$56,MATCH($C247,'Vessel Gauging Data'!$B$26:$B$56,0),$BC$198)</f>
        <v>#N/A</v>
      </c>
      <c r="BD247" s="662" t="e">
        <f>INDEX('Vessel Gauging Data'!$B$26:$V$56,MATCH($C247,'Vessel Gauging Data'!$B$26:$B$56,0),$BD$198)</f>
        <v>#N/A</v>
      </c>
      <c r="BE247" s="662" t="e">
        <f>INDEX('Vessel Gauging Data'!$B$26:$V$56,MATCH($C247,'Vessel Gauging Data'!$B$26:$B$56,0),$BE$198)</f>
        <v>#N/A</v>
      </c>
    </row>
    <row r="248" spans="1:57" hidden="1">
      <c r="A248" s="641" t="str">
        <f t="shared" si="255"/>
        <v>N</v>
      </c>
      <c r="C248" s="235" t="str">
        <f t="shared" si="259"/>
        <v/>
      </c>
      <c r="D248" s="211" t="str">
        <f t="shared" si="259"/>
        <v/>
      </c>
      <c r="E248" s="1016" t="str">
        <f t="shared" si="258"/>
        <v/>
      </c>
      <c r="F248" s="1016" t="str">
        <f t="shared" si="260"/>
        <v/>
      </c>
      <c r="G248" s="1016" t="str">
        <f t="shared" si="261"/>
        <v/>
      </c>
      <c r="H248" s="1016" t="str">
        <f t="shared" si="261"/>
        <v/>
      </c>
      <c r="I248" s="211" t="str">
        <f t="shared" si="262"/>
        <v/>
      </c>
      <c r="J248" s="1016" t="str">
        <f t="shared" si="263"/>
        <v/>
      </c>
      <c r="K248" s="213" t="str">
        <f t="shared" si="264"/>
        <v/>
      </c>
      <c r="L248" s="212" t="str">
        <f t="shared" si="265"/>
        <v/>
      </c>
      <c r="M248" s="1125" t="str">
        <f>IF(OR($C248="",$C248=0),"",INDEX(API2DENST,MATCH($C248,'Vessel Gauging Data'!$B$27:$B$56,0),$AA$1))</f>
        <v/>
      </c>
      <c r="N248" s="212" t="str">
        <f t="shared" si="266"/>
        <v/>
      </c>
      <c r="O248" s="1016" t="str">
        <f t="shared" si="267"/>
        <v/>
      </c>
      <c r="P248" s="1125" t="str">
        <f t="shared" si="268"/>
        <v/>
      </c>
      <c r="Q248" s="1016" t="str">
        <f t="shared" si="269"/>
        <v/>
      </c>
      <c r="R248" s="214" t="str">
        <f t="shared" si="270"/>
        <v/>
      </c>
      <c r="S248" s="1125" t="str">
        <f t="shared" si="271"/>
        <v/>
      </c>
      <c r="T248" s="236" t="str">
        <f t="shared" si="272"/>
        <v/>
      </c>
      <c r="W248" s="642" t="e">
        <f>INDEX('Vessel Gauging Data'!$B$26:$V$56,MATCH($C248,'Vessel Gauging Data'!$B$26:$B$56,0),$W$198)</f>
        <v>#N/A</v>
      </c>
      <c r="X248" s="642" t="e">
        <f>INDEX('Vessel Gauging Data'!$B$26:$V$56,MATCH($C248,'Vessel Gauging Data'!$B$26:$B$56,0),$X$198)</f>
        <v>#N/A</v>
      </c>
      <c r="Y248" s="642" t="e">
        <f>INDEX('Vessel Gauging Data'!$B$26:$V$56,MATCH($C248,'Vessel Gauging Data'!$B$26:$B$56,0),$Y$198)</f>
        <v>#N/A</v>
      </c>
      <c r="Z248" s="642" t="e">
        <f>INDEX('Vessel Gauging Data'!$B$26:$V$56,MATCH($C248,'Vessel Gauging Data'!$B$26:$B$56,0),$Z$198)</f>
        <v>#N/A</v>
      </c>
      <c r="AB248" s="642" t="e">
        <f>INDEX(API2DENST,MATCH($C248,'Vessel Gauging Data'!$B$27:$B$56,0),1)</f>
        <v>#N/A</v>
      </c>
      <c r="AC248" s="642" t="e">
        <f t="shared" si="220"/>
        <v>#N/A</v>
      </c>
      <c r="AE248" s="661" t="e">
        <f t="shared" si="221"/>
        <v>#VALUE!</v>
      </c>
      <c r="AF248" s="661" t="e">
        <f t="shared" si="222"/>
        <v>#VALUE!</v>
      </c>
      <c r="AH248" s="662" t="str">
        <f t="shared" si="256"/>
        <v/>
      </c>
      <c r="AI248" s="662" t="str">
        <f t="shared" si="257"/>
        <v/>
      </c>
      <c r="AJ248" s="663">
        <f t="shared" si="223"/>
        <v>192.4571</v>
      </c>
      <c r="AK248" s="660">
        <f t="shared" si="224"/>
        <v>0.24379999999999999</v>
      </c>
      <c r="AL248" s="660" t="e">
        <f t="shared" si="225"/>
        <v>#VALUE!</v>
      </c>
      <c r="AM248" s="664" t="e">
        <f t="shared" si="226"/>
        <v>#VALUE!</v>
      </c>
      <c r="AN248" s="664" t="e">
        <f t="shared" si="227"/>
        <v>#VALUE!</v>
      </c>
      <c r="AO248" s="665" t="e">
        <f t="shared" si="228"/>
        <v>#VALUE!</v>
      </c>
      <c r="AP248" s="666" t="e">
        <f t="shared" si="229"/>
        <v>#VALUE!</v>
      </c>
      <c r="AQ248" s="660" t="e">
        <f t="shared" si="230"/>
        <v>#VALUE!</v>
      </c>
      <c r="AR248" s="667" t="e">
        <f t="shared" si="231"/>
        <v>#VALUE!</v>
      </c>
      <c r="AS248" s="667" t="e">
        <f t="shared" si="232"/>
        <v>#VALUE!</v>
      </c>
      <c r="AT248" s="668" t="e">
        <f t="shared" si="233"/>
        <v>#VALUE!</v>
      </c>
      <c r="AU248" s="667" t="e">
        <f t="shared" si="234"/>
        <v>#VALUE!</v>
      </c>
      <c r="AV248" s="669" t="e">
        <f t="shared" si="235"/>
        <v>#VALUE!</v>
      </c>
      <c r="AW248" s="667" t="e">
        <f t="shared" si="236"/>
        <v>#VALUE!</v>
      </c>
      <c r="AX248" s="667" t="e">
        <f t="shared" si="237"/>
        <v>#VALUE!</v>
      </c>
      <c r="AY248" s="660" t="e">
        <f t="shared" si="238"/>
        <v>#VALUE!</v>
      </c>
      <c r="AZ248" s="670" t="e">
        <f t="shared" si="239"/>
        <v>#VALUE!</v>
      </c>
      <c r="BB248" s="662" t="e">
        <f>INDEX('Vessel Gauging Data'!$B$26:$V$56,MATCH($C248,'Vessel Gauging Data'!$B$26:$B$56,0),$BB$198)</f>
        <v>#N/A</v>
      </c>
      <c r="BC248" s="662" t="e">
        <f>INDEX('Vessel Gauging Data'!$B$26:$V$56,MATCH($C248,'Vessel Gauging Data'!$B$26:$B$56,0),$BC$198)</f>
        <v>#N/A</v>
      </c>
      <c r="BD248" s="662" t="e">
        <f>INDEX('Vessel Gauging Data'!$B$26:$V$56,MATCH($C248,'Vessel Gauging Data'!$B$26:$B$56,0),$BD$198)</f>
        <v>#N/A</v>
      </c>
      <c r="BE248" s="662" t="e">
        <f>INDEX('Vessel Gauging Data'!$B$26:$V$56,MATCH($C248,'Vessel Gauging Data'!$B$26:$B$56,0),$BE$198)</f>
        <v>#N/A</v>
      </c>
    </row>
    <row r="249" spans="1:57" hidden="1">
      <c r="A249" s="641" t="str">
        <f t="shared" si="255"/>
        <v>N</v>
      </c>
      <c r="C249" s="235" t="str">
        <f t="shared" si="259"/>
        <v/>
      </c>
      <c r="D249" s="211" t="str">
        <f t="shared" si="259"/>
        <v/>
      </c>
      <c r="E249" s="1016" t="str">
        <f t="shared" si="258"/>
        <v/>
      </c>
      <c r="F249" s="1016" t="str">
        <f t="shared" si="260"/>
        <v/>
      </c>
      <c r="G249" s="1016" t="str">
        <f t="shared" si="261"/>
        <v/>
      </c>
      <c r="H249" s="1016" t="str">
        <f t="shared" si="261"/>
        <v/>
      </c>
      <c r="I249" s="211" t="str">
        <f t="shared" si="262"/>
        <v/>
      </c>
      <c r="J249" s="1016" t="str">
        <f t="shared" si="263"/>
        <v/>
      </c>
      <c r="K249" s="213" t="str">
        <f t="shared" si="264"/>
        <v/>
      </c>
      <c r="L249" s="212" t="str">
        <f t="shared" si="265"/>
        <v/>
      </c>
      <c r="M249" s="1125" t="str">
        <f>IF(OR($C249="",$C249=0),"",INDEX(API2DENST,MATCH($C249,'Vessel Gauging Data'!$B$27:$B$56,0),$AA$1))</f>
        <v/>
      </c>
      <c r="N249" s="212" t="str">
        <f t="shared" si="266"/>
        <v/>
      </c>
      <c r="O249" s="1016" t="str">
        <f t="shared" si="267"/>
        <v/>
      </c>
      <c r="P249" s="1125" t="str">
        <f t="shared" si="268"/>
        <v/>
      </c>
      <c r="Q249" s="1016" t="str">
        <f t="shared" si="269"/>
        <v/>
      </c>
      <c r="R249" s="214" t="str">
        <f t="shared" si="270"/>
        <v/>
      </c>
      <c r="S249" s="1125" t="str">
        <f t="shared" si="271"/>
        <v/>
      </c>
      <c r="T249" s="236" t="str">
        <f t="shared" si="272"/>
        <v/>
      </c>
      <c r="W249" s="642" t="e">
        <f>INDEX('Vessel Gauging Data'!$B$26:$V$56,MATCH($C249,'Vessel Gauging Data'!$B$26:$B$56,0),$W$198)</f>
        <v>#N/A</v>
      </c>
      <c r="X249" s="642" t="e">
        <f>INDEX('Vessel Gauging Data'!$B$26:$V$56,MATCH($C249,'Vessel Gauging Data'!$B$26:$B$56,0),$X$198)</f>
        <v>#N/A</v>
      </c>
      <c r="Y249" s="642" t="e">
        <f>INDEX('Vessel Gauging Data'!$B$26:$V$56,MATCH($C249,'Vessel Gauging Data'!$B$26:$B$56,0),$Y$198)</f>
        <v>#N/A</v>
      </c>
      <c r="Z249" s="642" t="e">
        <f>INDEX('Vessel Gauging Data'!$B$26:$V$56,MATCH($C249,'Vessel Gauging Data'!$B$26:$B$56,0),$Z$198)</f>
        <v>#N/A</v>
      </c>
      <c r="AB249" s="642" t="e">
        <f>INDEX(API2DENST,MATCH($C249,'Vessel Gauging Data'!$B$27:$B$56,0),1)</f>
        <v>#N/A</v>
      </c>
      <c r="AC249" s="642" t="e">
        <f t="shared" si="220"/>
        <v>#N/A</v>
      </c>
      <c r="AE249" s="661" t="e">
        <f t="shared" si="221"/>
        <v>#VALUE!</v>
      </c>
      <c r="AF249" s="661" t="e">
        <f t="shared" si="222"/>
        <v>#VALUE!</v>
      </c>
      <c r="AH249" s="662" t="str">
        <f t="shared" si="256"/>
        <v/>
      </c>
      <c r="AI249" s="662" t="str">
        <f t="shared" si="257"/>
        <v/>
      </c>
      <c r="AJ249" s="663">
        <f t="shared" si="223"/>
        <v>192.4571</v>
      </c>
      <c r="AK249" s="660">
        <f t="shared" si="224"/>
        <v>0.24379999999999999</v>
      </c>
      <c r="AL249" s="660" t="e">
        <f t="shared" si="225"/>
        <v>#VALUE!</v>
      </c>
      <c r="AM249" s="664" t="e">
        <f t="shared" si="226"/>
        <v>#VALUE!</v>
      </c>
      <c r="AN249" s="664" t="e">
        <f t="shared" si="227"/>
        <v>#VALUE!</v>
      </c>
      <c r="AO249" s="665" t="e">
        <f t="shared" si="228"/>
        <v>#VALUE!</v>
      </c>
      <c r="AP249" s="666" t="e">
        <f t="shared" si="229"/>
        <v>#VALUE!</v>
      </c>
      <c r="AQ249" s="660" t="e">
        <f t="shared" si="230"/>
        <v>#VALUE!</v>
      </c>
      <c r="AR249" s="667" t="e">
        <f t="shared" si="231"/>
        <v>#VALUE!</v>
      </c>
      <c r="AS249" s="667" t="e">
        <f t="shared" si="232"/>
        <v>#VALUE!</v>
      </c>
      <c r="AT249" s="668" t="e">
        <f t="shared" si="233"/>
        <v>#VALUE!</v>
      </c>
      <c r="AU249" s="667" t="e">
        <f t="shared" si="234"/>
        <v>#VALUE!</v>
      </c>
      <c r="AV249" s="669" t="e">
        <f t="shared" si="235"/>
        <v>#VALUE!</v>
      </c>
      <c r="AW249" s="667" t="e">
        <f t="shared" si="236"/>
        <v>#VALUE!</v>
      </c>
      <c r="AX249" s="667" t="e">
        <f t="shared" si="237"/>
        <v>#VALUE!</v>
      </c>
      <c r="AY249" s="660" t="e">
        <f t="shared" si="238"/>
        <v>#VALUE!</v>
      </c>
      <c r="AZ249" s="670" t="e">
        <f t="shared" si="239"/>
        <v>#VALUE!</v>
      </c>
      <c r="BB249" s="662" t="e">
        <f>INDEX('Vessel Gauging Data'!$B$26:$V$56,MATCH($C249,'Vessel Gauging Data'!$B$26:$B$56,0),$BB$198)</f>
        <v>#N/A</v>
      </c>
      <c r="BC249" s="662" t="e">
        <f>INDEX('Vessel Gauging Data'!$B$26:$V$56,MATCH($C249,'Vessel Gauging Data'!$B$26:$B$56,0),$BC$198)</f>
        <v>#N/A</v>
      </c>
      <c r="BD249" s="662" t="e">
        <f>INDEX('Vessel Gauging Data'!$B$26:$V$56,MATCH($C249,'Vessel Gauging Data'!$B$26:$B$56,0),$BD$198)</f>
        <v>#N/A</v>
      </c>
      <c r="BE249" s="662" t="e">
        <f>INDEX('Vessel Gauging Data'!$B$26:$V$56,MATCH($C249,'Vessel Gauging Data'!$B$26:$B$56,0),$BE$198)</f>
        <v>#N/A</v>
      </c>
    </row>
    <row r="250" spans="1:57" hidden="1">
      <c r="A250" s="641" t="str">
        <f t="shared" si="255"/>
        <v>N</v>
      </c>
      <c r="C250" s="235" t="str">
        <f t="shared" si="259"/>
        <v/>
      </c>
      <c r="D250" s="211" t="str">
        <f t="shared" si="259"/>
        <v/>
      </c>
      <c r="E250" s="1016" t="str">
        <f t="shared" si="258"/>
        <v/>
      </c>
      <c r="F250" s="1016" t="str">
        <f t="shared" si="260"/>
        <v/>
      </c>
      <c r="G250" s="1016" t="str">
        <f t="shared" si="261"/>
        <v/>
      </c>
      <c r="H250" s="1016" t="str">
        <f t="shared" si="261"/>
        <v/>
      </c>
      <c r="I250" s="211" t="str">
        <f t="shared" si="262"/>
        <v/>
      </c>
      <c r="J250" s="1016" t="str">
        <f t="shared" si="263"/>
        <v/>
      </c>
      <c r="K250" s="213" t="str">
        <f t="shared" si="264"/>
        <v/>
      </c>
      <c r="L250" s="212" t="str">
        <f t="shared" si="265"/>
        <v/>
      </c>
      <c r="M250" s="1125" t="str">
        <f>IF(OR($C250="",$C250=0),"",INDEX(API2DENST,MATCH($C250,'Vessel Gauging Data'!$B$27:$B$56,0),$AA$1))</f>
        <v/>
      </c>
      <c r="N250" s="212" t="str">
        <f t="shared" si="266"/>
        <v/>
      </c>
      <c r="O250" s="1016" t="str">
        <f t="shared" si="267"/>
        <v/>
      </c>
      <c r="P250" s="1125" t="str">
        <f t="shared" si="268"/>
        <v/>
      </c>
      <c r="Q250" s="1016" t="str">
        <f t="shared" si="269"/>
        <v/>
      </c>
      <c r="R250" s="214" t="str">
        <f t="shared" si="270"/>
        <v/>
      </c>
      <c r="S250" s="1125" t="str">
        <f t="shared" si="271"/>
        <v/>
      </c>
      <c r="T250" s="236" t="str">
        <f t="shared" si="272"/>
        <v/>
      </c>
      <c r="W250" s="642" t="e">
        <f>INDEX('Vessel Gauging Data'!$B$26:$V$56,MATCH($C250,'Vessel Gauging Data'!$B$26:$B$56,0),$W$198)</f>
        <v>#N/A</v>
      </c>
      <c r="X250" s="642" t="e">
        <f>INDEX('Vessel Gauging Data'!$B$26:$V$56,MATCH($C250,'Vessel Gauging Data'!$B$26:$B$56,0),$X$198)</f>
        <v>#N/A</v>
      </c>
      <c r="Y250" s="642" t="e">
        <f>INDEX('Vessel Gauging Data'!$B$26:$V$56,MATCH($C250,'Vessel Gauging Data'!$B$26:$B$56,0),$Y$198)</f>
        <v>#N/A</v>
      </c>
      <c r="Z250" s="642" t="e">
        <f>INDEX('Vessel Gauging Data'!$B$26:$V$56,MATCH($C250,'Vessel Gauging Data'!$B$26:$B$56,0),$Z$198)</f>
        <v>#N/A</v>
      </c>
      <c r="AB250" s="642" t="e">
        <f>INDEX(API2DENST,MATCH($C250,'Vessel Gauging Data'!$B$27:$B$56,0),1)</f>
        <v>#N/A</v>
      </c>
      <c r="AC250" s="642" t="e">
        <f t="shared" si="220"/>
        <v>#N/A</v>
      </c>
      <c r="AE250" s="661" t="e">
        <f t="shared" si="221"/>
        <v>#VALUE!</v>
      </c>
      <c r="AF250" s="661" t="e">
        <f t="shared" si="222"/>
        <v>#VALUE!</v>
      </c>
      <c r="AH250" s="662" t="str">
        <f t="shared" si="256"/>
        <v/>
      </c>
      <c r="AI250" s="662" t="str">
        <f t="shared" si="257"/>
        <v/>
      </c>
      <c r="AJ250" s="663">
        <f t="shared" si="223"/>
        <v>192.4571</v>
      </c>
      <c r="AK250" s="660">
        <f t="shared" si="224"/>
        <v>0.24379999999999999</v>
      </c>
      <c r="AL250" s="660" t="e">
        <f t="shared" si="225"/>
        <v>#VALUE!</v>
      </c>
      <c r="AM250" s="664" t="e">
        <f t="shared" si="226"/>
        <v>#VALUE!</v>
      </c>
      <c r="AN250" s="664" t="e">
        <f t="shared" si="227"/>
        <v>#VALUE!</v>
      </c>
      <c r="AO250" s="665" t="e">
        <f t="shared" si="228"/>
        <v>#VALUE!</v>
      </c>
      <c r="AP250" s="666" t="e">
        <f t="shared" si="229"/>
        <v>#VALUE!</v>
      </c>
      <c r="AQ250" s="660" t="e">
        <f t="shared" si="230"/>
        <v>#VALUE!</v>
      </c>
      <c r="AR250" s="667" t="e">
        <f t="shared" si="231"/>
        <v>#VALUE!</v>
      </c>
      <c r="AS250" s="667" t="e">
        <f t="shared" si="232"/>
        <v>#VALUE!</v>
      </c>
      <c r="AT250" s="668" t="e">
        <f t="shared" si="233"/>
        <v>#VALUE!</v>
      </c>
      <c r="AU250" s="667" t="e">
        <f t="shared" si="234"/>
        <v>#VALUE!</v>
      </c>
      <c r="AV250" s="669" t="e">
        <f t="shared" si="235"/>
        <v>#VALUE!</v>
      </c>
      <c r="AW250" s="667" t="e">
        <f t="shared" si="236"/>
        <v>#VALUE!</v>
      </c>
      <c r="AX250" s="667" t="e">
        <f t="shared" si="237"/>
        <v>#VALUE!</v>
      </c>
      <c r="AY250" s="660" t="e">
        <f t="shared" si="238"/>
        <v>#VALUE!</v>
      </c>
      <c r="AZ250" s="670" t="e">
        <f t="shared" si="239"/>
        <v>#VALUE!</v>
      </c>
      <c r="BB250" s="662" t="e">
        <f>INDEX('Vessel Gauging Data'!$B$26:$V$56,MATCH($C250,'Vessel Gauging Data'!$B$26:$B$56,0),$BB$198)</f>
        <v>#N/A</v>
      </c>
      <c r="BC250" s="662" t="e">
        <f>INDEX('Vessel Gauging Data'!$B$26:$V$56,MATCH($C250,'Vessel Gauging Data'!$B$26:$B$56,0),$BC$198)</f>
        <v>#N/A</v>
      </c>
      <c r="BD250" s="662" t="e">
        <f>INDEX('Vessel Gauging Data'!$B$26:$V$56,MATCH($C250,'Vessel Gauging Data'!$B$26:$B$56,0),$BD$198)</f>
        <v>#N/A</v>
      </c>
      <c r="BE250" s="662" t="e">
        <f>INDEX('Vessel Gauging Data'!$B$26:$V$56,MATCH($C250,'Vessel Gauging Data'!$B$26:$B$56,0),$BE$198)</f>
        <v>#N/A</v>
      </c>
    </row>
    <row r="251" spans="1:57" hidden="1">
      <c r="A251" s="641" t="str">
        <f t="shared" si="255"/>
        <v>N</v>
      </c>
      <c r="C251" s="235" t="str">
        <f t="shared" si="259"/>
        <v/>
      </c>
      <c r="D251" s="211" t="str">
        <f t="shared" si="259"/>
        <v/>
      </c>
      <c r="E251" s="1016" t="str">
        <f t="shared" si="258"/>
        <v/>
      </c>
      <c r="F251" s="1016" t="str">
        <f t="shared" si="260"/>
        <v/>
      </c>
      <c r="G251" s="1016" t="str">
        <f t="shared" si="261"/>
        <v/>
      </c>
      <c r="H251" s="1016" t="str">
        <f t="shared" si="261"/>
        <v/>
      </c>
      <c r="I251" s="211" t="str">
        <f t="shared" si="262"/>
        <v/>
      </c>
      <c r="J251" s="1016" t="str">
        <f t="shared" si="263"/>
        <v/>
      </c>
      <c r="K251" s="213" t="str">
        <f t="shared" si="264"/>
        <v/>
      </c>
      <c r="L251" s="212" t="str">
        <f t="shared" si="265"/>
        <v/>
      </c>
      <c r="M251" s="1125" t="str">
        <f>IF(OR($C251="",$C251=0),"",INDEX(API2DENST,MATCH($C251,'Vessel Gauging Data'!$B$27:$B$56,0),$AA$1))</f>
        <v/>
      </c>
      <c r="N251" s="212" t="str">
        <f t="shared" si="266"/>
        <v/>
      </c>
      <c r="O251" s="1016" t="str">
        <f t="shared" si="267"/>
        <v/>
      </c>
      <c r="P251" s="1125" t="str">
        <f t="shared" si="268"/>
        <v/>
      </c>
      <c r="Q251" s="1016" t="str">
        <f t="shared" si="269"/>
        <v/>
      </c>
      <c r="R251" s="214" t="str">
        <f t="shared" si="270"/>
        <v/>
      </c>
      <c r="S251" s="1125" t="str">
        <f t="shared" si="271"/>
        <v/>
      </c>
      <c r="T251" s="236" t="str">
        <f t="shared" si="272"/>
        <v/>
      </c>
      <c r="W251" s="642" t="e">
        <f>INDEX('Vessel Gauging Data'!$B$26:$V$56,MATCH($C251,'Vessel Gauging Data'!$B$26:$B$56,0),$W$198)</f>
        <v>#N/A</v>
      </c>
      <c r="X251" s="642" t="e">
        <f>INDEX('Vessel Gauging Data'!$B$26:$V$56,MATCH($C251,'Vessel Gauging Data'!$B$26:$B$56,0),$X$198)</f>
        <v>#N/A</v>
      </c>
      <c r="Y251" s="642" t="e">
        <f>INDEX('Vessel Gauging Data'!$B$26:$V$56,MATCH($C251,'Vessel Gauging Data'!$B$26:$B$56,0),$Y$198)</f>
        <v>#N/A</v>
      </c>
      <c r="Z251" s="642" t="e">
        <f>INDEX('Vessel Gauging Data'!$B$26:$V$56,MATCH($C251,'Vessel Gauging Data'!$B$26:$B$56,0),$Z$198)</f>
        <v>#N/A</v>
      </c>
      <c r="AB251" s="642" t="e">
        <f>INDEX(API2DENST,MATCH($C251,'Vessel Gauging Data'!$B$27:$B$56,0),1)</f>
        <v>#N/A</v>
      </c>
      <c r="AC251" s="642" t="e">
        <f t="shared" si="220"/>
        <v>#N/A</v>
      </c>
      <c r="AE251" s="661" t="e">
        <f t="shared" si="221"/>
        <v>#VALUE!</v>
      </c>
      <c r="AF251" s="661" t="e">
        <f t="shared" si="222"/>
        <v>#VALUE!</v>
      </c>
      <c r="AH251" s="662" t="str">
        <f t="shared" si="256"/>
        <v/>
      </c>
      <c r="AI251" s="662" t="str">
        <f t="shared" si="257"/>
        <v/>
      </c>
      <c r="AJ251" s="663">
        <f t="shared" si="223"/>
        <v>192.4571</v>
      </c>
      <c r="AK251" s="660">
        <f t="shared" si="224"/>
        <v>0.24379999999999999</v>
      </c>
      <c r="AL251" s="660" t="e">
        <f t="shared" si="225"/>
        <v>#VALUE!</v>
      </c>
      <c r="AM251" s="664" t="e">
        <f t="shared" si="226"/>
        <v>#VALUE!</v>
      </c>
      <c r="AN251" s="664" t="e">
        <f t="shared" si="227"/>
        <v>#VALUE!</v>
      </c>
      <c r="AO251" s="665" t="e">
        <f t="shared" si="228"/>
        <v>#VALUE!</v>
      </c>
      <c r="AP251" s="666" t="e">
        <f t="shared" si="229"/>
        <v>#VALUE!</v>
      </c>
      <c r="AQ251" s="660" t="e">
        <f t="shared" si="230"/>
        <v>#VALUE!</v>
      </c>
      <c r="AR251" s="667" t="e">
        <f t="shared" si="231"/>
        <v>#VALUE!</v>
      </c>
      <c r="AS251" s="667" t="e">
        <f t="shared" si="232"/>
        <v>#VALUE!</v>
      </c>
      <c r="AT251" s="668" t="e">
        <f t="shared" si="233"/>
        <v>#VALUE!</v>
      </c>
      <c r="AU251" s="667" t="e">
        <f t="shared" si="234"/>
        <v>#VALUE!</v>
      </c>
      <c r="AV251" s="669" t="e">
        <f t="shared" si="235"/>
        <v>#VALUE!</v>
      </c>
      <c r="AW251" s="667" t="e">
        <f t="shared" si="236"/>
        <v>#VALUE!</v>
      </c>
      <c r="AX251" s="667" t="e">
        <f t="shared" si="237"/>
        <v>#VALUE!</v>
      </c>
      <c r="AY251" s="660" t="e">
        <f t="shared" si="238"/>
        <v>#VALUE!</v>
      </c>
      <c r="AZ251" s="670" t="e">
        <f t="shared" si="239"/>
        <v>#VALUE!</v>
      </c>
      <c r="BB251" s="662" t="e">
        <f>INDEX('Vessel Gauging Data'!$B$26:$V$56,MATCH($C251,'Vessel Gauging Data'!$B$26:$B$56,0),$BB$198)</f>
        <v>#N/A</v>
      </c>
      <c r="BC251" s="662" t="e">
        <f>INDEX('Vessel Gauging Data'!$B$26:$V$56,MATCH($C251,'Vessel Gauging Data'!$B$26:$B$56,0),$BC$198)</f>
        <v>#N/A</v>
      </c>
      <c r="BD251" s="662" t="e">
        <f>INDEX('Vessel Gauging Data'!$B$26:$V$56,MATCH($C251,'Vessel Gauging Data'!$B$26:$B$56,0),$BD$198)</f>
        <v>#N/A</v>
      </c>
      <c r="BE251" s="662" t="e">
        <f>INDEX('Vessel Gauging Data'!$B$26:$V$56,MATCH($C251,'Vessel Gauging Data'!$B$26:$B$56,0),$BE$198)</f>
        <v>#N/A</v>
      </c>
    </row>
    <row r="252" spans="1:57" hidden="1">
      <c r="A252" s="641" t="str">
        <f t="shared" si="255"/>
        <v>N</v>
      </c>
      <c r="C252" s="235" t="str">
        <f t="shared" si="259"/>
        <v/>
      </c>
      <c r="D252" s="211" t="str">
        <f t="shared" si="259"/>
        <v/>
      </c>
      <c r="E252" s="1016" t="str">
        <f t="shared" si="258"/>
        <v/>
      </c>
      <c r="F252" s="1016" t="str">
        <f t="shared" si="260"/>
        <v/>
      </c>
      <c r="G252" s="1016" t="str">
        <f t="shared" si="261"/>
        <v/>
      </c>
      <c r="H252" s="1016" t="str">
        <f t="shared" si="261"/>
        <v/>
      </c>
      <c r="I252" s="211" t="str">
        <f t="shared" si="262"/>
        <v/>
      </c>
      <c r="J252" s="1016" t="str">
        <f t="shared" si="263"/>
        <v/>
      </c>
      <c r="K252" s="213" t="str">
        <f t="shared" si="264"/>
        <v/>
      </c>
      <c r="L252" s="212" t="str">
        <f t="shared" si="265"/>
        <v/>
      </c>
      <c r="M252" s="1125" t="str">
        <f>IF(OR($C252="",$C252=0),"",INDEX(API2DENST,MATCH($C252,'Vessel Gauging Data'!$B$27:$B$56,0),$AA$1))</f>
        <v/>
      </c>
      <c r="N252" s="212" t="str">
        <f t="shared" si="266"/>
        <v/>
      </c>
      <c r="O252" s="1016" t="str">
        <f t="shared" si="267"/>
        <v/>
      </c>
      <c r="P252" s="1125" t="str">
        <f t="shared" si="268"/>
        <v/>
      </c>
      <c r="Q252" s="1016" t="str">
        <f t="shared" si="269"/>
        <v/>
      </c>
      <c r="R252" s="214" t="str">
        <f t="shared" si="270"/>
        <v/>
      </c>
      <c r="S252" s="1125" t="str">
        <f t="shared" si="271"/>
        <v/>
      </c>
      <c r="T252" s="236" t="str">
        <f t="shared" si="272"/>
        <v/>
      </c>
      <c r="W252" s="642" t="e">
        <f>INDEX('Vessel Gauging Data'!$B$26:$V$56,MATCH($C252,'Vessel Gauging Data'!$B$26:$B$56,0),$W$198)</f>
        <v>#N/A</v>
      </c>
      <c r="X252" s="642" t="e">
        <f>INDEX('Vessel Gauging Data'!$B$26:$V$56,MATCH($C252,'Vessel Gauging Data'!$B$26:$B$56,0),$X$198)</f>
        <v>#N/A</v>
      </c>
      <c r="Y252" s="642" t="e">
        <f>INDEX('Vessel Gauging Data'!$B$26:$V$56,MATCH($C252,'Vessel Gauging Data'!$B$26:$B$56,0),$Y$198)</f>
        <v>#N/A</v>
      </c>
      <c r="Z252" s="642" t="e">
        <f>INDEX('Vessel Gauging Data'!$B$26:$V$56,MATCH($C252,'Vessel Gauging Data'!$B$26:$B$56,0),$Z$198)</f>
        <v>#N/A</v>
      </c>
      <c r="AB252" s="642" t="e">
        <f>INDEX(API2DENST,MATCH($C252,'Vessel Gauging Data'!$B$27:$B$56,0),1)</f>
        <v>#N/A</v>
      </c>
      <c r="AC252" s="642" t="e">
        <f t="shared" si="220"/>
        <v>#N/A</v>
      </c>
      <c r="AE252" s="661" t="e">
        <f t="shared" si="221"/>
        <v>#VALUE!</v>
      </c>
      <c r="AF252" s="661" t="e">
        <f t="shared" si="222"/>
        <v>#VALUE!</v>
      </c>
      <c r="AH252" s="662" t="str">
        <f t="shared" si="256"/>
        <v/>
      </c>
      <c r="AI252" s="662" t="str">
        <f t="shared" si="257"/>
        <v/>
      </c>
      <c r="AJ252" s="663">
        <f t="shared" si="223"/>
        <v>192.4571</v>
      </c>
      <c r="AK252" s="660">
        <f t="shared" si="224"/>
        <v>0.24379999999999999</v>
      </c>
      <c r="AL252" s="660" t="e">
        <f t="shared" si="225"/>
        <v>#VALUE!</v>
      </c>
      <c r="AM252" s="664" t="e">
        <f t="shared" si="226"/>
        <v>#VALUE!</v>
      </c>
      <c r="AN252" s="664" t="e">
        <f t="shared" si="227"/>
        <v>#VALUE!</v>
      </c>
      <c r="AO252" s="665" t="e">
        <f t="shared" si="228"/>
        <v>#VALUE!</v>
      </c>
      <c r="AP252" s="666" t="e">
        <f t="shared" si="229"/>
        <v>#VALUE!</v>
      </c>
      <c r="AQ252" s="660" t="e">
        <f t="shared" si="230"/>
        <v>#VALUE!</v>
      </c>
      <c r="AR252" s="667" t="e">
        <f t="shared" si="231"/>
        <v>#VALUE!</v>
      </c>
      <c r="AS252" s="667" t="e">
        <f t="shared" si="232"/>
        <v>#VALUE!</v>
      </c>
      <c r="AT252" s="668" t="e">
        <f t="shared" si="233"/>
        <v>#VALUE!</v>
      </c>
      <c r="AU252" s="667" t="e">
        <f t="shared" si="234"/>
        <v>#VALUE!</v>
      </c>
      <c r="AV252" s="669" t="e">
        <f t="shared" si="235"/>
        <v>#VALUE!</v>
      </c>
      <c r="AW252" s="667" t="e">
        <f t="shared" si="236"/>
        <v>#VALUE!</v>
      </c>
      <c r="AX252" s="667" t="e">
        <f t="shared" si="237"/>
        <v>#VALUE!</v>
      </c>
      <c r="AY252" s="660" t="e">
        <f t="shared" si="238"/>
        <v>#VALUE!</v>
      </c>
      <c r="AZ252" s="670" t="e">
        <f t="shared" si="239"/>
        <v>#VALUE!</v>
      </c>
      <c r="BB252" s="662" t="e">
        <f>INDEX('Vessel Gauging Data'!$B$26:$V$56,MATCH($C252,'Vessel Gauging Data'!$B$26:$B$56,0),$BB$198)</f>
        <v>#N/A</v>
      </c>
      <c r="BC252" s="662" t="e">
        <f>INDEX('Vessel Gauging Data'!$B$26:$V$56,MATCH($C252,'Vessel Gauging Data'!$B$26:$B$56,0),$BC$198)</f>
        <v>#N/A</v>
      </c>
      <c r="BD252" s="662" t="e">
        <f>INDEX('Vessel Gauging Data'!$B$26:$V$56,MATCH($C252,'Vessel Gauging Data'!$B$26:$B$56,0),$BD$198)</f>
        <v>#N/A</v>
      </c>
      <c r="BE252" s="662" t="e">
        <f>INDEX('Vessel Gauging Data'!$B$26:$V$56,MATCH($C252,'Vessel Gauging Data'!$B$26:$B$56,0),$BE$198)</f>
        <v>#N/A</v>
      </c>
    </row>
    <row r="253" spans="1:57" hidden="1">
      <c r="A253" s="641" t="str">
        <f t="shared" si="255"/>
        <v>N</v>
      </c>
      <c r="C253" s="235" t="str">
        <f t="shared" si="259"/>
        <v/>
      </c>
      <c r="D253" s="211" t="str">
        <f t="shared" si="259"/>
        <v/>
      </c>
      <c r="E253" s="1016" t="str">
        <f t="shared" si="258"/>
        <v/>
      </c>
      <c r="F253" s="1016" t="str">
        <f t="shared" si="260"/>
        <v/>
      </c>
      <c r="G253" s="1016" t="str">
        <f t="shared" si="261"/>
        <v/>
      </c>
      <c r="H253" s="1016" t="str">
        <f t="shared" si="261"/>
        <v/>
      </c>
      <c r="I253" s="211" t="str">
        <f t="shared" si="262"/>
        <v/>
      </c>
      <c r="J253" s="1016" t="str">
        <f t="shared" si="263"/>
        <v/>
      </c>
      <c r="K253" s="213" t="str">
        <f t="shared" si="264"/>
        <v/>
      </c>
      <c r="L253" s="212" t="str">
        <f t="shared" si="265"/>
        <v/>
      </c>
      <c r="M253" s="1125" t="str">
        <f>IF(OR($C253="",$C253=0),"",INDEX(API2DENST,MATCH($C253,'Vessel Gauging Data'!$B$27:$B$56,0),$AA$1))</f>
        <v/>
      </c>
      <c r="N253" s="212" t="str">
        <f t="shared" si="266"/>
        <v/>
      </c>
      <c r="O253" s="1016" t="str">
        <f t="shared" si="267"/>
        <v/>
      </c>
      <c r="P253" s="1125" t="str">
        <f t="shared" si="268"/>
        <v/>
      </c>
      <c r="Q253" s="1016" t="str">
        <f t="shared" si="269"/>
        <v/>
      </c>
      <c r="R253" s="214" t="str">
        <f t="shared" si="270"/>
        <v/>
      </c>
      <c r="S253" s="1125" t="str">
        <f t="shared" si="271"/>
        <v/>
      </c>
      <c r="T253" s="236" t="str">
        <f t="shared" si="272"/>
        <v/>
      </c>
      <c r="W253" s="642" t="e">
        <f>INDEX('Vessel Gauging Data'!$B$26:$V$56,MATCH($C253,'Vessel Gauging Data'!$B$26:$B$56,0),$W$198)</f>
        <v>#N/A</v>
      </c>
      <c r="X253" s="642" t="e">
        <f>INDEX('Vessel Gauging Data'!$B$26:$V$56,MATCH($C253,'Vessel Gauging Data'!$B$26:$B$56,0),$X$198)</f>
        <v>#N/A</v>
      </c>
      <c r="Y253" s="642" t="e">
        <f>INDEX('Vessel Gauging Data'!$B$26:$V$56,MATCH($C253,'Vessel Gauging Data'!$B$26:$B$56,0),$Y$198)</f>
        <v>#N/A</v>
      </c>
      <c r="Z253" s="642" t="e">
        <f>INDEX('Vessel Gauging Data'!$B$26:$V$56,MATCH($C253,'Vessel Gauging Data'!$B$26:$B$56,0),$Z$198)</f>
        <v>#N/A</v>
      </c>
      <c r="AB253" s="642" t="e">
        <f>INDEX(API2DENST,MATCH($C253,'Vessel Gauging Data'!$B$27:$B$56,0),1)</f>
        <v>#N/A</v>
      </c>
      <c r="AC253" s="642" t="e">
        <f t="shared" si="220"/>
        <v>#N/A</v>
      </c>
      <c r="AE253" s="661" t="e">
        <f t="shared" si="221"/>
        <v>#VALUE!</v>
      </c>
      <c r="AF253" s="661" t="e">
        <f t="shared" si="222"/>
        <v>#VALUE!</v>
      </c>
      <c r="AH253" s="662" t="str">
        <f t="shared" si="256"/>
        <v/>
      </c>
      <c r="AI253" s="662" t="str">
        <f t="shared" si="257"/>
        <v/>
      </c>
      <c r="AJ253" s="663">
        <f t="shared" si="223"/>
        <v>192.4571</v>
      </c>
      <c r="AK253" s="660">
        <f t="shared" si="224"/>
        <v>0.24379999999999999</v>
      </c>
      <c r="AL253" s="660" t="e">
        <f t="shared" si="225"/>
        <v>#VALUE!</v>
      </c>
      <c r="AM253" s="664" t="e">
        <f t="shared" si="226"/>
        <v>#VALUE!</v>
      </c>
      <c r="AN253" s="664" t="e">
        <f t="shared" si="227"/>
        <v>#VALUE!</v>
      </c>
      <c r="AO253" s="665" t="e">
        <f t="shared" si="228"/>
        <v>#VALUE!</v>
      </c>
      <c r="AP253" s="666" t="e">
        <f t="shared" si="229"/>
        <v>#VALUE!</v>
      </c>
      <c r="AQ253" s="660" t="e">
        <f t="shared" si="230"/>
        <v>#VALUE!</v>
      </c>
      <c r="AR253" s="667" t="e">
        <f t="shared" si="231"/>
        <v>#VALUE!</v>
      </c>
      <c r="AS253" s="667" t="e">
        <f t="shared" si="232"/>
        <v>#VALUE!</v>
      </c>
      <c r="AT253" s="668" t="e">
        <f t="shared" si="233"/>
        <v>#VALUE!</v>
      </c>
      <c r="AU253" s="667" t="e">
        <f t="shared" si="234"/>
        <v>#VALUE!</v>
      </c>
      <c r="AV253" s="669" t="e">
        <f t="shared" si="235"/>
        <v>#VALUE!</v>
      </c>
      <c r="AW253" s="667" t="e">
        <f t="shared" si="236"/>
        <v>#VALUE!</v>
      </c>
      <c r="AX253" s="667" t="e">
        <f t="shared" si="237"/>
        <v>#VALUE!</v>
      </c>
      <c r="AY253" s="660" t="e">
        <f t="shared" si="238"/>
        <v>#VALUE!</v>
      </c>
      <c r="AZ253" s="670" t="e">
        <f t="shared" si="239"/>
        <v>#VALUE!</v>
      </c>
      <c r="BB253" s="662" t="e">
        <f>INDEX('Vessel Gauging Data'!$B$26:$V$56,MATCH($C253,'Vessel Gauging Data'!$B$26:$B$56,0),$BB$198)</f>
        <v>#N/A</v>
      </c>
      <c r="BC253" s="662" t="e">
        <f>INDEX('Vessel Gauging Data'!$B$26:$V$56,MATCH($C253,'Vessel Gauging Data'!$B$26:$B$56,0),$BC$198)</f>
        <v>#N/A</v>
      </c>
      <c r="BD253" s="662" t="e">
        <f>INDEX('Vessel Gauging Data'!$B$26:$V$56,MATCH($C253,'Vessel Gauging Data'!$B$26:$B$56,0),$BD$198)</f>
        <v>#N/A</v>
      </c>
      <c r="BE253" s="662" t="e">
        <f>INDEX('Vessel Gauging Data'!$B$26:$V$56,MATCH($C253,'Vessel Gauging Data'!$B$26:$B$56,0),$BE$198)</f>
        <v>#N/A</v>
      </c>
    </row>
    <row r="254" spans="1:57" hidden="1">
      <c r="A254" s="641" t="str">
        <f t="shared" si="255"/>
        <v>N</v>
      </c>
      <c r="C254" s="235" t="str">
        <f t="shared" si="259"/>
        <v/>
      </c>
      <c r="D254" s="211" t="str">
        <f t="shared" si="259"/>
        <v/>
      </c>
      <c r="E254" s="1016" t="str">
        <f t="shared" si="258"/>
        <v/>
      </c>
      <c r="F254" s="1016" t="str">
        <f t="shared" si="260"/>
        <v/>
      </c>
      <c r="G254" s="1016" t="str">
        <f t="shared" si="261"/>
        <v/>
      </c>
      <c r="H254" s="1016" t="str">
        <f t="shared" si="261"/>
        <v/>
      </c>
      <c r="I254" s="211" t="str">
        <f t="shared" si="262"/>
        <v/>
      </c>
      <c r="J254" s="1016" t="str">
        <f t="shared" si="263"/>
        <v/>
      </c>
      <c r="K254" s="213" t="str">
        <f t="shared" si="264"/>
        <v/>
      </c>
      <c r="L254" s="212" t="str">
        <f t="shared" si="265"/>
        <v/>
      </c>
      <c r="M254" s="1125" t="str">
        <f>IF(OR($C254="",$C254=0),"",INDEX(API2DENST,MATCH($C254,'Vessel Gauging Data'!$B$27:$B$56,0),$AA$1))</f>
        <v/>
      </c>
      <c r="N254" s="212" t="str">
        <f t="shared" si="266"/>
        <v/>
      </c>
      <c r="O254" s="1016" t="str">
        <f t="shared" si="267"/>
        <v/>
      </c>
      <c r="P254" s="1125" t="str">
        <f t="shared" si="268"/>
        <v/>
      </c>
      <c r="Q254" s="1016" t="str">
        <f t="shared" si="269"/>
        <v/>
      </c>
      <c r="R254" s="214" t="str">
        <f t="shared" si="270"/>
        <v/>
      </c>
      <c r="S254" s="1125" t="str">
        <f t="shared" si="271"/>
        <v/>
      </c>
      <c r="T254" s="236" t="str">
        <f t="shared" si="272"/>
        <v/>
      </c>
      <c r="W254" s="642" t="e">
        <f>INDEX('Vessel Gauging Data'!$B$26:$V$56,MATCH($C254,'Vessel Gauging Data'!$B$26:$B$56,0),$W$198)</f>
        <v>#N/A</v>
      </c>
      <c r="X254" s="642" t="e">
        <f>INDEX('Vessel Gauging Data'!$B$26:$V$56,MATCH($C254,'Vessel Gauging Data'!$B$26:$B$56,0),$X$198)</f>
        <v>#N/A</v>
      </c>
      <c r="Y254" s="642" t="e">
        <f>INDEX('Vessel Gauging Data'!$B$26:$V$56,MATCH($C254,'Vessel Gauging Data'!$B$26:$B$56,0),$Y$198)</f>
        <v>#N/A</v>
      </c>
      <c r="Z254" s="642" t="e">
        <f>INDEX('Vessel Gauging Data'!$B$26:$V$56,MATCH($C254,'Vessel Gauging Data'!$B$26:$B$56,0),$Z$198)</f>
        <v>#N/A</v>
      </c>
      <c r="AB254" s="642" t="e">
        <f>INDEX(API2DENST,MATCH($C254,'Vessel Gauging Data'!$B$27:$B$56,0),1)</f>
        <v>#N/A</v>
      </c>
      <c r="AC254" s="642" t="e">
        <f t="shared" si="220"/>
        <v>#N/A</v>
      </c>
      <c r="AE254" s="661" t="e">
        <f t="shared" si="221"/>
        <v>#VALUE!</v>
      </c>
      <c r="AF254" s="661" t="e">
        <f t="shared" si="222"/>
        <v>#VALUE!</v>
      </c>
      <c r="AH254" s="662" t="str">
        <f t="shared" si="256"/>
        <v/>
      </c>
      <c r="AI254" s="662" t="str">
        <f t="shared" si="257"/>
        <v/>
      </c>
      <c r="AJ254" s="663">
        <f t="shared" si="223"/>
        <v>192.4571</v>
      </c>
      <c r="AK254" s="660">
        <f t="shared" si="224"/>
        <v>0.24379999999999999</v>
      </c>
      <c r="AL254" s="660" t="e">
        <f t="shared" si="225"/>
        <v>#VALUE!</v>
      </c>
      <c r="AM254" s="664" t="e">
        <f t="shared" si="226"/>
        <v>#VALUE!</v>
      </c>
      <c r="AN254" s="664" t="e">
        <f t="shared" si="227"/>
        <v>#VALUE!</v>
      </c>
      <c r="AO254" s="665" t="e">
        <f t="shared" si="228"/>
        <v>#VALUE!</v>
      </c>
      <c r="AP254" s="666" t="e">
        <f t="shared" si="229"/>
        <v>#VALUE!</v>
      </c>
      <c r="AQ254" s="660" t="e">
        <f t="shared" si="230"/>
        <v>#VALUE!</v>
      </c>
      <c r="AR254" s="667" t="e">
        <f t="shared" si="231"/>
        <v>#VALUE!</v>
      </c>
      <c r="AS254" s="667" t="e">
        <f t="shared" si="232"/>
        <v>#VALUE!</v>
      </c>
      <c r="AT254" s="668" t="e">
        <f t="shared" si="233"/>
        <v>#VALUE!</v>
      </c>
      <c r="AU254" s="667" t="e">
        <f t="shared" si="234"/>
        <v>#VALUE!</v>
      </c>
      <c r="AV254" s="669" t="e">
        <f t="shared" si="235"/>
        <v>#VALUE!</v>
      </c>
      <c r="AW254" s="667" t="e">
        <f t="shared" si="236"/>
        <v>#VALUE!</v>
      </c>
      <c r="AX254" s="667" t="e">
        <f t="shared" si="237"/>
        <v>#VALUE!</v>
      </c>
      <c r="AY254" s="660" t="e">
        <f t="shared" si="238"/>
        <v>#VALUE!</v>
      </c>
      <c r="AZ254" s="670" t="e">
        <f t="shared" si="239"/>
        <v>#VALUE!</v>
      </c>
      <c r="BB254" s="662" t="e">
        <f>INDEX('Vessel Gauging Data'!$B$26:$V$56,MATCH($C254,'Vessel Gauging Data'!$B$26:$B$56,0),$BB$198)</f>
        <v>#N/A</v>
      </c>
      <c r="BC254" s="662" t="e">
        <f>INDEX('Vessel Gauging Data'!$B$26:$V$56,MATCH($C254,'Vessel Gauging Data'!$B$26:$B$56,0),$BC$198)</f>
        <v>#N/A</v>
      </c>
      <c r="BD254" s="662" t="e">
        <f>INDEX('Vessel Gauging Data'!$B$26:$V$56,MATCH($C254,'Vessel Gauging Data'!$B$26:$B$56,0),$BD$198)</f>
        <v>#N/A</v>
      </c>
      <c r="BE254" s="662" t="e">
        <f>INDEX('Vessel Gauging Data'!$B$26:$V$56,MATCH($C254,'Vessel Gauging Data'!$B$26:$B$56,0),$BE$198)</f>
        <v>#N/A</v>
      </c>
    </row>
    <row r="255" spans="1:57" hidden="1">
      <c r="A255" s="641" t="str">
        <f t="shared" si="255"/>
        <v>N</v>
      </c>
      <c r="C255" s="235" t="str">
        <f t="shared" si="259"/>
        <v/>
      </c>
      <c r="D255" s="211" t="str">
        <f t="shared" si="259"/>
        <v/>
      </c>
      <c r="E255" s="1016" t="str">
        <f t="shared" si="258"/>
        <v/>
      </c>
      <c r="F255" s="1016" t="str">
        <f t="shared" si="260"/>
        <v/>
      </c>
      <c r="G255" s="1016" t="str">
        <f t="shared" si="261"/>
        <v/>
      </c>
      <c r="H255" s="1016" t="str">
        <f t="shared" si="261"/>
        <v/>
      </c>
      <c r="I255" s="211" t="str">
        <f t="shared" si="262"/>
        <v/>
      </c>
      <c r="J255" s="1016" t="str">
        <f t="shared" si="263"/>
        <v/>
      </c>
      <c r="K255" s="213" t="str">
        <f t="shared" si="264"/>
        <v/>
      </c>
      <c r="L255" s="212" t="str">
        <f t="shared" si="265"/>
        <v/>
      </c>
      <c r="M255" s="1125" t="str">
        <f>IF(OR($C255="",$C255=0),"",INDEX(API2DENST,MATCH($C255,'Vessel Gauging Data'!$B$27:$B$56,0),$AA$1))</f>
        <v/>
      </c>
      <c r="N255" s="212" t="str">
        <f t="shared" si="266"/>
        <v/>
      </c>
      <c r="O255" s="1016" t="str">
        <f t="shared" si="267"/>
        <v/>
      </c>
      <c r="P255" s="1125" t="str">
        <f t="shared" si="268"/>
        <v/>
      </c>
      <c r="Q255" s="1016" t="str">
        <f t="shared" si="269"/>
        <v/>
      </c>
      <c r="R255" s="214" t="str">
        <f t="shared" si="270"/>
        <v/>
      </c>
      <c r="S255" s="1125" t="str">
        <f t="shared" si="271"/>
        <v/>
      </c>
      <c r="T255" s="236" t="str">
        <f t="shared" si="272"/>
        <v/>
      </c>
      <c r="W255" s="642" t="e">
        <f>INDEX('Vessel Gauging Data'!$B$26:$V$56,MATCH($C255,'Vessel Gauging Data'!$B$26:$B$56,0),$W$198)</f>
        <v>#N/A</v>
      </c>
      <c r="X255" s="642" t="e">
        <f>INDEX('Vessel Gauging Data'!$B$26:$V$56,MATCH($C255,'Vessel Gauging Data'!$B$26:$B$56,0),$X$198)</f>
        <v>#N/A</v>
      </c>
      <c r="Y255" s="642" t="e">
        <f>INDEX('Vessel Gauging Data'!$B$26:$V$56,MATCH($C255,'Vessel Gauging Data'!$B$26:$B$56,0),$Y$198)</f>
        <v>#N/A</v>
      </c>
      <c r="Z255" s="642" t="e">
        <f>INDEX('Vessel Gauging Data'!$B$26:$V$56,MATCH($C255,'Vessel Gauging Data'!$B$26:$B$56,0),$Z$198)</f>
        <v>#N/A</v>
      </c>
      <c r="AB255" s="642" t="e">
        <f>INDEX(API2DENST,MATCH($C255,'Vessel Gauging Data'!$B$27:$B$56,0),1)</f>
        <v>#N/A</v>
      </c>
      <c r="AC255" s="642" t="e">
        <f t="shared" si="220"/>
        <v>#N/A</v>
      </c>
      <c r="AE255" s="661" t="e">
        <f t="shared" si="221"/>
        <v>#VALUE!</v>
      </c>
      <c r="AF255" s="661" t="e">
        <f t="shared" si="222"/>
        <v>#VALUE!</v>
      </c>
      <c r="AH255" s="662" t="str">
        <f t="shared" si="256"/>
        <v/>
      </c>
      <c r="AI255" s="662" t="str">
        <f t="shared" si="257"/>
        <v/>
      </c>
      <c r="AJ255" s="663">
        <f t="shared" si="223"/>
        <v>192.4571</v>
      </c>
      <c r="AK255" s="660">
        <f t="shared" si="224"/>
        <v>0.24379999999999999</v>
      </c>
      <c r="AL255" s="660" t="e">
        <f t="shared" si="225"/>
        <v>#VALUE!</v>
      </c>
      <c r="AM255" s="664" t="e">
        <f t="shared" si="226"/>
        <v>#VALUE!</v>
      </c>
      <c r="AN255" s="664" t="e">
        <f t="shared" si="227"/>
        <v>#VALUE!</v>
      </c>
      <c r="AO255" s="665" t="e">
        <f t="shared" si="228"/>
        <v>#VALUE!</v>
      </c>
      <c r="AP255" s="666" t="e">
        <f t="shared" si="229"/>
        <v>#VALUE!</v>
      </c>
      <c r="AQ255" s="660" t="e">
        <f t="shared" si="230"/>
        <v>#VALUE!</v>
      </c>
      <c r="AR255" s="667" t="e">
        <f t="shared" si="231"/>
        <v>#VALUE!</v>
      </c>
      <c r="AS255" s="667" t="e">
        <f t="shared" si="232"/>
        <v>#VALUE!</v>
      </c>
      <c r="AT255" s="668" t="e">
        <f t="shared" si="233"/>
        <v>#VALUE!</v>
      </c>
      <c r="AU255" s="667" t="e">
        <f t="shared" si="234"/>
        <v>#VALUE!</v>
      </c>
      <c r="AV255" s="669" t="e">
        <f t="shared" si="235"/>
        <v>#VALUE!</v>
      </c>
      <c r="AW255" s="667" t="e">
        <f t="shared" si="236"/>
        <v>#VALUE!</v>
      </c>
      <c r="AX255" s="667" t="e">
        <f t="shared" si="237"/>
        <v>#VALUE!</v>
      </c>
      <c r="AY255" s="660" t="e">
        <f t="shared" si="238"/>
        <v>#VALUE!</v>
      </c>
      <c r="AZ255" s="670" t="e">
        <f t="shared" si="239"/>
        <v>#VALUE!</v>
      </c>
      <c r="BB255" s="662" t="e">
        <f>INDEX('Vessel Gauging Data'!$B$26:$V$56,MATCH($C255,'Vessel Gauging Data'!$B$26:$B$56,0),$BB$198)</f>
        <v>#N/A</v>
      </c>
      <c r="BC255" s="662" t="e">
        <f>INDEX('Vessel Gauging Data'!$B$26:$V$56,MATCH($C255,'Vessel Gauging Data'!$B$26:$B$56,0),$BC$198)</f>
        <v>#N/A</v>
      </c>
      <c r="BD255" s="662" t="e">
        <f>INDEX('Vessel Gauging Data'!$B$26:$V$56,MATCH($C255,'Vessel Gauging Data'!$B$26:$B$56,0),$BD$198)</f>
        <v>#N/A</v>
      </c>
      <c r="BE255" s="662" t="e">
        <f>INDEX('Vessel Gauging Data'!$B$26:$V$56,MATCH($C255,'Vessel Gauging Data'!$B$26:$B$56,0),$BE$198)</f>
        <v>#N/A</v>
      </c>
    </row>
    <row r="256" spans="1:57" hidden="1">
      <c r="A256" s="641" t="str">
        <f t="shared" si="255"/>
        <v>N</v>
      </c>
      <c r="C256" s="235" t="str">
        <f t="shared" si="259"/>
        <v/>
      </c>
      <c r="D256" s="211" t="str">
        <f t="shared" si="259"/>
        <v/>
      </c>
      <c r="E256" s="1016" t="str">
        <f t="shared" si="258"/>
        <v/>
      </c>
      <c r="F256" s="1016" t="str">
        <f t="shared" si="260"/>
        <v/>
      </c>
      <c r="G256" s="1016" t="str">
        <f t="shared" si="261"/>
        <v/>
      </c>
      <c r="H256" s="1016" t="str">
        <f t="shared" si="261"/>
        <v/>
      </c>
      <c r="I256" s="211" t="str">
        <f t="shared" si="262"/>
        <v/>
      </c>
      <c r="J256" s="1016" t="str">
        <f t="shared" si="263"/>
        <v/>
      </c>
      <c r="K256" s="213" t="str">
        <f t="shared" si="264"/>
        <v/>
      </c>
      <c r="L256" s="212" t="str">
        <f t="shared" si="265"/>
        <v/>
      </c>
      <c r="M256" s="1125" t="str">
        <f>IF(OR($C256="",$C256=0),"",INDEX(API2DENST,MATCH($C256,'Vessel Gauging Data'!$B$27:$B$56,0),$AA$1))</f>
        <v/>
      </c>
      <c r="N256" s="212" t="str">
        <f t="shared" si="266"/>
        <v/>
      </c>
      <c r="O256" s="1016" t="str">
        <f t="shared" si="267"/>
        <v/>
      </c>
      <c r="P256" s="1125" t="str">
        <f t="shared" si="268"/>
        <v/>
      </c>
      <c r="Q256" s="1016" t="str">
        <f t="shared" si="269"/>
        <v/>
      </c>
      <c r="R256" s="214" t="str">
        <f t="shared" si="270"/>
        <v/>
      </c>
      <c r="S256" s="1125" t="str">
        <f t="shared" si="271"/>
        <v/>
      </c>
      <c r="T256" s="236" t="str">
        <f t="shared" si="272"/>
        <v/>
      </c>
      <c r="W256" s="642" t="e">
        <f>INDEX('Vessel Gauging Data'!$B$26:$V$56,MATCH($C256,'Vessel Gauging Data'!$B$26:$B$56,0),$W$198)</f>
        <v>#N/A</v>
      </c>
      <c r="X256" s="642" t="e">
        <f>INDEX('Vessel Gauging Data'!$B$26:$V$56,MATCH($C256,'Vessel Gauging Data'!$B$26:$B$56,0),$X$198)</f>
        <v>#N/A</v>
      </c>
      <c r="Y256" s="642" t="e">
        <f>INDEX('Vessel Gauging Data'!$B$26:$V$56,MATCH($C256,'Vessel Gauging Data'!$B$26:$B$56,0),$Y$198)</f>
        <v>#N/A</v>
      </c>
      <c r="Z256" s="642" t="e">
        <f>INDEX('Vessel Gauging Data'!$B$26:$V$56,MATCH($C256,'Vessel Gauging Data'!$B$26:$B$56,0),$Z$198)</f>
        <v>#N/A</v>
      </c>
      <c r="AB256" s="642" t="e">
        <f>INDEX(API2DENST,MATCH($C256,'Vessel Gauging Data'!$B$27:$B$56,0),1)</f>
        <v>#N/A</v>
      </c>
      <c r="AC256" s="642" t="e">
        <f t="shared" si="220"/>
        <v>#N/A</v>
      </c>
      <c r="AE256" s="661" t="e">
        <f t="shared" si="221"/>
        <v>#VALUE!</v>
      </c>
      <c r="AF256" s="661" t="e">
        <f t="shared" si="222"/>
        <v>#VALUE!</v>
      </c>
      <c r="AH256" s="662" t="str">
        <f t="shared" si="256"/>
        <v/>
      </c>
      <c r="AI256" s="662" t="str">
        <f t="shared" si="257"/>
        <v/>
      </c>
      <c r="AJ256" s="663">
        <f t="shared" si="223"/>
        <v>192.4571</v>
      </c>
      <c r="AK256" s="660">
        <f t="shared" si="224"/>
        <v>0.24379999999999999</v>
      </c>
      <c r="AL256" s="660" t="e">
        <f t="shared" si="225"/>
        <v>#VALUE!</v>
      </c>
      <c r="AM256" s="664" t="e">
        <f t="shared" si="226"/>
        <v>#VALUE!</v>
      </c>
      <c r="AN256" s="664" t="e">
        <f t="shared" si="227"/>
        <v>#VALUE!</v>
      </c>
      <c r="AO256" s="665" t="e">
        <f t="shared" si="228"/>
        <v>#VALUE!</v>
      </c>
      <c r="AP256" s="666" t="e">
        <f t="shared" si="229"/>
        <v>#VALUE!</v>
      </c>
      <c r="AQ256" s="660" t="e">
        <f t="shared" si="230"/>
        <v>#VALUE!</v>
      </c>
      <c r="AR256" s="667" t="e">
        <f t="shared" si="231"/>
        <v>#VALUE!</v>
      </c>
      <c r="AS256" s="667" t="e">
        <f t="shared" si="232"/>
        <v>#VALUE!</v>
      </c>
      <c r="AT256" s="668" t="e">
        <f t="shared" si="233"/>
        <v>#VALUE!</v>
      </c>
      <c r="AU256" s="667" t="e">
        <f t="shared" si="234"/>
        <v>#VALUE!</v>
      </c>
      <c r="AV256" s="669" t="e">
        <f t="shared" si="235"/>
        <v>#VALUE!</v>
      </c>
      <c r="AW256" s="667" t="e">
        <f t="shared" si="236"/>
        <v>#VALUE!</v>
      </c>
      <c r="AX256" s="667" t="e">
        <f t="shared" si="237"/>
        <v>#VALUE!</v>
      </c>
      <c r="AY256" s="660" t="e">
        <f t="shared" si="238"/>
        <v>#VALUE!</v>
      </c>
      <c r="AZ256" s="670" t="e">
        <f t="shared" si="239"/>
        <v>#VALUE!</v>
      </c>
      <c r="BB256" s="662" t="e">
        <f>INDEX('Vessel Gauging Data'!$B$26:$V$56,MATCH($C256,'Vessel Gauging Data'!$B$26:$B$56,0),$BB$198)</f>
        <v>#N/A</v>
      </c>
      <c r="BC256" s="662" t="e">
        <f>INDEX('Vessel Gauging Data'!$B$26:$V$56,MATCH($C256,'Vessel Gauging Data'!$B$26:$B$56,0),$BC$198)</f>
        <v>#N/A</v>
      </c>
      <c r="BD256" s="662" t="e">
        <f>INDEX('Vessel Gauging Data'!$B$26:$V$56,MATCH($C256,'Vessel Gauging Data'!$B$26:$B$56,0),$BD$198)</f>
        <v>#N/A</v>
      </c>
      <c r="BE256" s="662" t="e">
        <f>INDEX('Vessel Gauging Data'!$B$26:$V$56,MATCH($C256,'Vessel Gauging Data'!$B$26:$B$56,0),$BE$198)</f>
        <v>#N/A</v>
      </c>
    </row>
    <row r="257" spans="1:57" hidden="1">
      <c r="A257" s="641" t="str">
        <f t="shared" si="255"/>
        <v>N</v>
      </c>
      <c r="C257" s="235" t="str">
        <f t="shared" si="259"/>
        <v/>
      </c>
      <c r="D257" s="211" t="str">
        <f t="shared" si="259"/>
        <v/>
      </c>
      <c r="E257" s="1016" t="str">
        <f t="shared" si="258"/>
        <v/>
      </c>
      <c r="F257" s="1016" t="str">
        <f t="shared" si="260"/>
        <v/>
      </c>
      <c r="G257" s="1016" t="str">
        <f t="shared" si="261"/>
        <v/>
      </c>
      <c r="H257" s="1016" t="str">
        <f t="shared" si="261"/>
        <v/>
      </c>
      <c r="I257" s="211" t="str">
        <f t="shared" si="262"/>
        <v/>
      </c>
      <c r="J257" s="1016" t="str">
        <f t="shared" si="263"/>
        <v/>
      </c>
      <c r="K257" s="213" t="str">
        <f t="shared" si="264"/>
        <v/>
      </c>
      <c r="L257" s="212" t="str">
        <f t="shared" si="265"/>
        <v/>
      </c>
      <c r="M257" s="1125" t="str">
        <f>IF(OR($C257="",$C257=0),"",INDEX(API2DENST,MATCH($C257,'Vessel Gauging Data'!$B$27:$B$56,0),$AA$1))</f>
        <v/>
      </c>
      <c r="N257" s="212" t="str">
        <f t="shared" si="266"/>
        <v/>
      </c>
      <c r="O257" s="1016" t="str">
        <f t="shared" si="267"/>
        <v/>
      </c>
      <c r="P257" s="1125" t="str">
        <f t="shared" si="268"/>
        <v/>
      </c>
      <c r="Q257" s="1016" t="str">
        <f t="shared" si="269"/>
        <v/>
      </c>
      <c r="R257" s="214" t="str">
        <f t="shared" si="270"/>
        <v/>
      </c>
      <c r="S257" s="1125" t="str">
        <f t="shared" si="271"/>
        <v/>
      </c>
      <c r="T257" s="236" t="str">
        <f t="shared" si="272"/>
        <v/>
      </c>
      <c r="W257" s="642" t="e">
        <f>INDEX('Vessel Gauging Data'!$B$26:$V$56,MATCH($C257,'Vessel Gauging Data'!$B$26:$B$56,0),$W$198)</f>
        <v>#N/A</v>
      </c>
      <c r="X257" s="642" t="e">
        <f>INDEX('Vessel Gauging Data'!$B$26:$V$56,MATCH($C257,'Vessel Gauging Data'!$B$26:$B$56,0),$X$198)</f>
        <v>#N/A</v>
      </c>
      <c r="Y257" s="642" t="e">
        <f>INDEX('Vessel Gauging Data'!$B$26:$V$56,MATCH($C257,'Vessel Gauging Data'!$B$26:$B$56,0),$Y$198)</f>
        <v>#N/A</v>
      </c>
      <c r="Z257" s="642" t="e">
        <f>INDEX('Vessel Gauging Data'!$B$26:$V$56,MATCH($C257,'Vessel Gauging Data'!$B$26:$B$56,0),$Z$198)</f>
        <v>#N/A</v>
      </c>
      <c r="AB257" s="642" t="e">
        <f>INDEX(API2DENST,MATCH($C257,'Vessel Gauging Data'!$B$27:$B$56,0),1)</f>
        <v>#N/A</v>
      </c>
      <c r="AC257" s="642" t="e">
        <f t="shared" si="220"/>
        <v>#N/A</v>
      </c>
      <c r="AE257" s="661" t="e">
        <f t="shared" si="221"/>
        <v>#VALUE!</v>
      </c>
      <c r="AF257" s="661" t="e">
        <f t="shared" si="222"/>
        <v>#VALUE!</v>
      </c>
      <c r="AH257" s="662" t="str">
        <f t="shared" si="256"/>
        <v/>
      </c>
      <c r="AI257" s="662" t="str">
        <f t="shared" si="257"/>
        <v/>
      </c>
      <c r="AJ257" s="663">
        <f t="shared" si="223"/>
        <v>192.4571</v>
      </c>
      <c r="AK257" s="660">
        <f t="shared" si="224"/>
        <v>0.24379999999999999</v>
      </c>
      <c r="AL257" s="660" t="e">
        <f t="shared" si="225"/>
        <v>#VALUE!</v>
      </c>
      <c r="AM257" s="664" t="e">
        <f t="shared" si="226"/>
        <v>#VALUE!</v>
      </c>
      <c r="AN257" s="664" t="e">
        <f t="shared" si="227"/>
        <v>#VALUE!</v>
      </c>
      <c r="AO257" s="665" t="e">
        <f t="shared" si="228"/>
        <v>#VALUE!</v>
      </c>
      <c r="AP257" s="666" t="e">
        <f t="shared" si="229"/>
        <v>#VALUE!</v>
      </c>
      <c r="AQ257" s="660" t="e">
        <f t="shared" si="230"/>
        <v>#VALUE!</v>
      </c>
      <c r="AR257" s="667" t="e">
        <f t="shared" si="231"/>
        <v>#VALUE!</v>
      </c>
      <c r="AS257" s="667" t="e">
        <f t="shared" si="232"/>
        <v>#VALUE!</v>
      </c>
      <c r="AT257" s="668" t="e">
        <f t="shared" si="233"/>
        <v>#VALUE!</v>
      </c>
      <c r="AU257" s="667" t="e">
        <f t="shared" si="234"/>
        <v>#VALUE!</v>
      </c>
      <c r="AV257" s="669" t="e">
        <f t="shared" si="235"/>
        <v>#VALUE!</v>
      </c>
      <c r="AW257" s="667" t="e">
        <f t="shared" si="236"/>
        <v>#VALUE!</v>
      </c>
      <c r="AX257" s="667" t="e">
        <f t="shared" si="237"/>
        <v>#VALUE!</v>
      </c>
      <c r="AY257" s="660" t="e">
        <f t="shared" si="238"/>
        <v>#VALUE!</v>
      </c>
      <c r="AZ257" s="670" t="e">
        <f t="shared" si="239"/>
        <v>#VALUE!</v>
      </c>
      <c r="BB257" s="662" t="e">
        <f>INDEX('Vessel Gauging Data'!$B$26:$V$56,MATCH($C257,'Vessel Gauging Data'!$B$26:$B$56,0),$BB$198)</f>
        <v>#N/A</v>
      </c>
      <c r="BC257" s="662" t="e">
        <f>INDEX('Vessel Gauging Data'!$B$26:$V$56,MATCH($C257,'Vessel Gauging Data'!$B$26:$B$56,0),$BC$198)</f>
        <v>#N/A</v>
      </c>
      <c r="BD257" s="662" t="e">
        <f>INDEX('Vessel Gauging Data'!$B$26:$V$56,MATCH($C257,'Vessel Gauging Data'!$B$26:$B$56,0),$BD$198)</f>
        <v>#N/A</v>
      </c>
      <c r="BE257" s="662" t="e">
        <f>INDEX('Vessel Gauging Data'!$B$26:$V$56,MATCH($C257,'Vessel Gauging Data'!$B$26:$B$56,0),$BE$198)</f>
        <v>#N/A</v>
      </c>
    </row>
    <row r="258" spans="1:57" hidden="1">
      <c r="A258" s="641" t="str">
        <f t="shared" si="255"/>
        <v>N</v>
      </c>
      <c r="C258" s="235" t="str">
        <f t="shared" si="259"/>
        <v/>
      </c>
      <c r="D258" s="211" t="str">
        <f t="shared" si="259"/>
        <v/>
      </c>
      <c r="E258" s="1016" t="str">
        <f t="shared" si="258"/>
        <v/>
      </c>
      <c r="F258" s="1016" t="str">
        <f t="shared" si="260"/>
        <v/>
      </c>
      <c r="G258" s="1016" t="str">
        <f t="shared" si="261"/>
        <v/>
      </c>
      <c r="H258" s="1016" t="str">
        <f t="shared" si="261"/>
        <v/>
      </c>
      <c r="I258" s="211" t="str">
        <f t="shared" si="262"/>
        <v/>
      </c>
      <c r="J258" s="1016" t="str">
        <f t="shared" si="263"/>
        <v/>
      </c>
      <c r="K258" s="213" t="str">
        <f t="shared" si="264"/>
        <v/>
      </c>
      <c r="L258" s="212" t="str">
        <f t="shared" si="265"/>
        <v/>
      </c>
      <c r="M258" s="1125" t="str">
        <f>IF(OR($C258="",$C258=0),"",INDEX(API2DENST,MATCH($C258,'Vessel Gauging Data'!$B$27:$B$56,0),$AA$1))</f>
        <v/>
      </c>
      <c r="N258" s="212" t="str">
        <f t="shared" si="266"/>
        <v/>
      </c>
      <c r="O258" s="1016" t="str">
        <f t="shared" si="267"/>
        <v/>
      </c>
      <c r="P258" s="1125" t="str">
        <f t="shared" si="268"/>
        <v/>
      </c>
      <c r="Q258" s="1016" t="str">
        <f t="shared" si="269"/>
        <v/>
      </c>
      <c r="R258" s="214" t="str">
        <f t="shared" si="270"/>
        <v/>
      </c>
      <c r="S258" s="1125" t="str">
        <f t="shared" si="271"/>
        <v/>
      </c>
      <c r="T258" s="236" t="str">
        <f t="shared" si="272"/>
        <v/>
      </c>
      <c r="W258" s="642" t="e">
        <f>INDEX('Vessel Gauging Data'!$B$26:$V$56,MATCH($C258,'Vessel Gauging Data'!$B$26:$B$56,0),$W$198)</f>
        <v>#N/A</v>
      </c>
      <c r="X258" s="642" t="e">
        <f>INDEX('Vessel Gauging Data'!$B$26:$V$56,MATCH($C258,'Vessel Gauging Data'!$B$26:$B$56,0),$X$198)</f>
        <v>#N/A</v>
      </c>
      <c r="Y258" s="642" t="e">
        <f>INDEX('Vessel Gauging Data'!$B$26:$V$56,MATCH($C258,'Vessel Gauging Data'!$B$26:$B$56,0),$Y$198)</f>
        <v>#N/A</v>
      </c>
      <c r="Z258" s="642" t="e">
        <f>INDEX('Vessel Gauging Data'!$B$26:$V$56,MATCH($C258,'Vessel Gauging Data'!$B$26:$B$56,0),$Z$198)</f>
        <v>#N/A</v>
      </c>
      <c r="AB258" s="642" t="e">
        <f>INDEX(API2DENST,MATCH($C258,'Vessel Gauging Data'!$B$27:$B$56,0),1)</f>
        <v>#N/A</v>
      </c>
      <c r="AC258" s="642" t="e">
        <f t="shared" si="220"/>
        <v>#N/A</v>
      </c>
      <c r="AE258" s="661" t="e">
        <f t="shared" si="221"/>
        <v>#VALUE!</v>
      </c>
      <c r="AF258" s="661" t="e">
        <f t="shared" si="222"/>
        <v>#VALUE!</v>
      </c>
      <c r="AH258" s="662" t="str">
        <f t="shared" si="256"/>
        <v/>
      </c>
      <c r="AI258" s="662" t="str">
        <f t="shared" si="257"/>
        <v/>
      </c>
      <c r="AJ258" s="663">
        <f t="shared" si="223"/>
        <v>192.4571</v>
      </c>
      <c r="AK258" s="660">
        <f t="shared" si="224"/>
        <v>0.24379999999999999</v>
      </c>
      <c r="AL258" s="660" t="e">
        <f t="shared" si="225"/>
        <v>#VALUE!</v>
      </c>
      <c r="AM258" s="664" t="e">
        <f t="shared" si="226"/>
        <v>#VALUE!</v>
      </c>
      <c r="AN258" s="664" t="e">
        <f t="shared" si="227"/>
        <v>#VALUE!</v>
      </c>
      <c r="AO258" s="665" t="e">
        <f t="shared" si="228"/>
        <v>#VALUE!</v>
      </c>
      <c r="AP258" s="666" t="e">
        <f t="shared" si="229"/>
        <v>#VALUE!</v>
      </c>
      <c r="AQ258" s="660" t="e">
        <f t="shared" si="230"/>
        <v>#VALUE!</v>
      </c>
      <c r="AR258" s="667" t="e">
        <f t="shared" si="231"/>
        <v>#VALUE!</v>
      </c>
      <c r="AS258" s="667" t="e">
        <f t="shared" si="232"/>
        <v>#VALUE!</v>
      </c>
      <c r="AT258" s="668" t="e">
        <f t="shared" si="233"/>
        <v>#VALUE!</v>
      </c>
      <c r="AU258" s="667" t="e">
        <f t="shared" si="234"/>
        <v>#VALUE!</v>
      </c>
      <c r="AV258" s="669" t="e">
        <f t="shared" si="235"/>
        <v>#VALUE!</v>
      </c>
      <c r="AW258" s="667" t="e">
        <f t="shared" si="236"/>
        <v>#VALUE!</v>
      </c>
      <c r="AX258" s="667" t="e">
        <f t="shared" si="237"/>
        <v>#VALUE!</v>
      </c>
      <c r="AY258" s="660" t="e">
        <f t="shared" si="238"/>
        <v>#VALUE!</v>
      </c>
      <c r="AZ258" s="670" t="e">
        <f t="shared" si="239"/>
        <v>#VALUE!</v>
      </c>
      <c r="BB258" s="662" t="e">
        <f>INDEX('Vessel Gauging Data'!$B$26:$V$56,MATCH($C258,'Vessel Gauging Data'!$B$26:$B$56,0),$BB$198)</f>
        <v>#N/A</v>
      </c>
      <c r="BC258" s="662" t="e">
        <f>INDEX('Vessel Gauging Data'!$B$26:$V$56,MATCH($C258,'Vessel Gauging Data'!$B$26:$B$56,0),$BC$198)</f>
        <v>#N/A</v>
      </c>
      <c r="BD258" s="662" t="e">
        <f>INDEX('Vessel Gauging Data'!$B$26:$V$56,MATCH($C258,'Vessel Gauging Data'!$B$26:$B$56,0),$BD$198)</f>
        <v>#N/A</v>
      </c>
      <c r="BE258" s="662" t="e">
        <f>INDEX('Vessel Gauging Data'!$B$26:$V$56,MATCH($C258,'Vessel Gauging Data'!$B$26:$B$56,0),$BE$198)</f>
        <v>#N/A</v>
      </c>
    </row>
    <row r="259" spans="1:57" hidden="1">
      <c r="A259" s="641" t="str">
        <f t="shared" si="255"/>
        <v>N</v>
      </c>
      <c r="C259" s="235" t="str">
        <f t="shared" si="259"/>
        <v/>
      </c>
      <c r="D259" s="211" t="str">
        <f t="shared" si="259"/>
        <v/>
      </c>
      <c r="E259" s="1016" t="str">
        <f t="shared" si="258"/>
        <v/>
      </c>
      <c r="F259" s="1016" t="str">
        <f t="shared" si="260"/>
        <v/>
      </c>
      <c r="G259" s="1016" t="str">
        <f t="shared" si="261"/>
        <v/>
      </c>
      <c r="H259" s="1016" t="str">
        <f t="shared" si="261"/>
        <v/>
      </c>
      <c r="I259" s="211" t="str">
        <f t="shared" si="262"/>
        <v/>
      </c>
      <c r="J259" s="1016" t="str">
        <f t="shared" si="263"/>
        <v/>
      </c>
      <c r="K259" s="213" t="str">
        <f t="shared" si="264"/>
        <v/>
      </c>
      <c r="L259" s="212" t="str">
        <f t="shared" si="265"/>
        <v/>
      </c>
      <c r="M259" s="1125" t="str">
        <f>IF(OR($C259="",$C259=0),"",INDEX(API2DENST,MATCH($C259,'Vessel Gauging Data'!$B$27:$B$56,0),$AA$1))</f>
        <v/>
      </c>
      <c r="N259" s="212" t="str">
        <f t="shared" si="266"/>
        <v/>
      </c>
      <c r="O259" s="1016" t="str">
        <f t="shared" si="267"/>
        <v/>
      </c>
      <c r="P259" s="1125" t="str">
        <f t="shared" si="268"/>
        <v/>
      </c>
      <c r="Q259" s="1016" t="str">
        <f t="shared" si="269"/>
        <v/>
      </c>
      <c r="R259" s="214" t="str">
        <f t="shared" si="270"/>
        <v/>
      </c>
      <c r="S259" s="1125" t="str">
        <f t="shared" si="271"/>
        <v/>
      </c>
      <c r="T259" s="236" t="str">
        <f t="shared" si="272"/>
        <v/>
      </c>
      <c r="W259" s="642" t="e">
        <f>INDEX('Vessel Gauging Data'!$B$26:$V$56,MATCH($C259,'Vessel Gauging Data'!$B$26:$B$56,0),$W$198)</f>
        <v>#N/A</v>
      </c>
      <c r="X259" s="642" t="e">
        <f>INDEX('Vessel Gauging Data'!$B$26:$V$56,MATCH($C259,'Vessel Gauging Data'!$B$26:$B$56,0),$X$198)</f>
        <v>#N/A</v>
      </c>
      <c r="Y259" s="642" t="e">
        <f>INDEX('Vessel Gauging Data'!$B$26:$V$56,MATCH($C259,'Vessel Gauging Data'!$B$26:$B$56,0),$Y$198)</f>
        <v>#N/A</v>
      </c>
      <c r="Z259" s="642" t="e">
        <f>INDEX('Vessel Gauging Data'!$B$26:$V$56,MATCH($C259,'Vessel Gauging Data'!$B$26:$B$56,0),$Z$198)</f>
        <v>#N/A</v>
      </c>
      <c r="AB259" s="642" t="e">
        <f>INDEX(API2DENST,MATCH($C259,'Vessel Gauging Data'!$B$27:$B$56,0),1)</f>
        <v>#N/A</v>
      </c>
      <c r="AC259" s="642" t="e">
        <f t="shared" si="220"/>
        <v>#N/A</v>
      </c>
      <c r="AE259" s="661" t="e">
        <f t="shared" si="221"/>
        <v>#VALUE!</v>
      </c>
      <c r="AF259" s="661" t="e">
        <f t="shared" si="222"/>
        <v>#VALUE!</v>
      </c>
      <c r="AH259" s="662" t="str">
        <f t="shared" si="256"/>
        <v/>
      </c>
      <c r="AI259" s="662" t="str">
        <f t="shared" si="257"/>
        <v/>
      </c>
      <c r="AJ259" s="663">
        <f t="shared" si="223"/>
        <v>192.4571</v>
      </c>
      <c r="AK259" s="660">
        <f t="shared" si="224"/>
        <v>0.24379999999999999</v>
      </c>
      <c r="AL259" s="660" t="e">
        <f t="shared" si="225"/>
        <v>#VALUE!</v>
      </c>
      <c r="AM259" s="664" t="e">
        <f t="shared" si="226"/>
        <v>#VALUE!</v>
      </c>
      <c r="AN259" s="664" t="e">
        <f t="shared" si="227"/>
        <v>#VALUE!</v>
      </c>
      <c r="AO259" s="665" t="e">
        <f t="shared" si="228"/>
        <v>#VALUE!</v>
      </c>
      <c r="AP259" s="666" t="e">
        <f t="shared" si="229"/>
        <v>#VALUE!</v>
      </c>
      <c r="AQ259" s="660" t="e">
        <f t="shared" si="230"/>
        <v>#VALUE!</v>
      </c>
      <c r="AR259" s="667" t="e">
        <f t="shared" si="231"/>
        <v>#VALUE!</v>
      </c>
      <c r="AS259" s="667" t="e">
        <f t="shared" si="232"/>
        <v>#VALUE!</v>
      </c>
      <c r="AT259" s="668" t="e">
        <f t="shared" si="233"/>
        <v>#VALUE!</v>
      </c>
      <c r="AU259" s="667" t="e">
        <f t="shared" si="234"/>
        <v>#VALUE!</v>
      </c>
      <c r="AV259" s="669" t="e">
        <f t="shared" si="235"/>
        <v>#VALUE!</v>
      </c>
      <c r="AW259" s="667" t="e">
        <f t="shared" si="236"/>
        <v>#VALUE!</v>
      </c>
      <c r="AX259" s="667" t="e">
        <f t="shared" si="237"/>
        <v>#VALUE!</v>
      </c>
      <c r="AY259" s="660" t="e">
        <f t="shared" si="238"/>
        <v>#VALUE!</v>
      </c>
      <c r="AZ259" s="670" t="e">
        <f t="shared" si="239"/>
        <v>#VALUE!</v>
      </c>
      <c r="BB259" s="662" t="e">
        <f>INDEX('Vessel Gauging Data'!$B$26:$V$56,MATCH($C259,'Vessel Gauging Data'!$B$26:$B$56,0),$BB$198)</f>
        <v>#N/A</v>
      </c>
      <c r="BC259" s="662" t="e">
        <f>INDEX('Vessel Gauging Data'!$B$26:$V$56,MATCH($C259,'Vessel Gauging Data'!$B$26:$B$56,0),$BC$198)</f>
        <v>#N/A</v>
      </c>
      <c r="BD259" s="662" t="e">
        <f>INDEX('Vessel Gauging Data'!$B$26:$V$56,MATCH($C259,'Vessel Gauging Data'!$B$26:$B$56,0),$BD$198)</f>
        <v>#N/A</v>
      </c>
      <c r="BE259" s="662" t="e">
        <f>INDEX('Vessel Gauging Data'!$B$26:$V$56,MATCH($C259,'Vessel Gauging Data'!$B$26:$B$56,0),$BE$198)</f>
        <v>#N/A</v>
      </c>
    </row>
    <row r="260" spans="1:57" hidden="1">
      <c r="A260" s="641" t="str">
        <f t="shared" si="255"/>
        <v>N</v>
      </c>
      <c r="C260" s="235" t="str">
        <f t="shared" si="259"/>
        <v/>
      </c>
      <c r="D260" s="211" t="str">
        <f t="shared" si="259"/>
        <v/>
      </c>
      <c r="E260" s="1016" t="str">
        <f t="shared" si="258"/>
        <v/>
      </c>
      <c r="F260" s="1016" t="str">
        <f t="shared" si="260"/>
        <v/>
      </c>
      <c r="G260" s="1016" t="str">
        <f t="shared" si="261"/>
        <v/>
      </c>
      <c r="H260" s="1016" t="str">
        <f t="shared" si="261"/>
        <v/>
      </c>
      <c r="I260" s="211" t="str">
        <f t="shared" si="262"/>
        <v/>
      </c>
      <c r="J260" s="1016" t="str">
        <f t="shared" si="263"/>
        <v/>
      </c>
      <c r="K260" s="213" t="str">
        <f t="shared" si="264"/>
        <v/>
      </c>
      <c r="L260" s="212" t="str">
        <f t="shared" si="265"/>
        <v/>
      </c>
      <c r="M260" s="1125" t="str">
        <f>IF(OR($C260="",$C260=0),"",INDEX(API2DENST,MATCH($C260,'Vessel Gauging Data'!$B$27:$B$56,0),$AA$1))</f>
        <v/>
      </c>
      <c r="N260" s="212" t="str">
        <f t="shared" si="266"/>
        <v/>
      </c>
      <c r="O260" s="1016" t="str">
        <f t="shared" si="267"/>
        <v/>
      </c>
      <c r="P260" s="1125" t="str">
        <f t="shared" si="268"/>
        <v/>
      </c>
      <c r="Q260" s="1016" t="str">
        <f t="shared" si="269"/>
        <v/>
      </c>
      <c r="R260" s="214" t="str">
        <f t="shared" si="270"/>
        <v/>
      </c>
      <c r="S260" s="1125" t="str">
        <f t="shared" si="271"/>
        <v/>
      </c>
      <c r="T260" s="236" t="str">
        <f t="shared" si="272"/>
        <v/>
      </c>
      <c r="W260" s="642" t="e">
        <f>INDEX('Vessel Gauging Data'!$B$26:$V$56,MATCH($C260,'Vessel Gauging Data'!$B$26:$B$56,0),$W$198)</f>
        <v>#N/A</v>
      </c>
      <c r="X260" s="642" t="e">
        <f>INDEX('Vessel Gauging Data'!$B$26:$V$56,MATCH($C260,'Vessel Gauging Data'!$B$26:$B$56,0),$X$198)</f>
        <v>#N/A</v>
      </c>
      <c r="Y260" s="642" t="e">
        <f>INDEX('Vessel Gauging Data'!$B$26:$V$56,MATCH($C260,'Vessel Gauging Data'!$B$26:$B$56,0),$Y$198)</f>
        <v>#N/A</v>
      </c>
      <c r="Z260" s="642" t="e">
        <f>INDEX('Vessel Gauging Data'!$B$26:$V$56,MATCH($C260,'Vessel Gauging Data'!$B$26:$B$56,0),$Z$198)</f>
        <v>#N/A</v>
      </c>
      <c r="AB260" s="642" t="e">
        <f>INDEX(API2DENST,MATCH($C260,'Vessel Gauging Data'!$B$27:$B$56,0),1)</f>
        <v>#N/A</v>
      </c>
      <c r="AC260" s="642" t="e">
        <f t="shared" si="220"/>
        <v>#N/A</v>
      </c>
      <c r="AE260" s="661" t="e">
        <f t="shared" si="221"/>
        <v>#VALUE!</v>
      </c>
      <c r="AF260" s="661" t="e">
        <f t="shared" si="222"/>
        <v>#VALUE!</v>
      </c>
      <c r="AH260" s="662" t="str">
        <f t="shared" si="256"/>
        <v/>
      </c>
      <c r="AI260" s="662" t="str">
        <f t="shared" si="257"/>
        <v/>
      </c>
      <c r="AJ260" s="663">
        <f t="shared" si="223"/>
        <v>192.4571</v>
      </c>
      <c r="AK260" s="660">
        <f t="shared" si="224"/>
        <v>0.24379999999999999</v>
      </c>
      <c r="AL260" s="660" t="e">
        <f t="shared" si="225"/>
        <v>#VALUE!</v>
      </c>
      <c r="AM260" s="664" t="e">
        <f t="shared" si="226"/>
        <v>#VALUE!</v>
      </c>
      <c r="AN260" s="664" t="e">
        <f t="shared" si="227"/>
        <v>#VALUE!</v>
      </c>
      <c r="AO260" s="665" t="e">
        <f t="shared" si="228"/>
        <v>#VALUE!</v>
      </c>
      <c r="AP260" s="666" t="e">
        <f t="shared" si="229"/>
        <v>#VALUE!</v>
      </c>
      <c r="AQ260" s="660" t="e">
        <f t="shared" si="230"/>
        <v>#VALUE!</v>
      </c>
      <c r="AR260" s="667" t="e">
        <f t="shared" si="231"/>
        <v>#VALUE!</v>
      </c>
      <c r="AS260" s="667" t="e">
        <f t="shared" si="232"/>
        <v>#VALUE!</v>
      </c>
      <c r="AT260" s="668" t="e">
        <f t="shared" si="233"/>
        <v>#VALUE!</v>
      </c>
      <c r="AU260" s="667" t="e">
        <f t="shared" si="234"/>
        <v>#VALUE!</v>
      </c>
      <c r="AV260" s="669" t="e">
        <f t="shared" si="235"/>
        <v>#VALUE!</v>
      </c>
      <c r="AW260" s="667" t="e">
        <f t="shared" si="236"/>
        <v>#VALUE!</v>
      </c>
      <c r="AX260" s="667" t="e">
        <f t="shared" si="237"/>
        <v>#VALUE!</v>
      </c>
      <c r="AY260" s="660" t="e">
        <f t="shared" si="238"/>
        <v>#VALUE!</v>
      </c>
      <c r="AZ260" s="670" t="e">
        <f t="shared" si="239"/>
        <v>#VALUE!</v>
      </c>
      <c r="BB260" s="662" t="e">
        <f>INDEX('Vessel Gauging Data'!$B$26:$V$56,MATCH($C260,'Vessel Gauging Data'!$B$26:$B$56,0),$BB$198)</f>
        <v>#N/A</v>
      </c>
      <c r="BC260" s="662" t="e">
        <f>INDEX('Vessel Gauging Data'!$B$26:$V$56,MATCH($C260,'Vessel Gauging Data'!$B$26:$B$56,0),$BC$198)</f>
        <v>#N/A</v>
      </c>
      <c r="BD260" s="662" t="e">
        <f>INDEX('Vessel Gauging Data'!$B$26:$V$56,MATCH($C260,'Vessel Gauging Data'!$B$26:$B$56,0),$BD$198)</f>
        <v>#N/A</v>
      </c>
      <c r="BE260" s="662" t="e">
        <f>INDEX('Vessel Gauging Data'!$B$26:$V$56,MATCH($C260,'Vessel Gauging Data'!$B$26:$B$56,0),$BE$198)</f>
        <v>#N/A</v>
      </c>
    </row>
    <row r="261" spans="1:57" hidden="1">
      <c r="A261" s="641" t="str">
        <f t="shared" si="255"/>
        <v>N</v>
      </c>
      <c r="C261" s="235" t="str">
        <f t="shared" si="259"/>
        <v/>
      </c>
      <c r="D261" s="211" t="str">
        <f t="shared" si="259"/>
        <v/>
      </c>
      <c r="E261" s="1016" t="str">
        <f t="shared" si="258"/>
        <v/>
      </c>
      <c r="F261" s="1016" t="str">
        <f t="shared" si="260"/>
        <v/>
      </c>
      <c r="G261" s="1016" t="str">
        <f t="shared" si="261"/>
        <v/>
      </c>
      <c r="H261" s="1016" t="str">
        <f t="shared" si="261"/>
        <v/>
      </c>
      <c r="I261" s="211" t="str">
        <f t="shared" si="262"/>
        <v/>
      </c>
      <c r="J261" s="1016" t="str">
        <f t="shared" si="263"/>
        <v/>
      </c>
      <c r="K261" s="213" t="str">
        <f t="shared" si="264"/>
        <v/>
      </c>
      <c r="L261" s="212" t="str">
        <f t="shared" si="265"/>
        <v/>
      </c>
      <c r="M261" s="1125" t="str">
        <f>IF(OR($C261="",$C261=0),"",INDEX(API2DENST,MATCH($C261,'Vessel Gauging Data'!$B$27:$B$56,0),$AA$1))</f>
        <v/>
      </c>
      <c r="N261" s="212" t="str">
        <f t="shared" si="266"/>
        <v/>
      </c>
      <c r="O261" s="1016" t="str">
        <f t="shared" si="267"/>
        <v/>
      </c>
      <c r="P261" s="1125" t="str">
        <f t="shared" si="268"/>
        <v/>
      </c>
      <c r="Q261" s="1016" t="str">
        <f t="shared" si="269"/>
        <v/>
      </c>
      <c r="R261" s="214" t="str">
        <f t="shared" si="270"/>
        <v/>
      </c>
      <c r="S261" s="1125" t="str">
        <f t="shared" si="271"/>
        <v/>
      </c>
      <c r="T261" s="236" t="str">
        <f t="shared" si="272"/>
        <v/>
      </c>
      <c r="W261" s="642" t="e">
        <f>INDEX('Vessel Gauging Data'!$B$26:$V$56,MATCH($C261,'Vessel Gauging Data'!$B$26:$B$56,0),$W$198)</f>
        <v>#N/A</v>
      </c>
      <c r="X261" s="642" t="e">
        <f>INDEX('Vessel Gauging Data'!$B$26:$V$56,MATCH($C261,'Vessel Gauging Data'!$B$26:$B$56,0),$X$198)</f>
        <v>#N/A</v>
      </c>
      <c r="Y261" s="642" t="e">
        <f>INDEX('Vessel Gauging Data'!$B$26:$V$56,MATCH($C261,'Vessel Gauging Data'!$B$26:$B$56,0),$Y$198)</f>
        <v>#N/A</v>
      </c>
      <c r="Z261" s="642" t="e">
        <f>INDEX('Vessel Gauging Data'!$B$26:$V$56,MATCH($C261,'Vessel Gauging Data'!$B$26:$B$56,0),$Z$198)</f>
        <v>#N/A</v>
      </c>
      <c r="AB261" s="642" t="e">
        <f>INDEX(API2DENST,MATCH($C261,'Vessel Gauging Data'!$B$27:$B$56,0),1)</f>
        <v>#N/A</v>
      </c>
      <c r="AC261" s="642" t="e">
        <f t="shared" si="220"/>
        <v>#N/A</v>
      </c>
      <c r="AE261" s="661" t="e">
        <f t="shared" si="221"/>
        <v>#VALUE!</v>
      </c>
      <c r="AF261" s="661" t="e">
        <f t="shared" si="222"/>
        <v>#VALUE!</v>
      </c>
      <c r="AH261" s="662" t="str">
        <f t="shared" si="256"/>
        <v/>
      </c>
      <c r="AI261" s="662" t="str">
        <f t="shared" si="257"/>
        <v/>
      </c>
      <c r="AJ261" s="663">
        <f t="shared" si="223"/>
        <v>192.4571</v>
      </c>
      <c r="AK261" s="660">
        <f t="shared" si="224"/>
        <v>0.24379999999999999</v>
      </c>
      <c r="AL261" s="660" t="e">
        <f t="shared" si="225"/>
        <v>#VALUE!</v>
      </c>
      <c r="AM261" s="664" t="e">
        <f t="shared" si="226"/>
        <v>#VALUE!</v>
      </c>
      <c r="AN261" s="664" t="e">
        <f t="shared" si="227"/>
        <v>#VALUE!</v>
      </c>
      <c r="AO261" s="665" t="e">
        <f t="shared" si="228"/>
        <v>#VALUE!</v>
      </c>
      <c r="AP261" s="666" t="e">
        <f t="shared" si="229"/>
        <v>#VALUE!</v>
      </c>
      <c r="AQ261" s="660" t="e">
        <f t="shared" si="230"/>
        <v>#VALUE!</v>
      </c>
      <c r="AR261" s="667" t="e">
        <f t="shared" si="231"/>
        <v>#VALUE!</v>
      </c>
      <c r="AS261" s="667" t="e">
        <f t="shared" si="232"/>
        <v>#VALUE!</v>
      </c>
      <c r="AT261" s="668" t="e">
        <f t="shared" si="233"/>
        <v>#VALUE!</v>
      </c>
      <c r="AU261" s="667" t="e">
        <f t="shared" si="234"/>
        <v>#VALUE!</v>
      </c>
      <c r="AV261" s="669" t="e">
        <f t="shared" si="235"/>
        <v>#VALUE!</v>
      </c>
      <c r="AW261" s="667" t="e">
        <f t="shared" si="236"/>
        <v>#VALUE!</v>
      </c>
      <c r="AX261" s="667" t="e">
        <f t="shared" si="237"/>
        <v>#VALUE!</v>
      </c>
      <c r="AY261" s="660" t="e">
        <f t="shared" si="238"/>
        <v>#VALUE!</v>
      </c>
      <c r="AZ261" s="670" t="e">
        <f t="shared" si="239"/>
        <v>#VALUE!</v>
      </c>
      <c r="BB261" s="662" t="e">
        <f>INDEX('Vessel Gauging Data'!$B$26:$V$56,MATCH($C261,'Vessel Gauging Data'!$B$26:$B$56,0),$BB$198)</f>
        <v>#N/A</v>
      </c>
      <c r="BC261" s="662" t="e">
        <f>INDEX('Vessel Gauging Data'!$B$26:$V$56,MATCH($C261,'Vessel Gauging Data'!$B$26:$B$56,0),$BC$198)</f>
        <v>#N/A</v>
      </c>
      <c r="BD261" s="662" t="e">
        <f>INDEX('Vessel Gauging Data'!$B$26:$V$56,MATCH($C261,'Vessel Gauging Data'!$B$26:$B$56,0),$BD$198)</f>
        <v>#N/A</v>
      </c>
      <c r="BE261" s="662" t="e">
        <f>INDEX('Vessel Gauging Data'!$B$26:$V$56,MATCH($C261,'Vessel Gauging Data'!$B$26:$B$56,0),$BE$198)</f>
        <v>#N/A</v>
      </c>
    </row>
    <row r="262" spans="1:57" hidden="1">
      <c r="A262" s="641" t="str">
        <f t="shared" ref="A262:A293" si="273">A85</f>
        <v>N</v>
      </c>
      <c r="C262" s="235" t="str">
        <f t="shared" si="259"/>
        <v/>
      </c>
      <c r="D262" s="211" t="str">
        <f t="shared" si="259"/>
        <v/>
      </c>
      <c r="E262" s="1016" t="str">
        <f t="shared" si="258"/>
        <v/>
      </c>
      <c r="F262" s="1016" t="str">
        <f t="shared" si="260"/>
        <v/>
      </c>
      <c r="G262" s="1016" t="str">
        <f t="shared" si="261"/>
        <v/>
      </c>
      <c r="H262" s="1016" t="str">
        <f t="shared" si="261"/>
        <v/>
      </c>
      <c r="I262" s="211" t="str">
        <f t="shared" si="262"/>
        <v/>
      </c>
      <c r="J262" s="1016" t="str">
        <f t="shared" si="263"/>
        <v/>
      </c>
      <c r="K262" s="213" t="str">
        <f t="shared" si="264"/>
        <v/>
      </c>
      <c r="L262" s="212" t="str">
        <f t="shared" si="265"/>
        <v/>
      </c>
      <c r="M262" s="1125" t="str">
        <f>IF(OR($C262="",$C262=0),"",INDEX(API2DENST,MATCH($C262,'Vessel Gauging Data'!$B$27:$B$56,0),$AA$1))</f>
        <v/>
      </c>
      <c r="N262" s="212" t="str">
        <f t="shared" si="266"/>
        <v/>
      </c>
      <c r="O262" s="1016" t="str">
        <f t="shared" si="267"/>
        <v/>
      </c>
      <c r="P262" s="1125" t="str">
        <f t="shared" si="268"/>
        <v/>
      </c>
      <c r="Q262" s="1016" t="str">
        <f t="shared" si="269"/>
        <v/>
      </c>
      <c r="R262" s="214" t="str">
        <f t="shared" si="270"/>
        <v/>
      </c>
      <c r="S262" s="1125" t="str">
        <f t="shared" si="271"/>
        <v/>
      </c>
      <c r="T262" s="236" t="str">
        <f t="shared" si="272"/>
        <v/>
      </c>
      <c r="W262" s="642" t="e">
        <f>INDEX('Vessel Gauging Data'!$B$26:$V$56,MATCH($C262,'Vessel Gauging Data'!$B$26:$B$56,0),$W$198)</f>
        <v>#N/A</v>
      </c>
      <c r="X262" s="642" t="e">
        <f>INDEX('Vessel Gauging Data'!$B$26:$V$56,MATCH($C262,'Vessel Gauging Data'!$B$26:$B$56,0),$X$198)</f>
        <v>#N/A</v>
      </c>
      <c r="Y262" s="642" t="e">
        <f>INDEX('Vessel Gauging Data'!$B$26:$V$56,MATCH($C262,'Vessel Gauging Data'!$B$26:$B$56,0),$Y$198)</f>
        <v>#N/A</v>
      </c>
      <c r="Z262" s="642" t="e">
        <f>INDEX('Vessel Gauging Data'!$B$26:$V$56,MATCH($C262,'Vessel Gauging Data'!$B$26:$B$56,0),$Z$198)</f>
        <v>#N/A</v>
      </c>
      <c r="AB262" s="642" t="e">
        <f>INDEX(API2DENST,MATCH($C262,'Vessel Gauging Data'!$B$27:$B$56,0),1)</f>
        <v>#N/A</v>
      </c>
      <c r="AC262" s="642" t="e">
        <f t="shared" si="220"/>
        <v>#N/A</v>
      </c>
      <c r="AE262" s="661" t="e">
        <f t="shared" si="221"/>
        <v>#VALUE!</v>
      </c>
      <c r="AF262" s="661" t="e">
        <f t="shared" si="222"/>
        <v>#VALUE!</v>
      </c>
      <c r="AH262" s="662" t="str">
        <f t="shared" si="256"/>
        <v/>
      </c>
      <c r="AI262" s="662" t="str">
        <f t="shared" si="257"/>
        <v/>
      </c>
      <c r="AJ262" s="663">
        <f t="shared" si="223"/>
        <v>192.4571</v>
      </c>
      <c r="AK262" s="660">
        <f t="shared" si="224"/>
        <v>0.24379999999999999</v>
      </c>
      <c r="AL262" s="660" t="e">
        <f t="shared" si="225"/>
        <v>#VALUE!</v>
      </c>
      <c r="AM262" s="664" t="e">
        <f t="shared" si="226"/>
        <v>#VALUE!</v>
      </c>
      <c r="AN262" s="664" t="e">
        <f t="shared" si="227"/>
        <v>#VALUE!</v>
      </c>
      <c r="AO262" s="665" t="e">
        <f t="shared" si="228"/>
        <v>#VALUE!</v>
      </c>
      <c r="AP262" s="666" t="e">
        <f t="shared" si="229"/>
        <v>#VALUE!</v>
      </c>
      <c r="AQ262" s="660" t="e">
        <f t="shared" si="230"/>
        <v>#VALUE!</v>
      </c>
      <c r="AR262" s="667" t="e">
        <f t="shared" si="231"/>
        <v>#VALUE!</v>
      </c>
      <c r="AS262" s="667" t="e">
        <f t="shared" si="232"/>
        <v>#VALUE!</v>
      </c>
      <c r="AT262" s="668" t="e">
        <f t="shared" si="233"/>
        <v>#VALUE!</v>
      </c>
      <c r="AU262" s="667" t="e">
        <f t="shared" si="234"/>
        <v>#VALUE!</v>
      </c>
      <c r="AV262" s="669" t="e">
        <f t="shared" si="235"/>
        <v>#VALUE!</v>
      </c>
      <c r="AW262" s="667" t="e">
        <f t="shared" si="236"/>
        <v>#VALUE!</v>
      </c>
      <c r="AX262" s="667" t="e">
        <f t="shared" si="237"/>
        <v>#VALUE!</v>
      </c>
      <c r="AY262" s="660" t="e">
        <f t="shared" si="238"/>
        <v>#VALUE!</v>
      </c>
      <c r="AZ262" s="670" t="e">
        <f t="shared" si="239"/>
        <v>#VALUE!</v>
      </c>
      <c r="BB262" s="662" t="e">
        <f>INDEX('Vessel Gauging Data'!$B$26:$V$56,MATCH($C262,'Vessel Gauging Data'!$B$26:$B$56,0),$BB$198)</f>
        <v>#N/A</v>
      </c>
      <c r="BC262" s="662" t="e">
        <f>INDEX('Vessel Gauging Data'!$B$26:$V$56,MATCH($C262,'Vessel Gauging Data'!$B$26:$B$56,0),$BC$198)</f>
        <v>#N/A</v>
      </c>
      <c r="BD262" s="662" t="e">
        <f>INDEX('Vessel Gauging Data'!$B$26:$V$56,MATCH($C262,'Vessel Gauging Data'!$B$26:$B$56,0),$BD$198)</f>
        <v>#N/A</v>
      </c>
      <c r="BE262" s="662" t="e">
        <f>INDEX('Vessel Gauging Data'!$B$26:$V$56,MATCH($C262,'Vessel Gauging Data'!$B$26:$B$56,0),$BE$198)</f>
        <v>#N/A</v>
      </c>
    </row>
    <row r="263" spans="1:57" hidden="1">
      <c r="A263" s="641" t="str">
        <f t="shared" si="273"/>
        <v>N</v>
      </c>
      <c r="C263" s="235" t="str">
        <f t="shared" si="259"/>
        <v/>
      </c>
      <c r="D263" s="211" t="str">
        <f t="shared" si="259"/>
        <v/>
      </c>
      <c r="E263" s="1016" t="str">
        <f t="shared" si="258"/>
        <v/>
      </c>
      <c r="F263" s="1016" t="str">
        <f t="shared" si="260"/>
        <v/>
      </c>
      <c r="G263" s="1016" t="str">
        <f t="shared" si="261"/>
        <v/>
      </c>
      <c r="H263" s="1016" t="str">
        <f t="shared" si="261"/>
        <v/>
      </c>
      <c r="I263" s="211" t="str">
        <f t="shared" si="262"/>
        <v/>
      </c>
      <c r="J263" s="1016" t="str">
        <f t="shared" si="263"/>
        <v/>
      </c>
      <c r="K263" s="213" t="str">
        <f t="shared" si="264"/>
        <v/>
      </c>
      <c r="L263" s="212" t="str">
        <f t="shared" si="265"/>
        <v/>
      </c>
      <c r="M263" s="1125" t="str">
        <f>IF(OR($C263="",$C263=0),"",INDEX(API2DENST,MATCH($C263,'Vessel Gauging Data'!$B$27:$B$56,0),$AA$1))</f>
        <v/>
      </c>
      <c r="N263" s="212" t="str">
        <f t="shared" si="266"/>
        <v/>
      </c>
      <c r="O263" s="1016" t="str">
        <f t="shared" si="267"/>
        <v/>
      </c>
      <c r="P263" s="1125" t="str">
        <f t="shared" si="268"/>
        <v/>
      </c>
      <c r="Q263" s="1016" t="str">
        <f t="shared" si="269"/>
        <v/>
      </c>
      <c r="R263" s="214" t="str">
        <f t="shared" si="270"/>
        <v/>
      </c>
      <c r="S263" s="1125" t="str">
        <f t="shared" si="271"/>
        <v/>
      </c>
      <c r="T263" s="236" t="str">
        <f t="shared" si="272"/>
        <v/>
      </c>
      <c r="W263" s="642" t="e">
        <f>INDEX('Vessel Gauging Data'!$B$26:$V$56,MATCH($C263,'Vessel Gauging Data'!$B$26:$B$56,0),$W$198)</f>
        <v>#N/A</v>
      </c>
      <c r="X263" s="642" t="e">
        <f>INDEX('Vessel Gauging Data'!$B$26:$V$56,MATCH($C263,'Vessel Gauging Data'!$B$26:$B$56,0),$X$198)</f>
        <v>#N/A</v>
      </c>
      <c r="Y263" s="642" t="e">
        <f>INDEX('Vessel Gauging Data'!$B$26:$V$56,MATCH($C263,'Vessel Gauging Data'!$B$26:$B$56,0),$Y$198)</f>
        <v>#N/A</v>
      </c>
      <c r="Z263" s="642" t="e">
        <f>INDEX('Vessel Gauging Data'!$B$26:$V$56,MATCH($C263,'Vessel Gauging Data'!$B$26:$B$56,0),$Z$198)</f>
        <v>#N/A</v>
      </c>
      <c r="AB263" s="642" t="e">
        <f>INDEX(API2DENST,MATCH($C263,'Vessel Gauging Data'!$B$27:$B$56,0),1)</f>
        <v>#N/A</v>
      </c>
      <c r="AC263" s="642" t="e">
        <f t="shared" si="220"/>
        <v>#N/A</v>
      </c>
      <c r="AE263" s="661" t="e">
        <f t="shared" si="221"/>
        <v>#VALUE!</v>
      </c>
      <c r="AF263" s="661" t="e">
        <f t="shared" si="222"/>
        <v>#VALUE!</v>
      </c>
      <c r="AH263" s="662" t="str">
        <f t="shared" si="256"/>
        <v/>
      </c>
      <c r="AI263" s="662" t="str">
        <f t="shared" si="257"/>
        <v/>
      </c>
      <c r="AJ263" s="663">
        <f t="shared" si="223"/>
        <v>192.4571</v>
      </c>
      <c r="AK263" s="660">
        <f t="shared" si="224"/>
        <v>0.24379999999999999</v>
      </c>
      <c r="AL263" s="660" t="e">
        <f t="shared" si="225"/>
        <v>#VALUE!</v>
      </c>
      <c r="AM263" s="664" t="e">
        <f t="shared" si="226"/>
        <v>#VALUE!</v>
      </c>
      <c r="AN263" s="664" t="e">
        <f t="shared" si="227"/>
        <v>#VALUE!</v>
      </c>
      <c r="AO263" s="665" t="e">
        <f t="shared" si="228"/>
        <v>#VALUE!</v>
      </c>
      <c r="AP263" s="666" t="e">
        <f t="shared" si="229"/>
        <v>#VALUE!</v>
      </c>
      <c r="AQ263" s="660" t="e">
        <f t="shared" si="230"/>
        <v>#VALUE!</v>
      </c>
      <c r="AR263" s="667" t="e">
        <f t="shared" si="231"/>
        <v>#VALUE!</v>
      </c>
      <c r="AS263" s="667" t="e">
        <f t="shared" si="232"/>
        <v>#VALUE!</v>
      </c>
      <c r="AT263" s="668" t="e">
        <f t="shared" si="233"/>
        <v>#VALUE!</v>
      </c>
      <c r="AU263" s="667" t="e">
        <f t="shared" si="234"/>
        <v>#VALUE!</v>
      </c>
      <c r="AV263" s="669" t="e">
        <f t="shared" si="235"/>
        <v>#VALUE!</v>
      </c>
      <c r="AW263" s="667" t="e">
        <f t="shared" si="236"/>
        <v>#VALUE!</v>
      </c>
      <c r="AX263" s="667" t="e">
        <f t="shared" si="237"/>
        <v>#VALUE!</v>
      </c>
      <c r="AY263" s="660" t="e">
        <f t="shared" si="238"/>
        <v>#VALUE!</v>
      </c>
      <c r="AZ263" s="670" t="e">
        <f t="shared" si="239"/>
        <v>#VALUE!</v>
      </c>
      <c r="BB263" s="662" t="e">
        <f>INDEX('Vessel Gauging Data'!$B$26:$V$56,MATCH($C263,'Vessel Gauging Data'!$B$26:$B$56,0),$BB$198)</f>
        <v>#N/A</v>
      </c>
      <c r="BC263" s="662" t="e">
        <f>INDEX('Vessel Gauging Data'!$B$26:$V$56,MATCH($C263,'Vessel Gauging Data'!$B$26:$B$56,0),$BC$198)</f>
        <v>#N/A</v>
      </c>
      <c r="BD263" s="662" t="e">
        <f>INDEX('Vessel Gauging Data'!$B$26:$V$56,MATCH($C263,'Vessel Gauging Data'!$B$26:$B$56,0),$BD$198)</f>
        <v>#N/A</v>
      </c>
      <c r="BE263" s="662" t="e">
        <f>INDEX('Vessel Gauging Data'!$B$26:$V$56,MATCH($C263,'Vessel Gauging Data'!$B$26:$B$56,0),$BE$198)</f>
        <v>#N/A</v>
      </c>
    </row>
    <row r="264" spans="1:57" hidden="1">
      <c r="A264" s="641" t="str">
        <f t="shared" si="273"/>
        <v>N</v>
      </c>
      <c r="C264" s="237" t="str">
        <f t="shared" si="259"/>
        <v/>
      </c>
      <c r="D264" s="238" t="str">
        <f t="shared" si="259"/>
        <v/>
      </c>
      <c r="E264" s="1017" t="str">
        <f t="shared" si="258"/>
        <v/>
      </c>
      <c r="F264" s="1017" t="str">
        <f t="shared" si="260"/>
        <v/>
      </c>
      <c r="G264" s="1017" t="str">
        <f t="shared" si="261"/>
        <v/>
      </c>
      <c r="H264" s="1017" t="str">
        <f t="shared" si="261"/>
        <v/>
      </c>
      <c r="I264" s="238" t="str">
        <f t="shared" si="262"/>
        <v/>
      </c>
      <c r="J264" s="1017" t="str">
        <f t="shared" si="263"/>
        <v/>
      </c>
      <c r="K264" s="240" t="str">
        <f t="shared" si="264"/>
        <v/>
      </c>
      <c r="L264" s="239" t="str">
        <f t="shared" si="265"/>
        <v/>
      </c>
      <c r="M264" s="1126" t="str">
        <f>IF(OR($C264="",$C264=0),"",INDEX(API2DENST,MATCH($C264,'Vessel Gauging Data'!$B$27:$B$56,0),$AA$1))</f>
        <v/>
      </c>
      <c r="N264" s="239" t="str">
        <f t="shared" si="266"/>
        <v/>
      </c>
      <c r="O264" s="1017" t="str">
        <f t="shared" si="267"/>
        <v/>
      </c>
      <c r="P264" s="1126" t="str">
        <f t="shared" si="268"/>
        <v/>
      </c>
      <c r="Q264" s="1017" t="str">
        <f t="shared" si="269"/>
        <v/>
      </c>
      <c r="R264" s="241" t="str">
        <f t="shared" si="270"/>
        <v/>
      </c>
      <c r="S264" s="1126" t="str">
        <f t="shared" si="271"/>
        <v/>
      </c>
      <c r="T264" s="242" t="str">
        <f t="shared" si="272"/>
        <v/>
      </c>
      <c r="W264" s="642" t="e">
        <f>INDEX('Vessel Gauging Data'!$B$26:$V$56,MATCH($C264,'Vessel Gauging Data'!$B$26:$B$56,0),$W$198)</f>
        <v>#N/A</v>
      </c>
      <c r="X264" s="642" t="e">
        <f>INDEX('Vessel Gauging Data'!$B$26:$V$56,MATCH($C264,'Vessel Gauging Data'!$B$26:$B$56,0),$X$198)</f>
        <v>#N/A</v>
      </c>
      <c r="Y264" s="642" t="e">
        <f>INDEX('Vessel Gauging Data'!$B$26:$V$56,MATCH($C264,'Vessel Gauging Data'!$B$26:$B$56,0),$Y$198)</f>
        <v>#N/A</v>
      </c>
      <c r="Z264" s="642" t="e">
        <f>INDEX('Vessel Gauging Data'!$B$26:$V$56,MATCH($C264,'Vessel Gauging Data'!$B$26:$B$56,0),$Z$198)</f>
        <v>#N/A</v>
      </c>
      <c r="AB264" s="642" t="e">
        <f>INDEX(API2DENST,MATCH($C264,'Vessel Gauging Data'!$B$27:$B$56,0),1)</f>
        <v>#N/A</v>
      </c>
      <c r="AC264" s="642" t="e">
        <f t="shared" si="220"/>
        <v>#N/A</v>
      </c>
      <c r="AE264" s="661" t="e">
        <f t="shared" si="221"/>
        <v>#VALUE!</v>
      </c>
      <c r="AF264" s="661" t="e">
        <f t="shared" si="222"/>
        <v>#VALUE!</v>
      </c>
      <c r="AH264" s="662" t="str">
        <f t="shared" si="256"/>
        <v/>
      </c>
      <c r="AI264" s="662" t="str">
        <f t="shared" si="257"/>
        <v/>
      </c>
      <c r="AJ264" s="663">
        <f t="shared" si="223"/>
        <v>192.4571</v>
      </c>
      <c r="AK264" s="660">
        <f t="shared" si="224"/>
        <v>0.24379999999999999</v>
      </c>
      <c r="AL264" s="660" t="e">
        <f t="shared" si="225"/>
        <v>#VALUE!</v>
      </c>
      <c r="AM264" s="664" t="e">
        <f t="shared" si="226"/>
        <v>#VALUE!</v>
      </c>
      <c r="AN264" s="664" t="e">
        <f t="shared" si="227"/>
        <v>#VALUE!</v>
      </c>
      <c r="AO264" s="665" t="e">
        <f t="shared" si="228"/>
        <v>#VALUE!</v>
      </c>
      <c r="AP264" s="666" t="e">
        <f t="shared" si="229"/>
        <v>#VALUE!</v>
      </c>
      <c r="AQ264" s="660" t="e">
        <f t="shared" si="230"/>
        <v>#VALUE!</v>
      </c>
      <c r="AR264" s="667" t="e">
        <f t="shared" si="231"/>
        <v>#VALUE!</v>
      </c>
      <c r="AS264" s="667" t="e">
        <f t="shared" si="232"/>
        <v>#VALUE!</v>
      </c>
      <c r="AT264" s="668" t="e">
        <f t="shared" si="233"/>
        <v>#VALUE!</v>
      </c>
      <c r="AU264" s="667" t="e">
        <f t="shared" si="234"/>
        <v>#VALUE!</v>
      </c>
      <c r="AV264" s="669" t="e">
        <f t="shared" si="235"/>
        <v>#VALUE!</v>
      </c>
      <c r="AW264" s="667" t="e">
        <f t="shared" si="236"/>
        <v>#VALUE!</v>
      </c>
      <c r="AX264" s="667" t="e">
        <f t="shared" si="237"/>
        <v>#VALUE!</v>
      </c>
      <c r="AY264" s="660" t="e">
        <f t="shared" si="238"/>
        <v>#VALUE!</v>
      </c>
      <c r="AZ264" s="670" t="e">
        <f t="shared" si="239"/>
        <v>#VALUE!</v>
      </c>
      <c r="BB264" s="662" t="e">
        <f>INDEX('Vessel Gauging Data'!$B$26:$V$56,MATCH($C264,'Vessel Gauging Data'!$B$26:$B$56,0),$BB$198)</f>
        <v>#N/A</v>
      </c>
      <c r="BC264" s="662" t="e">
        <f>INDEX('Vessel Gauging Data'!$B$26:$V$56,MATCH($C264,'Vessel Gauging Data'!$B$26:$B$56,0),$BC$198)</f>
        <v>#N/A</v>
      </c>
      <c r="BD264" s="662" t="e">
        <f>INDEX('Vessel Gauging Data'!$B$26:$V$56,MATCH($C264,'Vessel Gauging Data'!$B$26:$B$56,0),$BD$198)</f>
        <v>#N/A</v>
      </c>
      <c r="BE264" s="662" t="e">
        <f>INDEX('Vessel Gauging Data'!$B$26:$V$56,MATCH($C264,'Vessel Gauging Data'!$B$26:$B$56,0),$BE$198)</f>
        <v>#N/A</v>
      </c>
    </row>
    <row r="265" spans="1:57" hidden="1">
      <c r="A265" s="641" t="str">
        <f t="shared" si="273"/>
        <v>N</v>
      </c>
      <c r="C265" s="671"/>
      <c r="D265" s="671"/>
      <c r="E265" s="672"/>
      <c r="F265" s="672"/>
      <c r="G265" s="672"/>
      <c r="H265" s="1501"/>
      <c r="I265" s="671"/>
      <c r="J265" s="672"/>
      <c r="K265" s="673"/>
      <c r="L265" s="672"/>
      <c r="M265" s="674"/>
      <c r="N265" s="672"/>
      <c r="O265" s="672"/>
      <c r="P265" s="1127"/>
      <c r="Q265" s="672"/>
      <c r="R265" s="675"/>
      <c r="S265" s="1137" t="s">
        <v>401</v>
      </c>
      <c r="T265" s="619">
        <f>SUM(T245:T264)</f>
        <v>0</v>
      </c>
      <c r="V265" s="676"/>
      <c r="W265" s="719"/>
      <c r="X265" s="719"/>
      <c r="Y265" s="719"/>
      <c r="Z265" s="719"/>
      <c r="AA265" s="676"/>
      <c r="AB265" s="719"/>
      <c r="AC265" s="719"/>
      <c r="AD265" s="676"/>
      <c r="AE265" s="720"/>
      <c r="AF265" s="720"/>
      <c r="AG265" s="676"/>
      <c r="AH265" s="721"/>
      <c r="AI265" s="721"/>
      <c r="AJ265" s="722"/>
      <c r="AK265" s="723"/>
      <c r="AL265" s="723"/>
      <c r="AM265" s="724"/>
      <c r="AN265" s="724"/>
      <c r="AO265" s="725"/>
      <c r="AP265" s="726"/>
      <c r="AQ265" s="723"/>
      <c r="AR265" s="727"/>
      <c r="AS265" s="727"/>
      <c r="AT265" s="728"/>
      <c r="AU265" s="727"/>
      <c r="AV265" s="729"/>
      <c r="AW265" s="727"/>
      <c r="AX265" s="727"/>
      <c r="AY265" s="723"/>
      <c r="AZ265" s="730"/>
      <c r="BA265" s="676"/>
      <c r="BB265" s="721"/>
      <c r="BC265" s="721"/>
      <c r="BD265" s="721"/>
      <c r="BE265" s="721"/>
    </row>
    <row r="266" spans="1:57" s="702" customFormat="1" ht="5.25" hidden="1">
      <c r="A266" s="702" t="str">
        <f t="shared" si="273"/>
        <v>N</v>
      </c>
      <c r="C266" s="704"/>
      <c r="D266" s="704"/>
      <c r="E266" s="704"/>
      <c r="F266" s="704"/>
      <c r="G266" s="704"/>
      <c r="H266" s="704"/>
      <c r="I266" s="704"/>
      <c r="J266" s="705"/>
      <c r="K266" s="705"/>
      <c r="L266" s="705"/>
      <c r="M266" s="705"/>
      <c r="N266" s="705"/>
      <c r="O266" s="705"/>
      <c r="P266" s="1128"/>
      <c r="Q266" s="705"/>
      <c r="R266" s="705"/>
      <c r="S266" s="1136"/>
      <c r="T266" s="706"/>
      <c r="V266" s="707"/>
      <c r="W266" s="707"/>
      <c r="X266" s="707"/>
      <c r="Y266" s="707"/>
      <c r="Z266" s="707"/>
      <c r="AA266" s="707"/>
      <c r="AB266" s="707"/>
      <c r="AC266" s="707"/>
      <c r="AD266" s="707"/>
      <c r="AE266" s="708"/>
      <c r="AF266" s="708"/>
      <c r="AG266" s="707"/>
      <c r="AH266" s="709"/>
      <c r="AI266" s="709"/>
      <c r="AJ266" s="710"/>
      <c r="AK266" s="711"/>
      <c r="AL266" s="711"/>
      <c r="AM266" s="712"/>
      <c r="AN266" s="712"/>
      <c r="AO266" s="713"/>
      <c r="AP266" s="714"/>
      <c r="AQ266" s="711"/>
      <c r="AR266" s="715"/>
      <c r="AS266" s="715"/>
      <c r="AT266" s="716"/>
      <c r="AU266" s="715"/>
      <c r="AV266" s="717"/>
      <c r="AW266" s="715"/>
      <c r="AX266" s="715"/>
      <c r="AY266" s="711"/>
      <c r="AZ266" s="718"/>
      <c r="BA266" s="707"/>
      <c r="BB266" s="709"/>
      <c r="BC266" s="709"/>
      <c r="BD266" s="709"/>
      <c r="BE266" s="709"/>
    </row>
    <row r="267" spans="1:57" ht="15.75" hidden="1">
      <c r="A267" s="641" t="str">
        <f t="shared" si="273"/>
        <v>N</v>
      </c>
      <c r="B267" s="641">
        <v>4</v>
      </c>
      <c r="C267" s="2797" t="s">
        <v>163</v>
      </c>
      <c r="D267" s="2798"/>
      <c r="E267" s="2799" t="str">
        <f t="shared" ref="E267" si="274">E90</f>
        <v>LSMDO</v>
      </c>
      <c r="F267" s="2800"/>
      <c r="G267" s="2800"/>
      <c r="H267" s="2800"/>
      <c r="I267" s="2801"/>
      <c r="J267" s="698"/>
      <c r="K267" s="699"/>
      <c r="L267" s="700"/>
      <c r="M267" s="699"/>
      <c r="N267" s="699"/>
      <c r="O267" s="700"/>
      <c r="P267" s="1129"/>
      <c r="Q267" s="700"/>
      <c r="R267" s="701"/>
      <c r="S267" s="1129"/>
      <c r="T267" s="701"/>
      <c r="V267" s="676"/>
      <c r="W267" s="731"/>
      <c r="X267" s="731"/>
      <c r="Y267" s="731"/>
      <c r="Z267" s="731"/>
      <c r="AA267" s="676"/>
      <c r="AB267" s="731"/>
      <c r="AC267" s="731"/>
      <c r="AD267" s="676"/>
      <c r="AE267" s="732"/>
      <c r="AF267" s="732"/>
      <c r="AG267" s="676"/>
      <c r="AH267" s="733"/>
      <c r="AI267" s="733"/>
      <c r="AJ267" s="734"/>
      <c r="AK267" s="735"/>
      <c r="AL267" s="735"/>
      <c r="AM267" s="736"/>
      <c r="AN267" s="736"/>
      <c r="AO267" s="737"/>
      <c r="AP267" s="738"/>
      <c r="AQ267" s="735"/>
      <c r="AR267" s="739"/>
      <c r="AS267" s="739"/>
      <c r="AT267" s="740"/>
      <c r="AU267" s="739"/>
      <c r="AV267" s="741"/>
      <c r="AW267" s="739"/>
      <c r="AX267" s="739"/>
      <c r="AY267" s="735"/>
      <c r="AZ267" s="742"/>
      <c r="BA267" s="676"/>
      <c r="BB267" s="733"/>
      <c r="BC267" s="733"/>
      <c r="BD267" s="733"/>
      <c r="BE267" s="733"/>
    </row>
    <row r="268" spans="1:57" hidden="1">
      <c r="A268" s="641" t="str">
        <f t="shared" si="273"/>
        <v>N</v>
      </c>
      <c r="C268" s="622" t="str">
        <f t="shared" ref="C268:E287" si="275">C91</f>
        <v/>
      </c>
      <c r="D268" s="623" t="str">
        <f t="shared" si="275"/>
        <v/>
      </c>
      <c r="E268" s="1018" t="str">
        <f t="shared" si="275"/>
        <v/>
      </c>
      <c r="F268" s="1018" t="str">
        <f t="shared" ref="F268:F287" si="276">IF(ISERROR(W268),"",IF(OR($C268="",$C268=0),"",IF(ISTEXT(W268),W268,IF($AB$1=1,W268*UNITOR_1,INT(W268*UNITOR_1)&amp;"'-"&amp;TRIM(TEXT(ROUND(MOD(W268*UNITOR_1,1)*12,1),"# ???/???"))&amp;""""))))</f>
        <v/>
      </c>
      <c r="G268" s="1018" t="str">
        <f t="shared" ref="G268:H287" si="277">IF(ISERROR(X268),"",IF(OR($C268="",$C268=0),"",IF(ISTEXT(X268),X268,IF($AB$1=1,X268*UNITOR_1,INT(X268*UNITOR_1)&amp;"'-"&amp;TRIM(TEXT(ROUND(MOD(X268*UNITOR_1,1)*12,1),"# ???/???"))&amp;""""))))</f>
        <v/>
      </c>
      <c r="H268" s="1018" t="str">
        <f t="shared" si="277"/>
        <v/>
      </c>
      <c r="I268" s="623" t="str">
        <f t="shared" ref="I268:I287" si="278">IF(ISERROR($BB268),"",IF(OR($C268="",$C268=0,$BB268=0),"",$BB268))</f>
        <v/>
      </c>
      <c r="J268" s="1018" t="str">
        <f t="shared" ref="J268:J287" si="279">IF(ISERROR($BC268),"",IF(OR($C268="",$C268=0,$BC268=""),"",IF(ISTEXT($BC268),$BC268,$BC268*IF($AA$1=B1SEL,1,IF($AA$1=2,FBBLS,1/FBBLS)))))</f>
        <v/>
      </c>
      <c r="K268" s="625" t="str">
        <f t="shared" ref="K268:K287" si="280">IF(ISERROR($BD268),"",IF(OR($C268="",$C268=0,$BD268=""),0,IF(ISTEXT($BD268),$BD268,$BD268*IF($AB$1=W1SEL,1,IF($AB$1=2,FINCH,1/FINCH)))))</f>
        <v/>
      </c>
      <c r="L268" s="624" t="str">
        <f t="shared" ref="L268:L287" si="281">IF(ISERROR($BE268),"",IF(OR($C268="",$C268=0,$BE268=""),0,IF(ISTEXT($BE268),$BE268,$BE268*IF($AA$1=B1SEL,1,IF($AA$1=2,FBBLS,1/FBBLS)))))</f>
        <v/>
      </c>
      <c r="M268" s="1124" t="str">
        <f>IF(OR($C268="",$C268=0),"",INDEX(API2DENST,MATCH($C268,'Vessel Gauging Data'!$B$27:$B$56,0),$AA$1))</f>
        <v/>
      </c>
      <c r="N268" s="624" t="str">
        <f t="shared" ref="N268:N287" si="282">IF(ISERROR(Z268),"",IF(OR($C268="",$C268=0,Z268=""),"",IF(ISTEXT(Z268),Z268,IF($AA$1=T1SEL,Z268,IF($AA$1=2,(Z268*9/5)+32,(Z268-32)*5/9)))))</f>
        <v/>
      </c>
      <c r="O268" s="1018" t="str">
        <f t="shared" ref="O268:O287" si="283">IF(OR(J268="",L268=""),"",IF(ISTEXT(J268),"N/A",IF(ISTEXT(L268),J268,J268-L268)))</f>
        <v/>
      </c>
      <c r="P268" s="1124" t="str">
        <f t="shared" ref="P268:P287" si="284">IF(OR(M268="",N268=""),"",IF(OR(ISTEXT(M268),ISTEXT(N268)),"N/A",IF($AA$1=1,ROUND(EXP(-AF268*(N268-15)*(1+0.8*AF268*(N268-15))),5),AZ268)))</f>
        <v/>
      </c>
      <c r="Q268" s="1018" t="str">
        <f t="shared" ref="Q268:Q287" si="285">IF(OR(M268="",N268=""),"",IF(OR(ISTEXT(M268),ISTEXT(N268)),"N/A",ROUND(O268*P268,3)))</f>
        <v/>
      </c>
      <c r="R268" s="626" t="str">
        <f t="shared" ref="R268:R287" si="286">IF(M268="","",IF($AA$1=1,IF(ISTEXT(Q268),"N/A",ROUND(Q268*M268,3)),IF(ISTEXT(T268),"N/A",ROUND(T268*AC268,3))))</f>
        <v/>
      </c>
      <c r="S268" s="1124" t="str">
        <f t="shared" ref="S268:S287" si="287">IF(M268="","",IF($AA$1=1,ROUND(M268-0.0011,5),ROUND((1.00122697*(141.5/(M268+131.5))-1.22269727*10^-3)*8.32823*42/2204.62,5+2)))</f>
        <v/>
      </c>
      <c r="T268" s="627" t="str">
        <f t="shared" ref="T268:T287" si="288">IF(OR(M268="",N268=""),"",IF(ISTEXT(Q268),"N/A",IF($AA$1=1,ROUND((Q268*(M268-0.0011)),3),ROUND(Q268*S268,3))))</f>
        <v/>
      </c>
      <c r="W268" s="642" t="e">
        <f>INDEX('Vessel Gauging Data'!$B$26:$V$56,MATCH($C268,'Vessel Gauging Data'!$B$26:$B$56,0),$W$198)</f>
        <v>#N/A</v>
      </c>
      <c r="X268" s="642" t="e">
        <f>INDEX('Vessel Gauging Data'!$B$26:$V$56,MATCH($C268,'Vessel Gauging Data'!$B$26:$B$56,0),$X$198)</f>
        <v>#N/A</v>
      </c>
      <c r="Y268" s="642" t="e">
        <f>INDEX('Vessel Gauging Data'!$B$26:$V$56,MATCH($C268,'Vessel Gauging Data'!$B$26:$B$56,0),$Y$198)</f>
        <v>#N/A</v>
      </c>
      <c r="Z268" s="642" t="e">
        <f>INDEX('Vessel Gauging Data'!$B$26:$V$56,MATCH($C268,'Vessel Gauging Data'!$B$26:$B$56,0),$Z$198)</f>
        <v>#N/A</v>
      </c>
      <c r="AB268" s="642" t="e">
        <f>INDEX(API2DENST,MATCH($C268,'Vessel Gauging Data'!$B$27:$B$56,0),1)</f>
        <v>#N/A</v>
      </c>
      <c r="AC268" s="642" t="e">
        <f t="shared" si="220"/>
        <v>#N/A</v>
      </c>
      <c r="AE268" s="661" t="e">
        <f t="shared" si="221"/>
        <v>#VALUE!</v>
      </c>
      <c r="AF268" s="661" t="e">
        <f t="shared" si="222"/>
        <v>#VALUE!</v>
      </c>
      <c r="AH268" s="662" t="str">
        <f t="shared" si="256"/>
        <v/>
      </c>
      <c r="AI268" s="662" t="str">
        <f t="shared" si="257"/>
        <v/>
      </c>
      <c r="AJ268" s="663">
        <f t="shared" si="223"/>
        <v>192.4571</v>
      </c>
      <c r="AK268" s="660">
        <f t="shared" si="224"/>
        <v>0.24379999999999999</v>
      </c>
      <c r="AL268" s="660" t="e">
        <f t="shared" si="225"/>
        <v>#VALUE!</v>
      </c>
      <c r="AM268" s="664" t="e">
        <f t="shared" si="226"/>
        <v>#VALUE!</v>
      </c>
      <c r="AN268" s="664" t="e">
        <f t="shared" si="227"/>
        <v>#VALUE!</v>
      </c>
      <c r="AO268" s="665" t="e">
        <f t="shared" si="228"/>
        <v>#VALUE!</v>
      </c>
      <c r="AP268" s="666" t="e">
        <f t="shared" si="229"/>
        <v>#VALUE!</v>
      </c>
      <c r="AQ268" s="660" t="e">
        <f t="shared" si="230"/>
        <v>#VALUE!</v>
      </c>
      <c r="AR268" s="667" t="e">
        <f t="shared" si="231"/>
        <v>#VALUE!</v>
      </c>
      <c r="AS268" s="667" t="e">
        <f t="shared" si="232"/>
        <v>#VALUE!</v>
      </c>
      <c r="AT268" s="668" t="e">
        <f t="shared" si="233"/>
        <v>#VALUE!</v>
      </c>
      <c r="AU268" s="667" t="e">
        <f t="shared" si="234"/>
        <v>#VALUE!</v>
      </c>
      <c r="AV268" s="669" t="e">
        <f t="shared" si="235"/>
        <v>#VALUE!</v>
      </c>
      <c r="AW268" s="667" t="e">
        <f t="shared" si="236"/>
        <v>#VALUE!</v>
      </c>
      <c r="AX268" s="667" t="e">
        <f t="shared" si="237"/>
        <v>#VALUE!</v>
      </c>
      <c r="AY268" s="660" t="e">
        <f t="shared" si="238"/>
        <v>#VALUE!</v>
      </c>
      <c r="AZ268" s="670" t="e">
        <f t="shared" si="239"/>
        <v>#VALUE!</v>
      </c>
      <c r="BB268" s="662" t="e">
        <f>INDEX('Vessel Gauging Data'!$B$26:$V$56,MATCH($C268,'Vessel Gauging Data'!$B$26:$B$56,0),$BB$198)</f>
        <v>#N/A</v>
      </c>
      <c r="BC268" s="662" t="e">
        <f>INDEX('Vessel Gauging Data'!$B$26:$V$56,MATCH($C268,'Vessel Gauging Data'!$B$26:$B$56,0),$BC$198)</f>
        <v>#N/A</v>
      </c>
      <c r="BD268" s="662" t="e">
        <f>INDEX('Vessel Gauging Data'!$B$26:$V$56,MATCH($C268,'Vessel Gauging Data'!$B$26:$B$56,0),$BD$198)</f>
        <v>#N/A</v>
      </c>
      <c r="BE268" s="662" t="e">
        <f>INDEX('Vessel Gauging Data'!$B$26:$V$56,MATCH($C268,'Vessel Gauging Data'!$B$26:$B$56,0),$BE$198)</f>
        <v>#N/A</v>
      </c>
    </row>
    <row r="269" spans="1:57" hidden="1">
      <c r="A269" s="641" t="str">
        <f t="shared" si="273"/>
        <v>N</v>
      </c>
      <c r="C269" s="235" t="str">
        <f t="shared" si="275"/>
        <v/>
      </c>
      <c r="D269" s="211" t="str">
        <f t="shared" si="275"/>
        <v/>
      </c>
      <c r="E269" s="1016" t="str">
        <f t="shared" si="275"/>
        <v/>
      </c>
      <c r="F269" s="1016" t="str">
        <f t="shared" si="276"/>
        <v/>
      </c>
      <c r="G269" s="1016" t="str">
        <f t="shared" si="277"/>
        <v/>
      </c>
      <c r="H269" s="1016" t="str">
        <f t="shared" si="277"/>
        <v/>
      </c>
      <c r="I269" s="211" t="str">
        <f t="shared" si="278"/>
        <v/>
      </c>
      <c r="J269" s="1016" t="str">
        <f t="shared" si="279"/>
        <v/>
      </c>
      <c r="K269" s="213" t="str">
        <f t="shared" si="280"/>
        <v/>
      </c>
      <c r="L269" s="212" t="str">
        <f t="shared" si="281"/>
        <v/>
      </c>
      <c r="M269" s="1125" t="str">
        <f>IF(OR($C269="",$C269=0),"",INDEX(API2DENST,MATCH($C269,'Vessel Gauging Data'!$B$27:$B$56,0),$AA$1))</f>
        <v/>
      </c>
      <c r="N269" s="212" t="str">
        <f t="shared" si="282"/>
        <v/>
      </c>
      <c r="O269" s="1016" t="str">
        <f t="shared" si="283"/>
        <v/>
      </c>
      <c r="P269" s="1125" t="str">
        <f t="shared" si="284"/>
        <v/>
      </c>
      <c r="Q269" s="1016" t="str">
        <f t="shared" si="285"/>
        <v/>
      </c>
      <c r="R269" s="214" t="str">
        <f t="shared" si="286"/>
        <v/>
      </c>
      <c r="S269" s="1125" t="str">
        <f t="shared" si="287"/>
        <v/>
      </c>
      <c r="T269" s="236" t="str">
        <f t="shared" si="288"/>
        <v/>
      </c>
      <c r="W269" s="642" t="e">
        <f>INDEX('Vessel Gauging Data'!$B$26:$V$56,MATCH($C269,'Vessel Gauging Data'!$B$26:$B$56,0),$W$198)</f>
        <v>#N/A</v>
      </c>
      <c r="X269" s="642" t="e">
        <f>INDEX('Vessel Gauging Data'!$B$26:$V$56,MATCH($C269,'Vessel Gauging Data'!$B$26:$B$56,0),$X$198)</f>
        <v>#N/A</v>
      </c>
      <c r="Y269" s="642" t="e">
        <f>INDEX('Vessel Gauging Data'!$B$26:$V$56,MATCH($C269,'Vessel Gauging Data'!$B$26:$B$56,0),$Y$198)</f>
        <v>#N/A</v>
      </c>
      <c r="Z269" s="642" t="e">
        <f>INDEX('Vessel Gauging Data'!$B$26:$V$56,MATCH($C269,'Vessel Gauging Data'!$B$26:$B$56,0),$Z$198)</f>
        <v>#N/A</v>
      </c>
      <c r="AB269" s="642" t="e">
        <f>INDEX(API2DENST,MATCH($C269,'Vessel Gauging Data'!$B$27:$B$56,0),1)</f>
        <v>#N/A</v>
      </c>
      <c r="AC269" s="642" t="e">
        <f t="shared" si="220"/>
        <v>#N/A</v>
      </c>
      <c r="AE269" s="661" t="e">
        <f t="shared" si="221"/>
        <v>#VALUE!</v>
      </c>
      <c r="AF269" s="661" t="e">
        <f t="shared" si="222"/>
        <v>#VALUE!</v>
      </c>
      <c r="AH269" s="662" t="str">
        <f t="shared" ref="AH269:AH302" si="289">N269</f>
        <v/>
      </c>
      <c r="AI269" s="662" t="str">
        <f t="shared" ref="AI269:AI302" si="290">M269</f>
        <v/>
      </c>
      <c r="AJ269" s="663">
        <f t="shared" si="223"/>
        <v>192.4571</v>
      </c>
      <c r="AK269" s="660">
        <f t="shared" si="224"/>
        <v>0.24379999999999999</v>
      </c>
      <c r="AL269" s="660" t="e">
        <f t="shared" si="225"/>
        <v>#VALUE!</v>
      </c>
      <c r="AM269" s="664" t="e">
        <f t="shared" si="226"/>
        <v>#VALUE!</v>
      </c>
      <c r="AN269" s="664" t="e">
        <f t="shared" si="227"/>
        <v>#VALUE!</v>
      </c>
      <c r="AO269" s="665" t="e">
        <f t="shared" si="228"/>
        <v>#VALUE!</v>
      </c>
      <c r="AP269" s="666" t="e">
        <f t="shared" si="229"/>
        <v>#VALUE!</v>
      </c>
      <c r="AQ269" s="660" t="e">
        <f t="shared" si="230"/>
        <v>#VALUE!</v>
      </c>
      <c r="AR269" s="667" t="e">
        <f t="shared" si="231"/>
        <v>#VALUE!</v>
      </c>
      <c r="AS269" s="667" t="e">
        <f t="shared" si="232"/>
        <v>#VALUE!</v>
      </c>
      <c r="AT269" s="668" t="e">
        <f t="shared" si="233"/>
        <v>#VALUE!</v>
      </c>
      <c r="AU269" s="667" t="e">
        <f t="shared" si="234"/>
        <v>#VALUE!</v>
      </c>
      <c r="AV269" s="669" t="e">
        <f t="shared" si="235"/>
        <v>#VALUE!</v>
      </c>
      <c r="AW269" s="667" t="e">
        <f t="shared" si="236"/>
        <v>#VALUE!</v>
      </c>
      <c r="AX269" s="667" t="e">
        <f t="shared" si="237"/>
        <v>#VALUE!</v>
      </c>
      <c r="AY269" s="660" t="e">
        <f t="shared" si="238"/>
        <v>#VALUE!</v>
      </c>
      <c r="AZ269" s="670" t="e">
        <f t="shared" si="239"/>
        <v>#VALUE!</v>
      </c>
      <c r="BB269" s="662" t="e">
        <f>INDEX('Vessel Gauging Data'!$B$26:$V$56,MATCH($C269,'Vessel Gauging Data'!$B$26:$B$56,0),$BB$198)</f>
        <v>#N/A</v>
      </c>
      <c r="BC269" s="662" t="e">
        <f>INDEX('Vessel Gauging Data'!$B$26:$V$56,MATCH($C269,'Vessel Gauging Data'!$B$26:$B$56,0),$BC$198)</f>
        <v>#N/A</v>
      </c>
      <c r="BD269" s="662" t="e">
        <f>INDEX('Vessel Gauging Data'!$B$26:$V$56,MATCH($C269,'Vessel Gauging Data'!$B$26:$B$56,0),$BD$198)</f>
        <v>#N/A</v>
      </c>
      <c r="BE269" s="662" t="e">
        <f>INDEX('Vessel Gauging Data'!$B$26:$V$56,MATCH($C269,'Vessel Gauging Data'!$B$26:$B$56,0),$BE$198)</f>
        <v>#N/A</v>
      </c>
    </row>
    <row r="270" spans="1:57" hidden="1">
      <c r="A270" s="641" t="str">
        <f t="shared" si="273"/>
        <v>N</v>
      </c>
      <c r="C270" s="235" t="str">
        <f t="shared" si="275"/>
        <v/>
      </c>
      <c r="D270" s="211" t="str">
        <f t="shared" si="275"/>
        <v/>
      </c>
      <c r="E270" s="1016" t="str">
        <f t="shared" si="275"/>
        <v/>
      </c>
      <c r="F270" s="1016" t="str">
        <f t="shared" si="276"/>
        <v/>
      </c>
      <c r="G270" s="1016" t="str">
        <f t="shared" si="277"/>
        <v/>
      </c>
      <c r="H270" s="1016" t="str">
        <f t="shared" si="277"/>
        <v/>
      </c>
      <c r="I270" s="211" t="str">
        <f t="shared" si="278"/>
        <v/>
      </c>
      <c r="J270" s="1016" t="str">
        <f t="shared" si="279"/>
        <v/>
      </c>
      <c r="K270" s="213" t="str">
        <f t="shared" si="280"/>
        <v/>
      </c>
      <c r="L270" s="212" t="str">
        <f t="shared" si="281"/>
        <v/>
      </c>
      <c r="M270" s="1125" t="str">
        <f>IF(OR($C270="",$C270=0),"",INDEX(API2DENST,MATCH($C270,'Vessel Gauging Data'!$B$27:$B$56,0),$AA$1))</f>
        <v/>
      </c>
      <c r="N270" s="212" t="str">
        <f t="shared" si="282"/>
        <v/>
      </c>
      <c r="O270" s="1016" t="str">
        <f t="shared" si="283"/>
        <v/>
      </c>
      <c r="P270" s="1125" t="str">
        <f t="shared" si="284"/>
        <v/>
      </c>
      <c r="Q270" s="1016" t="str">
        <f t="shared" si="285"/>
        <v/>
      </c>
      <c r="R270" s="214" t="str">
        <f t="shared" si="286"/>
        <v/>
      </c>
      <c r="S270" s="1125" t="str">
        <f t="shared" si="287"/>
        <v/>
      </c>
      <c r="T270" s="236" t="str">
        <f t="shared" si="288"/>
        <v/>
      </c>
      <c r="W270" s="642" t="e">
        <f>INDEX('Vessel Gauging Data'!$B$26:$V$56,MATCH($C270,'Vessel Gauging Data'!$B$26:$B$56,0),$W$198)</f>
        <v>#N/A</v>
      </c>
      <c r="X270" s="642" t="e">
        <f>INDEX('Vessel Gauging Data'!$B$26:$V$56,MATCH($C270,'Vessel Gauging Data'!$B$26:$B$56,0),$X$198)</f>
        <v>#N/A</v>
      </c>
      <c r="Y270" s="642" t="e">
        <f>INDEX('Vessel Gauging Data'!$B$26:$V$56,MATCH($C270,'Vessel Gauging Data'!$B$26:$B$56,0),$Y$198)</f>
        <v>#N/A</v>
      </c>
      <c r="Z270" s="642" t="e">
        <f>INDEX('Vessel Gauging Data'!$B$26:$V$56,MATCH($C270,'Vessel Gauging Data'!$B$26:$B$56,0),$Z$198)</f>
        <v>#N/A</v>
      </c>
      <c r="AB270" s="642" t="e">
        <f>INDEX(API2DENST,MATCH($C270,'Vessel Gauging Data'!$B$27:$B$56,0),1)</f>
        <v>#N/A</v>
      </c>
      <c r="AC270" s="642" t="e">
        <f t="shared" ref="AC270:AC310" si="291">((INT((AB270/(1.0001506*AB270-0.0012202))*10000)+0.5)/10000)</f>
        <v>#N/A</v>
      </c>
      <c r="AE270" s="661" t="e">
        <f t="shared" ref="AE270:AE310" si="292">ROUND(+M270/2*1000,0)*2</f>
        <v>#VALUE!</v>
      </c>
      <c r="AF270" s="661" t="e">
        <f t="shared" ref="AF270:AF310" si="293">ROUND(186.9696/(AE270*AE270)+(0.4862/AE270),8)</f>
        <v>#VALUE!</v>
      </c>
      <c r="AH270" s="662" t="str">
        <f t="shared" si="289"/>
        <v/>
      </c>
      <c r="AI270" s="662" t="str">
        <f t="shared" si="290"/>
        <v/>
      </c>
      <c r="AJ270" s="663">
        <f t="shared" ref="AJ270:AJ310" si="294">IF(AND(AI270&gt;=0,AI270&lt;=37),103.872,IF(AND(AI270&gt;=48,AI270&lt;=52),-0.0018684,IF(AND(AI270&gt;=37.1,AI270&lt;=47.9),330.301,IF(AND(AI270&gt;=52.1),192.4571))))</f>
        <v>192.4571</v>
      </c>
      <c r="AK270" s="660">
        <f t="shared" ref="AK270:AK310" si="295">IF(AND(AI270&gt;=0,AI270&lt;=37),0.2701,IF(AND(AI270&gt;=48,AJ270&lt;=52),1489.067,IF(AND(AI270&gt;=37.1,AI270&lt;=47.9),0,IF(AI270&gt;=52.1,0.2438))))</f>
        <v>0.24379999999999999</v>
      </c>
      <c r="AL270" s="660" t="e">
        <f t="shared" ref="AL270:AL310" si="296">ROUND(141360.198/(AI270+131.5),2)</f>
        <v>#VALUE!</v>
      </c>
      <c r="AM270" s="664" t="e">
        <f t="shared" ref="AM270:AM310" si="297">TRUNC(AJ270/AL270,8)</f>
        <v>#VALUE!</v>
      </c>
      <c r="AN270" s="664" t="e">
        <f t="shared" ref="AN270:AN310" si="298">TRUNC(AM270/AL270,10)</f>
        <v>#VALUE!</v>
      </c>
      <c r="AO270" s="665" t="e">
        <f t="shared" ref="AO270:AO310" si="299">TRUNC(AK270/AL270,10)</f>
        <v>#VALUE!</v>
      </c>
      <c r="AP270" s="666" t="e">
        <f t="shared" ref="AP270:AP310" si="300">IF(AND(AI270&gt;=48,AI270&lt;=52),ROUND(AW270+AJ270,7),ROUND(AN270+AO270,7))</f>
        <v>#VALUE!</v>
      </c>
      <c r="AQ270" s="660" t="e">
        <f t="shared" ref="AQ270:AQ310" si="301">AH270-60</f>
        <v>#VALUE!</v>
      </c>
      <c r="AR270" s="667" t="e">
        <f t="shared" ref="AR270:AR310" si="302">TRUNC(AP270*AQ270,8)</f>
        <v>#VALUE!</v>
      </c>
      <c r="AS270" s="667" t="e">
        <f t="shared" ref="AS270:AS310" si="303">TRUNC(0.8*AR270,8)</f>
        <v>#VALUE!</v>
      </c>
      <c r="AT270" s="668" t="e">
        <f t="shared" ref="AT270:AT310" si="304">TRUNC(0.8*AP270^2*AQ270^2,8)</f>
        <v>#VALUE!</v>
      </c>
      <c r="AU270" s="667" t="e">
        <f t="shared" ref="AU270:AU310" si="305">-AR270-AT270</f>
        <v>#VALUE!</v>
      </c>
      <c r="AV270" s="669" t="e">
        <f t="shared" ref="AV270:AV310" si="306">TRUNC(AK270/AL270,5)</f>
        <v>#VALUE!</v>
      </c>
      <c r="AW270" s="667" t="e">
        <f t="shared" ref="AW270:AW310" si="307">ROUND(AV270/AL270,8)</f>
        <v>#VALUE!</v>
      </c>
      <c r="AX270" s="667" t="e">
        <f t="shared" ref="AX270:AX310" si="308">ROUND(AW270+AJ270,8)</f>
        <v>#VALUE!</v>
      </c>
      <c r="AY270" s="660" t="e">
        <f t="shared" ref="AY270:AY310" si="309">IF(AND(AI270&gt;=48,AI270&lt;=52),AX270,AP270)</f>
        <v>#VALUE!</v>
      </c>
      <c r="AZ270" s="670" t="e">
        <f t="shared" ref="AZ270:AZ310" si="310">ROUND(EXP(AU270),5)</f>
        <v>#VALUE!</v>
      </c>
      <c r="BB270" s="662" t="e">
        <f>INDEX('Vessel Gauging Data'!$B$26:$V$56,MATCH($C270,'Vessel Gauging Data'!$B$26:$B$56,0),$BB$198)</f>
        <v>#N/A</v>
      </c>
      <c r="BC270" s="662" t="e">
        <f>INDEX('Vessel Gauging Data'!$B$26:$V$56,MATCH($C270,'Vessel Gauging Data'!$B$26:$B$56,0),$BC$198)</f>
        <v>#N/A</v>
      </c>
      <c r="BD270" s="662" t="e">
        <f>INDEX('Vessel Gauging Data'!$B$26:$V$56,MATCH($C270,'Vessel Gauging Data'!$B$26:$B$56,0),$BD$198)</f>
        <v>#N/A</v>
      </c>
      <c r="BE270" s="662" t="e">
        <f>INDEX('Vessel Gauging Data'!$B$26:$V$56,MATCH($C270,'Vessel Gauging Data'!$B$26:$B$56,0),$BE$198)</f>
        <v>#N/A</v>
      </c>
    </row>
    <row r="271" spans="1:57" hidden="1">
      <c r="A271" s="641" t="str">
        <f t="shared" si="273"/>
        <v>N</v>
      </c>
      <c r="C271" s="235" t="str">
        <f t="shared" si="275"/>
        <v/>
      </c>
      <c r="D271" s="211" t="str">
        <f t="shared" si="275"/>
        <v/>
      </c>
      <c r="E271" s="1016" t="str">
        <f t="shared" si="275"/>
        <v/>
      </c>
      <c r="F271" s="1016" t="str">
        <f t="shared" si="276"/>
        <v/>
      </c>
      <c r="G271" s="1016" t="str">
        <f t="shared" si="277"/>
        <v/>
      </c>
      <c r="H271" s="1016" t="str">
        <f t="shared" si="277"/>
        <v/>
      </c>
      <c r="I271" s="211" t="str">
        <f t="shared" si="278"/>
        <v/>
      </c>
      <c r="J271" s="1016" t="str">
        <f t="shared" si="279"/>
        <v/>
      </c>
      <c r="K271" s="213" t="str">
        <f t="shared" si="280"/>
        <v/>
      </c>
      <c r="L271" s="212" t="str">
        <f t="shared" si="281"/>
        <v/>
      </c>
      <c r="M271" s="1125" t="str">
        <f>IF(OR($C271="",$C271=0),"",INDEX(API2DENST,MATCH($C271,'Vessel Gauging Data'!$B$27:$B$56,0),$AA$1))</f>
        <v/>
      </c>
      <c r="N271" s="212" t="str">
        <f t="shared" si="282"/>
        <v/>
      </c>
      <c r="O271" s="1016" t="str">
        <f t="shared" si="283"/>
        <v/>
      </c>
      <c r="P271" s="1125" t="str">
        <f t="shared" si="284"/>
        <v/>
      </c>
      <c r="Q271" s="1016" t="str">
        <f t="shared" si="285"/>
        <v/>
      </c>
      <c r="R271" s="214" t="str">
        <f t="shared" si="286"/>
        <v/>
      </c>
      <c r="S271" s="1125" t="str">
        <f t="shared" si="287"/>
        <v/>
      </c>
      <c r="T271" s="236" t="str">
        <f t="shared" si="288"/>
        <v/>
      </c>
      <c r="W271" s="642" t="e">
        <f>INDEX('Vessel Gauging Data'!$B$26:$V$56,MATCH($C271,'Vessel Gauging Data'!$B$26:$B$56,0),$W$198)</f>
        <v>#N/A</v>
      </c>
      <c r="X271" s="642" t="e">
        <f>INDEX('Vessel Gauging Data'!$B$26:$V$56,MATCH($C271,'Vessel Gauging Data'!$B$26:$B$56,0),$X$198)</f>
        <v>#N/A</v>
      </c>
      <c r="Y271" s="642" t="e">
        <f>INDEX('Vessel Gauging Data'!$B$26:$V$56,MATCH($C271,'Vessel Gauging Data'!$B$26:$B$56,0),$Y$198)</f>
        <v>#N/A</v>
      </c>
      <c r="Z271" s="642" t="e">
        <f>INDEX('Vessel Gauging Data'!$B$26:$V$56,MATCH($C271,'Vessel Gauging Data'!$B$26:$B$56,0),$Z$198)</f>
        <v>#N/A</v>
      </c>
      <c r="AB271" s="642" t="e">
        <f>INDEX(API2DENST,MATCH($C271,'Vessel Gauging Data'!$B$27:$B$56,0),1)</f>
        <v>#N/A</v>
      </c>
      <c r="AC271" s="642" t="e">
        <f t="shared" si="291"/>
        <v>#N/A</v>
      </c>
      <c r="AE271" s="661" t="e">
        <f t="shared" si="292"/>
        <v>#VALUE!</v>
      </c>
      <c r="AF271" s="661" t="e">
        <f t="shared" si="293"/>
        <v>#VALUE!</v>
      </c>
      <c r="AH271" s="662" t="str">
        <f t="shared" si="289"/>
        <v/>
      </c>
      <c r="AI271" s="662" t="str">
        <f t="shared" si="290"/>
        <v/>
      </c>
      <c r="AJ271" s="663">
        <f t="shared" si="294"/>
        <v>192.4571</v>
      </c>
      <c r="AK271" s="660">
        <f t="shared" si="295"/>
        <v>0.24379999999999999</v>
      </c>
      <c r="AL271" s="660" t="e">
        <f t="shared" si="296"/>
        <v>#VALUE!</v>
      </c>
      <c r="AM271" s="664" t="e">
        <f t="shared" si="297"/>
        <v>#VALUE!</v>
      </c>
      <c r="AN271" s="664" t="e">
        <f t="shared" si="298"/>
        <v>#VALUE!</v>
      </c>
      <c r="AO271" s="665" t="e">
        <f t="shared" si="299"/>
        <v>#VALUE!</v>
      </c>
      <c r="AP271" s="666" t="e">
        <f t="shared" si="300"/>
        <v>#VALUE!</v>
      </c>
      <c r="AQ271" s="660" t="e">
        <f t="shared" si="301"/>
        <v>#VALUE!</v>
      </c>
      <c r="AR271" s="667" t="e">
        <f t="shared" si="302"/>
        <v>#VALUE!</v>
      </c>
      <c r="AS271" s="667" t="e">
        <f t="shared" si="303"/>
        <v>#VALUE!</v>
      </c>
      <c r="AT271" s="668" t="e">
        <f t="shared" si="304"/>
        <v>#VALUE!</v>
      </c>
      <c r="AU271" s="667" t="e">
        <f t="shared" si="305"/>
        <v>#VALUE!</v>
      </c>
      <c r="AV271" s="669" t="e">
        <f t="shared" si="306"/>
        <v>#VALUE!</v>
      </c>
      <c r="AW271" s="667" t="e">
        <f t="shared" si="307"/>
        <v>#VALUE!</v>
      </c>
      <c r="AX271" s="667" t="e">
        <f t="shared" si="308"/>
        <v>#VALUE!</v>
      </c>
      <c r="AY271" s="660" t="e">
        <f t="shared" si="309"/>
        <v>#VALUE!</v>
      </c>
      <c r="AZ271" s="670" t="e">
        <f t="shared" si="310"/>
        <v>#VALUE!</v>
      </c>
      <c r="BB271" s="662" t="e">
        <f>INDEX('Vessel Gauging Data'!$B$26:$V$56,MATCH($C271,'Vessel Gauging Data'!$B$26:$B$56,0),$BB$198)</f>
        <v>#N/A</v>
      </c>
      <c r="BC271" s="662" t="e">
        <f>INDEX('Vessel Gauging Data'!$B$26:$V$56,MATCH($C271,'Vessel Gauging Data'!$B$26:$B$56,0),$BC$198)</f>
        <v>#N/A</v>
      </c>
      <c r="BD271" s="662" t="e">
        <f>INDEX('Vessel Gauging Data'!$B$26:$V$56,MATCH($C271,'Vessel Gauging Data'!$B$26:$B$56,0),$BD$198)</f>
        <v>#N/A</v>
      </c>
      <c r="BE271" s="662" t="e">
        <f>INDEX('Vessel Gauging Data'!$B$26:$V$56,MATCH($C271,'Vessel Gauging Data'!$B$26:$B$56,0),$BE$198)</f>
        <v>#N/A</v>
      </c>
    </row>
    <row r="272" spans="1:57" hidden="1">
      <c r="A272" s="641" t="str">
        <f t="shared" si="273"/>
        <v>N</v>
      </c>
      <c r="C272" s="235" t="str">
        <f t="shared" si="275"/>
        <v/>
      </c>
      <c r="D272" s="211" t="str">
        <f t="shared" si="275"/>
        <v/>
      </c>
      <c r="E272" s="1016" t="str">
        <f t="shared" si="275"/>
        <v/>
      </c>
      <c r="F272" s="1016" t="str">
        <f t="shared" si="276"/>
        <v/>
      </c>
      <c r="G272" s="1016" t="str">
        <f t="shared" si="277"/>
        <v/>
      </c>
      <c r="H272" s="1016" t="str">
        <f t="shared" si="277"/>
        <v/>
      </c>
      <c r="I272" s="211" t="str">
        <f t="shared" si="278"/>
        <v/>
      </c>
      <c r="J272" s="1016" t="str">
        <f t="shared" si="279"/>
        <v/>
      </c>
      <c r="K272" s="213" t="str">
        <f t="shared" si="280"/>
        <v/>
      </c>
      <c r="L272" s="212" t="str">
        <f t="shared" si="281"/>
        <v/>
      </c>
      <c r="M272" s="1125" t="str">
        <f>IF(OR($C272="",$C272=0),"",INDEX(API2DENST,MATCH($C272,'Vessel Gauging Data'!$B$27:$B$56,0),$AA$1))</f>
        <v/>
      </c>
      <c r="N272" s="212" t="str">
        <f t="shared" si="282"/>
        <v/>
      </c>
      <c r="O272" s="1016" t="str">
        <f t="shared" si="283"/>
        <v/>
      </c>
      <c r="P272" s="1125" t="str">
        <f t="shared" si="284"/>
        <v/>
      </c>
      <c r="Q272" s="1016" t="str">
        <f t="shared" si="285"/>
        <v/>
      </c>
      <c r="R272" s="214" t="str">
        <f t="shared" si="286"/>
        <v/>
      </c>
      <c r="S272" s="1125" t="str">
        <f t="shared" si="287"/>
        <v/>
      </c>
      <c r="T272" s="236" t="str">
        <f t="shared" si="288"/>
        <v/>
      </c>
      <c r="W272" s="642" t="e">
        <f>INDEX('Vessel Gauging Data'!$B$26:$V$56,MATCH($C272,'Vessel Gauging Data'!$B$26:$B$56,0),$W$198)</f>
        <v>#N/A</v>
      </c>
      <c r="X272" s="642" t="e">
        <f>INDEX('Vessel Gauging Data'!$B$26:$V$56,MATCH($C272,'Vessel Gauging Data'!$B$26:$B$56,0),$X$198)</f>
        <v>#N/A</v>
      </c>
      <c r="Y272" s="642" t="e">
        <f>INDEX('Vessel Gauging Data'!$B$26:$V$56,MATCH($C272,'Vessel Gauging Data'!$B$26:$B$56,0),$Y$198)</f>
        <v>#N/A</v>
      </c>
      <c r="Z272" s="642" t="e">
        <f>INDEX('Vessel Gauging Data'!$B$26:$V$56,MATCH($C272,'Vessel Gauging Data'!$B$26:$B$56,0),$Z$198)</f>
        <v>#N/A</v>
      </c>
      <c r="AB272" s="642" t="e">
        <f>INDEX(API2DENST,MATCH($C272,'Vessel Gauging Data'!$B$27:$B$56,0),1)</f>
        <v>#N/A</v>
      </c>
      <c r="AC272" s="642" t="e">
        <f t="shared" si="291"/>
        <v>#N/A</v>
      </c>
      <c r="AE272" s="661" t="e">
        <f t="shared" si="292"/>
        <v>#VALUE!</v>
      </c>
      <c r="AF272" s="661" t="e">
        <f t="shared" si="293"/>
        <v>#VALUE!</v>
      </c>
      <c r="AH272" s="662" t="str">
        <f t="shared" si="289"/>
        <v/>
      </c>
      <c r="AI272" s="662" t="str">
        <f t="shared" si="290"/>
        <v/>
      </c>
      <c r="AJ272" s="663">
        <f t="shared" si="294"/>
        <v>192.4571</v>
      </c>
      <c r="AK272" s="660">
        <f t="shared" si="295"/>
        <v>0.24379999999999999</v>
      </c>
      <c r="AL272" s="660" t="e">
        <f t="shared" si="296"/>
        <v>#VALUE!</v>
      </c>
      <c r="AM272" s="664" t="e">
        <f t="shared" si="297"/>
        <v>#VALUE!</v>
      </c>
      <c r="AN272" s="664" t="e">
        <f t="shared" si="298"/>
        <v>#VALUE!</v>
      </c>
      <c r="AO272" s="665" t="e">
        <f t="shared" si="299"/>
        <v>#VALUE!</v>
      </c>
      <c r="AP272" s="666" t="e">
        <f t="shared" si="300"/>
        <v>#VALUE!</v>
      </c>
      <c r="AQ272" s="660" t="e">
        <f t="shared" si="301"/>
        <v>#VALUE!</v>
      </c>
      <c r="AR272" s="667" t="e">
        <f t="shared" si="302"/>
        <v>#VALUE!</v>
      </c>
      <c r="AS272" s="667" t="e">
        <f t="shared" si="303"/>
        <v>#VALUE!</v>
      </c>
      <c r="AT272" s="668" t="e">
        <f t="shared" si="304"/>
        <v>#VALUE!</v>
      </c>
      <c r="AU272" s="667" t="e">
        <f t="shared" si="305"/>
        <v>#VALUE!</v>
      </c>
      <c r="AV272" s="669" t="e">
        <f t="shared" si="306"/>
        <v>#VALUE!</v>
      </c>
      <c r="AW272" s="667" t="e">
        <f t="shared" si="307"/>
        <v>#VALUE!</v>
      </c>
      <c r="AX272" s="667" t="e">
        <f t="shared" si="308"/>
        <v>#VALUE!</v>
      </c>
      <c r="AY272" s="660" t="e">
        <f t="shared" si="309"/>
        <v>#VALUE!</v>
      </c>
      <c r="AZ272" s="670" t="e">
        <f t="shared" si="310"/>
        <v>#VALUE!</v>
      </c>
      <c r="BB272" s="662" t="e">
        <f>INDEX('Vessel Gauging Data'!$B$26:$V$56,MATCH($C272,'Vessel Gauging Data'!$B$26:$B$56,0),$BB$198)</f>
        <v>#N/A</v>
      </c>
      <c r="BC272" s="662" t="e">
        <f>INDEX('Vessel Gauging Data'!$B$26:$V$56,MATCH($C272,'Vessel Gauging Data'!$B$26:$B$56,0),$BC$198)</f>
        <v>#N/A</v>
      </c>
      <c r="BD272" s="662" t="e">
        <f>INDEX('Vessel Gauging Data'!$B$26:$V$56,MATCH($C272,'Vessel Gauging Data'!$B$26:$B$56,0),$BD$198)</f>
        <v>#N/A</v>
      </c>
      <c r="BE272" s="662" t="e">
        <f>INDEX('Vessel Gauging Data'!$B$26:$V$56,MATCH($C272,'Vessel Gauging Data'!$B$26:$B$56,0),$BE$198)</f>
        <v>#N/A</v>
      </c>
    </row>
    <row r="273" spans="1:57" hidden="1">
      <c r="A273" s="641" t="str">
        <f t="shared" si="273"/>
        <v>N</v>
      </c>
      <c r="C273" s="235" t="str">
        <f t="shared" si="275"/>
        <v/>
      </c>
      <c r="D273" s="211" t="str">
        <f t="shared" si="275"/>
        <v/>
      </c>
      <c r="E273" s="1016" t="str">
        <f t="shared" si="275"/>
        <v/>
      </c>
      <c r="F273" s="1016" t="str">
        <f t="shared" si="276"/>
        <v/>
      </c>
      <c r="G273" s="1016" t="str">
        <f t="shared" si="277"/>
        <v/>
      </c>
      <c r="H273" s="1016" t="str">
        <f t="shared" si="277"/>
        <v/>
      </c>
      <c r="I273" s="211" t="str">
        <f t="shared" si="278"/>
        <v/>
      </c>
      <c r="J273" s="1016" t="str">
        <f t="shared" si="279"/>
        <v/>
      </c>
      <c r="K273" s="213" t="str">
        <f t="shared" si="280"/>
        <v/>
      </c>
      <c r="L273" s="212" t="str">
        <f t="shared" si="281"/>
        <v/>
      </c>
      <c r="M273" s="1125" t="str">
        <f>IF(OR($C273="",$C273=0),"",INDEX(API2DENST,MATCH($C273,'Vessel Gauging Data'!$B$27:$B$56,0),$AA$1))</f>
        <v/>
      </c>
      <c r="N273" s="212" t="str">
        <f t="shared" si="282"/>
        <v/>
      </c>
      <c r="O273" s="1016" t="str">
        <f t="shared" si="283"/>
        <v/>
      </c>
      <c r="P273" s="1125" t="str">
        <f t="shared" si="284"/>
        <v/>
      </c>
      <c r="Q273" s="1016" t="str">
        <f t="shared" si="285"/>
        <v/>
      </c>
      <c r="R273" s="214" t="str">
        <f t="shared" si="286"/>
        <v/>
      </c>
      <c r="S273" s="1125" t="str">
        <f t="shared" si="287"/>
        <v/>
      </c>
      <c r="T273" s="236" t="str">
        <f t="shared" si="288"/>
        <v/>
      </c>
      <c r="W273" s="642" t="e">
        <f>INDEX('Vessel Gauging Data'!$B$26:$V$56,MATCH($C273,'Vessel Gauging Data'!$B$26:$B$56,0),$W$198)</f>
        <v>#N/A</v>
      </c>
      <c r="X273" s="642" t="e">
        <f>INDEX('Vessel Gauging Data'!$B$26:$V$56,MATCH($C273,'Vessel Gauging Data'!$B$26:$B$56,0),$X$198)</f>
        <v>#N/A</v>
      </c>
      <c r="Y273" s="642" t="e">
        <f>INDEX('Vessel Gauging Data'!$B$26:$V$56,MATCH($C273,'Vessel Gauging Data'!$B$26:$B$56,0),$Y$198)</f>
        <v>#N/A</v>
      </c>
      <c r="Z273" s="642" t="e">
        <f>INDEX('Vessel Gauging Data'!$B$26:$V$56,MATCH($C273,'Vessel Gauging Data'!$B$26:$B$56,0),$Z$198)</f>
        <v>#N/A</v>
      </c>
      <c r="AB273" s="642" t="e">
        <f>INDEX(API2DENST,MATCH($C273,'Vessel Gauging Data'!$B$27:$B$56,0),1)</f>
        <v>#N/A</v>
      </c>
      <c r="AC273" s="642" t="e">
        <f t="shared" si="291"/>
        <v>#N/A</v>
      </c>
      <c r="AE273" s="661" t="e">
        <f t="shared" si="292"/>
        <v>#VALUE!</v>
      </c>
      <c r="AF273" s="661" t="e">
        <f t="shared" si="293"/>
        <v>#VALUE!</v>
      </c>
      <c r="AH273" s="662" t="str">
        <f t="shared" si="289"/>
        <v/>
      </c>
      <c r="AI273" s="662" t="str">
        <f t="shared" si="290"/>
        <v/>
      </c>
      <c r="AJ273" s="663">
        <f t="shared" si="294"/>
        <v>192.4571</v>
      </c>
      <c r="AK273" s="660">
        <f t="shared" si="295"/>
        <v>0.24379999999999999</v>
      </c>
      <c r="AL273" s="660" t="e">
        <f t="shared" si="296"/>
        <v>#VALUE!</v>
      </c>
      <c r="AM273" s="664" t="e">
        <f t="shared" si="297"/>
        <v>#VALUE!</v>
      </c>
      <c r="AN273" s="664" t="e">
        <f t="shared" si="298"/>
        <v>#VALUE!</v>
      </c>
      <c r="AO273" s="665" t="e">
        <f t="shared" si="299"/>
        <v>#VALUE!</v>
      </c>
      <c r="AP273" s="666" t="e">
        <f t="shared" si="300"/>
        <v>#VALUE!</v>
      </c>
      <c r="AQ273" s="660" t="e">
        <f t="shared" si="301"/>
        <v>#VALUE!</v>
      </c>
      <c r="AR273" s="667" t="e">
        <f t="shared" si="302"/>
        <v>#VALUE!</v>
      </c>
      <c r="AS273" s="667" t="e">
        <f t="shared" si="303"/>
        <v>#VALUE!</v>
      </c>
      <c r="AT273" s="668" t="e">
        <f t="shared" si="304"/>
        <v>#VALUE!</v>
      </c>
      <c r="AU273" s="667" t="e">
        <f t="shared" si="305"/>
        <v>#VALUE!</v>
      </c>
      <c r="AV273" s="669" t="e">
        <f t="shared" si="306"/>
        <v>#VALUE!</v>
      </c>
      <c r="AW273" s="667" t="e">
        <f t="shared" si="307"/>
        <v>#VALUE!</v>
      </c>
      <c r="AX273" s="667" t="e">
        <f t="shared" si="308"/>
        <v>#VALUE!</v>
      </c>
      <c r="AY273" s="660" t="e">
        <f t="shared" si="309"/>
        <v>#VALUE!</v>
      </c>
      <c r="AZ273" s="670" t="e">
        <f t="shared" si="310"/>
        <v>#VALUE!</v>
      </c>
      <c r="BB273" s="662" t="e">
        <f>INDEX('Vessel Gauging Data'!$B$26:$V$56,MATCH($C273,'Vessel Gauging Data'!$B$26:$B$56,0),$BB$198)</f>
        <v>#N/A</v>
      </c>
      <c r="BC273" s="662" t="e">
        <f>INDEX('Vessel Gauging Data'!$B$26:$V$56,MATCH($C273,'Vessel Gauging Data'!$B$26:$B$56,0),$BC$198)</f>
        <v>#N/A</v>
      </c>
      <c r="BD273" s="662" t="e">
        <f>INDEX('Vessel Gauging Data'!$B$26:$V$56,MATCH($C273,'Vessel Gauging Data'!$B$26:$B$56,0),$BD$198)</f>
        <v>#N/A</v>
      </c>
      <c r="BE273" s="662" t="e">
        <f>INDEX('Vessel Gauging Data'!$B$26:$V$56,MATCH($C273,'Vessel Gauging Data'!$B$26:$B$56,0),$BE$198)</f>
        <v>#N/A</v>
      </c>
    </row>
    <row r="274" spans="1:57" hidden="1">
      <c r="A274" s="641" t="str">
        <f t="shared" si="273"/>
        <v>N</v>
      </c>
      <c r="C274" s="235" t="str">
        <f t="shared" si="275"/>
        <v/>
      </c>
      <c r="D274" s="211" t="str">
        <f t="shared" si="275"/>
        <v/>
      </c>
      <c r="E274" s="1016" t="str">
        <f t="shared" si="275"/>
        <v/>
      </c>
      <c r="F274" s="1016" t="str">
        <f t="shared" si="276"/>
        <v/>
      </c>
      <c r="G274" s="1016" t="str">
        <f t="shared" si="277"/>
        <v/>
      </c>
      <c r="H274" s="1016" t="str">
        <f t="shared" si="277"/>
        <v/>
      </c>
      <c r="I274" s="211" t="str">
        <f t="shared" si="278"/>
        <v/>
      </c>
      <c r="J274" s="1016" t="str">
        <f t="shared" si="279"/>
        <v/>
      </c>
      <c r="K274" s="213" t="str">
        <f t="shared" si="280"/>
        <v/>
      </c>
      <c r="L274" s="212" t="str">
        <f t="shared" si="281"/>
        <v/>
      </c>
      <c r="M274" s="1125" t="str">
        <f>IF(OR($C274="",$C274=0),"",INDEX(API2DENST,MATCH($C274,'Vessel Gauging Data'!$B$27:$B$56,0),$AA$1))</f>
        <v/>
      </c>
      <c r="N274" s="212" t="str">
        <f t="shared" si="282"/>
        <v/>
      </c>
      <c r="O274" s="1016" t="str">
        <f t="shared" si="283"/>
        <v/>
      </c>
      <c r="P274" s="1125" t="str">
        <f t="shared" si="284"/>
        <v/>
      </c>
      <c r="Q274" s="1016" t="str">
        <f t="shared" si="285"/>
        <v/>
      </c>
      <c r="R274" s="214" t="str">
        <f t="shared" si="286"/>
        <v/>
      </c>
      <c r="S274" s="1125" t="str">
        <f t="shared" si="287"/>
        <v/>
      </c>
      <c r="T274" s="236" t="str">
        <f t="shared" si="288"/>
        <v/>
      </c>
      <c r="W274" s="642" t="e">
        <f>INDEX('Vessel Gauging Data'!$B$26:$V$56,MATCH($C274,'Vessel Gauging Data'!$B$26:$B$56,0),$W$198)</f>
        <v>#N/A</v>
      </c>
      <c r="X274" s="642" t="e">
        <f>INDEX('Vessel Gauging Data'!$B$26:$V$56,MATCH($C274,'Vessel Gauging Data'!$B$26:$B$56,0),$X$198)</f>
        <v>#N/A</v>
      </c>
      <c r="Y274" s="642" t="e">
        <f>INDEX('Vessel Gauging Data'!$B$26:$V$56,MATCH($C274,'Vessel Gauging Data'!$B$26:$B$56,0),$Y$198)</f>
        <v>#N/A</v>
      </c>
      <c r="Z274" s="642" t="e">
        <f>INDEX('Vessel Gauging Data'!$B$26:$V$56,MATCH($C274,'Vessel Gauging Data'!$B$26:$B$56,0),$Z$198)</f>
        <v>#N/A</v>
      </c>
      <c r="AB274" s="642" t="e">
        <f>INDEX(API2DENST,MATCH($C274,'Vessel Gauging Data'!$B$27:$B$56,0),1)</f>
        <v>#N/A</v>
      </c>
      <c r="AC274" s="642" t="e">
        <f t="shared" si="291"/>
        <v>#N/A</v>
      </c>
      <c r="AE274" s="661" t="e">
        <f t="shared" si="292"/>
        <v>#VALUE!</v>
      </c>
      <c r="AF274" s="661" t="e">
        <f t="shared" si="293"/>
        <v>#VALUE!</v>
      </c>
      <c r="AH274" s="662" t="str">
        <f t="shared" si="289"/>
        <v/>
      </c>
      <c r="AI274" s="662" t="str">
        <f t="shared" si="290"/>
        <v/>
      </c>
      <c r="AJ274" s="663">
        <f t="shared" si="294"/>
        <v>192.4571</v>
      </c>
      <c r="AK274" s="660">
        <f t="shared" si="295"/>
        <v>0.24379999999999999</v>
      </c>
      <c r="AL274" s="660" t="e">
        <f t="shared" si="296"/>
        <v>#VALUE!</v>
      </c>
      <c r="AM274" s="664" t="e">
        <f t="shared" si="297"/>
        <v>#VALUE!</v>
      </c>
      <c r="AN274" s="664" t="e">
        <f t="shared" si="298"/>
        <v>#VALUE!</v>
      </c>
      <c r="AO274" s="665" t="e">
        <f t="shared" si="299"/>
        <v>#VALUE!</v>
      </c>
      <c r="AP274" s="666" t="e">
        <f t="shared" si="300"/>
        <v>#VALUE!</v>
      </c>
      <c r="AQ274" s="660" t="e">
        <f t="shared" si="301"/>
        <v>#VALUE!</v>
      </c>
      <c r="AR274" s="667" t="e">
        <f t="shared" si="302"/>
        <v>#VALUE!</v>
      </c>
      <c r="AS274" s="667" t="e">
        <f t="shared" si="303"/>
        <v>#VALUE!</v>
      </c>
      <c r="AT274" s="668" t="e">
        <f t="shared" si="304"/>
        <v>#VALUE!</v>
      </c>
      <c r="AU274" s="667" t="e">
        <f t="shared" si="305"/>
        <v>#VALUE!</v>
      </c>
      <c r="AV274" s="669" t="e">
        <f t="shared" si="306"/>
        <v>#VALUE!</v>
      </c>
      <c r="AW274" s="667" t="e">
        <f t="shared" si="307"/>
        <v>#VALUE!</v>
      </c>
      <c r="AX274" s="667" t="e">
        <f t="shared" si="308"/>
        <v>#VALUE!</v>
      </c>
      <c r="AY274" s="660" t="e">
        <f t="shared" si="309"/>
        <v>#VALUE!</v>
      </c>
      <c r="AZ274" s="670" t="e">
        <f t="shared" si="310"/>
        <v>#VALUE!</v>
      </c>
      <c r="BB274" s="662" t="e">
        <f>INDEX('Vessel Gauging Data'!$B$26:$V$56,MATCH($C274,'Vessel Gauging Data'!$B$26:$B$56,0),$BB$198)</f>
        <v>#N/A</v>
      </c>
      <c r="BC274" s="662" t="e">
        <f>INDEX('Vessel Gauging Data'!$B$26:$V$56,MATCH($C274,'Vessel Gauging Data'!$B$26:$B$56,0),$BC$198)</f>
        <v>#N/A</v>
      </c>
      <c r="BD274" s="662" t="e">
        <f>INDEX('Vessel Gauging Data'!$B$26:$V$56,MATCH($C274,'Vessel Gauging Data'!$B$26:$B$56,0),$BD$198)</f>
        <v>#N/A</v>
      </c>
      <c r="BE274" s="662" t="e">
        <f>INDEX('Vessel Gauging Data'!$B$26:$V$56,MATCH($C274,'Vessel Gauging Data'!$B$26:$B$56,0),$BE$198)</f>
        <v>#N/A</v>
      </c>
    </row>
    <row r="275" spans="1:57" hidden="1">
      <c r="A275" s="641" t="str">
        <f t="shared" si="273"/>
        <v>N</v>
      </c>
      <c r="C275" s="235" t="str">
        <f t="shared" si="275"/>
        <v/>
      </c>
      <c r="D275" s="211" t="str">
        <f t="shared" si="275"/>
        <v/>
      </c>
      <c r="E275" s="1016" t="str">
        <f t="shared" si="275"/>
        <v/>
      </c>
      <c r="F275" s="1016" t="str">
        <f t="shared" si="276"/>
        <v/>
      </c>
      <c r="G275" s="1016" t="str">
        <f t="shared" si="277"/>
        <v/>
      </c>
      <c r="H275" s="1016" t="str">
        <f t="shared" si="277"/>
        <v/>
      </c>
      <c r="I275" s="211" t="str">
        <f t="shared" si="278"/>
        <v/>
      </c>
      <c r="J275" s="1016" t="str">
        <f t="shared" si="279"/>
        <v/>
      </c>
      <c r="K275" s="213" t="str">
        <f t="shared" si="280"/>
        <v/>
      </c>
      <c r="L275" s="212" t="str">
        <f t="shared" si="281"/>
        <v/>
      </c>
      <c r="M275" s="1125" t="str">
        <f>IF(OR($C275="",$C275=0),"",INDEX(API2DENST,MATCH($C275,'Vessel Gauging Data'!$B$27:$B$56,0),$AA$1))</f>
        <v/>
      </c>
      <c r="N275" s="212" t="str">
        <f t="shared" si="282"/>
        <v/>
      </c>
      <c r="O275" s="1016" t="str">
        <f t="shared" si="283"/>
        <v/>
      </c>
      <c r="P275" s="1125" t="str">
        <f t="shared" si="284"/>
        <v/>
      </c>
      <c r="Q275" s="1016" t="str">
        <f t="shared" si="285"/>
        <v/>
      </c>
      <c r="R275" s="214" t="str">
        <f t="shared" si="286"/>
        <v/>
      </c>
      <c r="S275" s="1125" t="str">
        <f t="shared" si="287"/>
        <v/>
      </c>
      <c r="T275" s="236" t="str">
        <f t="shared" si="288"/>
        <v/>
      </c>
      <c r="W275" s="642" t="e">
        <f>INDEX('Vessel Gauging Data'!$B$26:$V$56,MATCH($C275,'Vessel Gauging Data'!$B$26:$B$56,0),$W$198)</f>
        <v>#N/A</v>
      </c>
      <c r="X275" s="642" t="e">
        <f>INDEX('Vessel Gauging Data'!$B$26:$V$56,MATCH($C275,'Vessel Gauging Data'!$B$26:$B$56,0),$X$198)</f>
        <v>#N/A</v>
      </c>
      <c r="Y275" s="642" t="e">
        <f>INDEX('Vessel Gauging Data'!$B$26:$V$56,MATCH($C275,'Vessel Gauging Data'!$B$26:$B$56,0),$Y$198)</f>
        <v>#N/A</v>
      </c>
      <c r="Z275" s="642" t="e">
        <f>INDEX('Vessel Gauging Data'!$B$26:$V$56,MATCH($C275,'Vessel Gauging Data'!$B$26:$B$56,0),$Z$198)</f>
        <v>#N/A</v>
      </c>
      <c r="AB275" s="642" t="e">
        <f>INDEX(API2DENST,MATCH($C275,'Vessel Gauging Data'!$B$27:$B$56,0),1)</f>
        <v>#N/A</v>
      </c>
      <c r="AC275" s="642" t="e">
        <f t="shared" si="291"/>
        <v>#N/A</v>
      </c>
      <c r="AE275" s="661" t="e">
        <f t="shared" si="292"/>
        <v>#VALUE!</v>
      </c>
      <c r="AF275" s="661" t="e">
        <f t="shared" si="293"/>
        <v>#VALUE!</v>
      </c>
      <c r="AH275" s="662" t="str">
        <f t="shared" si="289"/>
        <v/>
      </c>
      <c r="AI275" s="662" t="str">
        <f t="shared" si="290"/>
        <v/>
      </c>
      <c r="AJ275" s="663">
        <f t="shared" si="294"/>
        <v>192.4571</v>
      </c>
      <c r="AK275" s="660">
        <f t="shared" si="295"/>
        <v>0.24379999999999999</v>
      </c>
      <c r="AL275" s="660" t="e">
        <f t="shared" si="296"/>
        <v>#VALUE!</v>
      </c>
      <c r="AM275" s="664" t="e">
        <f t="shared" si="297"/>
        <v>#VALUE!</v>
      </c>
      <c r="AN275" s="664" t="e">
        <f t="shared" si="298"/>
        <v>#VALUE!</v>
      </c>
      <c r="AO275" s="665" t="e">
        <f t="shared" si="299"/>
        <v>#VALUE!</v>
      </c>
      <c r="AP275" s="666" t="e">
        <f t="shared" si="300"/>
        <v>#VALUE!</v>
      </c>
      <c r="AQ275" s="660" t="e">
        <f t="shared" si="301"/>
        <v>#VALUE!</v>
      </c>
      <c r="AR275" s="667" t="e">
        <f t="shared" si="302"/>
        <v>#VALUE!</v>
      </c>
      <c r="AS275" s="667" t="e">
        <f t="shared" si="303"/>
        <v>#VALUE!</v>
      </c>
      <c r="AT275" s="668" t="e">
        <f t="shared" si="304"/>
        <v>#VALUE!</v>
      </c>
      <c r="AU275" s="667" t="e">
        <f t="shared" si="305"/>
        <v>#VALUE!</v>
      </c>
      <c r="AV275" s="669" t="e">
        <f t="shared" si="306"/>
        <v>#VALUE!</v>
      </c>
      <c r="AW275" s="667" t="e">
        <f t="shared" si="307"/>
        <v>#VALUE!</v>
      </c>
      <c r="AX275" s="667" t="e">
        <f t="shared" si="308"/>
        <v>#VALUE!</v>
      </c>
      <c r="AY275" s="660" t="e">
        <f t="shared" si="309"/>
        <v>#VALUE!</v>
      </c>
      <c r="AZ275" s="670" t="e">
        <f t="shared" si="310"/>
        <v>#VALUE!</v>
      </c>
      <c r="BB275" s="662" t="e">
        <f>INDEX('Vessel Gauging Data'!$B$26:$V$56,MATCH($C275,'Vessel Gauging Data'!$B$26:$B$56,0),$BB$198)</f>
        <v>#N/A</v>
      </c>
      <c r="BC275" s="662" t="e">
        <f>INDEX('Vessel Gauging Data'!$B$26:$V$56,MATCH($C275,'Vessel Gauging Data'!$B$26:$B$56,0),$BC$198)</f>
        <v>#N/A</v>
      </c>
      <c r="BD275" s="662" t="e">
        <f>INDEX('Vessel Gauging Data'!$B$26:$V$56,MATCH($C275,'Vessel Gauging Data'!$B$26:$B$56,0),$BD$198)</f>
        <v>#N/A</v>
      </c>
      <c r="BE275" s="662" t="e">
        <f>INDEX('Vessel Gauging Data'!$B$26:$V$56,MATCH($C275,'Vessel Gauging Data'!$B$26:$B$56,0),$BE$198)</f>
        <v>#N/A</v>
      </c>
    </row>
    <row r="276" spans="1:57" hidden="1">
      <c r="A276" s="641" t="str">
        <f t="shared" si="273"/>
        <v>N</v>
      </c>
      <c r="C276" s="235" t="str">
        <f t="shared" si="275"/>
        <v/>
      </c>
      <c r="D276" s="211" t="str">
        <f t="shared" si="275"/>
        <v/>
      </c>
      <c r="E276" s="1016" t="str">
        <f t="shared" si="275"/>
        <v/>
      </c>
      <c r="F276" s="1016" t="str">
        <f t="shared" si="276"/>
        <v/>
      </c>
      <c r="G276" s="1016" t="str">
        <f t="shared" si="277"/>
        <v/>
      </c>
      <c r="H276" s="1016" t="str">
        <f t="shared" si="277"/>
        <v/>
      </c>
      <c r="I276" s="211" t="str">
        <f t="shared" si="278"/>
        <v/>
      </c>
      <c r="J276" s="1016" t="str">
        <f t="shared" si="279"/>
        <v/>
      </c>
      <c r="K276" s="213" t="str">
        <f t="shared" si="280"/>
        <v/>
      </c>
      <c r="L276" s="212" t="str">
        <f t="shared" si="281"/>
        <v/>
      </c>
      <c r="M276" s="1125" t="str">
        <f>IF(OR($C276="",$C276=0),"",INDEX(API2DENST,MATCH($C276,'Vessel Gauging Data'!$B$27:$B$56,0),$AA$1))</f>
        <v/>
      </c>
      <c r="N276" s="212" t="str">
        <f t="shared" si="282"/>
        <v/>
      </c>
      <c r="O276" s="1016" t="str">
        <f t="shared" si="283"/>
        <v/>
      </c>
      <c r="P276" s="1125" t="str">
        <f t="shared" si="284"/>
        <v/>
      </c>
      <c r="Q276" s="1016" t="str">
        <f t="shared" si="285"/>
        <v/>
      </c>
      <c r="R276" s="214" t="str">
        <f t="shared" si="286"/>
        <v/>
      </c>
      <c r="S276" s="1125" t="str">
        <f t="shared" si="287"/>
        <v/>
      </c>
      <c r="T276" s="236" t="str">
        <f t="shared" si="288"/>
        <v/>
      </c>
      <c r="W276" s="642" t="e">
        <f>INDEX('Vessel Gauging Data'!$B$26:$V$56,MATCH($C276,'Vessel Gauging Data'!$B$26:$B$56,0),$W$198)</f>
        <v>#N/A</v>
      </c>
      <c r="X276" s="642" t="e">
        <f>INDEX('Vessel Gauging Data'!$B$26:$V$56,MATCH($C276,'Vessel Gauging Data'!$B$26:$B$56,0),$X$198)</f>
        <v>#N/A</v>
      </c>
      <c r="Y276" s="642" t="e">
        <f>INDEX('Vessel Gauging Data'!$B$26:$V$56,MATCH($C276,'Vessel Gauging Data'!$B$26:$B$56,0),$Y$198)</f>
        <v>#N/A</v>
      </c>
      <c r="Z276" s="642" t="e">
        <f>INDEX('Vessel Gauging Data'!$B$26:$V$56,MATCH($C276,'Vessel Gauging Data'!$B$26:$B$56,0),$Z$198)</f>
        <v>#N/A</v>
      </c>
      <c r="AB276" s="642" t="e">
        <f>INDEX(API2DENST,MATCH($C276,'Vessel Gauging Data'!$B$27:$B$56,0),1)</f>
        <v>#N/A</v>
      </c>
      <c r="AC276" s="642" t="e">
        <f t="shared" si="291"/>
        <v>#N/A</v>
      </c>
      <c r="AE276" s="661" t="e">
        <f t="shared" si="292"/>
        <v>#VALUE!</v>
      </c>
      <c r="AF276" s="661" t="e">
        <f t="shared" si="293"/>
        <v>#VALUE!</v>
      </c>
      <c r="AH276" s="662" t="str">
        <f t="shared" si="289"/>
        <v/>
      </c>
      <c r="AI276" s="662" t="str">
        <f t="shared" si="290"/>
        <v/>
      </c>
      <c r="AJ276" s="663">
        <f t="shared" si="294"/>
        <v>192.4571</v>
      </c>
      <c r="AK276" s="660">
        <f t="shared" si="295"/>
        <v>0.24379999999999999</v>
      </c>
      <c r="AL276" s="660" t="e">
        <f t="shared" si="296"/>
        <v>#VALUE!</v>
      </c>
      <c r="AM276" s="664" t="e">
        <f t="shared" si="297"/>
        <v>#VALUE!</v>
      </c>
      <c r="AN276" s="664" t="e">
        <f t="shared" si="298"/>
        <v>#VALUE!</v>
      </c>
      <c r="AO276" s="665" t="e">
        <f t="shared" si="299"/>
        <v>#VALUE!</v>
      </c>
      <c r="AP276" s="666" t="e">
        <f t="shared" si="300"/>
        <v>#VALUE!</v>
      </c>
      <c r="AQ276" s="660" t="e">
        <f t="shared" si="301"/>
        <v>#VALUE!</v>
      </c>
      <c r="AR276" s="667" t="e">
        <f t="shared" si="302"/>
        <v>#VALUE!</v>
      </c>
      <c r="AS276" s="667" t="e">
        <f t="shared" si="303"/>
        <v>#VALUE!</v>
      </c>
      <c r="AT276" s="668" t="e">
        <f t="shared" si="304"/>
        <v>#VALUE!</v>
      </c>
      <c r="AU276" s="667" t="e">
        <f t="shared" si="305"/>
        <v>#VALUE!</v>
      </c>
      <c r="AV276" s="669" t="e">
        <f t="shared" si="306"/>
        <v>#VALUE!</v>
      </c>
      <c r="AW276" s="667" t="e">
        <f t="shared" si="307"/>
        <v>#VALUE!</v>
      </c>
      <c r="AX276" s="667" t="e">
        <f t="shared" si="308"/>
        <v>#VALUE!</v>
      </c>
      <c r="AY276" s="660" t="e">
        <f t="shared" si="309"/>
        <v>#VALUE!</v>
      </c>
      <c r="AZ276" s="670" t="e">
        <f t="shared" si="310"/>
        <v>#VALUE!</v>
      </c>
      <c r="BB276" s="662" t="e">
        <f>INDEX('Vessel Gauging Data'!$B$26:$V$56,MATCH($C276,'Vessel Gauging Data'!$B$26:$B$56,0),$BB$198)</f>
        <v>#N/A</v>
      </c>
      <c r="BC276" s="662" t="e">
        <f>INDEX('Vessel Gauging Data'!$B$26:$V$56,MATCH($C276,'Vessel Gauging Data'!$B$26:$B$56,0),$BC$198)</f>
        <v>#N/A</v>
      </c>
      <c r="BD276" s="662" t="e">
        <f>INDEX('Vessel Gauging Data'!$B$26:$V$56,MATCH($C276,'Vessel Gauging Data'!$B$26:$B$56,0),$BD$198)</f>
        <v>#N/A</v>
      </c>
      <c r="BE276" s="662" t="e">
        <f>INDEX('Vessel Gauging Data'!$B$26:$V$56,MATCH($C276,'Vessel Gauging Data'!$B$26:$B$56,0),$BE$198)</f>
        <v>#N/A</v>
      </c>
    </row>
    <row r="277" spans="1:57" hidden="1">
      <c r="A277" s="641" t="str">
        <f t="shared" si="273"/>
        <v>N</v>
      </c>
      <c r="C277" s="235" t="str">
        <f t="shared" si="275"/>
        <v/>
      </c>
      <c r="D277" s="211" t="str">
        <f t="shared" si="275"/>
        <v/>
      </c>
      <c r="E277" s="1016" t="str">
        <f t="shared" si="275"/>
        <v/>
      </c>
      <c r="F277" s="1016" t="str">
        <f t="shared" si="276"/>
        <v/>
      </c>
      <c r="G277" s="1016" t="str">
        <f t="shared" si="277"/>
        <v/>
      </c>
      <c r="H277" s="1016" t="str">
        <f t="shared" si="277"/>
        <v/>
      </c>
      <c r="I277" s="211" t="str">
        <f t="shared" si="278"/>
        <v/>
      </c>
      <c r="J277" s="1016" t="str">
        <f t="shared" si="279"/>
        <v/>
      </c>
      <c r="K277" s="213" t="str">
        <f t="shared" si="280"/>
        <v/>
      </c>
      <c r="L277" s="212" t="str">
        <f t="shared" si="281"/>
        <v/>
      </c>
      <c r="M277" s="1125" t="str">
        <f>IF(OR($C277="",$C277=0),"",INDEX(API2DENST,MATCH($C277,'Vessel Gauging Data'!$B$27:$B$56,0),$AA$1))</f>
        <v/>
      </c>
      <c r="N277" s="212" t="str">
        <f t="shared" si="282"/>
        <v/>
      </c>
      <c r="O277" s="1016" t="str">
        <f t="shared" si="283"/>
        <v/>
      </c>
      <c r="P277" s="1125" t="str">
        <f t="shared" si="284"/>
        <v/>
      </c>
      <c r="Q277" s="1016" t="str">
        <f t="shared" si="285"/>
        <v/>
      </c>
      <c r="R277" s="214" t="str">
        <f t="shared" si="286"/>
        <v/>
      </c>
      <c r="S277" s="1125" t="str">
        <f t="shared" si="287"/>
        <v/>
      </c>
      <c r="T277" s="236" t="str">
        <f t="shared" si="288"/>
        <v/>
      </c>
      <c r="W277" s="642" t="e">
        <f>INDEX('Vessel Gauging Data'!$B$26:$V$56,MATCH($C277,'Vessel Gauging Data'!$B$26:$B$56,0),$W$198)</f>
        <v>#N/A</v>
      </c>
      <c r="X277" s="642" t="e">
        <f>INDEX('Vessel Gauging Data'!$B$26:$V$56,MATCH($C277,'Vessel Gauging Data'!$B$26:$B$56,0),$X$198)</f>
        <v>#N/A</v>
      </c>
      <c r="Y277" s="642" t="e">
        <f>INDEX('Vessel Gauging Data'!$B$26:$V$56,MATCH($C277,'Vessel Gauging Data'!$B$26:$B$56,0),$Y$198)</f>
        <v>#N/A</v>
      </c>
      <c r="Z277" s="642" t="e">
        <f>INDEX('Vessel Gauging Data'!$B$26:$V$56,MATCH($C277,'Vessel Gauging Data'!$B$26:$B$56,0),$Z$198)</f>
        <v>#N/A</v>
      </c>
      <c r="AB277" s="642" t="e">
        <f>INDEX(API2DENST,MATCH($C277,'Vessel Gauging Data'!$B$27:$B$56,0),1)</f>
        <v>#N/A</v>
      </c>
      <c r="AC277" s="642" t="e">
        <f t="shared" si="291"/>
        <v>#N/A</v>
      </c>
      <c r="AE277" s="661" t="e">
        <f t="shared" si="292"/>
        <v>#VALUE!</v>
      </c>
      <c r="AF277" s="661" t="e">
        <f t="shared" si="293"/>
        <v>#VALUE!</v>
      </c>
      <c r="AH277" s="662" t="str">
        <f t="shared" si="289"/>
        <v/>
      </c>
      <c r="AI277" s="662" t="str">
        <f t="shared" si="290"/>
        <v/>
      </c>
      <c r="AJ277" s="663">
        <f t="shared" si="294"/>
        <v>192.4571</v>
      </c>
      <c r="AK277" s="660">
        <f t="shared" si="295"/>
        <v>0.24379999999999999</v>
      </c>
      <c r="AL277" s="660" t="e">
        <f t="shared" si="296"/>
        <v>#VALUE!</v>
      </c>
      <c r="AM277" s="664" t="e">
        <f t="shared" si="297"/>
        <v>#VALUE!</v>
      </c>
      <c r="AN277" s="664" t="e">
        <f t="shared" si="298"/>
        <v>#VALUE!</v>
      </c>
      <c r="AO277" s="665" t="e">
        <f t="shared" si="299"/>
        <v>#VALUE!</v>
      </c>
      <c r="AP277" s="666" t="e">
        <f t="shared" si="300"/>
        <v>#VALUE!</v>
      </c>
      <c r="AQ277" s="660" t="e">
        <f t="shared" si="301"/>
        <v>#VALUE!</v>
      </c>
      <c r="AR277" s="667" t="e">
        <f t="shared" si="302"/>
        <v>#VALUE!</v>
      </c>
      <c r="AS277" s="667" t="e">
        <f t="shared" si="303"/>
        <v>#VALUE!</v>
      </c>
      <c r="AT277" s="668" t="e">
        <f t="shared" si="304"/>
        <v>#VALUE!</v>
      </c>
      <c r="AU277" s="667" t="e">
        <f t="shared" si="305"/>
        <v>#VALUE!</v>
      </c>
      <c r="AV277" s="669" t="e">
        <f t="shared" si="306"/>
        <v>#VALUE!</v>
      </c>
      <c r="AW277" s="667" t="e">
        <f t="shared" si="307"/>
        <v>#VALUE!</v>
      </c>
      <c r="AX277" s="667" t="e">
        <f t="shared" si="308"/>
        <v>#VALUE!</v>
      </c>
      <c r="AY277" s="660" t="e">
        <f t="shared" si="309"/>
        <v>#VALUE!</v>
      </c>
      <c r="AZ277" s="670" t="e">
        <f t="shared" si="310"/>
        <v>#VALUE!</v>
      </c>
      <c r="BB277" s="662" t="e">
        <f>INDEX('Vessel Gauging Data'!$B$26:$V$56,MATCH($C277,'Vessel Gauging Data'!$B$26:$B$56,0),$BB$198)</f>
        <v>#N/A</v>
      </c>
      <c r="BC277" s="662" t="e">
        <f>INDEX('Vessel Gauging Data'!$B$26:$V$56,MATCH($C277,'Vessel Gauging Data'!$B$26:$B$56,0),$BC$198)</f>
        <v>#N/A</v>
      </c>
      <c r="BD277" s="662" t="e">
        <f>INDEX('Vessel Gauging Data'!$B$26:$V$56,MATCH($C277,'Vessel Gauging Data'!$B$26:$B$56,0),$BD$198)</f>
        <v>#N/A</v>
      </c>
      <c r="BE277" s="662" t="e">
        <f>INDEX('Vessel Gauging Data'!$B$26:$V$56,MATCH($C277,'Vessel Gauging Data'!$B$26:$B$56,0),$BE$198)</f>
        <v>#N/A</v>
      </c>
    </row>
    <row r="278" spans="1:57" hidden="1">
      <c r="A278" s="641" t="str">
        <f t="shared" si="273"/>
        <v>N</v>
      </c>
      <c r="C278" s="235" t="str">
        <f t="shared" si="275"/>
        <v/>
      </c>
      <c r="D278" s="211" t="str">
        <f t="shared" si="275"/>
        <v/>
      </c>
      <c r="E278" s="1016" t="str">
        <f t="shared" si="275"/>
        <v/>
      </c>
      <c r="F278" s="1016" t="str">
        <f t="shared" si="276"/>
        <v/>
      </c>
      <c r="G278" s="1016" t="str">
        <f t="shared" si="277"/>
        <v/>
      </c>
      <c r="H278" s="1016" t="str">
        <f t="shared" si="277"/>
        <v/>
      </c>
      <c r="I278" s="211" t="str">
        <f t="shared" si="278"/>
        <v/>
      </c>
      <c r="J278" s="1016" t="str">
        <f t="shared" si="279"/>
        <v/>
      </c>
      <c r="K278" s="213" t="str">
        <f t="shared" si="280"/>
        <v/>
      </c>
      <c r="L278" s="212" t="str">
        <f t="shared" si="281"/>
        <v/>
      </c>
      <c r="M278" s="1125" t="str">
        <f>IF(OR($C278="",$C278=0),"",INDEX(API2DENST,MATCH($C278,'Vessel Gauging Data'!$B$27:$B$56,0),$AA$1))</f>
        <v/>
      </c>
      <c r="N278" s="212" t="str">
        <f t="shared" si="282"/>
        <v/>
      </c>
      <c r="O278" s="1016" t="str">
        <f t="shared" si="283"/>
        <v/>
      </c>
      <c r="P278" s="1125" t="str">
        <f t="shared" si="284"/>
        <v/>
      </c>
      <c r="Q278" s="1016" t="str">
        <f t="shared" si="285"/>
        <v/>
      </c>
      <c r="R278" s="214" t="str">
        <f t="shared" si="286"/>
        <v/>
      </c>
      <c r="S278" s="1125" t="str">
        <f t="shared" si="287"/>
        <v/>
      </c>
      <c r="T278" s="236" t="str">
        <f t="shared" si="288"/>
        <v/>
      </c>
      <c r="W278" s="642" t="e">
        <f>INDEX('Vessel Gauging Data'!$B$26:$V$56,MATCH($C278,'Vessel Gauging Data'!$B$26:$B$56,0),$W$198)</f>
        <v>#N/A</v>
      </c>
      <c r="X278" s="642" t="e">
        <f>INDEX('Vessel Gauging Data'!$B$26:$V$56,MATCH($C278,'Vessel Gauging Data'!$B$26:$B$56,0),$X$198)</f>
        <v>#N/A</v>
      </c>
      <c r="Y278" s="642" t="e">
        <f>INDEX('Vessel Gauging Data'!$B$26:$V$56,MATCH($C278,'Vessel Gauging Data'!$B$26:$B$56,0),$Y$198)</f>
        <v>#N/A</v>
      </c>
      <c r="Z278" s="642" t="e">
        <f>INDEX('Vessel Gauging Data'!$B$26:$V$56,MATCH($C278,'Vessel Gauging Data'!$B$26:$B$56,0),$Z$198)</f>
        <v>#N/A</v>
      </c>
      <c r="AB278" s="642" t="e">
        <f>INDEX(API2DENST,MATCH($C278,'Vessel Gauging Data'!$B$27:$B$56,0),1)</f>
        <v>#N/A</v>
      </c>
      <c r="AC278" s="642" t="e">
        <f t="shared" si="291"/>
        <v>#N/A</v>
      </c>
      <c r="AE278" s="661" t="e">
        <f t="shared" si="292"/>
        <v>#VALUE!</v>
      </c>
      <c r="AF278" s="661" t="e">
        <f t="shared" si="293"/>
        <v>#VALUE!</v>
      </c>
      <c r="AH278" s="662" t="str">
        <f t="shared" si="289"/>
        <v/>
      </c>
      <c r="AI278" s="662" t="str">
        <f t="shared" si="290"/>
        <v/>
      </c>
      <c r="AJ278" s="663">
        <f t="shared" si="294"/>
        <v>192.4571</v>
      </c>
      <c r="AK278" s="660">
        <f t="shared" si="295"/>
        <v>0.24379999999999999</v>
      </c>
      <c r="AL278" s="660" t="e">
        <f t="shared" si="296"/>
        <v>#VALUE!</v>
      </c>
      <c r="AM278" s="664" t="e">
        <f t="shared" si="297"/>
        <v>#VALUE!</v>
      </c>
      <c r="AN278" s="664" t="e">
        <f t="shared" si="298"/>
        <v>#VALUE!</v>
      </c>
      <c r="AO278" s="665" t="e">
        <f t="shared" si="299"/>
        <v>#VALUE!</v>
      </c>
      <c r="AP278" s="666" t="e">
        <f t="shared" si="300"/>
        <v>#VALUE!</v>
      </c>
      <c r="AQ278" s="660" t="e">
        <f t="shared" si="301"/>
        <v>#VALUE!</v>
      </c>
      <c r="AR278" s="667" t="e">
        <f t="shared" si="302"/>
        <v>#VALUE!</v>
      </c>
      <c r="AS278" s="667" t="e">
        <f t="shared" si="303"/>
        <v>#VALUE!</v>
      </c>
      <c r="AT278" s="668" t="e">
        <f t="shared" si="304"/>
        <v>#VALUE!</v>
      </c>
      <c r="AU278" s="667" t="e">
        <f t="shared" si="305"/>
        <v>#VALUE!</v>
      </c>
      <c r="AV278" s="669" t="e">
        <f t="shared" si="306"/>
        <v>#VALUE!</v>
      </c>
      <c r="AW278" s="667" t="e">
        <f t="shared" si="307"/>
        <v>#VALUE!</v>
      </c>
      <c r="AX278" s="667" t="e">
        <f t="shared" si="308"/>
        <v>#VALUE!</v>
      </c>
      <c r="AY278" s="660" t="e">
        <f t="shared" si="309"/>
        <v>#VALUE!</v>
      </c>
      <c r="AZ278" s="670" t="e">
        <f t="shared" si="310"/>
        <v>#VALUE!</v>
      </c>
      <c r="BB278" s="662" t="e">
        <f>INDEX('Vessel Gauging Data'!$B$26:$V$56,MATCH($C278,'Vessel Gauging Data'!$B$26:$B$56,0),$BB$198)</f>
        <v>#N/A</v>
      </c>
      <c r="BC278" s="662" t="e">
        <f>INDEX('Vessel Gauging Data'!$B$26:$V$56,MATCH($C278,'Vessel Gauging Data'!$B$26:$B$56,0),$BC$198)</f>
        <v>#N/A</v>
      </c>
      <c r="BD278" s="662" t="e">
        <f>INDEX('Vessel Gauging Data'!$B$26:$V$56,MATCH($C278,'Vessel Gauging Data'!$B$26:$B$56,0),$BD$198)</f>
        <v>#N/A</v>
      </c>
      <c r="BE278" s="662" t="e">
        <f>INDEX('Vessel Gauging Data'!$B$26:$V$56,MATCH($C278,'Vessel Gauging Data'!$B$26:$B$56,0),$BE$198)</f>
        <v>#N/A</v>
      </c>
    </row>
    <row r="279" spans="1:57" hidden="1">
      <c r="A279" s="641" t="str">
        <f t="shared" si="273"/>
        <v>N</v>
      </c>
      <c r="C279" s="235" t="str">
        <f t="shared" si="275"/>
        <v/>
      </c>
      <c r="D279" s="211" t="str">
        <f t="shared" si="275"/>
        <v/>
      </c>
      <c r="E279" s="1016" t="str">
        <f t="shared" si="275"/>
        <v/>
      </c>
      <c r="F279" s="1016" t="str">
        <f t="shared" si="276"/>
        <v/>
      </c>
      <c r="G279" s="1016" t="str">
        <f t="shared" si="277"/>
        <v/>
      </c>
      <c r="H279" s="1016" t="str">
        <f t="shared" si="277"/>
        <v/>
      </c>
      <c r="I279" s="211" t="str">
        <f t="shared" si="278"/>
        <v/>
      </c>
      <c r="J279" s="1016" t="str">
        <f t="shared" si="279"/>
        <v/>
      </c>
      <c r="K279" s="213" t="str">
        <f t="shared" si="280"/>
        <v/>
      </c>
      <c r="L279" s="212" t="str">
        <f t="shared" si="281"/>
        <v/>
      </c>
      <c r="M279" s="1125" t="str">
        <f>IF(OR($C279="",$C279=0),"",INDEX(API2DENST,MATCH($C279,'Vessel Gauging Data'!$B$27:$B$56,0),$AA$1))</f>
        <v/>
      </c>
      <c r="N279" s="212" t="str">
        <f t="shared" si="282"/>
        <v/>
      </c>
      <c r="O279" s="1016" t="str">
        <f t="shared" si="283"/>
        <v/>
      </c>
      <c r="P279" s="1125" t="str">
        <f t="shared" si="284"/>
        <v/>
      </c>
      <c r="Q279" s="1016" t="str">
        <f t="shared" si="285"/>
        <v/>
      </c>
      <c r="R279" s="214" t="str">
        <f t="shared" si="286"/>
        <v/>
      </c>
      <c r="S279" s="1125" t="str">
        <f t="shared" si="287"/>
        <v/>
      </c>
      <c r="T279" s="236" t="str">
        <f t="shared" si="288"/>
        <v/>
      </c>
      <c r="W279" s="642" t="e">
        <f>INDEX('Vessel Gauging Data'!$B$26:$V$56,MATCH($C279,'Vessel Gauging Data'!$B$26:$B$56,0),$W$198)</f>
        <v>#N/A</v>
      </c>
      <c r="X279" s="642" t="e">
        <f>INDEX('Vessel Gauging Data'!$B$26:$V$56,MATCH($C279,'Vessel Gauging Data'!$B$26:$B$56,0),$X$198)</f>
        <v>#N/A</v>
      </c>
      <c r="Y279" s="642" t="e">
        <f>INDEX('Vessel Gauging Data'!$B$26:$V$56,MATCH($C279,'Vessel Gauging Data'!$B$26:$B$56,0),$Y$198)</f>
        <v>#N/A</v>
      </c>
      <c r="Z279" s="642" t="e">
        <f>INDEX('Vessel Gauging Data'!$B$26:$V$56,MATCH($C279,'Vessel Gauging Data'!$B$26:$B$56,0),$Z$198)</f>
        <v>#N/A</v>
      </c>
      <c r="AB279" s="642" t="e">
        <f>INDEX(API2DENST,MATCH($C279,'Vessel Gauging Data'!$B$27:$B$56,0),1)</f>
        <v>#N/A</v>
      </c>
      <c r="AC279" s="642" t="e">
        <f t="shared" si="291"/>
        <v>#N/A</v>
      </c>
      <c r="AE279" s="661" t="e">
        <f t="shared" si="292"/>
        <v>#VALUE!</v>
      </c>
      <c r="AF279" s="661" t="e">
        <f t="shared" si="293"/>
        <v>#VALUE!</v>
      </c>
      <c r="AH279" s="662" t="str">
        <f t="shared" si="289"/>
        <v/>
      </c>
      <c r="AI279" s="662" t="str">
        <f t="shared" si="290"/>
        <v/>
      </c>
      <c r="AJ279" s="663">
        <f t="shared" si="294"/>
        <v>192.4571</v>
      </c>
      <c r="AK279" s="660">
        <f t="shared" si="295"/>
        <v>0.24379999999999999</v>
      </c>
      <c r="AL279" s="660" t="e">
        <f t="shared" si="296"/>
        <v>#VALUE!</v>
      </c>
      <c r="AM279" s="664" t="e">
        <f t="shared" si="297"/>
        <v>#VALUE!</v>
      </c>
      <c r="AN279" s="664" t="e">
        <f t="shared" si="298"/>
        <v>#VALUE!</v>
      </c>
      <c r="AO279" s="665" t="e">
        <f t="shared" si="299"/>
        <v>#VALUE!</v>
      </c>
      <c r="AP279" s="666" t="e">
        <f t="shared" si="300"/>
        <v>#VALUE!</v>
      </c>
      <c r="AQ279" s="660" t="e">
        <f t="shared" si="301"/>
        <v>#VALUE!</v>
      </c>
      <c r="AR279" s="667" t="e">
        <f t="shared" si="302"/>
        <v>#VALUE!</v>
      </c>
      <c r="AS279" s="667" t="e">
        <f t="shared" si="303"/>
        <v>#VALUE!</v>
      </c>
      <c r="AT279" s="668" t="e">
        <f t="shared" si="304"/>
        <v>#VALUE!</v>
      </c>
      <c r="AU279" s="667" t="e">
        <f t="shared" si="305"/>
        <v>#VALUE!</v>
      </c>
      <c r="AV279" s="669" t="e">
        <f t="shared" si="306"/>
        <v>#VALUE!</v>
      </c>
      <c r="AW279" s="667" t="e">
        <f t="shared" si="307"/>
        <v>#VALUE!</v>
      </c>
      <c r="AX279" s="667" t="e">
        <f t="shared" si="308"/>
        <v>#VALUE!</v>
      </c>
      <c r="AY279" s="660" t="e">
        <f t="shared" si="309"/>
        <v>#VALUE!</v>
      </c>
      <c r="AZ279" s="670" t="e">
        <f t="shared" si="310"/>
        <v>#VALUE!</v>
      </c>
      <c r="BB279" s="662" t="e">
        <f>INDEX('Vessel Gauging Data'!$B$26:$V$56,MATCH($C279,'Vessel Gauging Data'!$B$26:$B$56,0),$BB$198)</f>
        <v>#N/A</v>
      </c>
      <c r="BC279" s="662" t="e">
        <f>INDEX('Vessel Gauging Data'!$B$26:$V$56,MATCH($C279,'Vessel Gauging Data'!$B$26:$B$56,0),$BC$198)</f>
        <v>#N/A</v>
      </c>
      <c r="BD279" s="662" t="e">
        <f>INDEX('Vessel Gauging Data'!$B$26:$V$56,MATCH($C279,'Vessel Gauging Data'!$B$26:$B$56,0),$BD$198)</f>
        <v>#N/A</v>
      </c>
      <c r="BE279" s="662" t="e">
        <f>INDEX('Vessel Gauging Data'!$B$26:$V$56,MATCH($C279,'Vessel Gauging Data'!$B$26:$B$56,0),$BE$198)</f>
        <v>#N/A</v>
      </c>
    </row>
    <row r="280" spans="1:57" hidden="1">
      <c r="A280" s="641" t="str">
        <f t="shared" si="273"/>
        <v>N</v>
      </c>
      <c r="C280" s="235" t="str">
        <f t="shared" si="275"/>
        <v/>
      </c>
      <c r="D280" s="211" t="str">
        <f t="shared" si="275"/>
        <v/>
      </c>
      <c r="E280" s="1016" t="str">
        <f t="shared" si="275"/>
        <v/>
      </c>
      <c r="F280" s="1016" t="str">
        <f t="shared" si="276"/>
        <v/>
      </c>
      <c r="G280" s="1016" t="str">
        <f t="shared" si="277"/>
        <v/>
      </c>
      <c r="H280" s="1016" t="str">
        <f t="shared" si="277"/>
        <v/>
      </c>
      <c r="I280" s="211" t="str">
        <f t="shared" si="278"/>
        <v/>
      </c>
      <c r="J280" s="1016" t="str">
        <f t="shared" si="279"/>
        <v/>
      </c>
      <c r="K280" s="213" t="str">
        <f t="shared" si="280"/>
        <v/>
      </c>
      <c r="L280" s="212" t="str">
        <f t="shared" si="281"/>
        <v/>
      </c>
      <c r="M280" s="1125" t="str">
        <f>IF(OR($C280="",$C280=0),"",INDEX(API2DENST,MATCH($C280,'Vessel Gauging Data'!$B$27:$B$56,0),$AA$1))</f>
        <v/>
      </c>
      <c r="N280" s="212" t="str">
        <f t="shared" si="282"/>
        <v/>
      </c>
      <c r="O280" s="1016" t="str">
        <f t="shared" si="283"/>
        <v/>
      </c>
      <c r="P280" s="1125" t="str">
        <f t="shared" si="284"/>
        <v/>
      </c>
      <c r="Q280" s="1016" t="str">
        <f t="shared" si="285"/>
        <v/>
      </c>
      <c r="R280" s="214" t="str">
        <f t="shared" si="286"/>
        <v/>
      </c>
      <c r="S280" s="1125" t="str">
        <f t="shared" si="287"/>
        <v/>
      </c>
      <c r="T280" s="236" t="str">
        <f t="shared" si="288"/>
        <v/>
      </c>
      <c r="W280" s="642" t="e">
        <f>INDEX('Vessel Gauging Data'!$B$26:$V$56,MATCH($C280,'Vessel Gauging Data'!$B$26:$B$56,0),$W$198)</f>
        <v>#N/A</v>
      </c>
      <c r="X280" s="642" t="e">
        <f>INDEX('Vessel Gauging Data'!$B$26:$V$56,MATCH($C280,'Vessel Gauging Data'!$B$26:$B$56,0),$X$198)</f>
        <v>#N/A</v>
      </c>
      <c r="Y280" s="642" t="e">
        <f>INDEX('Vessel Gauging Data'!$B$26:$V$56,MATCH($C280,'Vessel Gauging Data'!$B$26:$B$56,0),$Y$198)</f>
        <v>#N/A</v>
      </c>
      <c r="Z280" s="642" t="e">
        <f>INDEX('Vessel Gauging Data'!$B$26:$V$56,MATCH($C280,'Vessel Gauging Data'!$B$26:$B$56,0),$Z$198)</f>
        <v>#N/A</v>
      </c>
      <c r="AB280" s="642" t="e">
        <f>INDEX(API2DENST,MATCH($C280,'Vessel Gauging Data'!$B$27:$B$56,0),1)</f>
        <v>#N/A</v>
      </c>
      <c r="AC280" s="642" t="e">
        <f t="shared" si="291"/>
        <v>#N/A</v>
      </c>
      <c r="AE280" s="661" t="e">
        <f t="shared" si="292"/>
        <v>#VALUE!</v>
      </c>
      <c r="AF280" s="661" t="e">
        <f t="shared" si="293"/>
        <v>#VALUE!</v>
      </c>
      <c r="AH280" s="662" t="str">
        <f t="shared" si="289"/>
        <v/>
      </c>
      <c r="AI280" s="662" t="str">
        <f t="shared" si="290"/>
        <v/>
      </c>
      <c r="AJ280" s="663">
        <f t="shared" si="294"/>
        <v>192.4571</v>
      </c>
      <c r="AK280" s="660">
        <f t="shared" si="295"/>
        <v>0.24379999999999999</v>
      </c>
      <c r="AL280" s="660" t="e">
        <f t="shared" si="296"/>
        <v>#VALUE!</v>
      </c>
      <c r="AM280" s="664" t="e">
        <f t="shared" si="297"/>
        <v>#VALUE!</v>
      </c>
      <c r="AN280" s="664" t="e">
        <f t="shared" si="298"/>
        <v>#VALUE!</v>
      </c>
      <c r="AO280" s="665" t="e">
        <f t="shared" si="299"/>
        <v>#VALUE!</v>
      </c>
      <c r="AP280" s="666" t="e">
        <f t="shared" si="300"/>
        <v>#VALUE!</v>
      </c>
      <c r="AQ280" s="660" t="e">
        <f t="shared" si="301"/>
        <v>#VALUE!</v>
      </c>
      <c r="AR280" s="667" t="e">
        <f t="shared" si="302"/>
        <v>#VALUE!</v>
      </c>
      <c r="AS280" s="667" t="e">
        <f t="shared" si="303"/>
        <v>#VALUE!</v>
      </c>
      <c r="AT280" s="668" t="e">
        <f t="shared" si="304"/>
        <v>#VALUE!</v>
      </c>
      <c r="AU280" s="667" t="e">
        <f t="shared" si="305"/>
        <v>#VALUE!</v>
      </c>
      <c r="AV280" s="669" t="e">
        <f t="shared" si="306"/>
        <v>#VALUE!</v>
      </c>
      <c r="AW280" s="667" t="e">
        <f t="shared" si="307"/>
        <v>#VALUE!</v>
      </c>
      <c r="AX280" s="667" t="e">
        <f t="shared" si="308"/>
        <v>#VALUE!</v>
      </c>
      <c r="AY280" s="660" t="e">
        <f t="shared" si="309"/>
        <v>#VALUE!</v>
      </c>
      <c r="AZ280" s="670" t="e">
        <f t="shared" si="310"/>
        <v>#VALUE!</v>
      </c>
      <c r="BB280" s="662" t="e">
        <f>INDEX('Vessel Gauging Data'!$B$26:$V$56,MATCH($C280,'Vessel Gauging Data'!$B$26:$B$56,0),$BB$198)</f>
        <v>#N/A</v>
      </c>
      <c r="BC280" s="662" t="e">
        <f>INDEX('Vessel Gauging Data'!$B$26:$V$56,MATCH($C280,'Vessel Gauging Data'!$B$26:$B$56,0),$BC$198)</f>
        <v>#N/A</v>
      </c>
      <c r="BD280" s="662" t="e">
        <f>INDEX('Vessel Gauging Data'!$B$26:$V$56,MATCH($C280,'Vessel Gauging Data'!$B$26:$B$56,0),$BD$198)</f>
        <v>#N/A</v>
      </c>
      <c r="BE280" s="662" t="e">
        <f>INDEX('Vessel Gauging Data'!$B$26:$V$56,MATCH($C280,'Vessel Gauging Data'!$B$26:$B$56,0),$BE$198)</f>
        <v>#N/A</v>
      </c>
    </row>
    <row r="281" spans="1:57" hidden="1">
      <c r="A281" s="641" t="str">
        <f t="shared" si="273"/>
        <v>N</v>
      </c>
      <c r="C281" s="235" t="str">
        <f t="shared" si="275"/>
        <v/>
      </c>
      <c r="D281" s="211" t="str">
        <f t="shared" si="275"/>
        <v/>
      </c>
      <c r="E281" s="1016" t="str">
        <f t="shared" si="275"/>
        <v/>
      </c>
      <c r="F281" s="1016" t="str">
        <f t="shared" si="276"/>
        <v/>
      </c>
      <c r="G281" s="1016" t="str">
        <f t="shared" si="277"/>
        <v/>
      </c>
      <c r="H281" s="1016" t="str">
        <f t="shared" si="277"/>
        <v/>
      </c>
      <c r="I281" s="211" t="str">
        <f t="shared" si="278"/>
        <v/>
      </c>
      <c r="J281" s="1016" t="str">
        <f t="shared" si="279"/>
        <v/>
      </c>
      <c r="K281" s="213" t="str">
        <f t="shared" si="280"/>
        <v/>
      </c>
      <c r="L281" s="212" t="str">
        <f t="shared" si="281"/>
        <v/>
      </c>
      <c r="M281" s="1125" t="str">
        <f>IF(OR($C281="",$C281=0),"",INDEX(API2DENST,MATCH($C281,'Vessel Gauging Data'!$B$27:$B$56,0),$AA$1))</f>
        <v/>
      </c>
      <c r="N281" s="212" t="str">
        <f t="shared" si="282"/>
        <v/>
      </c>
      <c r="O281" s="1016" t="str">
        <f t="shared" si="283"/>
        <v/>
      </c>
      <c r="P281" s="1125" t="str">
        <f t="shared" si="284"/>
        <v/>
      </c>
      <c r="Q281" s="1016" t="str">
        <f t="shared" si="285"/>
        <v/>
      </c>
      <c r="R281" s="214" t="str">
        <f t="shared" si="286"/>
        <v/>
      </c>
      <c r="S281" s="1125" t="str">
        <f t="shared" si="287"/>
        <v/>
      </c>
      <c r="T281" s="236" t="str">
        <f t="shared" si="288"/>
        <v/>
      </c>
      <c r="W281" s="642" t="e">
        <f>INDEX('Vessel Gauging Data'!$B$26:$V$56,MATCH($C281,'Vessel Gauging Data'!$B$26:$B$56,0),$W$198)</f>
        <v>#N/A</v>
      </c>
      <c r="X281" s="642" t="e">
        <f>INDEX('Vessel Gauging Data'!$B$26:$V$56,MATCH($C281,'Vessel Gauging Data'!$B$26:$B$56,0),$X$198)</f>
        <v>#N/A</v>
      </c>
      <c r="Y281" s="642" t="e">
        <f>INDEX('Vessel Gauging Data'!$B$26:$V$56,MATCH($C281,'Vessel Gauging Data'!$B$26:$B$56,0),$Y$198)</f>
        <v>#N/A</v>
      </c>
      <c r="Z281" s="642" t="e">
        <f>INDEX('Vessel Gauging Data'!$B$26:$V$56,MATCH($C281,'Vessel Gauging Data'!$B$26:$B$56,0),$Z$198)</f>
        <v>#N/A</v>
      </c>
      <c r="AB281" s="642" t="e">
        <f>INDEX(API2DENST,MATCH($C281,'Vessel Gauging Data'!$B$27:$B$56,0),1)</f>
        <v>#N/A</v>
      </c>
      <c r="AC281" s="642" t="e">
        <f t="shared" si="291"/>
        <v>#N/A</v>
      </c>
      <c r="AE281" s="661" t="e">
        <f t="shared" si="292"/>
        <v>#VALUE!</v>
      </c>
      <c r="AF281" s="661" t="e">
        <f t="shared" si="293"/>
        <v>#VALUE!</v>
      </c>
      <c r="AH281" s="662" t="str">
        <f t="shared" si="289"/>
        <v/>
      </c>
      <c r="AI281" s="662" t="str">
        <f t="shared" si="290"/>
        <v/>
      </c>
      <c r="AJ281" s="663">
        <f t="shared" si="294"/>
        <v>192.4571</v>
      </c>
      <c r="AK281" s="660">
        <f t="shared" si="295"/>
        <v>0.24379999999999999</v>
      </c>
      <c r="AL281" s="660" t="e">
        <f t="shared" si="296"/>
        <v>#VALUE!</v>
      </c>
      <c r="AM281" s="664" t="e">
        <f t="shared" si="297"/>
        <v>#VALUE!</v>
      </c>
      <c r="AN281" s="664" t="e">
        <f t="shared" si="298"/>
        <v>#VALUE!</v>
      </c>
      <c r="AO281" s="665" t="e">
        <f t="shared" si="299"/>
        <v>#VALUE!</v>
      </c>
      <c r="AP281" s="666" t="e">
        <f t="shared" si="300"/>
        <v>#VALUE!</v>
      </c>
      <c r="AQ281" s="660" t="e">
        <f t="shared" si="301"/>
        <v>#VALUE!</v>
      </c>
      <c r="AR281" s="667" t="e">
        <f t="shared" si="302"/>
        <v>#VALUE!</v>
      </c>
      <c r="AS281" s="667" t="e">
        <f t="shared" si="303"/>
        <v>#VALUE!</v>
      </c>
      <c r="AT281" s="668" t="e">
        <f t="shared" si="304"/>
        <v>#VALUE!</v>
      </c>
      <c r="AU281" s="667" t="e">
        <f t="shared" si="305"/>
        <v>#VALUE!</v>
      </c>
      <c r="AV281" s="669" t="e">
        <f t="shared" si="306"/>
        <v>#VALUE!</v>
      </c>
      <c r="AW281" s="667" t="e">
        <f t="shared" si="307"/>
        <v>#VALUE!</v>
      </c>
      <c r="AX281" s="667" t="e">
        <f t="shared" si="308"/>
        <v>#VALUE!</v>
      </c>
      <c r="AY281" s="660" t="e">
        <f t="shared" si="309"/>
        <v>#VALUE!</v>
      </c>
      <c r="AZ281" s="670" t="e">
        <f t="shared" si="310"/>
        <v>#VALUE!</v>
      </c>
      <c r="BB281" s="662" t="e">
        <f>INDEX('Vessel Gauging Data'!$B$26:$V$56,MATCH($C281,'Vessel Gauging Data'!$B$26:$B$56,0),$BB$198)</f>
        <v>#N/A</v>
      </c>
      <c r="BC281" s="662" t="e">
        <f>INDEX('Vessel Gauging Data'!$B$26:$V$56,MATCH($C281,'Vessel Gauging Data'!$B$26:$B$56,0),$BC$198)</f>
        <v>#N/A</v>
      </c>
      <c r="BD281" s="662" t="e">
        <f>INDEX('Vessel Gauging Data'!$B$26:$V$56,MATCH($C281,'Vessel Gauging Data'!$B$26:$B$56,0),$BD$198)</f>
        <v>#N/A</v>
      </c>
      <c r="BE281" s="662" t="e">
        <f>INDEX('Vessel Gauging Data'!$B$26:$V$56,MATCH($C281,'Vessel Gauging Data'!$B$26:$B$56,0),$BE$198)</f>
        <v>#N/A</v>
      </c>
    </row>
    <row r="282" spans="1:57" hidden="1">
      <c r="A282" s="641" t="str">
        <f t="shared" si="273"/>
        <v>N</v>
      </c>
      <c r="C282" s="235" t="str">
        <f t="shared" si="275"/>
        <v/>
      </c>
      <c r="D282" s="211" t="str">
        <f t="shared" si="275"/>
        <v/>
      </c>
      <c r="E282" s="1016" t="str">
        <f t="shared" si="275"/>
        <v/>
      </c>
      <c r="F282" s="1016" t="str">
        <f t="shared" si="276"/>
        <v/>
      </c>
      <c r="G282" s="1016" t="str">
        <f t="shared" si="277"/>
        <v/>
      </c>
      <c r="H282" s="1016" t="str">
        <f t="shared" si="277"/>
        <v/>
      </c>
      <c r="I282" s="211" t="str">
        <f t="shared" si="278"/>
        <v/>
      </c>
      <c r="J282" s="1016" t="str">
        <f t="shared" si="279"/>
        <v/>
      </c>
      <c r="K282" s="213" t="str">
        <f t="shared" si="280"/>
        <v/>
      </c>
      <c r="L282" s="212" t="str">
        <f t="shared" si="281"/>
        <v/>
      </c>
      <c r="M282" s="1125" t="str">
        <f>IF(OR($C282="",$C282=0),"",INDEX(API2DENST,MATCH($C282,'Vessel Gauging Data'!$B$27:$B$56,0),$AA$1))</f>
        <v/>
      </c>
      <c r="N282" s="212" t="str">
        <f t="shared" si="282"/>
        <v/>
      </c>
      <c r="O282" s="1016" t="str">
        <f t="shared" si="283"/>
        <v/>
      </c>
      <c r="P282" s="1125" t="str">
        <f t="shared" si="284"/>
        <v/>
      </c>
      <c r="Q282" s="1016" t="str">
        <f t="shared" si="285"/>
        <v/>
      </c>
      <c r="R282" s="214" t="str">
        <f t="shared" si="286"/>
        <v/>
      </c>
      <c r="S282" s="1125" t="str">
        <f t="shared" si="287"/>
        <v/>
      </c>
      <c r="T282" s="236" t="str">
        <f t="shared" si="288"/>
        <v/>
      </c>
      <c r="W282" s="642" t="e">
        <f>INDEX('Vessel Gauging Data'!$B$26:$V$56,MATCH($C282,'Vessel Gauging Data'!$B$26:$B$56,0),$W$198)</f>
        <v>#N/A</v>
      </c>
      <c r="X282" s="642" t="e">
        <f>INDEX('Vessel Gauging Data'!$B$26:$V$56,MATCH($C282,'Vessel Gauging Data'!$B$26:$B$56,0),$X$198)</f>
        <v>#N/A</v>
      </c>
      <c r="Y282" s="642" t="e">
        <f>INDEX('Vessel Gauging Data'!$B$26:$V$56,MATCH($C282,'Vessel Gauging Data'!$B$26:$B$56,0),$Y$198)</f>
        <v>#N/A</v>
      </c>
      <c r="Z282" s="642" t="e">
        <f>INDEX('Vessel Gauging Data'!$B$26:$V$56,MATCH($C282,'Vessel Gauging Data'!$B$26:$B$56,0),$Z$198)</f>
        <v>#N/A</v>
      </c>
      <c r="AB282" s="642" t="e">
        <f>INDEX(API2DENST,MATCH($C282,'Vessel Gauging Data'!$B$27:$B$56,0),1)</f>
        <v>#N/A</v>
      </c>
      <c r="AC282" s="642" t="e">
        <f t="shared" si="291"/>
        <v>#N/A</v>
      </c>
      <c r="AE282" s="661" t="e">
        <f t="shared" si="292"/>
        <v>#VALUE!</v>
      </c>
      <c r="AF282" s="661" t="e">
        <f t="shared" si="293"/>
        <v>#VALUE!</v>
      </c>
      <c r="AH282" s="662" t="str">
        <f t="shared" si="289"/>
        <v/>
      </c>
      <c r="AI282" s="662" t="str">
        <f t="shared" si="290"/>
        <v/>
      </c>
      <c r="AJ282" s="663">
        <f t="shared" si="294"/>
        <v>192.4571</v>
      </c>
      <c r="AK282" s="660">
        <f t="shared" si="295"/>
        <v>0.24379999999999999</v>
      </c>
      <c r="AL282" s="660" t="e">
        <f t="shared" si="296"/>
        <v>#VALUE!</v>
      </c>
      <c r="AM282" s="664" t="e">
        <f t="shared" si="297"/>
        <v>#VALUE!</v>
      </c>
      <c r="AN282" s="664" t="e">
        <f t="shared" si="298"/>
        <v>#VALUE!</v>
      </c>
      <c r="AO282" s="665" t="e">
        <f t="shared" si="299"/>
        <v>#VALUE!</v>
      </c>
      <c r="AP282" s="666" t="e">
        <f t="shared" si="300"/>
        <v>#VALUE!</v>
      </c>
      <c r="AQ282" s="660" t="e">
        <f t="shared" si="301"/>
        <v>#VALUE!</v>
      </c>
      <c r="AR282" s="667" t="e">
        <f t="shared" si="302"/>
        <v>#VALUE!</v>
      </c>
      <c r="AS282" s="667" t="e">
        <f t="shared" si="303"/>
        <v>#VALUE!</v>
      </c>
      <c r="AT282" s="668" t="e">
        <f t="shared" si="304"/>
        <v>#VALUE!</v>
      </c>
      <c r="AU282" s="667" t="e">
        <f t="shared" si="305"/>
        <v>#VALUE!</v>
      </c>
      <c r="AV282" s="669" t="e">
        <f t="shared" si="306"/>
        <v>#VALUE!</v>
      </c>
      <c r="AW282" s="667" t="e">
        <f t="shared" si="307"/>
        <v>#VALUE!</v>
      </c>
      <c r="AX282" s="667" t="e">
        <f t="shared" si="308"/>
        <v>#VALUE!</v>
      </c>
      <c r="AY282" s="660" t="e">
        <f t="shared" si="309"/>
        <v>#VALUE!</v>
      </c>
      <c r="AZ282" s="670" t="e">
        <f t="shared" si="310"/>
        <v>#VALUE!</v>
      </c>
      <c r="BB282" s="662" t="e">
        <f>INDEX('Vessel Gauging Data'!$B$26:$V$56,MATCH($C282,'Vessel Gauging Data'!$B$26:$B$56,0),$BB$198)</f>
        <v>#N/A</v>
      </c>
      <c r="BC282" s="662" t="e">
        <f>INDEX('Vessel Gauging Data'!$B$26:$V$56,MATCH($C282,'Vessel Gauging Data'!$B$26:$B$56,0),$BC$198)</f>
        <v>#N/A</v>
      </c>
      <c r="BD282" s="662" t="e">
        <f>INDEX('Vessel Gauging Data'!$B$26:$V$56,MATCH($C282,'Vessel Gauging Data'!$B$26:$B$56,0),$BD$198)</f>
        <v>#N/A</v>
      </c>
      <c r="BE282" s="662" t="e">
        <f>INDEX('Vessel Gauging Data'!$B$26:$V$56,MATCH($C282,'Vessel Gauging Data'!$B$26:$B$56,0),$BE$198)</f>
        <v>#N/A</v>
      </c>
    </row>
    <row r="283" spans="1:57" hidden="1">
      <c r="A283" s="641" t="str">
        <f t="shared" si="273"/>
        <v>N</v>
      </c>
      <c r="C283" s="235" t="str">
        <f t="shared" si="275"/>
        <v/>
      </c>
      <c r="D283" s="211" t="str">
        <f t="shared" si="275"/>
        <v/>
      </c>
      <c r="E283" s="1016" t="str">
        <f t="shared" si="275"/>
        <v/>
      </c>
      <c r="F283" s="1016" t="str">
        <f t="shared" si="276"/>
        <v/>
      </c>
      <c r="G283" s="1016" t="str">
        <f t="shared" si="277"/>
        <v/>
      </c>
      <c r="H283" s="1016" t="str">
        <f t="shared" si="277"/>
        <v/>
      </c>
      <c r="I283" s="211" t="str">
        <f t="shared" si="278"/>
        <v/>
      </c>
      <c r="J283" s="1016" t="str">
        <f t="shared" si="279"/>
        <v/>
      </c>
      <c r="K283" s="213" t="str">
        <f t="shared" si="280"/>
        <v/>
      </c>
      <c r="L283" s="212" t="str">
        <f t="shared" si="281"/>
        <v/>
      </c>
      <c r="M283" s="1125" t="str">
        <f>IF(OR($C283="",$C283=0),"",INDEX(API2DENST,MATCH($C283,'Vessel Gauging Data'!$B$27:$B$56,0),$AA$1))</f>
        <v/>
      </c>
      <c r="N283" s="212" t="str">
        <f t="shared" si="282"/>
        <v/>
      </c>
      <c r="O283" s="1016" t="str">
        <f t="shared" si="283"/>
        <v/>
      </c>
      <c r="P283" s="1125" t="str">
        <f t="shared" si="284"/>
        <v/>
      </c>
      <c r="Q283" s="1016" t="str">
        <f t="shared" si="285"/>
        <v/>
      </c>
      <c r="R283" s="214" t="str">
        <f t="shared" si="286"/>
        <v/>
      </c>
      <c r="S283" s="1125" t="str">
        <f t="shared" si="287"/>
        <v/>
      </c>
      <c r="T283" s="236" t="str">
        <f t="shared" si="288"/>
        <v/>
      </c>
      <c r="W283" s="642" t="e">
        <f>INDEX('Vessel Gauging Data'!$B$26:$V$56,MATCH($C283,'Vessel Gauging Data'!$B$26:$B$56,0),$W$198)</f>
        <v>#N/A</v>
      </c>
      <c r="X283" s="642" t="e">
        <f>INDEX('Vessel Gauging Data'!$B$26:$V$56,MATCH($C283,'Vessel Gauging Data'!$B$26:$B$56,0),$X$198)</f>
        <v>#N/A</v>
      </c>
      <c r="Y283" s="642" t="e">
        <f>INDEX('Vessel Gauging Data'!$B$26:$V$56,MATCH($C283,'Vessel Gauging Data'!$B$26:$B$56,0),$Y$198)</f>
        <v>#N/A</v>
      </c>
      <c r="Z283" s="642" t="e">
        <f>INDEX('Vessel Gauging Data'!$B$26:$V$56,MATCH($C283,'Vessel Gauging Data'!$B$26:$B$56,0),$Z$198)</f>
        <v>#N/A</v>
      </c>
      <c r="AB283" s="642" t="e">
        <f>INDEX(API2DENST,MATCH($C283,'Vessel Gauging Data'!$B$27:$B$56,0),1)</f>
        <v>#N/A</v>
      </c>
      <c r="AC283" s="642" t="e">
        <f t="shared" si="291"/>
        <v>#N/A</v>
      </c>
      <c r="AE283" s="661" t="e">
        <f t="shared" si="292"/>
        <v>#VALUE!</v>
      </c>
      <c r="AF283" s="661" t="e">
        <f t="shared" si="293"/>
        <v>#VALUE!</v>
      </c>
      <c r="AH283" s="662" t="str">
        <f t="shared" si="289"/>
        <v/>
      </c>
      <c r="AI283" s="662" t="str">
        <f t="shared" si="290"/>
        <v/>
      </c>
      <c r="AJ283" s="663">
        <f t="shared" si="294"/>
        <v>192.4571</v>
      </c>
      <c r="AK283" s="660">
        <f t="shared" si="295"/>
        <v>0.24379999999999999</v>
      </c>
      <c r="AL283" s="660" t="e">
        <f t="shared" si="296"/>
        <v>#VALUE!</v>
      </c>
      <c r="AM283" s="664" t="e">
        <f t="shared" si="297"/>
        <v>#VALUE!</v>
      </c>
      <c r="AN283" s="664" t="e">
        <f t="shared" si="298"/>
        <v>#VALUE!</v>
      </c>
      <c r="AO283" s="665" t="e">
        <f t="shared" si="299"/>
        <v>#VALUE!</v>
      </c>
      <c r="AP283" s="666" t="e">
        <f t="shared" si="300"/>
        <v>#VALUE!</v>
      </c>
      <c r="AQ283" s="660" t="e">
        <f t="shared" si="301"/>
        <v>#VALUE!</v>
      </c>
      <c r="AR283" s="667" t="e">
        <f t="shared" si="302"/>
        <v>#VALUE!</v>
      </c>
      <c r="AS283" s="667" t="e">
        <f t="shared" si="303"/>
        <v>#VALUE!</v>
      </c>
      <c r="AT283" s="668" t="e">
        <f t="shared" si="304"/>
        <v>#VALUE!</v>
      </c>
      <c r="AU283" s="667" t="e">
        <f t="shared" si="305"/>
        <v>#VALUE!</v>
      </c>
      <c r="AV283" s="669" t="e">
        <f t="shared" si="306"/>
        <v>#VALUE!</v>
      </c>
      <c r="AW283" s="667" t="e">
        <f t="shared" si="307"/>
        <v>#VALUE!</v>
      </c>
      <c r="AX283" s="667" t="e">
        <f t="shared" si="308"/>
        <v>#VALUE!</v>
      </c>
      <c r="AY283" s="660" t="e">
        <f t="shared" si="309"/>
        <v>#VALUE!</v>
      </c>
      <c r="AZ283" s="670" t="e">
        <f t="shared" si="310"/>
        <v>#VALUE!</v>
      </c>
      <c r="BB283" s="662" t="e">
        <f>INDEX('Vessel Gauging Data'!$B$26:$V$56,MATCH($C283,'Vessel Gauging Data'!$B$26:$B$56,0),$BB$198)</f>
        <v>#N/A</v>
      </c>
      <c r="BC283" s="662" t="e">
        <f>INDEX('Vessel Gauging Data'!$B$26:$V$56,MATCH($C283,'Vessel Gauging Data'!$B$26:$B$56,0),$BC$198)</f>
        <v>#N/A</v>
      </c>
      <c r="BD283" s="662" t="e">
        <f>INDEX('Vessel Gauging Data'!$B$26:$V$56,MATCH($C283,'Vessel Gauging Data'!$B$26:$B$56,0),$BD$198)</f>
        <v>#N/A</v>
      </c>
      <c r="BE283" s="662" t="e">
        <f>INDEX('Vessel Gauging Data'!$B$26:$V$56,MATCH($C283,'Vessel Gauging Data'!$B$26:$B$56,0),$BE$198)</f>
        <v>#N/A</v>
      </c>
    </row>
    <row r="284" spans="1:57" hidden="1">
      <c r="A284" s="641" t="str">
        <f t="shared" si="273"/>
        <v>N</v>
      </c>
      <c r="C284" s="235" t="str">
        <f t="shared" si="275"/>
        <v/>
      </c>
      <c r="D284" s="211" t="str">
        <f t="shared" si="275"/>
        <v/>
      </c>
      <c r="E284" s="1016" t="str">
        <f t="shared" si="275"/>
        <v/>
      </c>
      <c r="F284" s="1016" t="str">
        <f t="shared" si="276"/>
        <v/>
      </c>
      <c r="G284" s="1016" t="str">
        <f t="shared" si="277"/>
        <v/>
      </c>
      <c r="H284" s="1016" t="str">
        <f t="shared" si="277"/>
        <v/>
      </c>
      <c r="I284" s="211" t="str">
        <f t="shared" si="278"/>
        <v/>
      </c>
      <c r="J284" s="1016" t="str">
        <f t="shared" si="279"/>
        <v/>
      </c>
      <c r="K284" s="213" t="str">
        <f t="shared" si="280"/>
        <v/>
      </c>
      <c r="L284" s="212" t="str">
        <f t="shared" si="281"/>
        <v/>
      </c>
      <c r="M284" s="1125" t="str">
        <f>IF(OR($C284="",$C284=0),"",INDEX(API2DENST,MATCH($C284,'Vessel Gauging Data'!$B$27:$B$56,0),$AA$1))</f>
        <v/>
      </c>
      <c r="N284" s="212" t="str">
        <f t="shared" si="282"/>
        <v/>
      </c>
      <c r="O284" s="1016" t="str">
        <f t="shared" si="283"/>
        <v/>
      </c>
      <c r="P284" s="1125" t="str">
        <f t="shared" si="284"/>
        <v/>
      </c>
      <c r="Q284" s="1016" t="str">
        <f t="shared" si="285"/>
        <v/>
      </c>
      <c r="R284" s="214" t="str">
        <f t="shared" si="286"/>
        <v/>
      </c>
      <c r="S284" s="1125" t="str">
        <f t="shared" si="287"/>
        <v/>
      </c>
      <c r="T284" s="236" t="str">
        <f t="shared" si="288"/>
        <v/>
      </c>
      <c r="W284" s="642" t="e">
        <f>INDEX('Vessel Gauging Data'!$B$26:$V$56,MATCH($C284,'Vessel Gauging Data'!$B$26:$B$56,0),$W$198)</f>
        <v>#N/A</v>
      </c>
      <c r="X284" s="642" t="e">
        <f>INDEX('Vessel Gauging Data'!$B$26:$V$56,MATCH($C284,'Vessel Gauging Data'!$B$26:$B$56,0),$X$198)</f>
        <v>#N/A</v>
      </c>
      <c r="Y284" s="642" t="e">
        <f>INDEX('Vessel Gauging Data'!$B$26:$V$56,MATCH($C284,'Vessel Gauging Data'!$B$26:$B$56,0),$Y$198)</f>
        <v>#N/A</v>
      </c>
      <c r="Z284" s="642" t="e">
        <f>INDEX('Vessel Gauging Data'!$B$26:$V$56,MATCH($C284,'Vessel Gauging Data'!$B$26:$B$56,0),$Z$198)</f>
        <v>#N/A</v>
      </c>
      <c r="AB284" s="642" t="e">
        <f>INDEX(API2DENST,MATCH($C284,'Vessel Gauging Data'!$B$27:$B$56,0),1)</f>
        <v>#N/A</v>
      </c>
      <c r="AC284" s="642" t="e">
        <f t="shared" si="291"/>
        <v>#N/A</v>
      </c>
      <c r="AE284" s="661" t="e">
        <f t="shared" si="292"/>
        <v>#VALUE!</v>
      </c>
      <c r="AF284" s="661" t="e">
        <f t="shared" si="293"/>
        <v>#VALUE!</v>
      </c>
      <c r="AH284" s="662" t="str">
        <f t="shared" si="289"/>
        <v/>
      </c>
      <c r="AI284" s="662" t="str">
        <f t="shared" si="290"/>
        <v/>
      </c>
      <c r="AJ284" s="663">
        <f t="shared" si="294"/>
        <v>192.4571</v>
      </c>
      <c r="AK284" s="660">
        <f t="shared" si="295"/>
        <v>0.24379999999999999</v>
      </c>
      <c r="AL284" s="660" t="e">
        <f t="shared" si="296"/>
        <v>#VALUE!</v>
      </c>
      <c r="AM284" s="664" t="e">
        <f t="shared" si="297"/>
        <v>#VALUE!</v>
      </c>
      <c r="AN284" s="664" t="e">
        <f t="shared" si="298"/>
        <v>#VALUE!</v>
      </c>
      <c r="AO284" s="665" t="e">
        <f t="shared" si="299"/>
        <v>#VALUE!</v>
      </c>
      <c r="AP284" s="666" t="e">
        <f t="shared" si="300"/>
        <v>#VALUE!</v>
      </c>
      <c r="AQ284" s="660" t="e">
        <f t="shared" si="301"/>
        <v>#VALUE!</v>
      </c>
      <c r="AR284" s="667" t="e">
        <f t="shared" si="302"/>
        <v>#VALUE!</v>
      </c>
      <c r="AS284" s="667" t="e">
        <f t="shared" si="303"/>
        <v>#VALUE!</v>
      </c>
      <c r="AT284" s="668" t="e">
        <f t="shared" si="304"/>
        <v>#VALUE!</v>
      </c>
      <c r="AU284" s="667" t="e">
        <f t="shared" si="305"/>
        <v>#VALUE!</v>
      </c>
      <c r="AV284" s="669" t="e">
        <f t="shared" si="306"/>
        <v>#VALUE!</v>
      </c>
      <c r="AW284" s="667" t="e">
        <f t="shared" si="307"/>
        <v>#VALUE!</v>
      </c>
      <c r="AX284" s="667" t="e">
        <f t="shared" si="308"/>
        <v>#VALUE!</v>
      </c>
      <c r="AY284" s="660" t="e">
        <f t="shared" si="309"/>
        <v>#VALUE!</v>
      </c>
      <c r="AZ284" s="670" t="e">
        <f t="shared" si="310"/>
        <v>#VALUE!</v>
      </c>
      <c r="BB284" s="662" t="e">
        <f>INDEX('Vessel Gauging Data'!$B$26:$V$56,MATCH($C284,'Vessel Gauging Data'!$B$26:$B$56,0),$BB$198)</f>
        <v>#N/A</v>
      </c>
      <c r="BC284" s="662" t="e">
        <f>INDEX('Vessel Gauging Data'!$B$26:$V$56,MATCH($C284,'Vessel Gauging Data'!$B$26:$B$56,0),$BC$198)</f>
        <v>#N/A</v>
      </c>
      <c r="BD284" s="662" t="e">
        <f>INDEX('Vessel Gauging Data'!$B$26:$V$56,MATCH($C284,'Vessel Gauging Data'!$B$26:$B$56,0),$BD$198)</f>
        <v>#N/A</v>
      </c>
      <c r="BE284" s="662" t="e">
        <f>INDEX('Vessel Gauging Data'!$B$26:$V$56,MATCH($C284,'Vessel Gauging Data'!$B$26:$B$56,0),$BE$198)</f>
        <v>#N/A</v>
      </c>
    </row>
    <row r="285" spans="1:57" hidden="1">
      <c r="A285" s="641" t="str">
        <f t="shared" si="273"/>
        <v>N</v>
      </c>
      <c r="C285" s="235" t="str">
        <f t="shared" si="275"/>
        <v/>
      </c>
      <c r="D285" s="211" t="str">
        <f t="shared" si="275"/>
        <v/>
      </c>
      <c r="E285" s="1016" t="str">
        <f t="shared" si="275"/>
        <v/>
      </c>
      <c r="F285" s="1016" t="str">
        <f t="shared" si="276"/>
        <v/>
      </c>
      <c r="G285" s="1016" t="str">
        <f t="shared" si="277"/>
        <v/>
      </c>
      <c r="H285" s="1016" t="str">
        <f t="shared" si="277"/>
        <v/>
      </c>
      <c r="I285" s="211" t="str">
        <f t="shared" si="278"/>
        <v/>
      </c>
      <c r="J285" s="1016" t="str">
        <f t="shared" si="279"/>
        <v/>
      </c>
      <c r="K285" s="213" t="str">
        <f t="shared" si="280"/>
        <v/>
      </c>
      <c r="L285" s="212" t="str">
        <f t="shared" si="281"/>
        <v/>
      </c>
      <c r="M285" s="1125" t="str">
        <f>IF(OR($C285="",$C285=0),"",INDEX(API2DENST,MATCH($C285,'Vessel Gauging Data'!$B$27:$B$56,0),$AA$1))</f>
        <v/>
      </c>
      <c r="N285" s="212" t="str">
        <f t="shared" si="282"/>
        <v/>
      </c>
      <c r="O285" s="1016" t="str">
        <f t="shared" si="283"/>
        <v/>
      </c>
      <c r="P285" s="1125" t="str">
        <f t="shared" si="284"/>
        <v/>
      </c>
      <c r="Q285" s="1016" t="str">
        <f t="shared" si="285"/>
        <v/>
      </c>
      <c r="R285" s="214" t="str">
        <f t="shared" si="286"/>
        <v/>
      </c>
      <c r="S285" s="1125" t="str">
        <f t="shared" si="287"/>
        <v/>
      </c>
      <c r="T285" s="236" t="str">
        <f t="shared" si="288"/>
        <v/>
      </c>
      <c r="W285" s="642" t="e">
        <f>INDEX('Vessel Gauging Data'!$B$26:$V$56,MATCH($C285,'Vessel Gauging Data'!$B$26:$B$56,0),$W$198)</f>
        <v>#N/A</v>
      </c>
      <c r="X285" s="642" t="e">
        <f>INDEX('Vessel Gauging Data'!$B$26:$V$56,MATCH($C285,'Vessel Gauging Data'!$B$26:$B$56,0),$X$198)</f>
        <v>#N/A</v>
      </c>
      <c r="Y285" s="642" t="e">
        <f>INDEX('Vessel Gauging Data'!$B$26:$V$56,MATCH($C285,'Vessel Gauging Data'!$B$26:$B$56,0),$Y$198)</f>
        <v>#N/A</v>
      </c>
      <c r="Z285" s="642" t="e">
        <f>INDEX('Vessel Gauging Data'!$B$26:$V$56,MATCH($C285,'Vessel Gauging Data'!$B$26:$B$56,0),$Z$198)</f>
        <v>#N/A</v>
      </c>
      <c r="AB285" s="642" t="e">
        <f>INDEX(API2DENST,MATCH($C285,'Vessel Gauging Data'!$B$27:$B$56,0),1)</f>
        <v>#N/A</v>
      </c>
      <c r="AC285" s="642" t="e">
        <f t="shared" si="291"/>
        <v>#N/A</v>
      </c>
      <c r="AE285" s="661" t="e">
        <f t="shared" si="292"/>
        <v>#VALUE!</v>
      </c>
      <c r="AF285" s="661" t="e">
        <f t="shared" si="293"/>
        <v>#VALUE!</v>
      </c>
      <c r="AH285" s="662" t="str">
        <f t="shared" si="289"/>
        <v/>
      </c>
      <c r="AI285" s="662" t="str">
        <f t="shared" si="290"/>
        <v/>
      </c>
      <c r="AJ285" s="663">
        <f t="shared" si="294"/>
        <v>192.4571</v>
      </c>
      <c r="AK285" s="660">
        <f t="shared" si="295"/>
        <v>0.24379999999999999</v>
      </c>
      <c r="AL285" s="660" t="e">
        <f t="shared" si="296"/>
        <v>#VALUE!</v>
      </c>
      <c r="AM285" s="664" t="e">
        <f t="shared" si="297"/>
        <v>#VALUE!</v>
      </c>
      <c r="AN285" s="664" t="e">
        <f t="shared" si="298"/>
        <v>#VALUE!</v>
      </c>
      <c r="AO285" s="665" t="e">
        <f t="shared" si="299"/>
        <v>#VALUE!</v>
      </c>
      <c r="AP285" s="666" t="e">
        <f t="shared" si="300"/>
        <v>#VALUE!</v>
      </c>
      <c r="AQ285" s="660" t="e">
        <f t="shared" si="301"/>
        <v>#VALUE!</v>
      </c>
      <c r="AR285" s="667" t="e">
        <f t="shared" si="302"/>
        <v>#VALUE!</v>
      </c>
      <c r="AS285" s="667" t="e">
        <f t="shared" si="303"/>
        <v>#VALUE!</v>
      </c>
      <c r="AT285" s="668" t="e">
        <f t="shared" si="304"/>
        <v>#VALUE!</v>
      </c>
      <c r="AU285" s="667" t="e">
        <f t="shared" si="305"/>
        <v>#VALUE!</v>
      </c>
      <c r="AV285" s="669" t="e">
        <f t="shared" si="306"/>
        <v>#VALUE!</v>
      </c>
      <c r="AW285" s="667" t="e">
        <f t="shared" si="307"/>
        <v>#VALUE!</v>
      </c>
      <c r="AX285" s="667" t="e">
        <f t="shared" si="308"/>
        <v>#VALUE!</v>
      </c>
      <c r="AY285" s="660" t="e">
        <f t="shared" si="309"/>
        <v>#VALUE!</v>
      </c>
      <c r="AZ285" s="670" t="e">
        <f t="shared" si="310"/>
        <v>#VALUE!</v>
      </c>
      <c r="BB285" s="662" t="e">
        <f>INDEX('Vessel Gauging Data'!$B$26:$V$56,MATCH($C285,'Vessel Gauging Data'!$B$26:$B$56,0),$BB$198)</f>
        <v>#N/A</v>
      </c>
      <c r="BC285" s="662" t="e">
        <f>INDEX('Vessel Gauging Data'!$B$26:$V$56,MATCH($C285,'Vessel Gauging Data'!$B$26:$B$56,0),$BC$198)</f>
        <v>#N/A</v>
      </c>
      <c r="BD285" s="662" t="e">
        <f>INDEX('Vessel Gauging Data'!$B$26:$V$56,MATCH($C285,'Vessel Gauging Data'!$B$26:$B$56,0),$BD$198)</f>
        <v>#N/A</v>
      </c>
      <c r="BE285" s="662" t="e">
        <f>INDEX('Vessel Gauging Data'!$B$26:$V$56,MATCH($C285,'Vessel Gauging Data'!$B$26:$B$56,0),$BE$198)</f>
        <v>#N/A</v>
      </c>
    </row>
    <row r="286" spans="1:57" hidden="1">
      <c r="A286" s="641" t="str">
        <f t="shared" si="273"/>
        <v>N</v>
      </c>
      <c r="C286" s="235" t="str">
        <f t="shared" si="275"/>
        <v/>
      </c>
      <c r="D286" s="211" t="str">
        <f t="shared" si="275"/>
        <v/>
      </c>
      <c r="E286" s="1016" t="str">
        <f t="shared" si="275"/>
        <v/>
      </c>
      <c r="F286" s="1016" t="str">
        <f t="shared" si="276"/>
        <v/>
      </c>
      <c r="G286" s="1016" t="str">
        <f t="shared" si="277"/>
        <v/>
      </c>
      <c r="H286" s="1016" t="str">
        <f t="shared" si="277"/>
        <v/>
      </c>
      <c r="I286" s="211" t="str">
        <f t="shared" si="278"/>
        <v/>
      </c>
      <c r="J286" s="1016" t="str">
        <f t="shared" si="279"/>
        <v/>
      </c>
      <c r="K286" s="213" t="str">
        <f t="shared" si="280"/>
        <v/>
      </c>
      <c r="L286" s="212" t="str">
        <f t="shared" si="281"/>
        <v/>
      </c>
      <c r="M286" s="1125" t="str">
        <f>IF(OR($C286="",$C286=0),"",INDEX(API2DENST,MATCH($C286,'Vessel Gauging Data'!$B$27:$B$56,0),$AA$1))</f>
        <v/>
      </c>
      <c r="N286" s="212" t="str">
        <f t="shared" si="282"/>
        <v/>
      </c>
      <c r="O286" s="1016" t="str">
        <f t="shared" si="283"/>
        <v/>
      </c>
      <c r="P286" s="1125" t="str">
        <f t="shared" si="284"/>
        <v/>
      </c>
      <c r="Q286" s="1016" t="str">
        <f t="shared" si="285"/>
        <v/>
      </c>
      <c r="R286" s="214" t="str">
        <f t="shared" si="286"/>
        <v/>
      </c>
      <c r="S286" s="1125" t="str">
        <f t="shared" si="287"/>
        <v/>
      </c>
      <c r="T286" s="236" t="str">
        <f t="shared" si="288"/>
        <v/>
      </c>
      <c r="W286" s="642" t="e">
        <f>INDEX('Vessel Gauging Data'!$B$26:$V$56,MATCH($C286,'Vessel Gauging Data'!$B$26:$B$56,0),$W$198)</f>
        <v>#N/A</v>
      </c>
      <c r="X286" s="642" t="e">
        <f>INDEX('Vessel Gauging Data'!$B$26:$V$56,MATCH($C286,'Vessel Gauging Data'!$B$26:$B$56,0),$X$198)</f>
        <v>#N/A</v>
      </c>
      <c r="Y286" s="642" t="e">
        <f>INDEX('Vessel Gauging Data'!$B$26:$V$56,MATCH($C286,'Vessel Gauging Data'!$B$26:$B$56,0),$Y$198)</f>
        <v>#N/A</v>
      </c>
      <c r="Z286" s="642" t="e">
        <f>INDEX('Vessel Gauging Data'!$B$26:$V$56,MATCH($C286,'Vessel Gauging Data'!$B$26:$B$56,0),$Z$198)</f>
        <v>#N/A</v>
      </c>
      <c r="AB286" s="642" t="e">
        <f>INDEX(API2DENST,MATCH($C286,'Vessel Gauging Data'!$B$27:$B$56,0),1)</f>
        <v>#N/A</v>
      </c>
      <c r="AC286" s="642" t="e">
        <f t="shared" si="291"/>
        <v>#N/A</v>
      </c>
      <c r="AE286" s="661" t="e">
        <f t="shared" si="292"/>
        <v>#VALUE!</v>
      </c>
      <c r="AF286" s="661" t="e">
        <f t="shared" si="293"/>
        <v>#VALUE!</v>
      </c>
      <c r="AH286" s="662" t="str">
        <f t="shared" si="289"/>
        <v/>
      </c>
      <c r="AI286" s="662" t="str">
        <f t="shared" si="290"/>
        <v/>
      </c>
      <c r="AJ286" s="663">
        <f t="shared" si="294"/>
        <v>192.4571</v>
      </c>
      <c r="AK286" s="660">
        <f t="shared" si="295"/>
        <v>0.24379999999999999</v>
      </c>
      <c r="AL286" s="660" t="e">
        <f t="shared" si="296"/>
        <v>#VALUE!</v>
      </c>
      <c r="AM286" s="664" t="e">
        <f t="shared" si="297"/>
        <v>#VALUE!</v>
      </c>
      <c r="AN286" s="664" t="e">
        <f t="shared" si="298"/>
        <v>#VALUE!</v>
      </c>
      <c r="AO286" s="665" t="e">
        <f t="shared" si="299"/>
        <v>#VALUE!</v>
      </c>
      <c r="AP286" s="666" t="e">
        <f t="shared" si="300"/>
        <v>#VALUE!</v>
      </c>
      <c r="AQ286" s="660" t="e">
        <f t="shared" si="301"/>
        <v>#VALUE!</v>
      </c>
      <c r="AR286" s="667" t="e">
        <f t="shared" si="302"/>
        <v>#VALUE!</v>
      </c>
      <c r="AS286" s="667" t="e">
        <f t="shared" si="303"/>
        <v>#VALUE!</v>
      </c>
      <c r="AT286" s="668" t="e">
        <f t="shared" si="304"/>
        <v>#VALUE!</v>
      </c>
      <c r="AU286" s="667" t="e">
        <f t="shared" si="305"/>
        <v>#VALUE!</v>
      </c>
      <c r="AV286" s="669" t="e">
        <f t="shared" si="306"/>
        <v>#VALUE!</v>
      </c>
      <c r="AW286" s="667" t="e">
        <f t="shared" si="307"/>
        <v>#VALUE!</v>
      </c>
      <c r="AX286" s="667" t="e">
        <f t="shared" si="308"/>
        <v>#VALUE!</v>
      </c>
      <c r="AY286" s="660" t="e">
        <f t="shared" si="309"/>
        <v>#VALUE!</v>
      </c>
      <c r="AZ286" s="670" t="e">
        <f t="shared" si="310"/>
        <v>#VALUE!</v>
      </c>
      <c r="BB286" s="662" t="e">
        <f>INDEX('Vessel Gauging Data'!$B$26:$V$56,MATCH($C286,'Vessel Gauging Data'!$B$26:$B$56,0),$BB$198)</f>
        <v>#N/A</v>
      </c>
      <c r="BC286" s="662" t="e">
        <f>INDEX('Vessel Gauging Data'!$B$26:$V$56,MATCH($C286,'Vessel Gauging Data'!$B$26:$B$56,0),$BC$198)</f>
        <v>#N/A</v>
      </c>
      <c r="BD286" s="662" t="e">
        <f>INDEX('Vessel Gauging Data'!$B$26:$V$56,MATCH($C286,'Vessel Gauging Data'!$B$26:$B$56,0),$BD$198)</f>
        <v>#N/A</v>
      </c>
      <c r="BE286" s="662" t="e">
        <f>INDEX('Vessel Gauging Data'!$B$26:$V$56,MATCH($C286,'Vessel Gauging Data'!$B$26:$B$56,0),$BE$198)</f>
        <v>#N/A</v>
      </c>
    </row>
    <row r="287" spans="1:57" hidden="1">
      <c r="A287" s="641" t="str">
        <f t="shared" si="273"/>
        <v>N</v>
      </c>
      <c r="C287" s="237" t="str">
        <f t="shared" si="275"/>
        <v/>
      </c>
      <c r="D287" s="238" t="str">
        <f t="shared" si="275"/>
        <v/>
      </c>
      <c r="E287" s="1017" t="str">
        <f t="shared" si="275"/>
        <v/>
      </c>
      <c r="F287" s="1017" t="str">
        <f t="shared" si="276"/>
        <v/>
      </c>
      <c r="G287" s="1017" t="str">
        <f t="shared" si="277"/>
        <v/>
      </c>
      <c r="H287" s="1017" t="str">
        <f t="shared" si="277"/>
        <v/>
      </c>
      <c r="I287" s="238" t="str">
        <f t="shared" si="278"/>
        <v/>
      </c>
      <c r="J287" s="1017" t="str">
        <f t="shared" si="279"/>
        <v/>
      </c>
      <c r="K287" s="240" t="str">
        <f t="shared" si="280"/>
        <v/>
      </c>
      <c r="L287" s="239" t="str">
        <f t="shared" si="281"/>
        <v/>
      </c>
      <c r="M287" s="1126" t="str">
        <f>IF(OR($C287="",$C287=0),"",INDEX(API2DENST,MATCH($C287,'Vessel Gauging Data'!$B$27:$B$56,0),$AA$1))</f>
        <v/>
      </c>
      <c r="N287" s="239" t="str">
        <f t="shared" si="282"/>
        <v/>
      </c>
      <c r="O287" s="1017" t="str">
        <f t="shared" si="283"/>
        <v/>
      </c>
      <c r="P287" s="1126" t="str">
        <f t="shared" si="284"/>
        <v/>
      </c>
      <c r="Q287" s="1017" t="str">
        <f t="shared" si="285"/>
        <v/>
      </c>
      <c r="R287" s="241" t="str">
        <f t="shared" si="286"/>
        <v/>
      </c>
      <c r="S287" s="1126" t="str">
        <f t="shared" si="287"/>
        <v/>
      </c>
      <c r="T287" s="242" t="str">
        <f t="shared" si="288"/>
        <v/>
      </c>
      <c r="W287" s="642" t="e">
        <f>INDEX('Vessel Gauging Data'!$B$26:$V$56,MATCH($C287,'Vessel Gauging Data'!$B$26:$B$56,0),$W$198)</f>
        <v>#N/A</v>
      </c>
      <c r="X287" s="642" t="e">
        <f>INDEX('Vessel Gauging Data'!$B$26:$V$56,MATCH($C287,'Vessel Gauging Data'!$B$26:$B$56,0),$X$198)</f>
        <v>#N/A</v>
      </c>
      <c r="Y287" s="642" t="e">
        <f>INDEX('Vessel Gauging Data'!$B$26:$V$56,MATCH($C287,'Vessel Gauging Data'!$B$26:$B$56,0),$Y$198)</f>
        <v>#N/A</v>
      </c>
      <c r="Z287" s="642" t="e">
        <f>INDEX('Vessel Gauging Data'!$B$26:$V$56,MATCH($C287,'Vessel Gauging Data'!$B$26:$B$56,0),$Z$198)</f>
        <v>#N/A</v>
      </c>
      <c r="AB287" s="642" t="e">
        <f>INDEX(API2DENST,MATCH($C287,'Vessel Gauging Data'!$B$27:$B$56,0),1)</f>
        <v>#N/A</v>
      </c>
      <c r="AC287" s="642" t="e">
        <f t="shared" si="291"/>
        <v>#N/A</v>
      </c>
      <c r="AE287" s="661" t="e">
        <f t="shared" si="292"/>
        <v>#VALUE!</v>
      </c>
      <c r="AF287" s="661" t="e">
        <f t="shared" si="293"/>
        <v>#VALUE!</v>
      </c>
      <c r="AH287" s="662" t="str">
        <f t="shared" si="289"/>
        <v/>
      </c>
      <c r="AI287" s="662" t="str">
        <f t="shared" si="290"/>
        <v/>
      </c>
      <c r="AJ287" s="663">
        <f t="shared" si="294"/>
        <v>192.4571</v>
      </c>
      <c r="AK287" s="660">
        <f t="shared" si="295"/>
        <v>0.24379999999999999</v>
      </c>
      <c r="AL287" s="660" t="e">
        <f t="shared" si="296"/>
        <v>#VALUE!</v>
      </c>
      <c r="AM287" s="664" t="e">
        <f t="shared" si="297"/>
        <v>#VALUE!</v>
      </c>
      <c r="AN287" s="664" t="e">
        <f t="shared" si="298"/>
        <v>#VALUE!</v>
      </c>
      <c r="AO287" s="665" t="e">
        <f t="shared" si="299"/>
        <v>#VALUE!</v>
      </c>
      <c r="AP287" s="666" t="e">
        <f t="shared" si="300"/>
        <v>#VALUE!</v>
      </c>
      <c r="AQ287" s="660" t="e">
        <f t="shared" si="301"/>
        <v>#VALUE!</v>
      </c>
      <c r="AR287" s="667" t="e">
        <f t="shared" si="302"/>
        <v>#VALUE!</v>
      </c>
      <c r="AS287" s="667" t="e">
        <f t="shared" si="303"/>
        <v>#VALUE!</v>
      </c>
      <c r="AT287" s="668" t="e">
        <f t="shared" si="304"/>
        <v>#VALUE!</v>
      </c>
      <c r="AU287" s="667" t="e">
        <f t="shared" si="305"/>
        <v>#VALUE!</v>
      </c>
      <c r="AV287" s="669" t="e">
        <f t="shared" si="306"/>
        <v>#VALUE!</v>
      </c>
      <c r="AW287" s="667" t="e">
        <f t="shared" si="307"/>
        <v>#VALUE!</v>
      </c>
      <c r="AX287" s="667" t="e">
        <f t="shared" si="308"/>
        <v>#VALUE!</v>
      </c>
      <c r="AY287" s="660" t="e">
        <f t="shared" si="309"/>
        <v>#VALUE!</v>
      </c>
      <c r="AZ287" s="670" t="e">
        <f t="shared" si="310"/>
        <v>#VALUE!</v>
      </c>
      <c r="BB287" s="662" t="e">
        <f>INDEX('Vessel Gauging Data'!$B$26:$V$56,MATCH($C287,'Vessel Gauging Data'!$B$26:$B$56,0),$BB$198)</f>
        <v>#N/A</v>
      </c>
      <c r="BC287" s="662" t="e">
        <f>INDEX('Vessel Gauging Data'!$B$26:$V$56,MATCH($C287,'Vessel Gauging Data'!$B$26:$B$56,0),$BC$198)</f>
        <v>#N/A</v>
      </c>
      <c r="BD287" s="662" t="e">
        <f>INDEX('Vessel Gauging Data'!$B$26:$V$56,MATCH($C287,'Vessel Gauging Data'!$B$26:$B$56,0),$BD$198)</f>
        <v>#N/A</v>
      </c>
      <c r="BE287" s="662" t="e">
        <f>INDEX('Vessel Gauging Data'!$B$26:$V$56,MATCH($C287,'Vessel Gauging Data'!$B$26:$B$56,0),$BE$198)</f>
        <v>#N/A</v>
      </c>
    </row>
    <row r="288" spans="1:57" hidden="1">
      <c r="A288" s="641" t="str">
        <f t="shared" si="273"/>
        <v>N</v>
      </c>
      <c r="C288" s="671"/>
      <c r="D288" s="671"/>
      <c r="E288" s="672"/>
      <c r="F288" s="672"/>
      <c r="G288" s="672"/>
      <c r="H288" s="1501"/>
      <c r="I288" s="671"/>
      <c r="J288" s="672"/>
      <c r="K288" s="673"/>
      <c r="L288" s="672"/>
      <c r="M288" s="674"/>
      <c r="N288" s="672"/>
      <c r="O288" s="672"/>
      <c r="P288" s="1127"/>
      <c r="Q288" s="672"/>
      <c r="R288" s="675"/>
      <c r="S288" s="1137" t="s">
        <v>401</v>
      </c>
      <c r="T288" s="619">
        <f>SUM(T268:T287)</f>
        <v>0</v>
      </c>
      <c r="V288" s="676"/>
      <c r="W288" s="719"/>
      <c r="X288" s="719"/>
      <c r="Y288" s="719"/>
      <c r="Z288" s="719"/>
      <c r="AA288" s="676"/>
      <c r="AB288" s="719"/>
      <c r="AC288" s="719"/>
      <c r="AD288" s="676"/>
      <c r="AE288" s="720"/>
      <c r="AF288" s="720"/>
      <c r="AG288" s="676"/>
      <c r="AH288" s="721"/>
      <c r="AI288" s="721"/>
      <c r="AJ288" s="722"/>
      <c r="AK288" s="723"/>
      <c r="AL288" s="723"/>
      <c r="AM288" s="724"/>
      <c r="AN288" s="724"/>
      <c r="AO288" s="725"/>
      <c r="AP288" s="726"/>
      <c r="AQ288" s="723"/>
      <c r="AR288" s="727"/>
      <c r="AS288" s="727"/>
      <c r="AT288" s="728"/>
      <c r="AU288" s="727"/>
      <c r="AV288" s="729"/>
      <c r="AW288" s="727"/>
      <c r="AX288" s="727"/>
      <c r="AY288" s="723"/>
      <c r="AZ288" s="730"/>
      <c r="BA288" s="676"/>
      <c r="BB288" s="721"/>
      <c r="BC288" s="721"/>
      <c r="BD288" s="721"/>
      <c r="BE288" s="721"/>
    </row>
    <row r="289" spans="1:57" s="702" customFormat="1" ht="5.25" hidden="1">
      <c r="A289" s="702" t="str">
        <f t="shared" si="273"/>
        <v>N</v>
      </c>
      <c r="C289" s="704"/>
      <c r="D289" s="704"/>
      <c r="E289" s="704"/>
      <c r="F289" s="704"/>
      <c r="G289" s="704"/>
      <c r="H289" s="704"/>
      <c r="I289" s="704"/>
      <c r="J289" s="705"/>
      <c r="K289" s="705"/>
      <c r="L289" s="705"/>
      <c r="M289" s="705"/>
      <c r="N289" s="705"/>
      <c r="O289" s="705"/>
      <c r="P289" s="1128"/>
      <c r="Q289" s="705"/>
      <c r="R289" s="705"/>
      <c r="S289" s="1136"/>
      <c r="T289" s="706"/>
      <c r="V289" s="707"/>
      <c r="W289" s="707"/>
      <c r="X289" s="707"/>
      <c r="Y289" s="707"/>
      <c r="Z289" s="707"/>
      <c r="AA289" s="707"/>
      <c r="AB289" s="707"/>
      <c r="AC289" s="707"/>
      <c r="AD289" s="707"/>
      <c r="AE289" s="708"/>
      <c r="AF289" s="708"/>
      <c r="AG289" s="707"/>
      <c r="AH289" s="709"/>
      <c r="AI289" s="709"/>
      <c r="AJ289" s="710"/>
      <c r="AK289" s="711"/>
      <c r="AL289" s="711"/>
      <c r="AM289" s="712"/>
      <c r="AN289" s="712"/>
      <c r="AO289" s="713"/>
      <c r="AP289" s="714"/>
      <c r="AQ289" s="711"/>
      <c r="AR289" s="715"/>
      <c r="AS289" s="715"/>
      <c r="AT289" s="716"/>
      <c r="AU289" s="715"/>
      <c r="AV289" s="717"/>
      <c r="AW289" s="715"/>
      <c r="AX289" s="715"/>
      <c r="AY289" s="711"/>
      <c r="AZ289" s="718"/>
      <c r="BA289" s="707"/>
      <c r="BB289" s="709"/>
      <c r="BC289" s="709"/>
      <c r="BD289" s="709"/>
      <c r="BE289" s="709"/>
    </row>
    <row r="290" spans="1:57" ht="15.75" hidden="1">
      <c r="A290" s="641" t="str">
        <f t="shared" si="273"/>
        <v>N</v>
      </c>
      <c r="B290" s="641">
        <v>5</v>
      </c>
      <c r="C290" s="2797" t="s">
        <v>163</v>
      </c>
      <c r="D290" s="2798"/>
      <c r="E290" s="2799" t="str">
        <f t="shared" ref="E290:E310" si="311">E113</f>
        <v>MGO</v>
      </c>
      <c r="F290" s="2800"/>
      <c r="G290" s="2800"/>
      <c r="H290" s="2800"/>
      <c r="I290" s="2801"/>
      <c r="J290" s="698"/>
      <c r="K290" s="699"/>
      <c r="L290" s="700"/>
      <c r="M290" s="699"/>
      <c r="N290" s="699"/>
      <c r="O290" s="700"/>
      <c r="P290" s="1129"/>
      <c r="Q290" s="700"/>
      <c r="R290" s="701"/>
      <c r="S290" s="1129"/>
      <c r="T290" s="701"/>
      <c r="V290" s="676"/>
      <c r="W290" s="731"/>
      <c r="X290" s="731"/>
      <c r="Y290" s="731"/>
      <c r="Z290" s="731"/>
      <c r="AA290" s="676"/>
      <c r="AB290" s="731"/>
      <c r="AC290" s="731"/>
      <c r="AD290" s="676"/>
      <c r="AE290" s="732"/>
      <c r="AF290" s="732"/>
      <c r="AG290" s="676"/>
      <c r="AH290" s="733"/>
      <c r="AI290" s="733"/>
      <c r="AJ290" s="734"/>
      <c r="AK290" s="735"/>
      <c r="AL290" s="735"/>
      <c r="AM290" s="736"/>
      <c r="AN290" s="736"/>
      <c r="AO290" s="737"/>
      <c r="AP290" s="738"/>
      <c r="AQ290" s="735"/>
      <c r="AR290" s="739"/>
      <c r="AS290" s="739"/>
      <c r="AT290" s="740"/>
      <c r="AU290" s="739"/>
      <c r="AV290" s="741"/>
      <c r="AW290" s="739"/>
      <c r="AX290" s="739"/>
      <c r="AY290" s="735"/>
      <c r="AZ290" s="742"/>
      <c r="BA290" s="676"/>
      <c r="BB290" s="733"/>
      <c r="BC290" s="733"/>
      <c r="BD290" s="733"/>
      <c r="BE290" s="733"/>
    </row>
    <row r="291" spans="1:57" hidden="1">
      <c r="A291" s="641" t="str">
        <f t="shared" si="273"/>
        <v>N</v>
      </c>
      <c r="C291" s="622" t="str">
        <f t="shared" ref="C291:D310" si="312">C114</f>
        <v/>
      </c>
      <c r="D291" s="623" t="str">
        <f t="shared" si="312"/>
        <v/>
      </c>
      <c r="E291" s="1018" t="str">
        <f t="shared" si="311"/>
        <v/>
      </c>
      <c r="F291" s="1018" t="str">
        <f t="shared" ref="F291:F310" si="313">IF(ISERROR(W291),"",IF(OR($C291="",$C291=0),"",IF(ISTEXT(W291),W291,IF($AB$1=1,W291*UNITOR_1,INT(W291*UNITOR_1)&amp;"'-"&amp;TRIM(TEXT(ROUND(MOD(W291*UNITOR_1,1)*12,1),"# ???/???"))&amp;""""))))</f>
        <v/>
      </c>
      <c r="G291" s="1018" t="str">
        <f t="shared" ref="G291:H310" si="314">IF(ISERROR(X291),"",IF(OR($C291="",$C291=0),"",IF(ISTEXT(X291),X291,IF($AB$1=1,X291*UNITOR_1,INT(X291*UNITOR_1)&amp;"'-"&amp;TRIM(TEXT(ROUND(MOD(X291*UNITOR_1,1)*12,1),"# ???/???"))&amp;""""))))</f>
        <v/>
      </c>
      <c r="H291" s="1018" t="str">
        <f t="shared" si="314"/>
        <v/>
      </c>
      <c r="I291" s="623" t="str">
        <f t="shared" ref="I291:I310" si="315">IF(ISERROR($BB291),"",IF(OR($C291="",$C291=0,$BB291=0),"",$BB291))</f>
        <v/>
      </c>
      <c r="J291" s="1018" t="str">
        <f t="shared" ref="J291:J310" si="316">IF(ISERROR($BC291),"",IF(OR($C291="",$C291=0,$BC291=""),"",IF(ISTEXT($BC291),$BC291,$BC291*IF($AA$1=B1SEL,1,IF($AA$1=2,FBBLS,1/FBBLS)))))</f>
        <v/>
      </c>
      <c r="K291" s="625" t="str">
        <f t="shared" ref="K291:K310" si="317">IF(ISERROR($BD291),"",IF(OR($C291="",$C291=0,$BD291=""),0,IF(ISTEXT($BD291),$BD291,$BD291*IF($AB$1=W1SEL,1,IF($AB$1=2,FINCH,1/FINCH)))))</f>
        <v/>
      </c>
      <c r="L291" s="624" t="str">
        <f t="shared" ref="L291:L310" si="318">IF(ISERROR($BE291),"",IF(OR($C291="",$C291=0,$BE291=""),0,IF(ISTEXT($BE291),$BE291,$BE291*IF($AA$1=B1SEL,1,IF($AA$1=2,FBBLS,1/FBBLS)))))</f>
        <v/>
      </c>
      <c r="M291" s="1124" t="str">
        <f>IF(OR($C291="",$C291=0),"",INDEX(API2DENST,MATCH($C291,'Vessel Gauging Data'!$B$27:$B$56,0),$AA$1))</f>
        <v/>
      </c>
      <c r="N291" s="624" t="str">
        <f t="shared" ref="N291:N310" si="319">IF(ISERROR(Z291),"",IF(OR($C291="",$C291=0,Z291=""),"",IF(ISTEXT(Z291),Z291,IF($AA$1=T1SEL,Z291,IF($AA$1=2,(Z291*9/5)+32,(Z291-32)*5/9)))))</f>
        <v/>
      </c>
      <c r="O291" s="1018" t="str">
        <f t="shared" ref="O291:O310" si="320">IF(OR(J291="",L291=""),"",IF(ISTEXT(J291),"N/A",IF(ISTEXT(L291),J291,J291-L291)))</f>
        <v/>
      </c>
      <c r="P291" s="1124" t="str">
        <f t="shared" ref="P291:P310" si="321">IF(OR(M291="",N291=""),"",IF(OR(ISTEXT(M291),ISTEXT(N291)),"N/A",IF($AA$1=1,ROUND(EXP(-AF291*(N291-15)*(1+0.8*AF291*(N291-15))),5),AZ291)))</f>
        <v/>
      </c>
      <c r="Q291" s="1018" t="str">
        <f t="shared" ref="Q291:Q310" si="322">IF(OR(M291="",N291=""),"",IF(OR(ISTEXT(M291),ISTEXT(N291)),"N/A",ROUND(O291*P291,3)))</f>
        <v/>
      </c>
      <c r="R291" s="626" t="str">
        <f t="shared" ref="R291:R310" si="323">IF(M291="","",IF($AA$1=1,IF(ISTEXT(Q291),"N/A",ROUND(Q291*M291,3)),IF(ISTEXT(T291),"N/A",ROUND(T291*AC291,3))))</f>
        <v/>
      </c>
      <c r="S291" s="1124" t="str">
        <f t="shared" ref="S291:S310" si="324">IF(M291="","",IF($AA$1=1,ROUND(M291-0.0011,5),ROUND((1.00122697*(141.5/(M291+131.5))-1.22269727*10^-3)*8.32823*42/2204.62,5+2)))</f>
        <v/>
      </c>
      <c r="T291" s="627" t="str">
        <f t="shared" ref="T291:T310" si="325">IF(OR(M291="",N291=""),"",IF(ISTEXT(Q291),"N/A",IF($AA$1=1,ROUND((Q291*(M291-0.0011)),3),ROUND(Q291*S291,3))))</f>
        <v/>
      </c>
      <c r="W291" s="642" t="e">
        <f>INDEX('Vessel Gauging Data'!$B$26:$V$56,MATCH($C291,'Vessel Gauging Data'!$B$26:$B$56,0),$W$198)</f>
        <v>#N/A</v>
      </c>
      <c r="X291" s="642" t="e">
        <f>INDEX('Vessel Gauging Data'!$B$26:$V$56,MATCH($C291,'Vessel Gauging Data'!$B$26:$B$56,0),$X$198)</f>
        <v>#N/A</v>
      </c>
      <c r="Y291" s="642" t="e">
        <f>INDEX('Vessel Gauging Data'!$B$26:$V$56,MATCH($C291,'Vessel Gauging Data'!$B$26:$B$56,0),$Y$198)</f>
        <v>#N/A</v>
      </c>
      <c r="Z291" s="642" t="e">
        <f>INDEX('Vessel Gauging Data'!$B$26:$V$56,MATCH($C291,'Vessel Gauging Data'!$B$26:$B$56,0),$Z$198)</f>
        <v>#N/A</v>
      </c>
      <c r="AB291" s="642" t="e">
        <f>INDEX(API2DENST,MATCH($C291,'Vessel Gauging Data'!$B$27:$B$56,0),1)</f>
        <v>#N/A</v>
      </c>
      <c r="AC291" s="642" t="e">
        <f t="shared" si="291"/>
        <v>#N/A</v>
      </c>
      <c r="AE291" s="661" t="e">
        <f t="shared" si="292"/>
        <v>#VALUE!</v>
      </c>
      <c r="AF291" s="661" t="e">
        <f t="shared" si="293"/>
        <v>#VALUE!</v>
      </c>
      <c r="AH291" s="662" t="str">
        <f t="shared" si="289"/>
        <v/>
      </c>
      <c r="AI291" s="662" t="str">
        <f t="shared" si="290"/>
        <v/>
      </c>
      <c r="AJ291" s="663">
        <f t="shared" si="294"/>
        <v>192.4571</v>
      </c>
      <c r="AK291" s="660">
        <f t="shared" si="295"/>
        <v>0.24379999999999999</v>
      </c>
      <c r="AL291" s="660" t="e">
        <f t="shared" si="296"/>
        <v>#VALUE!</v>
      </c>
      <c r="AM291" s="664" t="e">
        <f t="shared" si="297"/>
        <v>#VALUE!</v>
      </c>
      <c r="AN291" s="664" t="e">
        <f t="shared" si="298"/>
        <v>#VALUE!</v>
      </c>
      <c r="AO291" s="665" t="e">
        <f t="shared" si="299"/>
        <v>#VALUE!</v>
      </c>
      <c r="AP291" s="666" t="e">
        <f t="shared" si="300"/>
        <v>#VALUE!</v>
      </c>
      <c r="AQ291" s="660" t="e">
        <f t="shared" si="301"/>
        <v>#VALUE!</v>
      </c>
      <c r="AR291" s="667" t="e">
        <f t="shared" si="302"/>
        <v>#VALUE!</v>
      </c>
      <c r="AS291" s="667" t="e">
        <f t="shared" si="303"/>
        <v>#VALUE!</v>
      </c>
      <c r="AT291" s="668" t="e">
        <f t="shared" si="304"/>
        <v>#VALUE!</v>
      </c>
      <c r="AU291" s="667" t="e">
        <f t="shared" si="305"/>
        <v>#VALUE!</v>
      </c>
      <c r="AV291" s="669" t="e">
        <f t="shared" si="306"/>
        <v>#VALUE!</v>
      </c>
      <c r="AW291" s="667" t="e">
        <f t="shared" si="307"/>
        <v>#VALUE!</v>
      </c>
      <c r="AX291" s="667" t="e">
        <f t="shared" si="308"/>
        <v>#VALUE!</v>
      </c>
      <c r="AY291" s="660" t="e">
        <f t="shared" si="309"/>
        <v>#VALUE!</v>
      </c>
      <c r="AZ291" s="670" t="e">
        <f t="shared" si="310"/>
        <v>#VALUE!</v>
      </c>
      <c r="BB291" s="662" t="e">
        <f>INDEX('Vessel Gauging Data'!$B$26:$V$56,MATCH($C291,'Vessel Gauging Data'!$B$26:$B$56,0),$BB$198)</f>
        <v>#N/A</v>
      </c>
      <c r="BC291" s="662" t="e">
        <f>INDEX('Vessel Gauging Data'!$B$26:$V$56,MATCH($C291,'Vessel Gauging Data'!$B$26:$B$56,0),$BC$198)</f>
        <v>#N/A</v>
      </c>
      <c r="BD291" s="662" t="e">
        <f>INDEX('Vessel Gauging Data'!$B$26:$V$56,MATCH($C291,'Vessel Gauging Data'!$B$26:$B$56,0),$BD$198)</f>
        <v>#N/A</v>
      </c>
      <c r="BE291" s="662" t="e">
        <f>INDEX('Vessel Gauging Data'!$B$26:$V$56,MATCH($C291,'Vessel Gauging Data'!$B$26:$B$56,0),$BE$198)</f>
        <v>#N/A</v>
      </c>
    </row>
    <row r="292" spans="1:57" hidden="1">
      <c r="A292" s="641" t="str">
        <f t="shared" si="273"/>
        <v>N</v>
      </c>
      <c r="C292" s="235" t="str">
        <f t="shared" si="312"/>
        <v/>
      </c>
      <c r="D292" s="211" t="str">
        <f t="shared" si="312"/>
        <v/>
      </c>
      <c r="E292" s="1016" t="str">
        <f t="shared" si="311"/>
        <v/>
      </c>
      <c r="F292" s="1016" t="str">
        <f t="shared" si="313"/>
        <v/>
      </c>
      <c r="G292" s="1016" t="str">
        <f t="shared" si="314"/>
        <v/>
      </c>
      <c r="H292" s="1016" t="str">
        <f t="shared" si="314"/>
        <v/>
      </c>
      <c r="I292" s="211" t="str">
        <f t="shared" si="315"/>
        <v/>
      </c>
      <c r="J292" s="1016" t="str">
        <f t="shared" si="316"/>
        <v/>
      </c>
      <c r="K292" s="213" t="str">
        <f t="shared" si="317"/>
        <v/>
      </c>
      <c r="L292" s="212" t="str">
        <f t="shared" si="318"/>
        <v/>
      </c>
      <c r="M292" s="1125" t="str">
        <f>IF(OR($C292="",$C292=0),"",INDEX(API2DENST,MATCH($C292,'Vessel Gauging Data'!$B$27:$B$56,0),$AA$1))</f>
        <v/>
      </c>
      <c r="N292" s="212" t="str">
        <f t="shared" si="319"/>
        <v/>
      </c>
      <c r="O292" s="1016" t="str">
        <f t="shared" si="320"/>
        <v/>
      </c>
      <c r="P292" s="1125" t="str">
        <f t="shared" si="321"/>
        <v/>
      </c>
      <c r="Q292" s="1016" t="str">
        <f t="shared" si="322"/>
        <v/>
      </c>
      <c r="R292" s="214" t="str">
        <f t="shared" si="323"/>
        <v/>
      </c>
      <c r="S292" s="1125" t="str">
        <f t="shared" si="324"/>
        <v/>
      </c>
      <c r="T292" s="236" t="str">
        <f t="shared" si="325"/>
        <v/>
      </c>
      <c r="W292" s="642" t="e">
        <f>INDEX('Vessel Gauging Data'!$B$26:$V$56,MATCH($C292,'Vessel Gauging Data'!$B$26:$B$56,0),$W$198)</f>
        <v>#N/A</v>
      </c>
      <c r="X292" s="642" t="e">
        <f>INDEX('Vessel Gauging Data'!$B$26:$V$56,MATCH($C292,'Vessel Gauging Data'!$B$26:$B$56,0),$X$198)</f>
        <v>#N/A</v>
      </c>
      <c r="Y292" s="642" t="e">
        <f>INDEX('Vessel Gauging Data'!$B$26:$V$56,MATCH($C292,'Vessel Gauging Data'!$B$26:$B$56,0),$Y$198)</f>
        <v>#N/A</v>
      </c>
      <c r="Z292" s="642" t="e">
        <f>INDEX('Vessel Gauging Data'!$B$26:$V$56,MATCH($C292,'Vessel Gauging Data'!$B$26:$B$56,0),$Z$198)</f>
        <v>#N/A</v>
      </c>
      <c r="AB292" s="642" t="e">
        <f>INDEX(API2DENST,MATCH($C292,'Vessel Gauging Data'!$B$27:$B$56,0),1)</f>
        <v>#N/A</v>
      </c>
      <c r="AC292" s="642" t="e">
        <f t="shared" si="291"/>
        <v>#N/A</v>
      </c>
      <c r="AE292" s="661" t="e">
        <f t="shared" si="292"/>
        <v>#VALUE!</v>
      </c>
      <c r="AF292" s="661" t="e">
        <f t="shared" si="293"/>
        <v>#VALUE!</v>
      </c>
      <c r="AH292" s="662" t="str">
        <f t="shared" si="289"/>
        <v/>
      </c>
      <c r="AI292" s="662" t="str">
        <f t="shared" si="290"/>
        <v/>
      </c>
      <c r="AJ292" s="663">
        <f t="shared" si="294"/>
        <v>192.4571</v>
      </c>
      <c r="AK292" s="660">
        <f t="shared" si="295"/>
        <v>0.24379999999999999</v>
      </c>
      <c r="AL292" s="660" t="e">
        <f t="shared" si="296"/>
        <v>#VALUE!</v>
      </c>
      <c r="AM292" s="664" t="e">
        <f t="shared" si="297"/>
        <v>#VALUE!</v>
      </c>
      <c r="AN292" s="664" t="e">
        <f t="shared" si="298"/>
        <v>#VALUE!</v>
      </c>
      <c r="AO292" s="665" t="e">
        <f t="shared" si="299"/>
        <v>#VALUE!</v>
      </c>
      <c r="AP292" s="666" t="e">
        <f t="shared" si="300"/>
        <v>#VALUE!</v>
      </c>
      <c r="AQ292" s="660" t="e">
        <f t="shared" si="301"/>
        <v>#VALUE!</v>
      </c>
      <c r="AR292" s="667" t="e">
        <f t="shared" si="302"/>
        <v>#VALUE!</v>
      </c>
      <c r="AS292" s="667" t="e">
        <f t="shared" si="303"/>
        <v>#VALUE!</v>
      </c>
      <c r="AT292" s="668" t="e">
        <f t="shared" si="304"/>
        <v>#VALUE!</v>
      </c>
      <c r="AU292" s="667" t="e">
        <f t="shared" si="305"/>
        <v>#VALUE!</v>
      </c>
      <c r="AV292" s="669" t="e">
        <f t="shared" si="306"/>
        <v>#VALUE!</v>
      </c>
      <c r="AW292" s="667" t="e">
        <f t="shared" si="307"/>
        <v>#VALUE!</v>
      </c>
      <c r="AX292" s="667" t="e">
        <f t="shared" si="308"/>
        <v>#VALUE!</v>
      </c>
      <c r="AY292" s="660" t="e">
        <f t="shared" si="309"/>
        <v>#VALUE!</v>
      </c>
      <c r="AZ292" s="670" t="e">
        <f t="shared" si="310"/>
        <v>#VALUE!</v>
      </c>
      <c r="BB292" s="662" t="e">
        <f>INDEX('Vessel Gauging Data'!$B$26:$V$56,MATCH($C292,'Vessel Gauging Data'!$B$26:$B$56,0),$BB$198)</f>
        <v>#N/A</v>
      </c>
      <c r="BC292" s="662" t="e">
        <f>INDEX('Vessel Gauging Data'!$B$26:$V$56,MATCH($C292,'Vessel Gauging Data'!$B$26:$B$56,0),$BC$198)</f>
        <v>#N/A</v>
      </c>
      <c r="BD292" s="662" t="e">
        <f>INDEX('Vessel Gauging Data'!$B$26:$V$56,MATCH($C292,'Vessel Gauging Data'!$B$26:$B$56,0),$BD$198)</f>
        <v>#N/A</v>
      </c>
      <c r="BE292" s="662" t="e">
        <f>INDEX('Vessel Gauging Data'!$B$26:$V$56,MATCH($C292,'Vessel Gauging Data'!$B$26:$B$56,0),$BE$198)</f>
        <v>#N/A</v>
      </c>
    </row>
    <row r="293" spans="1:57" hidden="1">
      <c r="A293" s="641" t="str">
        <f t="shared" si="273"/>
        <v>N</v>
      </c>
      <c r="C293" s="235" t="str">
        <f t="shared" si="312"/>
        <v/>
      </c>
      <c r="D293" s="211" t="str">
        <f t="shared" si="312"/>
        <v/>
      </c>
      <c r="E293" s="1016" t="str">
        <f t="shared" si="311"/>
        <v/>
      </c>
      <c r="F293" s="1016" t="str">
        <f t="shared" si="313"/>
        <v/>
      </c>
      <c r="G293" s="1016" t="str">
        <f t="shared" si="314"/>
        <v/>
      </c>
      <c r="H293" s="1016" t="str">
        <f t="shared" si="314"/>
        <v/>
      </c>
      <c r="I293" s="211" t="str">
        <f t="shared" si="315"/>
        <v/>
      </c>
      <c r="J293" s="1016" t="str">
        <f t="shared" si="316"/>
        <v/>
      </c>
      <c r="K293" s="213" t="str">
        <f t="shared" si="317"/>
        <v/>
      </c>
      <c r="L293" s="212" t="str">
        <f t="shared" si="318"/>
        <v/>
      </c>
      <c r="M293" s="1125" t="str">
        <f>IF(OR($C293="",$C293=0),"",INDEX(API2DENST,MATCH($C293,'Vessel Gauging Data'!$B$27:$B$56,0),$AA$1))</f>
        <v/>
      </c>
      <c r="N293" s="212" t="str">
        <f t="shared" si="319"/>
        <v/>
      </c>
      <c r="O293" s="1016" t="str">
        <f t="shared" si="320"/>
        <v/>
      </c>
      <c r="P293" s="1125" t="str">
        <f t="shared" si="321"/>
        <v/>
      </c>
      <c r="Q293" s="1016" t="str">
        <f t="shared" si="322"/>
        <v/>
      </c>
      <c r="R293" s="214" t="str">
        <f t="shared" si="323"/>
        <v/>
      </c>
      <c r="S293" s="1125" t="str">
        <f t="shared" si="324"/>
        <v/>
      </c>
      <c r="T293" s="236" t="str">
        <f t="shared" si="325"/>
        <v/>
      </c>
      <c r="W293" s="642" t="e">
        <f>INDEX('Vessel Gauging Data'!$B$26:$V$56,MATCH($C293,'Vessel Gauging Data'!$B$26:$B$56,0),$W$198)</f>
        <v>#N/A</v>
      </c>
      <c r="X293" s="642" t="e">
        <f>INDEX('Vessel Gauging Data'!$B$26:$V$56,MATCH($C293,'Vessel Gauging Data'!$B$26:$B$56,0),$X$198)</f>
        <v>#N/A</v>
      </c>
      <c r="Y293" s="642" t="e">
        <f>INDEX('Vessel Gauging Data'!$B$26:$V$56,MATCH($C293,'Vessel Gauging Data'!$B$26:$B$56,0),$Y$198)</f>
        <v>#N/A</v>
      </c>
      <c r="Z293" s="642" t="e">
        <f>INDEX('Vessel Gauging Data'!$B$26:$V$56,MATCH($C293,'Vessel Gauging Data'!$B$26:$B$56,0),$Z$198)</f>
        <v>#N/A</v>
      </c>
      <c r="AB293" s="642" t="e">
        <f>INDEX(API2DENST,MATCH($C293,'Vessel Gauging Data'!$B$27:$B$56,0),1)</f>
        <v>#N/A</v>
      </c>
      <c r="AC293" s="642" t="e">
        <f t="shared" si="291"/>
        <v>#N/A</v>
      </c>
      <c r="AE293" s="661" t="e">
        <f t="shared" si="292"/>
        <v>#VALUE!</v>
      </c>
      <c r="AF293" s="661" t="e">
        <f t="shared" si="293"/>
        <v>#VALUE!</v>
      </c>
      <c r="AH293" s="662" t="str">
        <f t="shared" si="289"/>
        <v/>
      </c>
      <c r="AI293" s="662" t="str">
        <f t="shared" si="290"/>
        <v/>
      </c>
      <c r="AJ293" s="663">
        <f t="shared" si="294"/>
        <v>192.4571</v>
      </c>
      <c r="AK293" s="660">
        <f t="shared" si="295"/>
        <v>0.24379999999999999</v>
      </c>
      <c r="AL293" s="660" t="e">
        <f t="shared" si="296"/>
        <v>#VALUE!</v>
      </c>
      <c r="AM293" s="664" t="e">
        <f t="shared" si="297"/>
        <v>#VALUE!</v>
      </c>
      <c r="AN293" s="664" t="e">
        <f t="shared" si="298"/>
        <v>#VALUE!</v>
      </c>
      <c r="AO293" s="665" t="e">
        <f t="shared" si="299"/>
        <v>#VALUE!</v>
      </c>
      <c r="AP293" s="666" t="e">
        <f t="shared" si="300"/>
        <v>#VALUE!</v>
      </c>
      <c r="AQ293" s="660" t="e">
        <f t="shared" si="301"/>
        <v>#VALUE!</v>
      </c>
      <c r="AR293" s="667" t="e">
        <f t="shared" si="302"/>
        <v>#VALUE!</v>
      </c>
      <c r="AS293" s="667" t="e">
        <f t="shared" si="303"/>
        <v>#VALUE!</v>
      </c>
      <c r="AT293" s="668" t="e">
        <f t="shared" si="304"/>
        <v>#VALUE!</v>
      </c>
      <c r="AU293" s="667" t="e">
        <f t="shared" si="305"/>
        <v>#VALUE!</v>
      </c>
      <c r="AV293" s="669" t="e">
        <f t="shared" si="306"/>
        <v>#VALUE!</v>
      </c>
      <c r="AW293" s="667" t="e">
        <f t="shared" si="307"/>
        <v>#VALUE!</v>
      </c>
      <c r="AX293" s="667" t="e">
        <f t="shared" si="308"/>
        <v>#VALUE!</v>
      </c>
      <c r="AY293" s="660" t="e">
        <f t="shared" si="309"/>
        <v>#VALUE!</v>
      </c>
      <c r="AZ293" s="670" t="e">
        <f t="shared" si="310"/>
        <v>#VALUE!</v>
      </c>
      <c r="BB293" s="662" t="e">
        <f>INDEX('Vessel Gauging Data'!$B$26:$V$56,MATCH($C293,'Vessel Gauging Data'!$B$26:$B$56,0),$BB$198)</f>
        <v>#N/A</v>
      </c>
      <c r="BC293" s="662" t="e">
        <f>INDEX('Vessel Gauging Data'!$B$26:$V$56,MATCH($C293,'Vessel Gauging Data'!$B$26:$B$56,0),$BC$198)</f>
        <v>#N/A</v>
      </c>
      <c r="BD293" s="662" t="e">
        <f>INDEX('Vessel Gauging Data'!$B$26:$V$56,MATCH($C293,'Vessel Gauging Data'!$B$26:$B$56,0),$BD$198)</f>
        <v>#N/A</v>
      </c>
      <c r="BE293" s="662" t="e">
        <f>INDEX('Vessel Gauging Data'!$B$26:$V$56,MATCH($C293,'Vessel Gauging Data'!$B$26:$B$56,0),$BE$198)</f>
        <v>#N/A</v>
      </c>
    </row>
    <row r="294" spans="1:57" hidden="1">
      <c r="A294" s="641" t="str">
        <f t="shared" ref="A294:A325" si="326">A117</f>
        <v>N</v>
      </c>
      <c r="C294" s="235" t="str">
        <f t="shared" si="312"/>
        <v/>
      </c>
      <c r="D294" s="211" t="str">
        <f t="shared" si="312"/>
        <v/>
      </c>
      <c r="E294" s="1016" t="str">
        <f t="shared" si="311"/>
        <v/>
      </c>
      <c r="F294" s="1016" t="str">
        <f t="shared" si="313"/>
        <v/>
      </c>
      <c r="G294" s="1016" t="str">
        <f t="shared" si="314"/>
        <v/>
      </c>
      <c r="H294" s="1016" t="str">
        <f t="shared" si="314"/>
        <v/>
      </c>
      <c r="I294" s="211" t="str">
        <f t="shared" si="315"/>
        <v/>
      </c>
      <c r="J294" s="1016" t="str">
        <f t="shared" si="316"/>
        <v/>
      </c>
      <c r="K294" s="213" t="str">
        <f t="shared" si="317"/>
        <v/>
      </c>
      <c r="L294" s="212" t="str">
        <f t="shared" si="318"/>
        <v/>
      </c>
      <c r="M294" s="1125" t="str">
        <f>IF(OR($C294="",$C294=0),"",INDEX(API2DENST,MATCH($C294,'Vessel Gauging Data'!$B$27:$B$56,0),$AA$1))</f>
        <v/>
      </c>
      <c r="N294" s="212" t="str">
        <f t="shared" si="319"/>
        <v/>
      </c>
      <c r="O294" s="1016" t="str">
        <f t="shared" si="320"/>
        <v/>
      </c>
      <c r="P294" s="1125" t="str">
        <f t="shared" si="321"/>
        <v/>
      </c>
      <c r="Q294" s="1016" t="str">
        <f t="shared" si="322"/>
        <v/>
      </c>
      <c r="R294" s="214" t="str">
        <f t="shared" si="323"/>
        <v/>
      </c>
      <c r="S294" s="1125" t="str">
        <f t="shared" si="324"/>
        <v/>
      </c>
      <c r="T294" s="236" t="str">
        <f t="shared" si="325"/>
        <v/>
      </c>
      <c r="W294" s="642" t="e">
        <f>INDEX('Vessel Gauging Data'!$B$26:$V$56,MATCH($C294,'Vessel Gauging Data'!$B$26:$B$56,0),$W$198)</f>
        <v>#N/A</v>
      </c>
      <c r="X294" s="642" t="e">
        <f>INDEX('Vessel Gauging Data'!$B$26:$V$56,MATCH($C294,'Vessel Gauging Data'!$B$26:$B$56,0),$X$198)</f>
        <v>#N/A</v>
      </c>
      <c r="Y294" s="642" t="e">
        <f>INDEX('Vessel Gauging Data'!$B$26:$V$56,MATCH($C294,'Vessel Gauging Data'!$B$26:$B$56,0),$Y$198)</f>
        <v>#N/A</v>
      </c>
      <c r="Z294" s="642" t="e">
        <f>INDEX('Vessel Gauging Data'!$B$26:$V$56,MATCH($C294,'Vessel Gauging Data'!$B$26:$B$56,0),$Z$198)</f>
        <v>#N/A</v>
      </c>
      <c r="AB294" s="642" t="e">
        <f>INDEX(API2DENST,MATCH($C294,'Vessel Gauging Data'!$B$27:$B$56,0),1)</f>
        <v>#N/A</v>
      </c>
      <c r="AC294" s="642" t="e">
        <f t="shared" si="291"/>
        <v>#N/A</v>
      </c>
      <c r="AE294" s="661" t="e">
        <f t="shared" si="292"/>
        <v>#VALUE!</v>
      </c>
      <c r="AF294" s="661" t="e">
        <f t="shared" si="293"/>
        <v>#VALUE!</v>
      </c>
      <c r="AH294" s="662" t="str">
        <f t="shared" si="289"/>
        <v/>
      </c>
      <c r="AI294" s="662" t="str">
        <f t="shared" si="290"/>
        <v/>
      </c>
      <c r="AJ294" s="663">
        <f t="shared" si="294"/>
        <v>192.4571</v>
      </c>
      <c r="AK294" s="660">
        <f t="shared" si="295"/>
        <v>0.24379999999999999</v>
      </c>
      <c r="AL294" s="660" t="e">
        <f t="shared" si="296"/>
        <v>#VALUE!</v>
      </c>
      <c r="AM294" s="664" t="e">
        <f t="shared" si="297"/>
        <v>#VALUE!</v>
      </c>
      <c r="AN294" s="664" t="e">
        <f t="shared" si="298"/>
        <v>#VALUE!</v>
      </c>
      <c r="AO294" s="665" t="e">
        <f t="shared" si="299"/>
        <v>#VALUE!</v>
      </c>
      <c r="AP294" s="666" t="e">
        <f t="shared" si="300"/>
        <v>#VALUE!</v>
      </c>
      <c r="AQ294" s="660" t="e">
        <f t="shared" si="301"/>
        <v>#VALUE!</v>
      </c>
      <c r="AR294" s="667" t="e">
        <f t="shared" si="302"/>
        <v>#VALUE!</v>
      </c>
      <c r="AS294" s="667" t="e">
        <f t="shared" si="303"/>
        <v>#VALUE!</v>
      </c>
      <c r="AT294" s="668" t="e">
        <f t="shared" si="304"/>
        <v>#VALUE!</v>
      </c>
      <c r="AU294" s="667" t="e">
        <f t="shared" si="305"/>
        <v>#VALUE!</v>
      </c>
      <c r="AV294" s="669" t="e">
        <f t="shared" si="306"/>
        <v>#VALUE!</v>
      </c>
      <c r="AW294" s="667" t="e">
        <f t="shared" si="307"/>
        <v>#VALUE!</v>
      </c>
      <c r="AX294" s="667" t="e">
        <f t="shared" si="308"/>
        <v>#VALUE!</v>
      </c>
      <c r="AY294" s="660" t="e">
        <f t="shared" si="309"/>
        <v>#VALUE!</v>
      </c>
      <c r="AZ294" s="670" t="e">
        <f t="shared" si="310"/>
        <v>#VALUE!</v>
      </c>
      <c r="BB294" s="662" t="e">
        <f>INDEX('Vessel Gauging Data'!$B$26:$V$56,MATCH($C294,'Vessel Gauging Data'!$B$26:$B$56,0),$BB$198)</f>
        <v>#N/A</v>
      </c>
      <c r="BC294" s="662" t="e">
        <f>INDEX('Vessel Gauging Data'!$B$26:$V$56,MATCH($C294,'Vessel Gauging Data'!$B$26:$B$56,0),$BC$198)</f>
        <v>#N/A</v>
      </c>
      <c r="BD294" s="662" t="e">
        <f>INDEX('Vessel Gauging Data'!$B$26:$V$56,MATCH($C294,'Vessel Gauging Data'!$B$26:$B$56,0),$BD$198)</f>
        <v>#N/A</v>
      </c>
      <c r="BE294" s="662" t="e">
        <f>INDEX('Vessel Gauging Data'!$B$26:$V$56,MATCH($C294,'Vessel Gauging Data'!$B$26:$B$56,0),$BE$198)</f>
        <v>#N/A</v>
      </c>
    </row>
    <row r="295" spans="1:57" hidden="1">
      <c r="A295" s="641" t="str">
        <f t="shared" si="326"/>
        <v>N</v>
      </c>
      <c r="C295" s="235" t="str">
        <f t="shared" si="312"/>
        <v/>
      </c>
      <c r="D295" s="211" t="str">
        <f t="shared" si="312"/>
        <v/>
      </c>
      <c r="E295" s="1016" t="str">
        <f t="shared" si="311"/>
        <v/>
      </c>
      <c r="F295" s="1016" t="str">
        <f t="shared" si="313"/>
        <v/>
      </c>
      <c r="G295" s="1016" t="str">
        <f t="shared" si="314"/>
        <v/>
      </c>
      <c r="H295" s="1016" t="str">
        <f t="shared" si="314"/>
        <v/>
      </c>
      <c r="I295" s="211" t="str">
        <f t="shared" si="315"/>
        <v/>
      </c>
      <c r="J295" s="1016" t="str">
        <f t="shared" si="316"/>
        <v/>
      </c>
      <c r="K295" s="213" t="str">
        <f t="shared" si="317"/>
        <v/>
      </c>
      <c r="L295" s="212" t="str">
        <f t="shared" si="318"/>
        <v/>
      </c>
      <c r="M295" s="1125" t="str">
        <f>IF(OR($C295="",$C295=0),"",INDEX(API2DENST,MATCH($C295,'Vessel Gauging Data'!$B$27:$B$56,0),$AA$1))</f>
        <v/>
      </c>
      <c r="N295" s="212" t="str">
        <f t="shared" si="319"/>
        <v/>
      </c>
      <c r="O295" s="1016" t="str">
        <f t="shared" si="320"/>
        <v/>
      </c>
      <c r="P295" s="1125" t="str">
        <f t="shared" si="321"/>
        <v/>
      </c>
      <c r="Q295" s="1016" t="str">
        <f t="shared" si="322"/>
        <v/>
      </c>
      <c r="R295" s="214" t="str">
        <f t="shared" si="323"/>
        <v/>
      </c>
      <c r="S295" s="1125" t="str">
        <f t="shared" si="324"/>
        <v/>
      </c>
      <c r="T295" s="236" t="str">
        <f t="shared" si="325"/>
        <v/>
      </c>
      <c r="W295" s="642" t="e">
        <f>INDEX('Vessel Gauging Data'!$B$26:$V$56,MATCH($C295,'Vessel Gauging Data'!$B$26:$B$56,0),$W$198)</f>
        <v>#N/A</v>
      </c>
      <c r="X295" s="642" t="e">
        <f>INDEX('Vessel Gauging Data'!$B$26:$V$56,MATCH($C295,'Vessel Gauging Data'!$B$26:$B$56,0),$X$198)</f>
        <v>#N/A</v>
      </c>
      <c r="Y295" s="642" t="e">
        <f>INDEX('Vessel Gauging Data'!$B$26:$V$56,MATCH($C295,'Vessel Gauging Data'!$B$26:$B$56,0),$Y$198)</f>
        <v>#N/A</v>
      </c>
      <c r="Z295" s="642" t="e">
        <f>INDEX('Vessel Gauging Data'!$B$26:$V$56,MATCH($C295,'Vessel Gauging Data'!$B$26:$B$56,0),$Z$198)</f>
        <v>#N/A</v>
      </c>
      <c r="AB295" s="642" t="e">
        <f>INDEX(API2DENST,MATCH($C295,'Vessel Gauging Data'!$B$27:$B$56,0),1)</f>
        <v>#N/A</v>
      </c>
      <c r="AC295" s="642" t="e">
        <f t="shared" si="291"/>
        <v>#N/A</v>
      </c>
      <c r="AE295" s="661" t="e">
        <f t="shared" si="292"/>
        <v>#VALUE!</v>
      </c>
      <c r="AF295" s="661" t="e">
        <f t="shared" si="293"/>
        <v>#VALUE!</v>
      </c>
      <c r="AH295" s="662" t="str">
        <f t="shared" si="289"/>
        <v/>
      </c>
      <c r="AI295" s="662" t="str">
        <f t="shared" si="290"/>
        <v/>
      </c>
      <c r="AJ295" s="663">
        <f t="shared" si="294"/>
        <v>192.4571</v>
      </c>
      <c r="AK295" s="660">
        <f t="shared" si="295"/>
        <v>0.24379999999999999</v>
      </c>
      <c r="AL295" s="660" t="e">
        <f t="shared" si="296"/>
        <v>#VALUE!</v>
      </c>
      <c r="AM295" s="664" t="e">
        <f t="shared" si="297"/>
        <v>#VALUE!</v>
      </c>
      <c r="AN295" s="664" t="e">
        <f t="shared" si="298"/>
        <v>#VALUE!</v>
      </c>
      <c r="AO295" s="665" t="e">
        <f t="shared" si="299"/>
        <v>#VALUE!</v>
      </c>
      <c r="AP295" s="666" t="e">
        <f t="shared" si="300"/>
        <v>#VALUE!</v>
      </c>
      <c r="AQ295" s="660" t="e">
        <f t="shared" si="301"/>
        <v>#VALUE!</v>
      </c>
      <c r="AR295" s="667" t="e">
        <f t="shared" si="302"/>
        <v>#VALUE!</v>
      </c>
      <c r="AS295" s="667" t="e">
        <f t="shared" si="303"/>
        <v>#VALUE!</v>
      </c>
      <c r="AT295" s="668" t="e">
        <f t="shared" si="304"/>
        <v>#VALUE!</v>
      </c>
      <c r="AU295" s="667" t="e">
        <f t="shared" si="305"/>
        <v>#VALUE!</v>
      </c>
      <c r="AV295" s="669" t="e">
        <f t="shared" si="306"/>
        <v>#VALUE!</v>
      </c>
      <c r="AW295" s="667" t="e">
        <f t="shared" si="307"/>
        <v>#VALUE!</v>
      </c>
      <c r="AX295" s="667" t="e">
        <f t="shared" si="308"/>
        <v>#VALUE!</v>
      </c>
      <c r="AY295" s="660" t="e">
        <f t="shared" si="309"/>
        <v>#VALUE!</v>
      </c>
      <c r="AZ295" s="670" t="e">
        <f t="shared" si="310"/>
        <v>#VALUE!</v>
      </c>
      <c r="BB295" s="662" t="e">
        <f>INDEX('Vessel Gauging Data'!$B$26:$V$56,MATCH($C295,'Vessel Gauging Data'!$B$26:$B$56,0),$BB$198)</f>
        <v>#N/A</v>
      </c>
      <c r="BC295" s="662" t="e">
        <f>INDEX('Vessel Gauging Data'!$B$26:$V$56,MATCH($C295,'Vessel Gauging Data'!$B$26:$B$56,0),$BC$198)</f>
        <v>#N/A</v>
      </c>
      <c r="BD295" s="662" t="e">
        <f>INDEX('Vessel Gauging Data'!$B$26:$V$56,MATCH($C295,'Vessel Gauging Data'!$B$26:$B$56,0),$BD$198)</f>
        <v>#N/A</v>
      </c>
      <c r="BE295" s="662" t="e">
        <f>INDEX('Vessel Gauging Data'!$B$26:$V$56,MATCH($C295,'Vessel Gauging Data'!$B$26:$B$56,0),$BE$198)</f>
        <v>#N/A</v>
      </c>
    </row>
    <row r="296" spans="1:57" hidden="1">
      <c r="A296" s="641" t="str">
        <f t="shared" si="326"/>
        <v>N</v>
      </c>
      <c r="C296" s="235" t="str">
        <f t="shared" si="312"/>
        <v/>
      </c>
      <c r="D296" s="211" t="str">
        <f t="shared" si="312"/>
        <v/>
      </c>
      <c r="E296" s="1016" t="str">
        <f t="shared" si="311"/>
        <v/>
      </c>
      <c r="F296" s="1016" t="str">
        <f t="shared" si="313"/>
        <v/>
      </c>
      <c r="G296" s="1016" t="str">
        <f t="shared" si="314"/>
        <v/>
      </c>
      <c r="H296" s="1016" t="str">
        <f t="shared" si="314"/>
        <v/>
      </c>
      <c r="I296" s="211" t="str">
        <f t="shared" si="315"/>
        <v/>
      </c>
      <c r="J296" s="1016" t="str">
        <f t="shared" si="316"/>
        <v/>
      </c>
      <c r="K296" s="213" t="str">
        <f t="shared" si="317"/>
        <v/>
      </c>
      <c r="L296" s="212" t="str">
        <f t="shared" si="318"/>
        <v/>
      </c>
      <c r="M296" s="1125" t="str">
        <f>IF(OR($C296="",$C296=0),"",INDEX(API2DENST,MATCH($C296,'Vessel Gauging Data'!$B$27:$B$56,0),$AA$1))</f>
        <v/>
      </c>
      <c r="N296" s="212" t="str">
        <f t="shared" si="319"/>
        <v/>
      </c>
      <c r="O296" s="1016" t="str">
        <f t="shared" si="320"/>
        <v/>
      </c>
      <c r="P296" s="1125" t="str">
        <f t="shared" si="321"/>
        <v/>
      </c>
      <c r="Q296" s="1016" t="str">
        <f t="shared" si="322"/>
        <v/>
      </c>
      <c r="R296" s="214" t="str">
        <f t="shared" si="323"/>
        <v/>
      </c>
      <c r="S296" s="1125" t="str">
        <f t="shared" si="324"/>
        <v/>
      </c>
      <c r="T296" s="236" t="str">
        <f t="shared" si="325"/>
        <v/>
      </c>
      <c r="W296" s="642" t="e">
        <f>INDEX('Vessel Gauging Data'!$B$26:$V$56,MATCH($C296,'Vessel Gauging Data'!$B$26:$B$56,0),$W$198)</f>
        <v>#N/A</v>
      </c>
      <c r="X296" s="642" t="e">
        <f>INDEX('Vessel Gauging Data'!$B$26:$V$56,MATCH($C296,'Vessel Gauging Data'!$B$26:$B$56,0),$X$198)</f>
        <v>#N/A</v>
      </c>
      <c r="Y296" s="642" t="e">
        <f>INDEX('Vessel Gauging Data'!$B$26:$V$56,MATCH($C296,'Vessel Gauging Data'!$B$26:$B$56,0),$Y$198)</f>
        <v>#N/A</v>
      </c>
      <c r="Z296" s="642" t="e">
        <f>INDEX('Vessel Gauging Data'!$B$26:$V$56,MATCH($C296,'Vessel Gauging Data'!$B$26:$B$56,0),$Z$198)</f>
        <v>#N/A</v>
      </c>
      <c r="AB296" s="642" t="e">
        <f>INDEX(API2DENST,MATCH($C296,'Vessel Gauging Data'!$B$27:$B$56,0),1)</f>
        <v>#N/A</v>
      </c>
      <c r="AC296" s="642" t="e">
        <f t="shared" si="291"/>
        <v>#N/A</v>
      </c>
      <c r="AE296" s="661" t="e">
        <f t="shared" si="292"/>
        <v>#VALUE!</v>
      </c>
      <c r="AF296" s="661" t="e">
        <f t="shared" si="293"/>
        <v>#VALUE!</v>
      </c>
      <c r="AH296" s="662" t="str">
        <f t="shared" si="289"/>
        <v/>
      </c>
      <c r="AI296" s="662" t="str">
        <f t="shared" si="290"/>
        <v/>
      </c>
      <c r="AJ296" s="663">
        <f t="shared" si="294"/>
        <v>192.4571</v>
      </c>
      <c r="AK296" s="660">
        <f t="shared" si="295"/>
        <v>0.24379999999999999</v>
      </c>
      <c r="AL296" s="660" t="e">
        <f t="shared" si="296"/>
        <v>#VALUE!</v>
      </c>
      <c r="AM296" s="664" t="e">
        <f t="shared" si="297"/>
        <v>#VALUE!</v>
      </c>
      <c r="AN296" s="664" t="e">
        <f t="shared" si="298"/>
        <v>#VALUE!</v>
      </c>
      <c r="AO296" s="665" t="e">
        <f t="shared" si="299"/>
        <v>#VALUE!</v>
      </c>
      <c r="AP296" s="666" t="e">
        <f t="shared" si="300"/>
        <v>#VALUE!</v>
      </c>
      <c r="AQ296" s="660" t="e">
        <f t="shared" si="301"/>
        <v>#VALUE!</v>
      </c>
      <c r="AR296" s="667" t="e">
        <f t="shared" si="302"/>
        <v>#VALUE!</v>
      </c>
      <c r="AS296" s="667" t="e">
        <f t="shared" si="303"/>
        <v>#VALUE!</v>
      </c>
      <c r="AT296" s="668" t="e">
        <f t="shared" si="304"/>
        <v>#VALUE!</v>
      </c>
      <c r="AU296" s="667" t="e">
        <f t="shared" si="305"/>
        <v>#VALUE!</v>
      </c>
      <c r="AV296" s="669" t="e">
        <f t="shared" si="306"/>
        <v>#VALUE!</v>
      </c>
      <c r="AW296" s="667" t="e">
        <f t="shared" si="307"/>
        <v>#VALUE!</v>
      </c>
      <c r="AX296" s="667" t="e">
        <f t="shared" si="308"/>
        <v>#VALUE!</v>
      </c>
      <c r="AY296" s="660" t="e">
        <f t="shared" si="309"/>
        <v>#VALUE!</v>
      </c>
      <c r="AZ296" s="670" t="e">
        <f t="shared" si="310"/>
        <v>#VALUE!</v>
      </c>
      <c r="BB296" s="662" t="e">
        <f>INDEX('Vessel Gauging Data'!$B$26:$V$56,MATCH($C296,'Vessel Gauging Data'!$B$26:$B$56,0),$BB$198)</f>
        <v>#N/A</v>
      </c>
      <c r="BC296" s="662" t="e">
        <f>INDEX('Vessel Gauging Data'!$B$26:$V$56,MATCH($C296,'Vessel Gauging Data'!$B$26:$B$56,0),$BC$198)</f>
        <v>#N/A</v>
      </c>
      <c r="BD296" s="662" t="e">
        <f>INDEX('Vessel Gauging Data'!$B$26:$V$56,MATCH($C296,'Vessel Gauging Data'!$B$26:$B$56,0),$BD$198)</f>
        <v>#N/A</v>
      </c>
      <c r="BE296" s="662" t="e">
        <f>INDEX('Vessel Gauging Data'!$B$26:$V$56,MATCH($C296,'Vessel Gauging Data'!$B$26:$B$56,0),$BE$198)</f>
        <v>#N/A</v>
      </c>
    </row>
    <row r="297" spans="1:57" hidden="1">
      <c r="A297" s="641" t="str">
        <f t="shared" si="326"/>
        <v>N</v>
      </c>
      <c r="C297" s="235" t="str">
        <f t="shared" si="312"/>
        <v/>
      </c>
      <c r="D297" s="211" t="str">
        <f t="shared" si="312"/>
        <v/>
      </c>
      <c r="E297" s="1016" t="str">
        <f t="shared" si="311"/>
        <v/>
      </c>
      <c r="F297" s="1016" t="str">
        <f t="shared" si="313"/>
        <v/>
      </c>
      <c r="G297" s="1016" t="str">
        <f t="shared" si="314"/>
        <v/>
      </c>
      <c r="H297" s="1016" t="str">
        <f t="shared" si="314"/>
        <v/>
      </c>
      <c r="I297" s="211" t="str">
        <f t="shared" si="315"/>
        <v/>
      </c>
      <c r="J297" s="1016" t="str">
        <f t="shared" si="316"/>
        <v/>
      </c>
      <c r="K297" s="213" t="str">
        <f t="shared" si="317"/>
        <v/>
      </c>
      <c r="L297" s="212" t="str">
        <f t="shared" si="318"/>
        <v/>
      </c>
      <c r="M297" s="1125" t="str">
        <f>IF(OR($C297="",$C297=0),"",INDEX(API2DENST,MATCH($C297,'Vessel Gauging Data'!$B$27:$B$56,0),$AA$1))</f>
        <v/>
      </c>
      <c r="N297" s="212" t="str">
        <f t="shared" si="319"/>
        <v/>
      </c>
      <c r="O297" s="1016" t="str">
        <f t="shared" si="320"/>
        <v/>
      </c>
      <c r="P297" s="1125" t="str">
        <f t="shared" si="321"/>
        <v/>
      </c>
      <c r="Q297" s="1016" t="str">
        <f t="shared" si="322"/>
        <v/>
      </c>
      <c r="R297" s="214" t="str">
        <f t="shared" si="323"/>
        <v/>
      </c>
      <c r="S297" s="1125" t="str">
        <f t="shared" si="324"/>
        <v/>
      </c>
      <c r="T297" s="236" t="str">
        <f t="shared" si="325"/>
        <v/>
      </c>
      <c r="W297" s="642" t="e">
        <f>INDEX('Vessel Gauging Data'!$B$26:$V$56,MATCH($C297,'Vessel Gauging Data'!$B$26:$B$56,0),$W$198)</f>
        <v>#N/A</v>
      </c>
      <c r="X297" s="642" t="e">
        <f>INDEX('Vessel Gauging Data'!$B$26:$V$56,MATCH($C297,'Vessel Gauging Data'!$B$26:$B$56,0),$X$198)</f>
        <v>#N/A</v>
      </c>
      <c r="Y297" s="642" t="e">
        <f>INDEX('Vessel Gauging Data'!$B$26:$V$56,MATCH($C297,'Vessel Gauging Data'!$B$26:$B$56,0),$Y$198)</f>
        <v>#N/A</v>
      </c>
      <c r="Z297" s="642" t="e">
        <f>INDEX('Vessel Gauging Data'!$B$26:$V$56,MATCH($C297,'Vessel Gauging Data'!$B$26:$B$56,0),$Z$198)</f>
        <v>#N/A</v>
      </c>
      <c r="AB297" s="642" t="e">
        <f>INDEX(API2DENST,MATCH($C297,'Vessel Gauging Data'!$B$27:$B$56,0),1)</f>
        <v>#N/A</v>
      </c>
      <c r="AC297" s="642" t="e">
        <f t="shared" si="291"/>
        <v>#N/A</v>
      </c>
      <c r="AE297" s="661" t="e">
        <f t="shared" si="292"/>
        <v>#VALUE!</v>
      </c>
      <c r="AF297" s="661" t="e">
        <f t="shared" si="293"/>
        <v>#VALUE!</v>
      </c>
      <c r="AH297" s="662" t="str">
        <f t="shared" si="289"/>
        <v/>
      </c>
      <c r="AI297" s="662" t="str">
        <f t="shared" si="290"/>
        <v/>
      </c>
      <c r="AJ297" s="663">
        <f t="shared" si="294"/>
        <v>192.4571</v>
      </c>
      <c r="AK297" s="660">
        <f t="shared" si="295"/>
        <v>0.24379999999999999</v>
      </c>
      <c r="AL297" s="660" t="e">
        <f t="shared" si="296"/>
        <v>#VALUE!</v>
      </c>
      <c r="AM297" s="664" t="e">
        <f t="shared" si="297"/>
        <v>#VALUE!</v>
      </c>
      <c r="AN297" s="664" t="e">
        <f t="shared" si="298"/>
        <v>#VALUE!</v>
      </c>
      <c r="AO297" s="665" t="e">
        <f t="shared" si="299"/>
        <v>#VALUE!</v>
      </c>
      <c r="AP297" s="666" t="e">
        <f t="shared" si="300"/>
        <v>#VALUE!</v>
      </c>
      <c r="AQ297" s="660" t="e">
        <f t="shared" si="301"/>
        <v>#VALUE!</v>
      </c>
      <c r="AR297" s="667" t="e">
        <f t="shared" si="302"/>
        <v>#VALUE!</v>
      </c>
      <c r="AS297" s="667" t="e">
        <f t="shared" si="303"/>
        <v>#VALUE!</v>
      </c>
      <c r="AT297" s="668" t="e">
        <f t="shared" si="304"/>
        <v>#VALUE!</v>
      </c>
      <c r="AU297" s="667" t="e">
        <f t="shared" si="305"/>
        <v>#VALUE!</v>
      </c>
      <c r="AV297" s="669" t="e">
        <f t="shared" si="306"/>
        <v>#VALUE!</v>
      </c>
      <c r="AW297" s="667" t="e">
        <f t="shared" si="307"/>
        <v>#VALUE!</v>
      </c>
      <c r="AX297" s="667" t="e">
        <f t="shared" si="308"/>
        <v>#VALUE!</v>
      </c>
      <c r="AY297" s="660" t="e">
        <f t="shared" si="309"/>
        <v>#VALUE!</v>
      </c>
      <c r="AZ297" s="670" t="e">
        <f t="shared" si="310"/>
        <v>#VALUE!</v>
      </c>
      <c r="BB297" s="662" t="e">
        <f>INDEX('Vessel Gauging Data'!$B$26:$V$56,MATCH($C297,'Vessel Gauging Data'!$B$26:$B$56,0),$BB$198)</f>
        <v>#N/A</v>
      </c>
      <c r="BC297" s="662" t="e">
        <f>INDEX('Vessel Gauging Data'!$B$26:$V$56,MATCH($C297,'Vessel Gauging Data'!$B$26:$B$56,0),$BC$198)</f>
        <v>#N/A</v>
      </c>
      <c r="BD297" s="662" t="e">
        <f>INDEX('Vessel Gauging Data'!$B$26:$V$56,MATCH($C297,'Vessel Gauging Data'!$B$26:$B$56,0),$BD$198)</f>
        <v>#N/A</v>
      </c>
      <c r="BE297" s="662" t="e">
        <f>INDEX('Vessel Gauging Data'!$B$26:$V$56,MATCH($C297,'Vessel Gauging Data'!$B$26:$B$56,0),$BE$198)</f>
        <v>#N/A</v>
      </c>
    </row>
    <row r="298" spans="1:57" hidden="1">
      <c r="A298" s="641" t="str">
        <f t="shared" si="326"/>
        <v>N</v>
      </c>
      <c r="C298" s="235" t="str">
        <f t="shared" si="312"/>
        <v/>
      </c>
      <c r="D298" s="211" t="str">
        <f t="shared" si="312"/>
        <v/>
      </c>
      <c r="E298" s="1016" t="str">
        <f t="shared" si="311"/>
        <v/>
      </c>
      <c r="F298" s="1016" t="str">
        <f t="shared" si="313"/>
        <v/>
      </c>
      <c r="G298" s="1016" t="str">
        <f t="shared" si="314"/>
        <v/>
      </c>
      <c r="H298" s="1016" t="str">
        <f t="shared" si="314"/>
        <v/>
      </c>
      <c r="I298" s="211" t="str">
        <f t="shared" si="315"/>
        <v/>
      </c>
      <c r="J298" s="1016" t="str">
        <f t="shared" si="316"/>
        <v/>
      </c>
      <c r="K298" s="213" t="str">
        <f t="shared" si="317"/>
        <v/>
      </c>
      <c r="L298" s="212" t="str">
        <f t="shared" si="318"/>
        <v/>
      </c>
      <c r="M298" s="1125" t="str">
        <f>IF(OR($C298="",$C298=0),"",INDEX(API2DENST,MATCH($C298,'Vessel Gauging Data'!$B$27:$B$56,0),$AA$1))</f>
        <v/>
      </c>
      <c r="N298" s="212" t="str">
        <f t="shared" si="319"/>
        <v/>
      </c>
      <c r="O298" s="1016" t="str">
        <f t="shared" si="320"/>
        <v/>
      </c>
      <c r="P298" s="1125" t="str">
        <f t="shared" si="321"/>
        <v/>
      </c>
      <c r="Q298" s="1016" t="str">
        <f t="shared" si="322"/>
        <v/>
      </c>
      <c r="R298" s="214" t="str">
        <f t="shared" si="323"/>
        <v/>
      </c>
      <c r="S298" s="1125" t="str">
        <f t="shared" si="324"/>
        <v/>
      </c>
      <c r="T298" s="236" t="str">
        <f t="shared" si="325"/>
        <v/>
      </c>
      <c r="W298" s="642" t="e">
        <f>INDEX('Vessel Gauging Data'!$B$26:$V$56,MATCH($C298,'Vessel Gauging Data'!$B$26:$B$56,0),$W$198)</f>
        <v>#N/A</v>
      </c>
      <c r="X298" s="642" t="e">
        <f>INDEX('Vessel Gauging Data'!$B$26:$V$56,MATCH($C298,'Vessel Gauging Data'!$B$26:$B$56,0),$X$198)</f>
        <v>#N/A</v>
      </c>
      <c r="Y298" s="642" t="e">
        <f>INDEX('Vessel Gauging Data'!$B$26:$V$56,MATCH($C298,'Vessel Gauging Data'!$B$26:$B$56,0),$Y$198)</f>
        <v>#N/A</v>
      </c>
      <c r="Z298" s="642" t="e">
        <f>INDEX('Vessel Gauging Data'!$B$26:$V$56,MATCH($C298,'Vessel Gauging Data'!$B$26:$B$56,0),$Z$198)</f>
        <v>#N/A</v>
      </c>
      <c r="AB298" s="642" t="e">
        <f>INDEX(API2DENST,MATCH($C298,'Vessel Gauging Data'!$B$27:$B$56,0),1)</f>
        <v>#N/A</v>
      </c>
      <c r="AC298" s="642" t="e">
        <f t="shared" si="291"/>
        <v>#N/A</v>
      </c>
      <c r="AE298" s="661" t="e">
        <f t="shared" si="292"/>
        <v>#VALUE!</v>
      </c>
      <c r="AF298" s="661" t="e">
        <f t="shared" si="293"/>
        <v>#VALUE!</v>
      </c>
      <c r="AH298" s="662" t="str">
        <f t="shared" si="289"/>
        <v/>
      </c>
      <c r="AI298" s="662" t="str">
        <f t="shared" si="290"/>
        <v/>
      </c>
      <c r="AJ298" s="663">
        <f t="shared" si="294"/>
        <v>192.4571</v>
      </c>
      <c r="AK298" s="660">
        <f t="shared" si="295"/>
        <v>0.24379999999999999</v>
      </c>
      <c r="AL298" s="660" t="e">
        <f t="shared" si="296"/>
        <v>#VALUE!</v>
      </c>
      <c r="AM298" s="664" t="e">
        <f t="shared" si="297"/>
        <v>#VALUE!</v>
      </c>
      <c r="AN298" s="664" t="e">
        <f t="shared" si="298"/>
        <v>#VALUE!</v>
      </c>
      <c r="AO298" s="665" t="e">
        <f t="shared" si="299"/>
        <v>#VALUE!</v>
      </c>
      <c r="AP298" s="666" t="e">
        <f t="shared" si="300"/>
        <v>#VALUE!</v>
      </c>
      <c r="AQ298" s="660" t="e">
        <f t="shared" si="301"/>
        <v>#VALUE!</v>
      </c>
      <c r="AR298" s="667" t="e">
        <f t="shared" si="302"/>
        <v>#VALUE!</v>
      </c>
      <c r="AS298" s="667" t="e">
        <f t="shared" si="303"/>
        <v>#VALUE!</v>
      </c>
      <c r="AT298" s="668" t="e">
        <f t="shared" si="304"/>
        <v>#VALUE!</v>
      </c>
      <c r="AU298" s="667" t="e">
        <f t="shared" si="305"/>
        <v>#VALUE!</v>
      </c>
      <c r="AV298" s="669" t="e">
        <f t="shared" si="306"/>
        <v>#VALUE!</v>
      </c>
      <c r="AW298" s="667" t="e">
        <f t="shared" si="307"/>
        <v>#VALUE!</v>
      </c>
      <c r="AX298" s="667" t="e">
        <f t="shared" si="308"/>
        <v>#VALUE!</v>
      </c>
      <c r="AY298" s="660" t="e">
        <f t="shared" si="309"/>
        <v>#VALUE!</v>
      </c>
      <c r="AZ298" s="670" t="e">
        <f t="shared" si="310"/>
        <v>#VALUE!</v>
      </c>
      <c r="BB298" s="662" t="e">
        <f>INDEX('Vessel Gauging Data'!$B$26:$V$56,MATCH($C298,'Vessel Gauging Data'!$B$26:$B$56,0),$BB$198)</f>
        <v>#N/A</v>
      </c>
      <c r="BC298" s="662" t="e">
        <f>INDEX('Vessel Gauging Data'!$B$26:$V$56,MATCH($C298,'Vessel Gauging Data'!$B$26:$B$56,0),$BC$198)</f>
        <v>#N/A</v>
      </c>
      <c r="BD298" s="662" t="e">
        <f>INDEX('Vessel Gauging Data'!$B$26:$V$56,MATCH($C298,'Vessel Gauging Data'!$B$26:$B$56,0),$BD$198)</f>
        <v>#N/A</v>
      </c>
      <c r="BE298" s="662" t="e">
        <f>INDEX('Vessel Gauging Data'!$B$26:$V$56,MATCH($C298,'Vessel Gauging Data'!$B$26:$B$56,0),$BE$198)</f>
        <v>#N/A</v>
      </c>
    </row>
    <row r="299" spans="1:57" hidden="1">
      <c r="A299" s="641" t="str">
        <f t="shared" si="326"/>
        <v>N</v>
      </c>
      <c r="C299" s="235" t="str">
        <f t="shared" si="312"/>
        <v/>
      </c>
      <c r="D299" s="211" t="str">
        <f t="shared" si="312"/>
        <v/>
      </c>
      <c r="E299" s="1016" t="str">
        <f t="shared" si="311"/>
        <v/>
      </c>
      <c r="F299" s="1016" t="str">
        <f t="shared" si="313"/>
        <v/>
      </c>
      <c r="G299" s="1016" t="str">
        <f t="shared" si="314"/>
        <v/>
      </c>
      <c r="H299" s="1016" t="str">
        <f t="shared" si="314"/>
        <v/>
      </c>
      <c r="I299" s="211" t="str">
        <f t="shared" si="315"/>
        <v/>
      </c>
      <c r="J299" s="1016" t="str">
        <f t="shared" si="316"/>
        <v/>
      </c>
      <c r="K299" s="213" t="str">
        <f t="shared" si="317"/>
        <v/>
      </c>
      <c r="L299" s="212" t="str">
        <f t="shared" si="318"/>
        <v/>
      </c>
      <c r="M299" s="1125" t="str">
        <f>IF(OR($C299="",$C299=0),"",INDEX(API2DENST,MATCH($C299,'Vessel Gauging Data'!$B$27:$B$56,0),$AA$1))</f>
        <v/>
      </c>
      <c r="N299" s="212" t="str">
        <f t="shared" si="319"/>
        <v/>
      </c>
      <c r="O299" s="1016" t="str">
        <f t="shared" si="320"/>
        <v/>
      </c>
      <c r="P299" s="1125" t="str">
        <f t="shared" si="321"/>
        <v/>
      </c>
      <c r="Q299" s="1016" t="str">
        <f t="shared" si="322"/>
        <v/>
      </c>
      <c r="R299" s="214" t="str">
        <f t="shared" si="323"/>
        <v/>
      </c>
      <c r="S299" s="1125" t="str">
        <f t="shared" si="324"/>
        <v/>
      </c>
      <c r="T299" s="236" t="str">
        <f t="shared" si="325"/>
        <v/>
      </c>
      <c r="W299" s="642" t="e">
        <f>INDEX('Vessel Gauging Data'!$B$26:$V$56,MATCH($C299,'Vessel Gauging Data'!$B$26:$B$56,0),$W$198)</f>
        <v>#N/A</v>
      </c>
      <c r="X299" s="642" t="e">
        <f>INDEX('Vessel Gauging Data'!$B$26:$V$56,MATCH($C299,'Vessel Gauging Data'!$B$26:$B$56,0),$X$198)</f>
        <v>#N/A</v>
      </c>
      <c r="Y299" s="642" t="e">
        <f>INDEX('Vessel Gauging Data'!$B$26:$V$56,MATCH($C299,'Vessel Gauging Data'!$B$26:$B$56,0),$Y$198)</f>
        <v>#N/A</v>
      </c>
      <c r="Z299" s="642" t="e">
        <f>INDEX('Vessel Gauging Data'!$B$26:$V$56,MATCH($C299,'Vessel Gauging Data'!$B$26:$B$56,0),$Z$198)</f>
        <v>#N/A</v>
      </c>
      <c r="AB299" s="642" t="e">
        <f>INDEX(API2DENST,MATCH($C299,'Vessel Gauging Data'!$B$27:$B$56,0),1)</f>
        <v>#N/A</v>
      </c>
      <c r="AC299" s="642" t="e">
        <f t="shared" si="291"/>
        <v>#N/A</v>
      </c>
      <c r="AE299" s="661" t="e">
        <f t="shared" si="292"/>
        <v>#VALUE!</v>
      </c>
      <c r="AF299" s="661" t="e">
        <f t="shared" si="293"/>
        <v>#VALUE!</v>
      </c>
      <c r="AH299" s="662" t="str">
        <f t="shared" si="289"/>
        <v/>
      </c>
      <c r="AI299" s="662" t="str">
        <f t="shared" si="290"/>
        <v/>
      </c>
      <c r="AJ299" s="663">
        <f t="shared" si="294"/>
        <v>192.4571</v>
      </c>
      <c r="AK299" s="660">
        <f t="shared" si="295"/>
        <v>0.24379999999999999</v>
      </c>
      <c r="AL299" s="660" t="e">
        <f t="shared" si="296"/>
        <v>#VALUE!</v>
      </c>
      <c r="AM299" s="664" t="e">
        <f t="shared" si="297"/>
        <v>#VALUE!</v>
      </c>
      <c r="AN299" s="664" t="e">
        <f t="shared" si="298"/>
        <v>#VALUE!</v>
      </c>
      <c r="AO299" s="665" t="e">
        <f t="shared" si="299"/>
        <v>#VALUE!</v>
      </c>
      <c r="AP299" s="666" t="e">
        <f t="shared" si="300"/>
        <v>#VALUE!</v>
      </c>
      <c r="AQ299" s="660" t="e">
        <f t="shared" si="301"/>
        <v>#VALUE!</v>
      </c>
      <c r="AR299" s="667" t="e">
        <f t="shared" si="302"/>
        <v>#VALUE!</v>
      </c>
      <c r="AS299" s="667" t="e">
        <f t="shared" si="303"/>
        <v>#VALUE!</v>
      </c>
      <c r="AT299" s="668" t="e">
        <f t="shared" si="304"/>
        <v>#VALUE!</v>
      </c>
      <c r="AU299" s="667" t="e">
        <f t="shared" si="305"/>
        <v>#VALUE!</v>
      </c>
      <c r="AV299" s="669" t="e">
        <f t="shared" si="306"/>
        <v>#VALUE!</v>
      </c>
      <c r="AW299" s="667" t="e">
        <f t="shared" si="307"/>
        <v>#VALUE!</v>
      </c>
      <c r="AX299" s="667" t="e">
        <f t="shared" si="308"/>
        <v>#VALUE!</v>
      </c>
      <c r="AY299" s="660" t="e">
        <f t="shared" si="309"/>
        <v>#VALUE!</v>
      </c>
      <c r="AZ299" s="670" t="e">
        <f t="shared" si="310"/>
        <v>#VALUE!</v>
      </c>
      <c r="BB299" s="662" t="e">
        <f>INDEX('Vessel Gauging Data'!$B$26:$V$56,MATCH($C299,'Vessel Gauging Data'!$B$26:$B$56,0),$BB$198)</f>
        <v>#N/A</v>
      </c>
      <c r="BC299" s="662" t="e">
        <f>INDEX('Vessel Gauging Data'!$B$26:$V$56,MATCH($C299,'Vessel Gauging Data'!$B$26:$B$56,0),$BC$198)</f>
        <v>#N/A</v>
      </c>
      <c r="BD299" s="662" t="e">
        <f>INDEX('Vessel Gauging Data'!$B$26:$V$56,MATCH($C299,'Vessel Gauging Data'!$B$26:$B$56,0),$BD$198)</f>
        <v>#N/A</v>
      </c>
      <c r="BE299" s="662" t="e">
        <f>INDEX('Vessel Gauging Data'!$B$26:$V$56,MATCH($C299,'Vessel Gauging Data'!$B$26:$B$56,0),$BE$198)</f>
        <v>#N/A</v>
      </c>
    </row>
    <row r="300" spans="1:57" hidden="1">
      <c r="A300" s="641" t="str">
        <f t="shared" si="326"/>
        <v>N</v>
      </c>
      <c r="C300" s="235" t="str">
        <f t="shared" si="312"/>
        <v/>
      </c>
      <c r="D300" s="211" t="str">
        <f t="shared" si="312"/>
        <v/>
      </c>
      <c r="E300" s="1016" t="str">
        <f t="shared" si="311"/>
        <v/>
      </c>
      <c r="F300" s="1016" t="str">
        <f t="shared" si="313"/>
        <v/>
      </c>
      <c r="G300" s="1016" t="str">
        <f t="shared" si="314"/>
        <v/>
      </c>
      <c r="H300" s="1016" t="str">
        <f t="shared" si="314"/>
        <v/>
      </c>
      <c r="I300" s="211" t="str">
        <f t="shared" si="315"/>
        <v/>
      </c>
      <c r="J300" s="1016" t="str">
        <f t="shared" si="316"/>
        <v/>
      </c>
      <c r="K300" s="213" t="str">
        <f t="shared" si="317"/>
        <v/>
      </c>
      <c r="L300" s="212" t="str">
        <f t="shared" si="318"/>
        <v/>
      </c>
      <c r="M300" s="1125" t="str">
        <f>IF(OR($C300="",$C300=0),"",INDEX(API2DENST,MATCH($C300,'Vessel Gauging Data'!$B$27:$B$56,0),$AA$1))</f>
        <v/>
      </c>
      <c r="N300" s="212" t="str">
        <f t="shared" si="319"/>
        <v/>
      </c>
      <c r="O300" s="1016" t="str">
        <f t="shared" si="320"/>
        <v/>
      </c>
      <c r="P300" s="1125" t="str">
        <f t="shared" si="321"/>
        <v/>
      </c>
      <c r="Q300" s="1016" t="str">
        <f t="shared" si="322"/>
        <v/>
      </c>
      <c r="R300" s="214" t="str">
        <f t="shared" si="323"/>
        <v/>
      </c>
      <c r="S300" s="1125" t="str">
        <f t="shared" si="324"/>
        <v/>
      </c>
      <c r="T300" s="236" t="str">
        <f t="shared" si="325"/>
        <v/>
      </c>
      <c r="W300" s="642" t="e">
        <f>INDEX('Vessel Gauging Data'!$B$26:$V$56,MATCH($C300,'Vessel Gauging Data'!$B$26:$B$56,0),$W$198)</f>
        <v>#N/A</v>
      </c>
      <c r="X300" s="642" t="e">
        <f>INDEX('Vessel Gauging Data'!$B$26:$V$56,MATCH($C300,'Vessel Gauging Data'!$B$26:$B$56,0),$X$198)</f>
        <v>#N/A</v>
      </c>
      <c r="Y300" s="642" t="e">
        <f>INDEX('Vessel Gauging Data'!$B$26:$V$56,MATCH($C300,'Vessel Gauging Data'!$B$26:$B$56,0),$Y$198)</f>
        <v>#N/A</v>
      </c>
      <c r="Z300" s="642" t="e">
        <f>INDEX('Vessel Gauging Data'!$B$26:$V$56,MATCH($C300,'Vessel Gauging Data'!$B$26:$B$56,0),$Z$198)</f>
        <v>#N/A</v>
      </c>
      <c r="AB300" s="642" t="e">
        <f>INDEX(API2DENST,MATCH($C300,'Vessel Gauging Data'!$B$27:$B$56,0),1)</f>
        <v>#N/A</v>
      </c>
      <c r="AC300" s="642" t="e">
        <f t="shared" si="291"/>
        <v>#N/A</v>
      </c>
      <c r="AE300" s="661" t="e">
        <f t="shared" si="292"/>
        <v>#VALUE!</v>
      </c>
      <c r="AF300" s="661" t="e">
        <f t="shared" si="293"/>
        <v>#VALUE!</v>
      </c>
      <c r="AH300" s="662" t="str">
        <f t="shared" si="289"/>
        <v/>
      </c>
      <c r="AI300" s="662" t="str">
        <f t="shared" si="290"/>
        <v/>
      </c>
      <c r="AJ300" s="663">
        <f t="shared" si="294"/>
        <v>192.4571</v>
      </c>
      <c r="AK300" s="660">
        <f t="shared" si="295"/>
        <v>0.24379999999999999</v>
      </c>
      <c r="AL300" s="660" t="e">
        <f t="shared" si="296"/>
        <v>#VALUE!</v>
      </c>
      <c r="AM300" s="664" t="e">
        <f t="shared" si="297"/>
        <v>#VALUE!</v>
      </c>
      <c r="AN300" s="664" t="e">
        <f t="shared" si="298"/>
        <v>#VALUE!</v>
      </c>
      <c r="AO300" s="665" t="e">
        <f t="shared" si="299"/>
        <v>#VALUE!</v>
      </c>
      <c r="AP300" s="666" t="e">
        <f t="shared" si="300"/>
        <v>#VALUE!</v>
      </c>
      <c r="AQ300" s="660" t="e">
        <f t="shared" si="301"/>
        <v>#VALUE!</v>
      </c>
      <c r="AR300" s="667" t="e">
        <f t="shared" si="302"/>
        <v>#VALUE!</v>
      </c>
      <c r="AS300" s="667" t="e">
        <f t="shared" si="303"/>
        <v>#VALUE!</v>
      </c>
      <c r="AT300" s="668" t="e">
        <f t="shared" si="304"/>
        <v>#VALUE!</v>
      </c>
      <c r="AU300" s="667" t="e">
        <f t="shared" si="305"/>
        <v>#VALUE!</v>
      </c>
      <c r="AV300" s="669" t="e">
        <f t="shared" si="306"/>
        <v>#VALUE!</v>
      </c>
      <c r="AW300" s="667" t="e">
        <f t="shared" si="307"/>
        <v>#VALUE!</v>
      </c>
      <c r="AX300" s="667" t="e">
        <f t="shared" si="308"/>
        <v>#VALUE!</v>
      </c>
      <c r="AY300" s="660" t="e">
        <f t="shared" si="309"/>
        <v>#VALUE!</v>
      </c>
      <c r="AZ300" s="670" t="e">
        <f t="shared" si="310"/>
        <v>#VALUE!</v>
      </c>
      <c r="BB300" s="662" t="e">
        <f>INDEX('Vessel Gauging Data'!$B$26:$V$56,MATCH($C300,'Vessel Gauging Data'!$B$26:$B$56,0),$BB$198)</f>
        <v>#N/A</v>
      </c>
      <c r="BC300" s="662" t="e">
        <f>INDEX('Vessel Gauging Data'!$B$26:$V$56,MATCH($C300,'Vessel Gauging Data'!$B$26:$B$56,0),$BC$198)</f>
        <v>#N/A</v>
      </c>
      <c r="BD300" s="662" t="e">
        <f>INDEX('Vessel Gauging Data'!$B$26:$V$56,MATCH($C300,'Vessel Gauging Data'!$B$26:$B$56,0),$BD$198)</f>
        <v>#N/A</v>
      </c>
      <c r="BE300" s="662" t="e">
        <f>INDEX('Vessel Gauging Data'!$B$26:$V$56,MATCH($C300,'Vessel Gauging Data'!$B$26:$B$56,0),$BE$198)</f>
        <v>#N/A</v>
      </c>
    </row>
    <row r="301" spans="1:57" hidden="1">
      <c r="A301" s="641" t="str">
        <f t="shared" si="326"/>
        <v>N</v>
      </c>
      <c r="C301" s="235" t="str">
        <f t="shared" si="312"/>
        <v/>
      </c>
      <c r="D301" s="211" t="str">
        <f t="shared" si="312"/>
        <v/>
      </c>
      <c r="E301" s="1016" t="str">
        <f t="shared" si="311"/>
        <v/>
      </c>
      <c r="F301" s="1016" t="str">
        <f t="shared" si="313"/>
        <v/>
      </c>
      <c r="G301" s="1016" t="str">
        <f t="shared" si="314"/>
        <v/>
      </c>
      <c r="H301" s="1016" t="str">
        <f t="shared" si="314"/>
        <v/>
      </c>
      <c r="I301" s="211" t="str">
        <f t="shared" si="315"/>
        <v/>
      </c>
      <c r="J301" s="1016" t="str">
        <f t="shared" si="316"/>
        <v/>
      </c>
      <c r="K301" s="213" t="str">
        <f t="shared" si="317"/>
        <v/>
      </c>
      <c r="L301" s="212" t="str">
        <f t="shared" si="318"/>
        <v/>
      </c>
      <c r="M301" s="1125" t="str">
        <f>IF(OR($C301="",$C301=0),"",INDEX(API2DENST,MATCH($C301,'Vessel Gauging Data'!$B$27:$B$56,0),$AA$1))</f>
        <v/>
      </c>
      <c r="N301" s="212" t="str">
        <f t="shared" si="319"/>
        <v/>
      </c>
      <c r="O301" s="1016" t="str">
        <f t="shared" si="320"/>
        <v/>
      </c>
      <c r="P301" s="1125" t="str">
        <f t="shared" si="321"/>
        <v/>
      </c>
      <c r="Q301" s="1016" t="str">
        <f t="shared" si="322"/>
        <v/>
      </c>
      <c r="R301" s="214" t="str">
        <f t="shared" si="323"/>
        <v/>
      </c>
      <c r="S301" s="1125" t="str">
        <f t="shared" si="324"/>
        <v/>
      </c>
      <c r="T301" s="236" t="str">
        <f t="shared" si="325"/>
        <v/>
      </c>
      <c r="W301" s="642" t="e">
        <f>INDEX('Vessel Gauging Data'!$B$26:$V$56,MATCH($C301,'Vessel Gauging Data'!$B$26:$B$56,0),$W$198)</f>
        <v>#N/A</v>
      </c>
      <c r="X301" s="642" t="e">
        <f>INDEX('Vessel Gauging Data'!$B$26:$V$56,MATCH($C301,'Vessel Gauging Data'!$B$26:$B$56,0),$X$198)</f>
        <v>#N/A</v>
      </c>
      <c r="Y301" s="642" t="e">
        <f>INDEX('Vessel Gauging Data'!$B$26:$V$56,MATCH($C301,'Vessel Gauging Data'!$B$26:$B$56,0),$Y$198)</f>
        <v>#N/A</v>
      </c>
      <c r="Z301" s="642" t="e">
        <f>INDEX('Vessel Gauging Data'!$B$26:$V$56,MATCH($C301,'Vessel Gauging Data'!$B$26:$B$56,0),$Z$198)</f>
        <v>#N/A</v>
      </c>
      <c r="AB301" s="642" t="e">
        <f>INDEX(API2DENST,MATCH($C301,'Vessel Gauging Data'!$B$27:$B$56,0),1)</f>
        <v>#N/A</v>
      </c>
      <c r="AC301" s="642" t="e">
        <f t="shared" si="291"/>
        <v>#N/A</v>
      </c>
      <c r="AE301" s="661" t="e">
        <f t="shared" si="292"/>
        <v>#VALUE!</v>
      </c>
      <c r="AF301" s="661" t="e">
        <f t="shared" si="293"/>
        <v>#VALUE!</v>
      </c>
      <c r="AH301" s="662" t="str">
        <f t="shared" si="289"/>
        <v/>
      </c>
      <c r="AI301" s="662" t="str">
        <f t="shared" si="290"/>
        <v/>
      </c>
      <c r="AJ301" s="663">
        <f t="shared" si="294"/>
        <v>192.4571</v>
      </c>
      <c r="AK301" s="660">
        <f t="shared" si="295"/>
        <v>0.24379999999999999</v>
      </c>
      <c r="AL301" s="660" t="e">
        <f t="shared" si="296"/>
        <v>#VALUE!</v>
      </c>
      <c r="AM301" s="664" t="e">
        <f t="shared" si="297"/>
        <v>#VALUE!</v>
      </c>
      <c r="AN301" s="664" t="e">
        <f t="shared" si="298"/>
        <v>#VALUE!</v>
      </c>
      <c r="AO301" s="665" t="e">
        <f t="shared" si="299"/>
        <v>#VALUE!</v>
      </c>
      <c r="AP301" s="666" t="e">
        <f t="shared" si="300"/>
        <v>#VALUE!</v>
      </c>
      <c r="AQ301" s="660" t="e">
        <f t="shared" si="301"/>
        <v>#VALUE!</v>
      </c>
      <c r="AR301" s="667" t="e">
        <f t="shared" si="302"/>
        <v>#VALUE!</v>
      </c>
      <c r="AS301" s="667" t="e">
        <f t="shared" si="303"/>
        <v>#VALUE!</v>
      </c>
      <c r="AT301" s="668" t="e">
        <f t="shared" si="304"/>
        <v>#VALUE!</v>
      </c>
      <c r="AU301" s="667" t="e">
        <f t="shared" si="305"/>
        <v>#VALUE!</v>
      </c>
      <c r="AV301" s="669" t="e">
        <f t="shared" si="306"/>
        <v>#VALUE!</v>
      </c>
      <c r="AW301" s="667" t="e">
        <f t="shared" si="307"/>
        <v>#VALUE!</v>
      </c>
      <c r="AX301" s="667" t="e">
        <f t="shared" si="308"/>
        <v>#VALUE!</v>
      </c>
      <c r="AY301" s="660" t="e">
        <f t="shared" si="309"/>
        <v>#VALUE!</v>
      </c>
      <c r="AZ301" s="670" t="e">
        <f t="shared" si="310"/>
        <v>#VALUE!</v>
      </c>
      <c r="BB301" s="662" t="e">
        <f>INDEX('Vessel Gauging Data'!$B$26:$V$56,MATCH($C301,'Vessel Gauging Data'!$B$26:$B$56,0),$BB$198)</f>
        <v>#N/A</v>
      </c>
      <c r="BC301" s="662" t="e">
        <f>INDEX('Vessel Gauging Data'!$B$26:$V$56,MATCH($C301,'Vessel Gauging Data'!$B$26:$B$56,0),$BC$198)</f>
        <v>#N/A</v>
      </c>
      <c r="BD301" s="662" t="e">
        <f>INDEX('Vessel Gauging Data'!$B$26:$V$56,MATCH($C301,'Vessel Gauging Data'!$B$26:$B$56,0),$BD$198)</f>
        <v>#N/A</v>
      </c>
      <c r="BE301" s="662" t="e">
        <f>INDEX('Vessel Gauging Data'!$B$26:$V$56,MATCH($C301,'Vessel Gauging Data'!$B$26:$B$56,0),$BE$198)</f>
        <v>#N/A</v>
      </c>
    </row>
    <row r="302" spans="1:57" hidden="1">
      <c r="A302" s="641" t="str">
        <f t="shared" si="326"/>
        <v>N</v>
      </c>
      <c r="C302" s="235" t="str">
        <f t="shared" si="312"/>
        <v/>
      </c>
      <c r="D302" s="211" t="str">
        <f t="shared" si="312"/>
        <v/>
      </c>
      <c r="E302" s="1016" t="str">
        <f t="shared" si="311"/>
        <v/>
      </c>
      <c r="F302" s="1016" t="str">
        <f t="shared" si="313"/>
        <v/>
      </c>
      <c r="G302" s="1016" t="str">
        <f t="shared" si="314"/>
        <v/>
      </c>
      <c r="H302" s="1016" t="str">
        <f t="shared" si="314"/>
        <v/>
      </c>
      <c r="I302" s="211" t="str">
        <f t="shared" si="315"/>
        <v/>
      </c>
      <c r="J302" s="1016" t="str">
        <f t="shared" si="316"/>
        <v/>
      </c>
      <c r="K302" s="213" t="str">
        <f t="shared" si="317"/>
        <v/>
      </c>
      <c r="L302" s="212" t="str">
        <f t="shared" si="318"/>
        <v/>
      </c>
      <c r="M302" s="1125" t="str">
        <f>IF(OR($C302="",$C302=0),"",INDEX(API2DENST,MATCH($C302,'Vessel Gauging Data'!$B$27:$B$56,0),$AA$1))</f>
        <v/>
      </c>
      <c r="N302" s="212" t="str">
        <f t="shared" si="319"/>
        <v/>
      </c>
      <c r="O302" s="1016" t="str">
        <f t="shared" si="320"/>
        <v/>
      </c>
      <c r="P302" s="1125" t="str">
        <f t="shared" si="321"/>
        <v/>
      </c>
      <c r="Q302" s="1016" t="str">
        <f t="shared" si="322"/>
        <v/>
      </c>
      <c r="R302" s="214" t="str">
        <f t="shared" si="323"/>
        <v/>
      </c>
      <c r="S302" s="1125" t="str">
        <f t="shared" si="324"/>
        <v/>
      </c>
      <c r="T302" s="236" t="str">
        <f t="shared" si="325"/>
        <v/>
      </c>
      <c r="W302" s="642" t="e">
        <f>INDEX('Vessel Gauging Data'!$B$26:$V$56,MATCH($C302,'Vessel Gauging Data'!$B$26:$B$56,0),$W$198)</f>
        <v>#N/A</v>
      </c>
      <c r="X302" s="642" t="e">
        <f>INDEX('Vessel Gauging Data'!$B$26:$V$56,MATCH($C302,'Vessel Gauging Data'!$B$26:$B$56,0),$X$198)</f>
        <v>#N/A</v>
      </c>
      <c r="Y302" s="642" t="e">
        <f>INDEX('Vessel Gauging Data'!$B$26:$V$56,MATCH($C302,'Vessel Gauging Data'!$B$26:$B$56,0),$Y$198)</f>
        <v>#N/A</v>
      </c>
      <c r="Z302" s="642" t="e">
        <f>INDEX('Vessel Gauging Data'!$B$26:$V$56,MATCH($C302,'Vessel Gauging Data'!$B$26:$B$56,0),$Z$198)</f>
        <v>#N/A</v>
      </c>
      <c r="AB302" s="642" t="e">
        <f>INDEX(API2DENST,MATCH($C302,'Vessel Gauging Data'!$B$27:$B$56,0),1)</f>
        <v>#N/A</v>
      </c>
      <c r="AC302" s="642" t="e">
        <f t="shared" si="291"/>
        <v>#N/A</v>
      </c>
      <c r="AE302" s="661" t="e">
        <f t="shared" si="292"/>
        <v>#VALUE!</v>
      </c>
      <c r="AF302" s="661" t="e">
        <f t="shared" si="293"/>
        <v>#VALUE!</v>
      </c>
      <c r="AH302" s="662" t="str">
        <f t="shared" si="289"/>
        <v/>
      </c>
      <c r="AI302" s="662" t="str">
        <f t="shared" si="290"/>
        <v/>
      </c>
      <c r="AJ302" s="663">
        <f t="shared" si="294"/>
        <v>192.4571</v>
      </c>
      <c r="AK302" s="660">
        <f t="shared" si="295"/>
        <v>0.24379999999999999</v>
      </c>
      <c r="AL302" s="660" t="e">
        <f t="shared" si="296"/>
        <v>#VALUE!</v>
      </c>
      <c r="AM302" s="664" t="e">
        <f t="shared" si="297"/>
        <v>#VALUE!</v>
      </c>
      <c r="AN302" s="664" t="e">
        <f t="shared" si="298"/>
        <v>#VALUE!</v>
      </c>
      <c r="AO302" s="665" t="e">
        <f t="shared" si="299"/>
        <v>#VALUE!</v>
      </c>
      <c r="AP302" s="666" t="e">
        <f t="shared" si="300"/>
        <v>#VALUE!</v>
      </c>
      <c r="AQ302" s="660" t="e">
        <f t="shared" si="301"/>
        <v>#VALUE!</v>
      </c>
      <c r="AR302" s="667" t="e">
        <f t="shared" si="302"/>
        <v>#VALUE!</v>
      </c>
      <c r="AS302" s="667" t="e">
        <f t="shared" si="303"/>
        <v>#VALUE!</v>
      </c>
      <c r="AT302" s="668" t="e">
        <f t="shared" si="304"/>
        <v>#VALUE!</v>
      </c>
      <c r="AU302" s="667" t="e">
        <f t="shared" si="305"/>
        <v>#VALUE!</v>
      </c>
      <c r="AV302" s="669" t="e">
        <f t="shared" si="306"/>
        <v>#VALUE!</v>
      </c>
      <c r="AW302" s="667" t="e">
        <f t="shared" si="307"/>
        <v>#VALUE!</v>
      </c>
      <c r="AX302" s="667" t="e">
        <f t="shared" si="308"/>
        <v>#VALUE!</v>
      </c>
      <c r="AY302" s="660" t="e">
        <f t="shared" si="309"/>
        <v>#VALUE!</v>
      </c>
      <c r="AZ302" s="670" t="e">
        <f t="shared" si="310"/>
        <v>#VALUE!</v>
      </c>
      <c r="BB302" s="662" t="e">
        <f>INDEX('Vessel Gauging Data'!$B$26:$V$56,MATCH($C302,'Vessel Gauging Data'!$B$26:$B$56,0),$BB$198)</f>
        <v>#N/A</v>
      </c>
      <c r="BC302" s="662" t="e">
        <f>INDEX('Vessel Gauging Data'!$B$26:$V$56,MATCH($C302,'Vessel Gauging Data'!$B$26:$B$56,0),$BC$198)</f>
        <v>#N/A</v>
      </c>
      <c r="BD302" s="662" t="e">
        <f>INDEX('Vessel Gauging Data'!$B$26:$V$56,MATCH($C302,'Vessel Gauging Data'!$B$26:$B$56,0),$BD$198)</f>
        <v>#N/A</v>
      </c>
      <c r="BE302" s="662" t="e">
        <f>INDEX('Vessel Gauging Data'!$B$26:$V$56,MATCH($C302,'Vessel Gauging Data'!$B$26:$B$56,0),$BE$198)</f>
        <v>#N/A</v>
      </c>
    </row>
    <row r="303" spans="1:57" hidden="1">
      <c r="A303" s="641" t="str">
        <f t="shared" si="326"/>
        <v>N</v>
      </c>
      <c r="C303" s="235" t="str">
        <f t="shared" si="312"/>
        <v/>
      </c>
      <c r="D303" s="211" t="str">
        <f t="shared" si="312"/>
        <v/>
      </c>
      <c r="E303" s="1016" t="str">
        <f t="shared" si="311"/>
        <v/>
      </c>
      <c r="F303" s="1016" t="str">
        <f t="shared" si="313"/>
        <v/>
      </c>
      <c r="G303" s="1016" t="str">
        <f t="shared" si="314"/>
        <v/>
      </c>
      <c r="H303" s="1016" t="str">
        <f t="shared" si="314"/>
        <v/>
      </c>
      <c r="I303" s="211" t="str">
        <f t="shared" si="315"/>
        <v/>
      </c>
      <c r="J303" s="1016" t="str">
        <f t="shared" si="316"/>
        <v/>
      </c>
      <c r="K303" s="213" t="str">
        <f t="shared" si="317"/>
        <v/>
      </c>
      <c r="L303" s="212" t="str">
        <f t="shared" si="318"/>
        <v/>
      </c>
      <c r="M303" s="1125" t="str">
        <f>IF(OR($C303="",$C303=0),"",INDEX(API2DENST,MATCH($C303,'Vessel Gauging Data'!$B$27:$B$56,0),$AA$1))</f>
        <v/>
      </c>
      <c r="N303" s="212" t="str">
        <f t="shared" si="319"/>
        <v/>
      </c>
      <c r="O303" s="1016" t="str">
        <f t="shared" si="320"/>
        <v/>
      </c>
      <c r="P303" s="1125" t="str">
        <f t="shared" si="321"/>
        <v/>
      </c>
      <c r="Q303" s="1016" t="str">
        <f t="shared" si="322"/>
        <v/>
      </c>
      <c r="R303" s="214" t="str">
        <f t="shared" si="323"/>
        <v/>
      </c>
      <c r="S303" s="1125" t="str">
        <f t="shared" si="324"/>
        <v/>
      </c>
      <c r="T303" s="236" t="str">
        <f t="shared" si="325"/>
        <v/>
      </c>
      <c r="W303" s="642" t="e">
        <f>INDEX('Vessel Gauging Data'!$B$26:$V$56,MATCH($C303,'Vessel Gauging Data'!$B$26:$B$56,0),$W$198)</f>
        <v>#N/A</v>
      </c>
      <c r="X303" s="642" t="e">
        <f>INDEX('Vessel Gauging Data'!$B$26:$V$56,MATCH($C303,'Vessel Gauging Data'!$B$26:$B$56,0),$X$198)</f>
        <v>#N/A</v>
      </c>
      <c r="Y303" s="642" t="e">
        <f>INDEX('Vessel Gauging Data'!$B$26:$V$56,MATCH($C303,'Vessel Gauging Data'!$B$26:$B$56,0),$Y$198)</f>
        <v>#N/A</v>
      </c>
      <c r="Z303" s="642" t="e">
        <f>INDEX('Vessel Gauging Data'!$B$26:$V$56,MATCH($C303,'Vessel Gauging Data'!$B$26:$B$56,0),$Z$198)</f>
        <v>#N/A</v>
      </c>
      <c r="AB303" s="642" t="e">
        <f>INDEX(API2DENST,MATCH($C303,'Vessel Gauging Data'!$B$27:$B$56,0),1)</f>
        <v>#N/A</v>
      </c>
      <c r="AC303" s="642" t="e">
        <f t="shared" si="291"/>
        <v>#N/A</v>
      </c>
      <c r="AE303" s="661" t="e">
        <f t="shared" si="292"/>
        <v>#VALUE!</v>
      </c>
      <c r="AF303" s="661" t="e">
        <f t="shared" si="293"/>
        <v>#VALUE!</v>
      </c>
      <c r="AH303" s="662" t="str">
        <f t="shared" ref="AH303:AH341" si="327">N303</f>
        <v/>
      </c>
      <c r="AI303" s="662" t="str">
        <f t="shared" ref="AI303:AI341" si="328">M303</f>
        <v/>
      </c>
      <c r="AJ303" s="663">
        <f t="shared" si="294"/>
        <v>192.4571</v>
      </c>
      <c r="AK303" s="660">
        <f t="shared" si="295"/>
        <v>0.24379999999999999</v>
      </c>
      <c r="AL303" s="660" t="e">
        <f t="shared" si="296"/>
        <v>#VALUE!</v>
      </c>
      <c r="AM303" s="664" t="e">
        <f t="shared" si="297"/>
        <v>#VALUE!</v>
      </c>
      <c r="AN303" s="664" t="e">
        <f t="shared" si="298"/>
        <v>#VALUE!</v>
      </c>
      <c r="AO303" s="665" t="e">
        <f t="shared" si="299"/>
        <v>#VALUE!</v>
      </c>
      <c r="AP303" s="666" t="e">
        <f t="shared" si="300"/>
        <v>#VALUE!</v>
      </c>
      <c r="AQ303" s="660" t="e">
        <f t="shared" si="301"/>
        <v>#VALUE!</v>
      </c>
      <c r="AR303" s="667" t="e">
        <f t="shared" si="302"/>
        <v>#VALUE!</v>
      </c>
      <c r="AS303" s="667" t="e">
        <f t="shared" si="303"/>
        <v>#VALUE!</v>
      </c>
      <c r="AT303" s="668" t="e">
        <f t="shared" si="304"/>
        <v>#VALUE!</v>
      </c>
      <c r="AU303" s="667" t="e">
        <f t="shared" si="305"/>
        <v>#VALUE!</v>
      </c>
      <c r="AV303" s="669" t="e">
        <f t="shared" si="306"/>
        <v>#VALUE!</v>
      </c>
      <c r="AW303" s="667" t="e">
        <f t="shared" si="307"/>
        <v>#VALUE!</v>
      </c>
      <c r="AX303" s="667" t="e">
        <f t="shared" si="308"/>
        <v>#VALUE!</v>
      </c>
      <c r="AY303" s="660" t="e">
        <f t="shared" si="309"/>
        <v>#VALUE!</v>
      </c>
      <c r="AZ303" s="670" t="e">
        <f t="shared" si="310"/>
        <v>#VALUE!</v>
      </c>
      <c r="BB303" s="662" t="e">
        <f>INDEX('Vessel Gauging Data'!$B$26:$V$56,MATCH($C303,'Vessel Gauging Data'!$B$26:$B$56,0),$BB$198)</f>
        <v>#N/A</v>
      </c>
      <c r="BC303" s="662" t="e">
        <f>INDEX('Vessel Gauging Data'!$B$26:$V$56,MATCH($C303,'Vessel Gauging Data'!$B$26:$B$56,0),$BC$198)</f>
        <v>#N/A</v>
      </c>
      <c r="BD303" s="662" t="e">
        <f>INDEX('Vessel Gauging Data'!$B$26:$V$56,MATCH($C303,'Vessel Gauging Data'!$B$26:$B$56,0),$BD$198)</f>
        <v>#N/A</v>
      </c>
      <c r="BE303" s="662" t="e">
        <f>INDEX('Vessel Gauging Data'!$B$26:$V$56,MATCH($C303,'Vessel Gauging Data'!$B$26:$B$56,0),$BE$198)</f>
        <v>#N/A</v>
      </c>
    </row>
    <row r="304" spans="1:57" hidden="1">
      <c r="A304" s="641" t="str">
        <f t="shared" si="326"/>
        <v>N</v>
      </c>
      <c r="C304" s="235" t="str">
        <f t="shared" si="312"/>
        <v/>
      </c>
      <c r="D304" s="211" t="str">
        <f t="shared" si="312"/>
        <v/>
      </c>
      <c r="E304" s="1016" t="str">
        <f t="shared" si="311"/>
        <v/>
      </c>
      <c r="F304" s="1016" t="str">
        <f t="shared" si="313"/>
        <v/>
      </c>
      <c r="G304" s="1016" t="str">
        <f t="shared" si="314"/>
        <v/>
      </c>
      <c r="H304" s="1016" t="str">
        <f t="shared" si="314"/>
        <v/>
      </c>
      <c r="I304" s="211" t="str">
        <f t="shared" si="315"/>
        <v/>
      </c>
      <c r="J304" s="1016" t="str">
        <f t="shared" si="316"/>
        <v/>
      </c>
      <c r="K304" s="213" t="str">
        <f t="shared" si="317"/>
        <v/>
      </c>
      <c r="L304" s="212" t="str">
        <f t="shared" si="318"/>
        <v/>
      </c>
      <c r="M304" s="1125" t="str">
        <f>IF(OR($C304="",$C304=0),"",INDEX(API2DENST,MATCH($C304,'Vessel Gauging Data'!$B$27:$B$56,0),$AA$1))</f>
        <v/>
      </c>
      <c r="N304" s="212" t="str">
        <f t="shared" si="319"/>
        <v/>
      </c>
      <c r="O304" s="1016" t="str">
        <f t="shared" si="320"/>
        <v/>
      </c>
      <c r="P304" s="1125" t="str">
        <f t="shared" si="321"/>
        <v/>
      </c>
      <c r="Q304" s="1016" t="str">
        <f t="shared" si="322"/>
        <v/>
      </c>
      <c r="R304" s="214" t="str">
        <f t="shared" si="323"/>
        <v/>
      </c>
      <c r="S304" s="1125" t="str">
        <f t="shared" si="324"/>
        <v/>
      </c>
      <c r="T304" s="236" t="str">
        <f t="shared" si="325"/>
        <v/>
      </c>
      <c r="W304" s="642" t="e">
        <f>INDEX('Vessel Gauging Data'!$B$26:$V$56,MATCH($C304,'Vessel Gauging Data'!$B$26:$B$56,0),$W$198)</f>
        <v>#N/A</v>
      </c>
      <c r="X304" s="642" t="e">
        <f>INDEX('Vessel Gauging Data'!$B$26:$V$56,MATCH($C304,'Vessel Gauging Data'!$B$26:$B$56,0),$X$198)</f>
        <v>#N/A</v>
      </c>
      <c r="Y304" s="642" t="e">
        <f>INDEX('Vessel Gauging Data'!$B$26:$V$56,MATCH($C304,'Vessel Gauging Data'!$B$26:$B$56,0),$Y$198)</f>
        <v>#N/A</v>
      </c>
      <c r="Z304" s="642" t="e">
        <f>INDEX('Vessel Gauging Data'!$B$26:$V$56,MATCH($C304,'Vessel Gauging Data'!$B$26:$B$56,0),$Z$198)</f>
        <v>#N/A</v>
      </c>
      <c r="AB304" s="642" t="e">
        <f>INDEX(API2DENST,MATCH($C304,'Vessel Gauging Data'!$B$27:$B$56,0),1)</f>
        <v>#N/A</v>
      </c>
      <c r="AC304" s="642" t="e">
        <f t="shared" si="291"/>
        <v>#N/A</v>
      </c>
      <c r="AE304" s="661" t="e">
        <f t="shared" si="292"/>
        <v>#VALUE!</v>
      </c>
      <c r="AF304" s="661" t="e">
        <f t="shared" si="293"/>
        <v>#VALUE!</v>
      </c>
      <c r="AH304" s="662" t="str">
        <f t="shared" si="327"/>
        <v/>
      </c>
      <c r="AI304" s="662" t="str">
        <f t="shared" si="328"/>
        <v/>
      </c>
      <c r="AJ304" s="663">
        <f t="shared" si="294"/>
        <v>192.4571</v>
      </c>
      <c r="AK304" s="660">
        <f t="shared" si="295"/>
        <v>0.24379999999999999</v>
      </c>
      <c r="AL304" s="660" t="e">
        <f t="shared" si="296"/>
        <v>#VALUE!</v>
      </c>
      <c r="AM304" s="664" t="e">
        <f t="shared" si="297"/>
        <v>#VALUE!</v>
      </c>
      <c r="AN304" s="664" t="e">
        <f t="shared" si="298"/>
        <v>#VALUE!</v>
      </c>
      <c r="AO304" s="665" t="e">
        <f t="shared" si="299"/>
        <v>#VALUE!</v>
      </c>
      <c r="AP304" s="666" t="e">
        <f t="shared" si="300"/>
        <v>#VALUE!</v>
      </c>
      <c r="AQ304" s="660" t="e">
        <f t="shared" si="301"/>
        <v>#VALUE!</v>
      </c>
      <c r="AR304" s="667" t="e">
        <f t="shared" si="302"/>
        <v>#VALUE!</v>
      </c>
      <c r="AS304" s="667" t="e">
        <f t="shared" si="303"/>
        <v>#VALUE!</v>
      </c>
      <c r="AT304" s="668" t="e">
        <f t="shared" si="304"/>
        <v>#VALUE!</v>
      </c>
      <c r="AU304" s="667" t="e">
        <f t="shared" si="305"/>
        <v>#VALUE!</v>
      </c>
      <c r="AV304" s="669" t="e">
        <f t="shared" si="306"/>
        <v>#VALUE!</v>
      </c>
      <c r="AW304" s="667" t="e">
        <f t="shared" si="307"/>
        <v>#VALUE!</v>
      </c>
      <c r="AX304" s="667" t="e">
        <f t="shared" si="308"/>
        <v>#VALUE!</v>
      </c>
      <c r="AY304" s="660" t="e">
        <f t="shared" si="309"/>
        <v>#VALUE!</v>
      </c>
      <c r="AZ304" s="670" t="e">
        <f t="shared" si="310"/>
        <v>#VALUE!</v>
      </c>
      <c r="BB304" s="662" t="e">
        <f>INDEX('Vessel Gauging Data'!$B$26:$V$56,MATCH($C304,'Vessel Gauging Data'!$B$26:$B$56,0),$BB$198)</f>
        <v>#N/A</v>
      </c>
      <c r="BC304" s="662" t="e">
        <f>INDEX('Vessel Gauging Data'!$B$26:$V$56,MATCH($C304,'Vessel Gauging Data'!$B$26:$B$56,0),$BC$198)</f>
        <v>#N/A</v>
      </c>
      <c r="BD304" s="662" t="e">
        <f>INDEX('Vessel Gauging Data'!$B$26:$V$56,MATCH($C304,'Vessel Gauging Data'!$B$26:$B$56,0),$BD$198)</f>
        <v>#N/A</v>
      </c>
      <c r="BE304" s="662" t="e">
        <f>INDEX('Vessel Gauging Data'!$B$26:$V$56,MATCH($C304,'Vessel Gauging Data'!$B$26:$B$56,0),$BE$198)</f>
        <v>#N/A</v>
      </c>
    </row>
    <row r="305" spans="1:57" hidden="1">
      <c r="A305" s="641" t="str">
        <f t="shared" si="326"/>
        <v>N</v>
      </c>
      <c r="C305" s="235" t="str">
        <f t="shared" si="312"/>
        <v/>
      </c>
      <c r="D305" s="211" t="str">
        <f t="shared" si="312"/>
        <v/>
      </c>
      <c r="E305" s="1016" t="str">
        <f t="shared" si="311"/>
        <v/>
      </c>
      <c r="F305" s="1016" t="str">
        <f t="shared" si="313"/>
        <v/>
      </c>
      <c r="G305" s="1016" t="str">
        <f t="shared" si="314"/>
        <v/>
      </c>
      <c r="H305" s="1016" t="str">
        <f t="shared" si="314"/>
        <v/>
      </c>
      <c r="I305" s="211" t="str">
        <f t="shared" si="315"/>
        <v/>
      </c>
      <c r="J305" s="1016" t="str">
        <f t="shared" si="316"/>
        <v/>
      </c>
      <c r="K305" s="213" t="str">
        <f t="shared" si="317"/>
        <v/>
      </c>
      <c r="L305" s="212" t="str">
        <f t="shared" si="318"/>
        <v/>
      </c>
      <c r="M305" s="1125" t="str">
        <f>IF(OR($C305="",$C305=0),"",INDEX(API2DENST,MATCH($C305,'Vessel Gauging Data'!$B$27:$B$56,0),$AA$1))</f>
        <v/>
      </c>
      <c r="N305" s="212" t="str">
        <f t="shared" si="319"/>
        <v/>
      </c>
      <c r="O305" s="1016" t="str">
        <f t="shared" si="320"/>
        <v/>
      </c>
      <c r="P305" s="1125" t="str">
        <f t="shared" si="321"/>
        <v/>
      </c>
      <c r="Q305" s="1016" t="str">
        <f t="shared" si="322"/>
        <v/>
      </c>
      <c r="R305" s="214" t="str">
        <f t="shared" si="323"/>
        <v/>
      </c>
      <c r="S305" s="1125" t="str">
        <f t="shared" si="324"/>
        <v/>
      </c>
      <c r="T305" s="236" t="str">
        <f t="shared" si="325"/>
        <v/>
      </c>
      <c r="W305" s="642" t="e">
        <f>INDEX('Vessel Gauging Data'!$B$26:$V$56,MATCH($C305,'Vessel Gauging Data'!$B$26:$B$56,0),$W$198)</f>
        <v>#N/A</v>
      </c>
      <c r="X305" s="642" t="e">
        <f>INDEX('Vessel Gauging Data'!$B$26:$V$56,MATCH($C305,'Vessel Gauging Data'!$B$26:$B$56,0),$X$198)</f>
        <v>#N/A</v>
      </c>
      <c r="Y305" s="642" t="e">
        <f>INDEX('Vessel Gauging Data'!$B$26:$V$56,MATCH($C305,'Vessel Gauging Data'!$B$26:$B$56,0),$Y$198)</f>
        <v>#N/A</v>
      </c>
      <c r="Z305" s="642" t="e">
        <f>INDEX('Vessel Gauging Data'!$B$26:$V$56,MATCH($C305,'Vessel Gauging Data'!$B$26:$B$56,0),$Z$198)</f>
        <v>#N/A</v>
      </c>
      <c r="AB305" s="642" t="e">
        <f>INDEX(API2DENST,MATCH($C305,'Vessel Gauging Data'!$B$27:$B$56,0),1)</f>
        <v>#N/A</v>
      </c>
      <c r="AC305" s="642" t="e">
        <f t="shared" si="291"/>
        <v>#N/A</v>
      </c>
      <c r="AE305" s="661" t="e">
        <f t="shared" si="292"/>
        <v>#VALUE!</v>
      </c>
      <c r="AF305" s="661" t="e">
        <f t="shared" si="293"/>
        <v>#VALUE!</v>
      </c>
      <c r="AH305" s="662" t="str">
        <f t="shared" si="327"/>
        <v/>
      </c>
      <c r="AI305" s="662" t="str">
        <f t="shared" si="328"/>
        <v/>
      </c>
      <c r="AJ305" s="663">
        <f t="shared" si="294"/>
        <v>192.4571</v>
      </c>
      <c r="AK305" s="660">
        <f t="shared" si="295"/>
        <v>0.24379999999999999</v>
      </c>
      <c r="AL305" s="660" t="e">
        <f t="shared" si="296"/>
        <v>#VALUE!</v>
      </c>
      <c r="AM305" s="664" t="e">
        <f t="shared" si="297"/>
        <v>#VALUE!</v>
      </c>
      <c r="AN305" s="664" t="e">
        <f t="shared" si="298"/>
        <v>#VALUE!</v>
      </c>
      <c r="AO305" s="665" t="e">
        <f t="shared" si="299"/>
        <v>#VALUE!</v>
      </c>
      <c r="AP305" s="666" t="e">
        <f t="shared" si="300"/>
        <v>#VALUE!</v>
      </c>
      <c r="AQ305" s="660" t="e">
        <f t="shared" si="301"/>
        <v>#VALUE!</v>
      </c>
      <c r="AR305" s="667" t="e">
        <f t="shared" si="302"/>
        <v>#VALUE!</v>
      </c>
      <c r="AS305" s="667" t="e">
        <f t="shared" si="303"/>
        <v>#VALUE!</v>
      </c>
      <c r="AT305" s="668" t="e">
        <f t="shared" si="304"/>
        <v>#VALUE!</v>
      </c>
      <c r="AU305" s="667" t="e">
        <f t="shared" si="305"/>
        <v>#VALUE!</v>
      </c>
      <c r="AV305" s="669" t="e">
        <f t="shared" si="306"/>
        <v>#VALUE!</v>
      </c>
      <c r="AW305" s="667" t="e">
        <f t="shared" si="307"/>
        <v>#VALUE!</v>
      </c>
      <c r="AX305" s="667" t="e">
        <f t="shared" si="308"/>
        <v>#VALUE!</v>
      </c>
      <c r="AY305" s="660" t="e">
        <f t="shared" si="309"/>
        <v>#VALUE!</v>
      </c>
      <c r="AZ305" s="670" t="e">
        <f t="shared" si="310"/>
        <v>#VALUE!</v>
      </c>
      <c r="BB305" s="662" t="e">
        <f>INDEX('Vessel Gauging Data'!$B$26:$V$56,MATCH($C305,'Vessel Gauging Data'!$B$26:$B$56,0),$BB$198)</f>
        <v>#N/A</v>
      </c>
      <c r="BC305" s="662" t="e">
        <f>INDEX('Vessel Gauging Data'!$B$26:$V$56,MATCH($C305,'Vessel Gauging Data'!$B$26:$B$56,0),$BC$198)</f>
        <v>#N/A</v>
      </c>
      <c r="BD305" s="662" t="e">
        <f>INDEX('Vessel Gauging Data'!$B$26:$V$56,MATCH($C305,'Vessel Gauging Data'!$B$26:$B$56,0),$BD$198)</f>
        <v>#N/A</v>
      </c>
      <c r="BE305" s="662" t="e">
        <f>INDEX('Vessel Gauging Data'!$B$26:$V$56,MATCH($C305,'Vessel Gauging Data'!$B$26:$B$56,0),$BE$198)</f>
        <v>#N/A</v>
      </c>
    </row>
    <row r="306" spans="1:57" hidden="1">
      <c r="A306" s="641" t="str">
        <f t="shared" si="326"/>
        <v>N</v>
      </c>
      <c r="C306" s="235" t="str">
        <f t="shared" si="312"/>
        <v/>
      </c>
      <c r="D306" s="211" t="str">
        <f t="shared" si="312"/>
        <v/>
      </c>
      <c r="E306" s="1016" t="str">
        <f t="shared" si="311"/>
        <v/>
      </c>
      <c r="F306" s="1016" t="str">
        <f t="shared" si="313"/>
        <v/>
      </c>
      <c r="G306" s="1016" t="str">
        <f t="shared" si="314"/>
        <v/>
      </c>
      <c r="H306" s="1016" t="str">
        <f t="shared" si="314"/>
        <v/>
      </c>
      <c r="I306" s="211" t="str">
        <f t="shared" si="315"/>
        <v/>
      </c>
      <c r="J306" s="1016" t="str">
        <f t="shared" si="316"/>
        <v/>
      </c>
      <c r="K306" s="213" t="str">
        <f t="shared" si="317"/>
        <v/>
      </c>
      <c r="L306" s="212" t="str">
        <f t="shared" si="318"/>
        <v/>
      </c>
      <c r="M306" s="1125" t="str">
        <f>IF(OR($C306="",$C306=0),"",INDEX(API2DENST,MATCH($C306,'Vessel Gauging Data'!$B$27:$B$56,0),$AA$1))</f>
        <v/>
      </c>
      <c r="N306" s="212" t="str">
        <f t="shared" si="319"/>
        <v/>
      </c>
      <c r="O306" s="1016" t="str">
        <f t="shared" si="320"/>
        <v/>
      </c>
      <c r="P306" s="1125" t="str">
        <f t="shared" si="321"/>
        <v/>
      </c>
      <c r="Q306" s="1016" t="str">
        <f t="shared" si="322"/>
        <v/>
      </c>
      <c r="R306" s="214" t="str">
        <f t="shared" si="323"/>
        <v/>
      </c>
      <c r="S306" s="1125" t="str">
        <f t="shared" si="324"/>
        <v/>
      </c>
      <c r="T306" s="236" t="str">
        <f t="shared" si="325"/>
        <v/>
      </c>
      <c r="W306" s="642" t="e">
        <f>INDEX('Vessel Gauging Data'!$B$26:$V$56,MATCH($C306,'Vessel Gauging Data'!$B$26:$B$56,0),$W$198)</f>
        <v>#N/A</v>
      </c>
      <c r="X306" s="642" t="e">
        <f>INDEX('Vessel Gauging Data'!$B$26:$V$56,MATCH($C306,'Vessel Gauging Data'!$B$26:$B$56,0),$X$198)</f>
        <v>#N/A</v>
      </c>
      <c r="Y306" s="642" t="e">
        <f>INDEX('Vessel Gauging Data'!$B$26:$V$56,MATCH($C306,'Vessel Gauging Data'!$B$26:$B$56,0),$Y$198)</f>
        <v>#N/A</v>
      </c>
      <c r="Z306" s="642" t="e">
        <f>INDEX('Vessel Gauging Data'!$B$26:$V$56,MATCH($C306,'Vessel Gauging Data'!$B$26:$B$56,0),$Z$198)</f>
        <v>#N/A</v>
      </c>
      <c r="AB306" s="642" t="e">
        <f>INDEX(API2DENST,MATCH($C306,'Vessel Gauging Data'!$B$27:$B$56,0),1)</f>
        <v>#N/A</v>
      </c>
      <c r="AC306" s="642" t="e">
        <f t="shared" si="291"/>
        <v>#N/A</v>
      </c>
      <c r="AE306" s="661" t="e">
        <f t="shared" si="292"/>
        <v>#VALUE!</v>
      </c>
      <c r="AF306" s="661" t="e">
        <f t="shared" si="293"/>
        <v>#VALUE!</v>
      </c>
      <c r="AH306" s="662" t="str">
        <f t="shared" si="327"/>
        <v/>
      </c>
      <c r="AI306" s="662" t="str">
        <f t="shared" si="328"/>
        <v/>
      </c>
      <c r="AJ306" s="663">
        <f t="shared" si="294"/>
        <v>192.4571</v>
      </c>
      <c r="AK306" s="660">
        <f t="shared" si="295"/>
        <v>0.24379999999999999</v>
      </c>
      <c r="AL306" s="660" t="e">
        <f t="shared" si="296"/>
        <v>#VALUE!</v>
      </c>
      <c r="AM306" s="664" t="e">
        <f t="shared" si="297"/>
        <v>#VALUE!</v>
      </c>
      <c r="AN306" s="664" t="e">
        <f t="shared" si="298"/>
        <v>#VALUE!</v>
      </c>
      <c r="AO306" s="665" t="e">
        <f t="shared" si="299"/>
        <v>#VALUE!</v>
      </c>
      <c r="AP306" s="666" t="e">
        <f t="shared" si="300"/>
        <v>#VALUE!</v>
      </c>
      <c r="AQ306" s="660" t="e">
        <f t="shared" si="301"/>
        <v>#VALUE!</v>
      </c>
      <c r="AR306" s="667" t="e">
        <f t="shared" si="302"/>
        <v>#VALUE!</v>
      </c>
      <c r="AS306" s="667" t="e">
        <f t="shared" si="303"/>
        <v>#VALUE!</v>
      </c>
      <c r="AT306" s="668" t="e">
        <f t="shared" si="304"/>
        <v>#VALUE!</v>
      </c>
      <c r="AU306" s="667" t="e">
        <f t="shared" si="305"/>
        <v>#VALUE!</v>
      </c>
      <c r="AV306" s="669" t="e">
        <f t="shared" si="306"/>
        <v>#VALUE!</v>
      </c>
      <c r="AW306" s="667" t="e">
        <f t="shared" si="307"/>
        <v>#VALUE!</v>
      </c>
      <c r="AX306" s="667" t="e">
        <f t="shared" si="308"/>
        <v>#VALUE!</v>
      </c>
      <c r="AY306" s="660" t="e">
        <f t="shared" si="309"/>
        <v>#VALUE!</v>
      </c>
      <c r="AZ306" s="670" t="e">
        <f t="shared" si="310"/>
        <v>#VALUE!</v>
      </c>
      <c r="BB306" s="662" t="e">
        <f>INDEX('Vessel Gauging Data'!$B$26:$V$56,MATCH($C306,'Vessel Gauging Data'!$B$26:$B$56,0),$BB$198)</f>
        <v>#N/A</v>
      </c>
      <c r="BC306" s="662" t="e">
        <f>INDEX('Vessel Gauging Data'!$B$26:$V$56,MATCH($C306,'Vessel Gauging Data'!$B$26:$B$56,0),$BC$198)</f>
        <v>#N/A</v>
      </c>
      <c r="BD306" s="662" t="e">
        <f>INDEX('Vessel Gauging Data'!$B$26:$V$56,MATCH($C306,'Vessel Gauging Data'!$B$26:$B$56,0),$BD$198)</f>
        <v>#N/A</v>
      </c>
      <c r="BE306" s="662" t="e">
        <f>INDEX('Vessel Gauging Data'!$B$26:$V$56,MATCH($C306,'Vessel Gauging Data'!$B$26:$B$56,0),$BE$198)</f>
        <v>#N/A</v>
      </c>
    </row>
    <row r="307" spans="1:57" hidden="1">
      <c r="A307" s="641" t="str">
        <f t="shared" si="326"/>
        <v>N</v>
      </c>
      <c r="C307" s="235" t="str">
        <f t="shared" si="312"/>
        <v/>
      </c>
      <c r="D307" s="211" t="str">
        <f t="shared" si="312"/>
        <v/>
      </c>
      <c r="E307" s="1016" t="str">
        <f t="shared" si="311"/>
        <v/>
      </c>
      <c r="F307" s="1016" t="str">
        <f t="shared" si="313"/>
        <v/>
      </c>
      <c r="G307" s="1016" t="str">
        <f t="shared" si="314"/>
        <v/>
      </c>
      <c r="H307" s="1016" t="str">
        <f t="shared" si="314"/>
        <v/>
      </c>
      <c r="I307" s="211" t="str">
        <f t="shared" si="315"/>
        <v/>
      </c>
      <c r="J307" s="1016" t="str">
        <f t="shared" si="316"/>
        <v/>
      </c>
      <c r="K307" s="213" t="str">
        <f t="shared" si="317"/>
        <v/>
      </c>
      <c r="L307" s="212" t="str">
        <f t="shared" si="318"/>
        <v/>
      </c>
      <c r="M307" s="1125" t="str">
        <f>IF(OR($C307="",$C307=0),"",INDEX(API2DENST,MATCH($C307,'Vessel Gauging Data'!$B$27:$B$56,0),$AA$1))</f>
        <v/>
      </c>
      <c r="N307" s="212" t="str">
        <f t="shared" si="319"/>
        <v/>
      </c>
      <c r="O307" s="1016" t="str">
        <f t="shared" si="320"/>
        <v/>
      </c>
      <c r="P307" s="1125" t="str">
        <f t="shared" si="321"/>
        <v/>
      </c>
      <c r="Q307" s="1016" t="str">
        <f t="shared" si="322"/>
        <v/>
      </c>
      <c r="R307" s="214" t="str">
        <f t="shared" si="323"/>
        <v/>
      </c>
      <c r="S307" s="1125" t="str">
        <f t="shared" si="324"/>
        <v/>
      </c>
      <c r="T307" s="236" t="str">
        <f t="shared" si="325"/>
        <v/>
      </c>
      <c r="W307" s="642" t="e">
        <f>INDEX('Vessel Gauging Data'!$B$26:$V$56,MATCH($C307,'Vessel Gauging Data'!$B$26:$B$56,0),$W$198)</f>
        <v>#N/A</v>
      </c>
      <c r="X307" s="642" t="e">
        <f>INDEX('Vessel Gauging Data'!$B$26:$V$56,MATCH($C307,'Vessel Gauging Data'!$B$26:$B$56,0),$X$198)</f>
        <v>#N/A</v>
      </c>
      <c r="Y307" s="642" t="e">
        <f>INDEX('Vessel Gauging Data'!$B$26:$V$56,MATCH($C307,'Vessel Gauging Data'!$B$26:$B$56,0),$Y$198)</f>
        <v>#N/A</v>
      </c>
      <c r="Z307" s="642" t="e">
        <f>INDEX('Vessel Gauging Data'!$B$26:$V$56,MATCH($C307,'Vessel Gauging Data'!$B$26:$B$56,0),$Z$198)</f>
        <v>#N/A</v>
      </c>
      <c r="AB307" s="642" t="e">
        <f>INDEX(API2DENST,MATCH($C307,'Vessel Gauging Data'!$B$27:$B$56,0),1)</f>
        <v>#N/A</v>
      </c>
      <c r="AC307" s="642" t="e">
        <f t="shared" si="291"/>
        <v>#N/A</v>
      </c>
      <c r="AE307" s="661" t="e">
        <f t="shared" si="292"/>
        <v>#VALUE!</v>
      </c>
      <c r="AF307" s="661" t="e">
        <f t="shared" si="293"/>
        <v>#VALUE!</v>
      </c>
      <c r="AH307" s="662" t="str">
        <f t="shared" si="327"/>
        <v/>
      </c>
      <c r="AI307" s="662" t="str">
        <f t="shared" si="328"/>
        <v/>
      </c>
      <c r="AJ307" s="663">
        <f t="shared" si="294"/>
        <v>192.4571</v>
      </c>
      <c r="AK307" s="660">
        <f t="shared" si="295"/>
        <v>0.24379999999999999</v>
      </c>
      <c r="AL307" s="660" t="e">
        <f t="shared" si="296"/>
        <v>#VALUE!</v>
      </c>
      <c r="AM307" s="664" t="e">
        <f t="shared" si="297"/>
        <v>#VALUE!</v>
      </c>
      <c r="AN307" s="664" t="e">
        <f t="shared" si="298"/>
        <v>#VALUE!</v>
      </c>
      <c r="AO307" s="665" t="e">
        <f t="shared" si="299"/>
        <v>#VALUE!</v>
      </c>
      <c r="AP307" s="666" t="e">
        <f t="shared" si="300"/>
        <v>#VALUE!</v>
      </c>
      <c r="AQ307" s="660" t="e">
        <f t="shared" si="301"/>
        <v>#VALUE!</v>
      </c>
      <c r="AR307" s="667" t="e">
        <f t="shared" si="302"/>
        <v>#VALUE!</v>
      </c>
      <c r="AS307" s="667" t="e">
        <f t="shared" si="303"/>
        <v>#VALUE!</v>
      </c>
      <c r="AT307" s="668" t="e">
        <f t="shared" si="304"/>
        <v>#VALUE!</v>
      </c>
      <c r="AU307" s="667" t="e">
        <f t="shared" si="305"/>
        <v>#VALUE!</v>
      </c>
      <c r="AV307" s="669" t="e">
        <f t="shared" si="306"/>
        <v>#VALUE!</v>
      </c>
      <c r="AW307" s="667" t="e">
        <f t="shared" si="307"/>
        <v>#VALUE!</v>
      </c>
      <c r="AX307" s="667" t="e">
        <f t="shared" si="308"/>
        <v>#VALUE!</v>
      </c>
      <c r="AY307" s="660" t="e">
        <f t="shared" si="309"/>
        <v>#VALUE!</v>
      </c>
      <c r="AZ307" s="670" t="e">
        <f t="shared" si="310"/>
        <v>#VALUE!</v>
      </c>
      <c r="BB307" s="662" t="e">
        <f>INDEX('Vessel Gauging Data'!$B$26:$V$56,MATCH($C307,'Vessel Gauging Data'!$B$26:$B$56,0),$BB$198)</f>
        <v>#N/A</v>
      </c>
      <c r="BC307" s="662" t="e">
        <f>INDEX('Vessel Gauging Data'!$B$26:$V$56,MATCH($C307,'Vessel Gauging Data'!$B$26:$B$56,0),$BC$198)</f>
        <v>#N/A</v>
      </c>
      <c r="BD307" s="662" t="e">
        <f>INDEX('Vessel Gauging Data'!$B$26:$V$56,MATCH($C307,'Vessel Gauging Data'!$B$26:$B$56,0),$BD$198)</f>
        <v>#N/A</v>
      </c>
      <c r="BE307" s="662" t="e">
        <f>INDEX('Vessel Gauging Data'!$B$26:$V$56,MATCH($C307,'Vessel Gauging Data'!$B$26:$B$56,0),$BE$198)</f>
        <v>#N/A</v>
      </c>
    </row>
    <row r="308" spans="1:57" hidden="1">
      <c r="A308" s="641" t="str">
        <f t="shared" si="326"/>
        <v>N</v>
      </c>
      <c r="C308" s="235" t="str">
        <f t="shared" si="312"/>
        <v/>
      </c>
      <c r="D308" s="211" t="str">
        <f t="shared" si="312"/>
        <v/>
      </c>
      <c r="E308" s="1016" t="str">
        <f t="shared" si="311"/>
        <v/>
      </c>
      <c r="F308" s="1016" t="str">
        <f t="shared" si="313"/>
        <v/>
      </c>
      <c r="G308" s="1016" t="str">
        <f t="shared" si="314"/>
        <v/>
      </c>
      <c r="H308" s="1016" t="str">
        <f t="shared" si="314"/>
        <v/>
      </c>
      <c r="I308" s="211" t="str">
        <f t="shared" si="315"/>
        <v/>
      </c>
      <c r="J308" s="1016" t="str">
        <f t="shared" si="316"/>
        <v/>
      </c>
      <c r="K308" s="213" t="str">
        <f t="shared" si="317"/>
        <v/>
      </c>
      <c r="L308" s="212" t="str">
        <f t="shared" si="318"/>
        <v/>
      </c>
      <c r="M308" s="1125" t="str">
        <f>IF(OR($C308="",$C308=0),"",INDEX(API2DENST,MATCH($C308,'Vessel Gauging Data'!$B$27:$B$56,0),$AA$1))</f>
        <v/>
      </c>
      <c r="N308" s="212" t="str">
        <f t="shared" si="319"/>
        <v/>
      </c>
      <c r="O308" s="1016" t="str">
        <f t="shared" si="320"/>
        <v/>
      </c>
      <c r="P308" s="1125" t="str">
        <f t="shared" si="321"/>
        <v/>
      </c>
      <c r="Q308" s="1016" t="str">
        <f t="shared" si="322"/>
        <v/>
      </c>
      <c r="R308" s="214" t="str">
        <f t="shared" si="323"/>
        <v/>
      </c>
      <c r="S308" s="1125" t="str">
        <f t="shared" si="324"/>
        <v/>
      </c>
      <c r="T308" s="236" t="str">
        <f t="shared" si="325"/>
        <v/>
      </c>
      <c r="W308" s="642" t="e">
        <f>INDEX('Vessel Gauging Data'!$B$26:$V$56,MATCH($C308,'Vessel Gauging Data'!$B$26:$B$56,0),$W$198)</f>
        <v>#N/A</v>
      </c>
      <c r="X308" s="642" t="e">
        <f>INDEX('Vessel Gauging Data'!$B$26:$V$56,MATCH($C308,'Vessel Gauging Data'!$B$26:$B$56,0),$X$198)</f>
        <v>#N/A</v>
      </c>
      <c r="Y308" s="642" t="e">
        <f>INDEX('Vessel Gauging Data'!$B$26:$V$56,MATCH($C308,'Vessel Gauging Data'!$B$26:$B$56,0),$Y$198)</f>
        <v>#N/A</v>
      </c>
      <c r="Z308" s="642" t="e">
        <f>INDEX('Vessel Gauging Data'!$B$26:$V$56,MATCH($C308,'Vessel Gauging Data'!$B$26:$B$56,0),$Z$198)</f>
        <v>#N/A</v>
      </c>
      <c r="AB308" s="642" t="e">
        <f>INDEX(API2DENST,MATCH($C308,'Vessel Gauging Data'!$B$27:$B$56,0),1)</f>
        <v>#N/A</v>
      </c>
      <c r="AC308" s="642" t="e">
        <f t="shared" si="291"/>
        <v>#N/A</v>
      </c>
      <c r="AE308" s="661" t="e">
        <f t="shared" si="292"/>
        <v>#VALUE!</v>
      </c>
      <c r="AF308" s="661" t="e">
        <f t="shared" si="293"/>
        <v>#VALUE!</v>
      </c>
      <c r="AH308" s="662" t="str">
        <f t="shared" si="327"/>
        <v/>
      </c>
      <c r="AI308" s="662" t="str">
        <f t="shared" si="328"/>
        <v/>
      </c>
      <c r="AJ308" s="663">
        <f t="shared" si="294"/>
        <v>192.4571</v>
      </c>
      <c r="AK308" s="660">
        <f t="shared" si="295"/>
        <v>0.24379999999999999</v>
      </c>
      <c r="AL308" s="660" t="e">
        <f t="shared" si="296"/>
        <v>#VALUE!</v>
      </c>
      <c r="AM308" s="664" t="e">
        <f t="shared" si="297"/>
        <v>#VALUE!</v>
      </c>
      <c r="AN308" s="664" t="e">
        <f t="shared" si="298"/>
        <v>#VALUE!</v>
      </c>
      <c r="AO308" s="665" t="e">
        <f t="shared" si="299"/>
        <v>#VALUE!</v>
      </c>
      <c r="AP308" s="666" t="e">
        <f t="shared" si="300"/>
        <v>#VALUE!</v>
      </c>
      <c r="AQ308" s="660" t="e">
        <f t="shared" si="301"/>
        <v>#VALUE!</v>
      </c>
      <c r="AR308" s="667" t="e">
        <f t="shared" si="302"/>
        <v>#VALUE!</v>
      </c>
      <c r="AS308" s="667" t="e">
        <f t="shared" si="303"/>
        <v>#VALUE!</v>
      </c>
      <c r="AT308" s="668" t="e">
        <f t="shared" si="304"/>
        <v>#VALUE!</v>
      </c>
      <c r="AU308" s="667" t="e">
        <f t="shared" si="305"/>
        <v>#VALUE!</v>
      </c>
      <c r="AV308" s="669" t="e">
        <f t="shared" si="306"/>
        <v>#VALUE!</v>
      </c>
      <c r="AW308" s="667" t="e">
        <f t="shared" si="307"/>
        <v>#VALUE!</v>
      </c>
      <c r="AX308" s="667" t="e">
        <f t="shared" si="308"/>
        <v>#VALUE!</v>
      </c>
      <c r="AY308" s="660" t="e">
        <f t="shared" si="309"/>
        <v>#VALUE!</v>
      </c>
      <c r="AZ308" s="670" t="e">
        <f t="shared" si="310"/>
        <v>#VALUE!</v>
      </c>
      <c r="BB308" s="662" t="e">
        <f>INDEX('Vessel Gauging Data'!$B$26:$V$56,MATCH($C308,'Vessel Gauging Data'!$B$26:$B$56,0),$BB$198)</f>
        <v>#N/A</v>
      </c>
      <c r="BC308" s="662" t="e">
        <f>INDEX('Vessel Gauging Data'!$B$26:$V$56,MATCH($C308,'Vessel Gauging Data'!$B$26:$B$56,0),$BC$198)</f>
        <v>#N/A</v>
      </c>
      <c r="BD308" s="662" t="e">
        <f>INDEX('Vessel Gauging Data'!$B$26:$V$56,MATCH($C308,'Vessel Gauging Data'!$B$26:$B$56,0),$BD$198)</f>
        <v>#N/A</v>
      </c>
      <c r="BE308" s="662" t="e">
        <f>INDEX('Vessel Gauging Data'!$B$26:$V$56,MATCH($C308,'Vessel Gauging Data'!$B$26:$B$56,0),$BE$198)</f>
        <v>#N/A</v>
      </c>
    </row>
    <row r="309" spans="1:57" hidden="1">
      <c r="A309" s="641" t="str">
        <f t="shared" si="326"/>
        <v>N</v>
      </c>
      <c r="C309" s="235" t="str">
        <f t="shared" si="312"/>
        <v/>
      </c>
      <c r="D309" s="211" t="str">
        <f t="shared" si="312"/>
        <v/>
      </c>
      <c r="E309" s="1016" t="str">
        <f t="shared" si="311"/>
        <v/>
      </c>
      <c r="F309" s="1016" t="str">
        <f t="shared" si="313"/>
        <v/>
      </c>
      <c r="G309" s="1016" t="str">
        <f t="shared" si="314"/>
        <v/>
      </c>
      <c r="H309" s="1016" t="str">
        <f t="shared" si="314"/>
        <v/>
      </c>
      <c r="I309" s="211" t="str">
        <f t="shared" si="315"/>
        <v/>
      </c>
      <c r="J309" s="1016" t="str">
        <f t="shared" si="316"/>
        <v/>
      </c>
      <c r="K309" s="213" t="str">
        <f t="shared" si="317"/>
        <v/>
      </c>
      <c r="L309" s="212" t="str">
        <f t="shared" si="318"/>
        <v/>
      </c>
      <c r="M309" s="1125" t="str">
        <f>IF(OR($C309="",$C309=0),"",INDEX(API2DENST,MATCH($C309,'Vessel Gauging Data'!$B$27:$B$56,0),$AA$1))</f>
        <v/>
      </c>
      <c r="N309" s="212" t="str">
        <f t="shared" si="319"/>
        <v/>
      </c>
      <c r="O309" s="1016" t="str">
        <f t="shared" si="320"/>
        <v/>
      </c>
      <c r="P309" s="1125" t="str">
        <f t="shared" si="321"/>
        <v/>
      </c>
      <c r="Q309" s="1016" t="str">
        <f t="shared" si="322"/>
        <v/>
      </c>
      <c r="R309" s="214" t="str">
        <f t="shared" si="323"/>
        <v/>
      </c>
      <c r="S309" s="1125" t="str">
        <f t="shared" si="324"/>
        <v/>
      </c>
      <c r="T309" s="236" t="str">
        <f t="shared" si="325"/>
        <v/>
      </c>
      <c r="W309" s="642" t="e">
        <f>INDEX('Vessel Gauging Data'!$B$26:$V$56,MATCH($C309,'Vessel Gauging Data'!$B$26:$B$56,0),$W$198)</f>
        <v>#N/A</v>
      </c>
      <c r="X309" s="642" t="e">
        <f>INDEX('Vessel Gauging Data'!$B$26:$V$56,MATCH($C309,'Vessel Gauging Data'!$B$26:$B$56,0),$X$198)</f>
        <v>#N/A</v>
      </c>
      <c r="Y309" s="642" t="e">
        <f>INDEX('Vessel Gauging Data'!$B$26:$V$56,MATCH($C309,'Vessel Gauging Data'!$B$26:$B$56,0),$Y$198)</f>
        <v>#N/A</v>
      </c>
      <c r="Z309" s="642" t="e">
        <f>INDEX('Vessel Gauging Data'!$B$26:$V$56,MATCH($C309,'Vessel Gauging Data'!$B$26:$B$56,0),$Z$198)</f>
        <v>#N/A</v>
      </c>
      <c r="AB309" s="642" t="e">
        <f>INDEX(API2DENST,MATCH($C309,'Vessel Gauging Data'!$B$27:$B$56,0),1)</f>
        <v>#N/A</v>
      </c>
      <c r="AC309" s="642" t="e">
        <f t="shared" si="291"/>
        <v>#N/A</v>
      </c>
      <c r="AE309" s="661" t="e">
        <f t="shared" si="292"/>
        <v>#VALUE!</v>
      </c>
      <c r="AF309" s="661" t="e">
        <f t="shared" si="293"/>
        <v>#VALUE!</v>
      </c>
      <c r="AH309" s="662" t="str">
        <f t="shared" si="327"/>
        <v/>
      </c>
      <c r="AI309" s="662" t="str">
        <f t="shared" si="328"/>
        <v/>
      </c>
      <c r="AJ309" s="663">
        <f t="shared" si="294"/>
        <v>192.4571</v>
      </c>
      <c r="AK309" s="660">
        <f t="shared" si="295"/>
        <v>0.24379999999999999</v>
      </c>
      <c r="AL309" s="660" t="e">
        <f t="shared" si="296"/>
        <v>#VALUE!</v>
      </c>
      <c r="AM309" s="664" t="e">
        <f t="shared" si="297"/>
        <v>#VALUE!</v>
      </c>
      <c r="AN309" s="664" t="e">
        <f t="shared" si="298"/>
        <v>#VALUE!</v>
      </c>
      <c r="AO309" s="665" t="e">
        <f t="shared" si="299"/>
        <v>#VALUE!</v>
      </c>
      <c r="AP309" s="666" t="e">
        <f t="shared" si="300"/>
        <v>#VALUE!</v>
      </c>
      <c r="AQ309" s="660" t="e">
        <f t="shared" si="301"/>
        <v>#VALUE!</v>
      </c>
      <c r="AR309" s="667" t="e">
        <f t="shared" si="302"/>
        <v>#VALUE!</v>
      </c>
      <c r="AS309" s="667" t="e">
        <f t="shared" si="303"/>
        <v>#VALUE!</v>
      </c>
      <c r="AT309" s="668" t="e">
        <f t="shared" si="304"/>
        <v>#VALUE!</v>
      </c>
      <c r="AU309" s="667" t="e">
        <f t="shared" si="305"/>
        <v>#VALUE!</v>
      </c>
      <c r="AV309" s="669" t="e">
        <f t="shared" si="306"/>
        <v>#VALUE!</v>
      </c>
      <c r="AW309" s="667" t="e">
        <f t="shared" si="307"/>
        <v>#VALUE!</v>
      </c>
      <c r="AX309" s="667" t="e">
        <f t="shared" si="308"/>
        <v>#VALUE!</v>
      </c>
      <c r="AY309" s="660" t="e">
        <f t="shared" si="309"/>
        <v>#VALUE!</v>
      </c>
      <c r="AZ309" s="670" t="e">
        <f t="shared" si="310"/>
        <v>#VALUE!</v>
      </c>
      <c r="BB309" s="662" t="e">
        <f>INDEX('Vessel Gauging Data'!$B$26:$V$56,MATCH($C309,'Vessel Gauging Data'!$B$26:$B$56,0),$BB$198)</f>
        <v>#N/A</v>
      </c>
      <c r="BC309" s="662" t="e">
        <f>INDEX('Vessel Gauging Data'!$B$26:$V$56,MATCH($C309,'Vessel Gauging Data'!$B$26:$B$56,0),$BC$198)</f>
        <v>#N/A</v>
      </c>
      <c r="BD309" s="662" t="e">
        <f>INDEX('Vessel Gauging Data'!$B$26:$V$56,MATCH($C309,'Vessel Gauging Data'!$B$26:$B$56,0),$BD$198)</f>
        <v>#N/A</v>
      </c>
      <c r="BE309" s="662" t="e">
        <f>INDEX('Vessel Gauging Data'!$B$26:$V$56,MATCH($C309,'Vessel Gauging Data'!$B$26:$B$56,0),$BE$198)</f>
        <v>#N/A</v>
      </c>
    </row>
    <row r="310" spans="1:57" hidden="1">
      <c r="A310" s="641" t="str">
        <f t="shared" si="326"/>
        <v>N</v>
      </c>
      <c r="C310" s="237" t="str">
        <f t="shared" si="312"/>
        <v/>
      </c>
      <c r="D310" s="238" t="str">
        <f t="shared" si="312"/>
        <v/>
      </c>
      <c r="E310" s="1017" t="str">
        <f t="shared" si="311"/>
        <v/>
      </c>
      <c r="F310" s="1017" t="str">
        <f t="shared" si="313"/>
        <v/>
      </c>
      <c r="G310" s="1017" t="str">
        <f t="shared" si="314"/>
        <v/>
      </c>
      <c r="H310" s="1017" t="str">
        <f t="shared" si="314"/>
        <v/>
      </c>
      <c r="I310" s="238" t="str">
        <f t="shared" si="315"/>
        <v/>
      </c>
      <c r="J310" s="1017" t="str">
        <f t="shared" si="316"/>
        <v/>
      </c>
      <c r="K310" s="240" t="str">
        <f t="shared" si="317"/>
        <v/>
      </c>
      <c r="L310" s="239" t="str">
        <f t="shared" si="318"/>
        <v/>
      </c>
      <c r="M310" s="1126" t="str">
        <f>IF(OR($C310="",$C310=0),"",INDEX(API2DENST,MATCH($C310,'Vessel Gauging Data'!$B$27:$B$56,0),$AA$1))</f>
        <v/>
      </c>
      <c r="N310" s="239" t="str">
        <f t="shared" si="319"/>
        <v/>
      </c>
      <c r="O310" s="1017" t="str">
        <f t="shared" si="320"/>
        <v/>
      </c>
      <c r="P310" s="1126" t="str">
        <f t="shared" si="321"/>
        <v/>
      </c>
      <c r="Q310" s="1017" t="str">
        <f t="shared" si="322"/>
        <v/>
      </c>
      <c r="R310" s="241" t="str">
        <f t="shared" si="323"/>
        <v/>
      </c>
      <c r="S310" s="1126" t="str">
        <f t="shared" si="324"/>
        <v/>
      </c>
      <c r="T310" s="242" t="str">
        <f t="shared" si="325"/>
        <v/>
      </c>
      <c r="W310" s="642" t="e">
        <f>INDEX('Vessel Gauging Data'!$B$26:$V$56,MATCH($C310,'Vessel Gauging Data'!$B$26:$B$56,0),$W$198)</f>
        <v>#N/A</v>
      </c>
      <c r="X310" s="642" t="e">
        <f>INDEX('Vessel Gauging Data'!$B$26:$V$56,MATCH($C310,'Vessel Gauging Data'!$B$26:$B$56,0),$X$198)</f>
        <v>#N/A</v>
      </c>
      <c r="Y310" s="642" t="e">
        <f>INDEX('Vessel Gauging Data'!$B$26:$V$56,MATCH($C310,'Vessel Gauging Data'!$B$26:$B$56,0),$Y$198)</f>
        <v>#N/A</v>
      </c>
      <c r="Z310" s="642" t="e">
        <f>INDEX('Vessel Gauging Data'!$B$26:$V$56,MATCH($C310,'Vessel Gauging Data'!$B$26:$B$56,0),$Z$198)</f>
        <v>#N/A</v>
      </c>
      <c r="AB310" s="642" t="e">
        <f>INDEX(API2DENST,MATCH($C310,'Vessel Gauging Data'!$B$27:$B$56,0),1)</f>
        <v>#N/A</v>
      </c>
      <c r="AC310" s="642" t="e">
        <f t="shared" si="291"/>
        <v>#N/A</v>
      </c>
      <c r="AE310" s="661" t="e">
        <f t="shared" si="292"/>
        <v>#VALUE!</v>
      </c>
      <c r="AF310" s="661" t="e">
        <f t="shared" si="293"/>
        <v>#VALUE!</v>
      </c>
      <c r="AH310" s="662" t="str">
        <f t="shared" si="327"/>
        <v/>
      </c>
      <c r="AI310" s="662" t="str">
        <f t="shared" si="328"/>
        <v/>
      </c>
      <c r="AJ310" s="663">
        <f t="shared" si="294"/>
        <v>192.4571</v>
      </c>
      <c r="AK310" s="660">
        <f t="shared" si="295"/>
        <v>0.24379999999999999</v>
      </c>
      <c r="AL310" s="660" t="e">
        <f t="shared" si="296"/>
        <v>#VALUE!</v>
      </c>
      <c r="AM310" s="664" t="e">
        <f t="shared" si="297"/>
        <v>#VALUE!</v>
      </c>
      <c r="AN310" s="664" t="e">
        <f t="shared" si="298"/>
        <v>#VALUE!</v>
      </c>
      <c r="AO310" s="665" t="e">
        <f t="shared" si="299"/>
        <v>#VALUE!</v>
      </c>
      <c r="AP310" s="666" t="e">
        <f t="shared" si="300"/>
        <v>#VALUE!</v>
      </c>
      <c r="AQ310" s="660" t="e">
        <f t="shared" si="301"/>
        <v>#VALUE!</v>
      </c>
      <c r="AR310" s="667" t="e">
        <f t="shared" si="302"/>
        <v>#VALUE!</v>
      </c>
      <c r="AS310" s="667" t="e">
        <f t="shared" si="303"/>
        <v>#VALUE!</v>
      </c>
      <c r="AT310" s="668" t="e">
        <f t="shared" si="304"/>
        <v>#VALUE!</v>
      </c>
      <c r="AU310" s="667" t="e">
        <f t="shared" si="305"/>
        <v>#VALUE!</v>
      </c>
      <c r="AV310" s="669" t="e">
        <f t="shared" si="306"/>
        <v>#VALUE!</v>
      </c>
      <c r="AW310" s="667" t="e">
        <f t="shared" si="307"/>
        <v>#VALUE!</v>
      </c>
      <c r="AX310" s="667" t="e">
        <f t="shared" si="308"/>
        <v>#VALUE!</v>
      </c>
      <c r="AY310" s="660" t="e">
        <f t="shared" si="309"/>
        <v>#VALUE!</v>
      </c>
      <c r="AZ310" s="670" t="e">
        <f t="shared" si="310"/>
        <v>#VALUE!</v>
      </c>
      <c r="BB310" s="662" t="e">
        <f>INDEX('Vessel Gauging Data'!$B$26:$V$56,MATCH($C310,'Vessel Gauging Data'!$B$26:$B$56,0),$BB$198)</f>
        <v>#N/A</v>
      </c>
      <c r="BC310" s="662" t="e">
        <f>INDEX('Vessel Gauging Data'!$B$26:$V$56,MATCH($C310,'Vessel Gauging Data'!$B$26:$B$56,0),$BC$198)</f>
        <v>#N/A</v>
      </c>
      <c r="BD310" s="662" t="e">
        <f>INDEX('Vessel Gauging Data'!$B$26:$V$56,MATCH($C310,'Vessel Gauging Data'!$B$26:$B$56,0),$BD$198)</f>
        <v>#N/A</v>
      </c>
      <c r="BE310" s="662" t="e">
        <f>INDEX('Vessel Gauging Data'!$B$26:$V$56,MATCH($C310,'Vessel Gauging Data'!$B$26:$B$56,0),$BE$198)</f>
        <v>#N/A</v>
      </c>
    </row>
    <row r="311" spans="1:57" hidden="1">
      <c r="A311" s="641" t="str">
        <f t="shared" si="326"/>
        <v>N</v>
      </c>
      <c r="C311" s="671"/>
      <c r="D311" s="671"/>
      <c r="E311" s="672"/>
      <c r="F311" s="672"/>
      <c r="G311" s="672"/>
      <c r="H311" s="1501"/>
      <c r="I311" s="671"/>
      <c r="J311" s="672"/>
      <c r="K311" s="673"/>
      <c r="L311" s="672"/>
      <c r="M311" s="674"/>
      <c r="N311" s="672"/>
      <c r="O311" s="672"/>
      <c r="P311" s="1127"/>
      <c r="Q311" s="672"/>
      <c r="R311" s="675"/>
      <c r="S311" s="1137" t="s">
        <v>401</v>
      </c>
      <c r="T311" s="619">
        <f>SUM(T291:T310)</f>
        <v>0</v>
      </c>
      <c r="V311" s="676"/>
      <c r="W311" s="719"/>
      <c r="X311" s="719"/>
      <c r="Y311" s="719"/>
      <c r="Z311" s="719"/>
      <c r="AA311" s="676"/>
      <c r="AB311" s="719"/>
      <c r="AC311" s="719"/>
      <c r="AD311" s="676"/>
      <c r="AE311" s="720"/>
      <c r="AF311" s="720"/>
      <c r="AG311" s="676"/>
      <c r="AH311" s="721"/>
      <c r="AI311" s="721"/>
      <c r="AJ311" s="722"/>
      <c r="AK311" s="723"/>
      <c r="AL311" s="723"/>
      <c r="AM311" s="724"/>
      <c r="AN311" s="724"/>
      <c r="AO311" s="725"/>
      <c r="AP311" s="726"/>
      <c r="AQ311" s="723"/>
      <c r="AR311" s="727"/>
      <c r="AS311" s="727"/>
      <c r="AT311" s="728"/>
      <c r="AU311" s="727"/>
      <c r="AV311" s="729"/>
      <c r="AW311" s="727"/>
      <c r="AX311" s="727"/>
      <c r="AY311" s="723"/>
      <c r="AZ311" s="730"/>
      <c r="BA311" s="676"/>
      <c r="BB311" s="721"/>
      <c r="BC311" s="721"/>
      <c r="BD311" s="721"/>
      <c r="BE311" s="721"/>
    </row>
    <row r="312" spans="1:57" s="702" customFormat="1" ht="5.25" hidden="1">
      <c r="A312" s="702" t="str">
        <f t="shared" si="326"/>
        <v>N</v>
      </c>
      <c r="C312" s="704"/>
      <c r="D312" s="704"/>
      <c r="E312" s="704"/>
      <c r="F312" s="704"/>
      <c r="G312" s="704"/>
      <c r="H312" s="704"/>
      <c r="I312" s="704"/>
      <c r="J312" s="705"/>
      <c r="K312" s="705"/>
      <c r="L312" s="705"/>
      <c r="M312" s="705"/>
      <c r="N312" s="705"/>
      <c r="O312" s="705"/>
      <c r="P312" s="1128"/>
      <c r="Q312" s="705"/>
      <c r="R312" s="705"/>
      <c r="S312" s="1136"/>
      <c r="T312" s="706"/>
      <c r="V312" s="707"/>
      <c r="W312" s="707"/>
      <c r="X312" s="707"/>
      <c r="Y312" s="707"/>
      <c r="Z312" s="707"/>
      <c r="AA312" s="707"/>
      <c r="AB312" s="707"/>
      <c r="AC312" s="707"/>
      <c r="AD312" s="707"/>
      <c r="AE312" s="708"/>
      <c r="AF312" s="708"/>
      <c r="AG312" s="707"/>
      <c r="AH312" s="709"/>
      <c r="AI312" s="709"/>
      <c r="AJ312" s="710"/>
      <c r="AK312" s="711"/>
      <c r="AL312" s="711"/>
      <c r="AM312" s="712"/>
      <c r="AN312" s="712"/>
      <c r="AO312" s="713"/>
      <c r="AP312" s="714"/>
      <c r="AQ312" s="711"/>
      <c r="AR312" s="715"/>
      <c r="AS312" s="715"/>
      <c r="AT312" s="716"/>
      <c r="AU312" s="715"/>
      <c r="AV312" s="717"/>
      <c r="AW312" s="715"/>
      <c r="AX312" s="715"/>
      <c r="AY312" s="711"/>
      <c r="AZ312" s="718"/>
      <c r="BA312" s="707"/>
      <c r="BB312" s="709"/>
      <c r="BC312" s="709"/>
      <c r="BD312" s="709"/>
      <c r="BE312" s="709"/>
    </row>
    <row r="313" spans="1:57" ht="15.75">
      <c r="A313" s="641" t="str">
        <f t="shared" si="326"/>
        <v>Y</v>
      </c>
      <c r="B313" s="641">
        <v>6</v>
      </c>
      <c r="C313" s="2797" t="s">
        <v>163</v>
      </c>
      <c r="D313" s="2798"/>
      <c r="E313" s="2799" t="str">
        <f t="shared" ref="E313:E333" si="329">E136</f>
        <v>LSMGO</v>
      </c>
      <c r="F313" s="2800"/>
      <c r="G313" s="2800"/>
      <c r="H313" s="2800"/>
      <c r="I313" s="2801"/>
      <c r="J313" s="698"/>
      <c r="K313" s="699"/>
      <c r="L313" s="700"/>
      <c r="M313" s="699"/>
      <c r="N313" s="699"/>
      <c r="O313" s="700"/>
      <c r="P313" s="1129"/>
      <c r="Q313" s="700"/>
      <c r="R313" s="701"/>
      <c r="S313" s="1129"/>
      <c r="T313" s="701"/>
      <c r="V313" s="676"/>
      <c r="W313" s="731"/>
      <c r="X313" s="731"/>
      <c r="Y313" s="731"/>
      <c r="Z313" s="731"/>
      <c r="AA313" s="676"/>
      <c r="AB313" s="731"/>
      <c r="AC313" s="731"/>
      <c r="AD313" s="676"/>
      <c r="AE313" s="732"/>
      <c r="AF313" s="732"/>
      <c r="AG313" s="676"/>
      <c r="AH313" s="733"/>
      <c r="AI313" s="733"/>
      <c r="AJ313" s="734"/>
      <c r="AK313" s="735"/>
      <c r="AL313" s="735"/>
      <c r="AM313" s="736"/>
      <c r="AN313" s="736"/>
      <c r="AO313" s="737"/>
      <c r="AP313" s="738"/>
      <c r="AQ313" s="735"/>
      <c r="AR313" s="739"/>
      <c r="AS313" s="739"/>
      <c r="AT313" s="740"/>
      <c r="AU313" s="739"/>
      <c r="AV313" s="741"/>
      <c r="AW313" s="739"/>
      <c r="AX313" s="739"/>
      <c r="AY313" s="735"/>
      <c r="AZ313" s="742"/>
      <c r="BA313" s="676"/>
      <c r="BB313" s="733"/>
      <c r="BC313" s="733"/>
      <c r="BD313" s="733"/>
      <c r="BE313" s="733"/>
    </row>
    <row r="314" spans="1:57">
      <c r="A314" s="641" t="str">
        <f t="shared" si="326"/>
        <v>Y</v>
      </c>
      <c r="C314" s="622" t="str">
        <f t="shared" ref="C314:D333" si="330">C137</f>
        <v>AFO S</v>
      </c>
      <c r="D314" s="623" t="str">
        <f t="shared" si="330"/>
        <v>LSMGO</v>
      </c>
      <c r="E314" s="1018">
        <f t="shared" si="329"/>
        <v>17.43</v>
      </c>
      <c r="F314" s="1018">
        <f t="shared" ref="F314:F333" si="331">IF(ISERROR(W314),"",IF(OR($C314="",$C314=0),"",IF(ISTEXT(W314),W314,IF($AB$1=1,W314*UNITOR_1,INT(W314*UNITOR_1)&amp;"'-"&amp;TRIM(TEXT(ROUND(MOD(W314*UNITOR_1,1)*12,1),"# ???/???"))&amp;""""))))</f>
        <v>17.43</v>
      </c>
      <c r="G314" s="1018">
        <f t="shared" ref="G314:H333" si="332">IF(ISERROR(X314),"",IF(OR($C314="",$C314=0),"",IF(ISTEXT(X314),X314,IF($AB$1=1,X314*UNITOR_1,INT(X314*UNITOR_1)&amp;"'-"&amp;TRIM(TEXT(ROUND(MOD(X314*UNITOR_1,1)*12,1),"# ???/???"))&amp;""""))))</f>
        <v>5.18</v>
      </c>
      <c r="H314" s="1018">
        <f t="shared" si="332"/>
        <v>5.18</v>
      </c>
      <c r="I314" s="623" t="str">
        <f t="shared" ref="I314:I333" si="333">IF(ISERROR($BB314),"",IF(OR($C314="",$C314=0,$BB314=0),"",$BB314))</f>
        <v>S</v>
      </c>
      <c r="J314" s="1018">
        <f t="shared" ref="J314:J333" si="334">IF(ISERROR($BC314),"",IF(OR($C314="",$C314=0,$BC314=""),"",IF(ISTEXT($BC314),$BC314,$BC314*IF($AA$1=B1SEL,1,IF($AA$1=2,FBBLS,1/FBBLS)))))</f>
        <v>48.5</v>
      </c>
      <c r="K314" s="625">
        <f t="shared" ref="K314:K333" si="335">IF(ISERROR($BD314),"",IF(OR($C314="",$C314=0,$BD314=""),0,IF(ISTEXT($BD314),$BD314,$BD314*IF($AB$1=W1SEL,1,IF($AB$1=2,FINCH,1/FINCH)))))</f>
        <v>0</v>
      </c>
      <c r="L314" s="624">
        <f t="shared" ref="L314:L333" si="336">IF(ISERROR($BE314),"",IF(OR($C314="",$C314=0,$BE314=""),0,IF(ISTEXT($BE314),$BE314,$BE314*IF($AA$1=B1SEL,1,IF($AA$1=2,FBBLS,1/FBBLS)))))</f>
        <v>0</v>
      </c>
      <c r="M314" s="1124">
        <f>IF(OR($C314="",$C314=0),"",INDEX(API2DENST,MATCH($C314,'Vessel Gauging Data'!$B$27:$B$56,0),$AA$1))</f>
        <v>0.83520556700000004</v>
      </c>
      <c r="N314" s="624">
        <f t="shared" ref="N314:N333" si="337">IF(ISERROR(Z314),"",IF(OR($C314="",$C314=0,Z314=""),"",IF(ISTEXT(Z314),Z314,IF($AA$1=T1SEL,Z314,IF($AA$1=2,(Z314*9/5)+32,(Z314-32)*5/9)))))</f>
        <v>24</v>
      </c>
      <c r="O314" s="1018">
        <f>IF(OR(J314="",L314=""),"",IF(ISTEXT(J314),"N/A",IF(ISTEXT(L314),J314,J314-L314)))</f>
        <v>48.5</v>
      </c>
      <c r="P314" s="1124">
        <f>IF(OR(M314="",N314=""),"",IF(OR(ISTEXT(M314),ISTEXT(N314)),"N/A",IF($AA$1=1,ROUND(EXP(-AF314*(N314-15)*(1+0.8*AF314*(N314-15))),5),AZ314)))</f>
        <v>0.99234</v>
      </c>
      <c r="Q314" s="1018">
        <f>IF(OR(M314="",N314=""),"",IF(OR(ISTEXT(M314),ISTEXT(N314)),"N/A",ROUND(O314*P314,3)))</f>
        <v>48.128</v>
      </c>
      <c r="R314" s="626">
        <f>IF(M314="","",IF($AA$1=1,IF(ISTEXT(Q314),"N/A",ROUND(Q314*M314,3)),IF(ISTEXT(T314),"N/A",ROUND(T314*AC314,3))))</f>
        <v>40.197000000000003</v>
      </c>
      <c r="S314" s="1124">
        <f t="shared" ref="S314" si="338">IF(M314="","",IF($AA$1=1,ROUND(M314-0.0011,5),ROUND((1.00122697*(141.5/(M314+131.5))-1.22269727*10^-3)*8.32823*42/2204.62,5+2)))</f>
        <v>0.83411000000000002</v>
      </c>
      <c r="T314" s="627">
        <f>IF(OR(M314="",N314=""),"",IF(ISTEXT(Q314),"N/A",IF($AA$1=1,ROUND((Q314*(M314-0.0011)),3),ROUND(Q314*S314,3))))</f>
        <v>40.143999999999998</v>
      </c>
      <c r="W314" s="642">
        <f>INDEX('Vessel Gauging Data'!$B$26:$V$56,MATCH($C314,'Vessel Gauging Data'!$B$26:$B$56,0),$W$198)</f>
        <v>17.43</v>
      </c>
      <c r="X314" s="642">
        <f>INDEX('Vessel Gauging Data'!$B$26:$V$56,MATCH($C314,'Vessel Gauging Data'!$B$26:$B$56,0),$X$198)</f>
        <v>5.18</v>
      </c>
      <c r="Y314" s="642">
        <f>INDEX('Vessel Gauging Data'!$B$26:$V$56,MATCH($C314,'Vessel Gauging Data'!$B$26:$B$56,0),$Y$198)</f>
        <v>5.18</v>
      </c>
      <c r="Z314" s="642">
        <f>INDEX('Vessel Gauging Data'!$B$26:$V$56,MATCH($C314,'Vessel Gauging Data'!$B$26:$B$56,0),$Z$198)</f>
        <v>24</v>
      </c>
      <c r="AB314" s="642">
        <f>INDEX(API2DENST,MATCH($C314,'Vessel Gauging Data'!$B$27:$B$56,0),1)</f>
        <v>0.83520556700000004</v>
      </c>
      <c r="AC314" s="642">
        <f t="shared" ref="AC314:AC366" si="339">((INT((AB314/(1.0001506*AB314-0.0012202))*10000)+0.5)/10000)</f>
        <v>1.00135</v>
      </c>
      <c r="AE314" s="661">
        <f t="shared" ref="AE314:AE366" si="340">ROUND(+M314/2*1000,0)*2</f>
        <v>836</v>
      </c>
      <c r="AF314" s="661">
        <f t="shared" ref="AF314:AF366" si="341">ROUND(186.9696/(AE314*AE314)+(0.4862/AE314),8)</f>
        <v>8.4909999999999998E-4</v>
      </c>
      <c r="AH314" s="662">
        <f t="shared" si="327"/>
        <v>24</v>
      </c>
      <c r="AI314" s="662">
        <f t="shared" si="328"/>
        <v>0.83520556700000004</v>
      </c>
      <c r="AJ314" s="663">
        <f t="shared" ref="AJ314:AJ327" si="342">IF(AND(AI314&gt;=0,AI314&lt;=37),103.872,IF(AND(AI314&gt;=48,AI314&lt;=52),-0.0018684,IF(AND(AI314&gt;=37.1,AI314&lt;=47.9),330.301,IF(AND(AI314&gt;=52.1),192.4571))))</f>
        <v>103.872</v>
      </c>
      <c r="AK314" s="660">
        <f t="shared" ref="AK314:AK327" si="343">IF(AND(AI314&gt;=0,AI314&lt;=37),0.2701,IF(AND(AI314&gt;=48,AJ314&lt;=52),1489.067,IF(AND(AI314&gt;=37.1,AI314&lt;=47.9),0,IF(AI314&gt;=52.1,0.2438))))</f>
        <v>0.27010000000000001</v>
      </c>
      <c r="AL314" s="660">
        <f t="shared" ref="AL314:AL327" si="344">ROUND(141360.198/(AI314+131.5),2)</f>
        <v>1068.2</v>
      </c>
      <c r="AM314" s="664">
        <f t="shared" ref="AM314:AM327" si="345">TRUNC(AJ314/AL314,8)</f>
        <v>9.7240209999999994E-2</v>
      </c>
      <c r="AN314" s="664">
        <f t="shared" ref="AN314:AN327" si="346">TRUNC(AM314/AL314,10)</f>
        <v>9.1031800000000005E-5</v>
      </c>
      <c r="AO314" s="665">
        <f t="shared" ref="AO314:AO327" si="347">TRUNC(AK314/AL314,10)</f>
        <v>2.5285519999999998E-4</v>
      </c>
      <c r="AP314" s="666">
        <f t="shared" ref="AP314:AP327" si="348">IF(AND(AI314&gt;=48,AI314&lt;=52),ROUND(AW314+AJ314,7),ROUND(AN314+AO314,7))</f>
        <v>3.4390000000000001E-4</v>
      </c>
      <c r="AQ314" s="660">
        <f t="shared" ref="AQ314:AQ327" si="349">AH314-60</f>
        <v>-36</v>
      </c>
      <c r="AR314" s="667">
        <f t="shared" ref="AR314:AR327" si="350">TRUNC(AP314*AQ314,8)</f>
        <v>-1.23804E-2</v>
      </c>
      <c r="AS314" s="667">
        <f t="shared" ref="AS314:AS327" si="351">TRUNC(0.8*AR314,8)</f>
        <v>-9.9043199999999994E-3</v>
      </c>
      <c r="AT314" s="668">
        <f t="shared" ref="AT314:AT327" si="352">TRUNC(0.8*AP314^2*AQ314^2,8)</f>
        <v>1.2260999999999999E-4</v>
      </c>
      <c r="AU314" s="667">
        <f t="shared" ref="AU314:AU327" si="353">-AR314-AT314</f>
        <v>1.2257789999999999E-2</v>
      </c>
      <c r="AV314" s="669">
        <f t="shared" ref="AV314:AV327" si="354">TRUNC(AK314/AL314,5)</f>
        <v>2.5000000000000001E-4</v>
      </c>
      <c r="AW314" s="667">
        <f t="shared" ref="AW314:AW327" si="355">ROUND(AV314/AL314,8)</f>
        <v>2.2999999999999999E-7</v>
      </c>
      <c r="AX314" s="667">
        <f t="shared" ref="AX314:AX327" si="356">ROUND(AW314+AJ314,8)</f>
        <v>103.87200023</v>
      </c>
      <c r="AY314" s="660">
        <f t="shared" ref="AY314:AY327" si="357">IF(AND(AI314&gt;=48,AI314&lt;=52),AX314,AP314)</f>
        <v>3.4390000000000001E-4</v>
      </c>
      <c r="AZ314" s="670">
        <f t="shared" ref="AZ314:AZ327" si="358">ROUND(EXP(AU314),5)</f>
        <v>1.01233</v>
      </c>
      <c r="BB314" s="662" t="str">
        <f>INDEX('Vessel Gauging Data'!$B$26:$V$56,MATCH($C314,'Vessel Gauging Data'!$B$26:$B$56,0),$BB$198)</f>
        <v>S</v>
      </c>
      <c r="BC314" s="662">
        <f>INDEX('Vessel Gauging Data'!$B$26:$V$56,MATCH($C314,'Vessel Gauging Data'!$B$26:$B$56,0),$BC$198)</f>
        <v>48.5</v>
      </c>
      <c r="BD314" s="662">
        <f>INDEX('Vessel Gauging Data'!$B$26:$V$56,MATCH($C314,'Vessel Gauging Data'!$B$26:$B$56,0),$BD$198)</f>
        <v>0</v>
      </c>
      <c r="BE314" s="662">
        <f>INDEX('Vessel Gauging Data'!$B$26:$V$56,MATCH($C314,'Vessel Gauging Data'!$B$26:$B$56,0),$BE$198)</f>
        <v>0</v>
      </c>
    </row>
    <row r="315" spans="1:57" hidden="1">
      <c r="A315" s="641" t="str">
        <f t="shared" si="326"/>
        <v>N</v>
      </c>
      <c r="C315" s="235" t="str">
        <f t="shared" si="330"/>
        <v/>
      </c>
      <c r="D315" s="211" t="str">
        <f t="shared" si="330"/>
        <v/>
      </c>
      <c r="E315" s="1016" t="str">
        <f t="shared" si="329"/>
        <v/>
      </c>
      <c r="F315" s="1016" t="str">
        <f t="shared" si="331"/>
        <v/>
      </c>
      <c r="G315" s="1016" t="str">
        <f t="shared" si="332"/>
        <v/>
      </c>
      <c r="H315" s="1016" t="str">
        <f t="shared" si="332"/>
        <v/>
      </c>
      <c r="I315" s="211" t="str">
        <f t="shared" si="333"/>
        <v/>
      </c>
      <c r="J315" s="1016" t="str">
        <f t="shared" si="334"/>
        <v/>
      </c>
      <c r="K315" s="213" t="str">
        <f t="shared" si="335"/>
        <v/>
      </c>
      <c r="L315" s="212" t="str">
        <f t="shared" si="336"/>
        <v/>
      </c>
      <c r="M315" s="1125" t="str">
        <f>IF(OR($C315="",$C315=0),"",INDEX(API2DENST,MATCH($C315,'Vessel Gauging Data'!$B$27:$B$56,0),$AA$1))</f>
        <v/>
      </c>
      <c r="N315" s="212" t="str">
        <f t="shared" si="337"/>
        <v/>
      </c>
      <c r="O315" s="1016" t="str">
        <f t="shared" ref="O315:O333" si="359">IF(OR(J315="",L315=""),"",IF(ISTEXT(J315),"N/A",IF(ISTEXT(L315),J315,J315-L315)))</f>
        <v/>
      </c>
      <c r="P315" s="1125" t="str">
        <f t="shared" ref="P315:P333" si="360">IF(OR(M315="",N315=""),"",IF(OR(ISTEXT(M315),ISTEXT(N315)),"N/A",IF($AA$1=1,ROUND(EXP(-AF315*(N315-15)*(1+0.8*AF315*(N315-15))),5),AZ315)))</f>
        <v/>
      </c>
      <c r="Q315" s="1016" t="str">
        <f t="shared" ref="Q315:Q333" si="361">IF(OR(M315="",N315=""),"",IF(OR(ISTEXT(M315),ISTEXT(N315)),"N/A",ROUND(O315*P315,3)))</f>
        <v/>
      </c>
      <c r="R315" s="214" t="str">
        <f t="shared" ref="R315:R333" si="362">IF(M315="","",IF($AA$1=1,IF(ISTEXT(Q315),"N/A",ROUND(Q315*M315,3)),IF(ISTEXT(T315),"N/A",ROUND(T315*AC315,3))))</f>
        <v/>
      </c>
      <c r="S315" s="1125" t="str">
        <f t="shared" ref="S315:S333" si="363">IF(M315="","",IF($AA$1=1,ROUND(M315-0.0011,5),ROUND((1.00122697*(141.5/(M315+131.5))-1.22269727*10^-3)*8.32823*42/2204.62,5+2)))</f>
        <v/>
      </c>
      <c r="T315" s="236" t="str">
        <f t="shared" ref="T315:T333" si="364">IF(OR(M315="",N315=""),"",IF(ISTEXT(Q315),"N/A",IF($AA$1=1,ROUND((Q315*(M315-0.0011)),3),ROUND(Q315*S315,3))))</f>
        <v/>
      </c>
      <c r="W315" s="642" t="e">
        <f>INDEX('Vessel Gauging Data'!$B$26:$V$56,MATCH($C315,'Vessel Gauging Data'!$B$26:$B$56,0),$W$198)</f>
        <v>#N/A</v>
      </c>
      <c r="X315" s="642" t="e">
        <f>INDEX('Vessel Gauging Data'!$B$26:$V$56,MATCH($C315,'Vessel Gauging Data'!$B$26:$B$56,0),$X$198)</f>
        <v>#N/A</v>
      </c>
      <c r="Y315" s="642" t="e">
        <f>INDEX('Vessel Gauging Data'!$B$26:$V$56,MATCH($C315,'Vessel Gauging Data'!$B$26:$B$56,0),$Y$198)</f>
        <v>#N/A</v>
      </c>
      <c r="Z315" s="642" t="e">
        <f>INDEX('Vessel Gauging Data'!$B$26:$V$56,MATCH($C315,'Vessel Gauging Data'!$B$26:$B$56,0),$Z$198)</f>
        <v>#N/A</v>
      </c>
      <c r="AB315" s="642" t="e">
        <f>INDEX(API2DENST,MATCH($C315,'Vessel Gauging Data'!$B$27:$B$56,0),1)</f>
        <v>#N/A</v>
      </c>
      <c r="AC315" s="642" t="e">
        <f t="shared" si="339"/>
        <v>#N/A</v>
      </c>
      <c r="AE315" s="661" t="e">
        <f t="shared" si="340"/>
        <v>#VALUE!</v>
      </c>
      <c r="AF315" s="661" t="e">
        <f t="shared" si="341"/>
        <v>#VALUE!</v>
      </c>
      <c r="AH315" s="662" t="str">
        <f t="shared" si="327"/>
        <v/>
      </c>
      <c r="AI315" s="662" t="str">
        <f t="shared" si="328"/>
        <v/>
      </c>
      <c r="AJ315" s="663">
        <f t="shared" si="342"/>
        <v>192.4571</v>
      </c>
      <c r="AK315" s="660">
        <f t="shared" si="343"/>
        <v>0.24379999999999999</v>
      </c>
      <c r="AL315" s="660" t="e">
        <f t="shared" si="344"/>
        <v>#VALUE!</v>
      </c>
      <c r="AM315" s="664" t="e">
        <f t="shared" si="345"/>
        <v>#VALUE!</v>
      </c>
      <c r="AN315" s="664" t="e">
        <f t="shared" si="346"/>
        <v>#VALUE!</v>
      </c>
      <c r="AO315" s="665" t="e">
        <f t="shared" si="347"/>
        <v>#VALUE!</v>
      </c>
      <c r="AP315" s="666" t="e">
        <f t="shared" si="348"/>
        <v>#VALUE!</v>
      </c>
      <c r="AQ315" s="660" t="e">
        <f t="shared" si="349"/>
        <v>#VALUE!</v>
      </c>
      <c r="AR315" s="667" t="e">
        <f t="shared" si="350"/>
        <v>#VALUE!</v>
      </c>
      <c r="AS315" s="667" t="e">
        <f t="shared" si="351"/>
        <v>#VALUE!</v>
      </c>
      <c r="AT315" s="668" t="e">
        <f t="shared" si="352"/>
        <v>#VALUE!</v>
      </c>
      <c r="AU315" s="667" t="e">
        <f t="shared" si="353"/>
        <v>#VALUE!</v>
      </c>
      <c r="AV315" s="669" t="e">
        <f t="shared" si="354"/>
        <v>#VALUE!</v>
      </c>
      <c r="AW315" s="667" t="e">
        <f t="shared" si="355"/>
        <v>#VALUE!</v>
      </c>
      <c r="AX315" s="667" t="e">
        <f t="shared" si="356"/>
        <v>#VALUE!</v>
      </c>
      <c r="AY315" s="660" t="e">
        <f t="shared" si="357"/>
        <v>#VALUE!</v>
      </c>
      <c r="AZ315" s="670" t="e">
        <f t="shared" si="358"/>
        <v>#VALUE!</v>
      </c>
      <c r="BB315" s="662" t="e">
        <f>INDEX('Vessel Gauging Data'!$B$26:$V$56,MATCH($C315,'Vessel Gauging Data'!$B$26:$B$56,0),$BB$198)</f>
        <v>#N/A</v>
      </c>
      <c r="BC315" s="662" t="e">
        <f>INDEX('Vessel Gauging Data'!$B$26:$V$56,MATCH($C315,'Vessel Gauging Data'!$B$26:$B$56,0),$BC$198)</f>
        <v>#N/A</v>
      </c>
      <c r="BD315" s="662" t="e">
        <f>INDEX('Vessel Gauging Data'!$B$26:$V$56,MATCH($C315,'Vessel Gauging Data'!$B$26:$B$56,0),$BD$198)</f>
        <v>#N/A</v>
      </c>
      <c r="BE315" s="662" t="e">
        <f>INDEX('Vessel Gauging Data'!$B$26:$V$56,MATCH($C315,'Vessel Gauging Data'!$B$26:$B$56,0),$BE$198)</f>
        <v>#N/A</v>
      </c>
    </row>
    <row r="316" spans="1:57" hidden="1">
      <c r="A316" s="641" t="str">
        <f t="shared" si="326"/>
        <v>N</v>
      </c>
      <c r="C316" s="235" t="str">
        <f t="shared" si="330"/>
        <v/>
      </c>
      <c r="D316" s="211" t="str">
        <f t="shared" si="330"/>
        <v/>
      </c>
      <c r="E316" s="1016" t="str">
        <f t="shared" si="329"/>
        <v/>
      </c>
      <c r="F316" s="1016" t="str">
        <f t="shared" si="331"/>
        <v/>
      </c>
      <c r="G316" s="1016" t="str">
        <f t="shared" si="332"/>
        <v/>
      </c>
      <c r="H316" s="1016" t="str">
        <f t="shared" si="332"/>
        <v/>
      </c>
      <c r="I316" s="211" t="str">
        <f t="shared" si="333"/>
        <v/>
      </c>
      <c r="J316" s="1016" t="str">
        <f t="shared" si="334"/>
        <v/>
      </c>
      <c r="K316" s="213" t="str">
        <f t="shared" si="335"/>
        <v/>
      </c>
      <c r="L316" s="212" t="str">
        <f t="shared" si="336"/>
        <v/>
      </c>
      <c r="M316" s="1125" t="str">
        <f>IF(OR($C316="",$C316=0),"",INDEX(API2DENST,MATCH($C316,'Vessel Gauging Data'!$B$27:$B$56,0),$AA$1))</f>
        <v/>
      </c>
      <c r="N316" s="212" t="str">
        <f t="shared" si="337"/>
        <v/>
      </c>
      <c r="O316" s="1016" t="str">
        <f t="shared" si="359"/>
        <v/>
      </c>
      <c r="P316" s="1125" t="str">
        <f t="shared" si="360"/>
        <v/>
      </c>
      <c r="Q316" s="1016" t="str">
        <f t="shared" si="361"/>
        <v/>
      </c>
      <c r="R316" s="214" t="str">
        <f t="shared" si="362"/>
        <v/>
      </c>
      <c r="S316" s="1125" t="str">
        <f t="shared" si="363"/>
        <v/>
      </c>
      <c r="T316" s="236" t="str">
        <f t="shared" si="364"/>
        <v/>
      </c>
      <c r="W316" s="642" t="e">
        <f>INDEX('Vessel Gauging Data'!$B$26:$V$56,MATCH($C316,'Vessel Gauging Data'!$B$26:$B$56,0),$W$198)</f>
        <v>#N/A</v>
      </c>
      <c r="X316" s="642" t="e">
        <f>INDEX('Vessel Gauging Data'!$B$26:$V$56,MATCH($C316,'Vessel Gauging Data'!$B$26:$B$56,0),$X$198)</f>
        <v>#N/A</v>
      </c>
      <c r="Y316" s="642" t="e">
        <f>INDEX('Vessel Gauging Data'!$B$26:$V$56,MATCH($C316,'Vessel Gauging Data'!$B$26:$B$56,0),$Y$198)</f>
        <v>#N/A</v>
      </c>
      <c r="Z316" s="642" t="e">
        <f>INDEX('Vessel Gauging Data'!$B$26:$V$56,MATCH($C316,'Vessel Gauging Data'!$B$26:$B$56,0),$Z$198)</f>
        <v>#N/A</v>
      </c>
      <c r="AB316" s="642" t="e">
        <f>INDEX(API2DENST,MATCH($C316,'Vessel Gauging Data'!$B$27:$B$56,0),1)</f>
        <v>#N/A</v>
      </c>
      <c r="AC316" s="642" t="e">
        <f t="shared" si="339"/>
        <v>#N/A</v>
      </c>
      <c r="AE316" s="661" t="e">
        <f t="shared" si="340"/>
        <v>#VALUE!</v>
      </c>
      <c r="AF316" s="661" t="e">
        <f t="shared" si="341"/>
        <v>#VALUE!</v>
      </c>
      <c r="AH316" s="662" t="str">
        <f t="shared" si="327"/>
        <v/>
      </c>
      <c r="AI316" s="662" t="str">
        <f t="shared" si="328"/>
        <v/>
      </c>
      <c r="AJ316" s="663">
        <f t="shared" si="342"/>
        <v>192.4571</v>
      </c>
      <c r="AK316" s="660">
        <f t="shared" si="343"/>
        <v>0.24379999999999999</v>
      </c>
      <c r="AL316" s="660" t="e">
        <f t="shared" si="344"/>
        <v>#VALUE!</v>
      </c>
      <c r="AM316" s="664" t="e">
        <f t="shared" si="345"/>
        <v>#VALUE!</v>
      </c>
      <c r="AN316" s="664" t="e">
        <f t="shared" si="346"/>
        <v>#VALUE!</v>
      </c>
      <c r="AO316" s="665" t="e">
        <f t="shared" si="347"/>
        <v>#VALUE!</v>
      </c>
      <c r="AP316" s="666" t="e">
        <f t="shared" si="348"/>
        <v>#VALUE!</v>
      </c>
      <c r="AQ316" s="660" t="e">
        <f t="shared" si="349"/>
        <v>#VALUE!</v>
      </c>
      <c r="AR316" s="667" t="e">
        <f t="shared" si="350"/>
        <v>#VALUE!</v>
      </c>
      <c r="AS316" s="667" t="e">
        <f t="shared" si="351"/>
        <v>#VALUE!</v>
      </c>
      <c r="AT316" s="668" t="e">
        <f t="shared" si="352"/>
        <v>#VALUE!</v>
      </c>
      <c r="AU316" s="667" t="e">
        <f t="shared" si="353"/>
        <v>#VALUE!</v>
      </c>
      <c r="AV316" s="669" t="e">
        <f t="shared" si="354"/>
        <v>#VALUE!</v>
      </c>
      <c r="AW316" s="667" t="e">
        <f t="shared" si="355"/>
        <v>#VALUE!</v>
      </c>
      <c r="AX316" s="667" t="e">
        <f t="shared" si="356"/>
        <v>#VALUE!</v>
      </c>
      <c r="AY316" s="660" t="e">
        <f t="shared" si="357"/>
        <v>#VALUE!</v>
      </c>
      <c r="AZ316" s="670" t="e">
        <f t="shared" si="358"/>
        <v>#VALUE!</v>
      </c>
      <c r="BB316" s="662" t="e">
        <f>INDEX('Vessel Gauging Data'!$B$26:$V$56,MATCH($C316,'Vessel Gauging Data'!$B$26:$B$56,0),$BB$198)</f>
        <v>#N/A</v>
      </c>
      <c r="BC316" s="662" t="e">
        <f>INDEX('Vessel Gauging Data'!$B$26:$V$56,MATCH($C316,'Vessel Gauging Data'!$B$26:$B$56,0),$BC$198)</f>
        <v>#N/A</v>
      </c>
      <c r="BD316" s="662" t="e">
        <f>INDEX('Vessel Gauging Data'!$B$26:$V$56,MATCH($C316,'Vessel Gauging Data'!$B$26:$B$56,0),$BD$198)</f>
        <v>#N/A</v>
      </c>
      <c r="BE316" s="662" t="e">
        <f>INDEX('Vessel Gauging Data'!$B$26:$V$56,MATCH($C316,'Vessel Gauging Data'!$B$26:$B$56,0),$BE$198)</f>
        <v>#N/A</v>
      </c>
    </row>
    <row r="317" spans="1:57" hidden="1">
      <c r="A317" s="641" t="str">
        <f t="shared" si="326"/>
        <v>N</v>
      </c>
      <c r="C317" s="235" t="str">
        <f t="shared" si="330"/>
        <v/>
      </c>
      <c r="D317" s="211" t="str">
        <f t="shared" si="330"/>
        <v/>
      </c>
      <c r="E317" s="1016" t="str">
        <f t="shared" si="329"/>
        <v/>
      </c>
      <c r="F317" s="1016" t="str">
        <f t="shared" si="331"/>
        <v/>
      </c>
      <c r="G317" s="1016" t="str">
        <f t="shared" si="332"/>
        <v/>
      </c>
      <c r="H317" s="1016" t="str">
        <f t="shared" si="332"/>
        <v/>
      </c>
      <c r="I317" s="211" t="str">
        <f t="shared" si="333"/>
        <v/>
      </c>
      <c r="J317" s="1016" t="str">
        <f t="shared" si="334"/>
        <v/>
      </c>
      <c r="K317" s="213" t="str">
        <f t="shared" si="335"/>
        <v/>
      </c>
      <c r="L317" s="212" t="str">
        <f t="shared" si="336"/>
        <v/>
      </c>
      <c r="M317" s="1125" t="str">
        <f>IF(OR($C317="",$C317=0),"",INDEX(API2DENST,MATCH($C317,'Vessel Gauging Data'!$B$27:$B$56,0),$AA$1))</f>
        <v/>
      </c>
      <c r="N317" s="212" t="str">
        <f t="shared" si="337"/>
        <v/>
      </c>
      <c r="O317" s="1016" t="str">
        <f t="shared" si="359"/>
        <v/>
      </c>
      <c r="P317" s="1125" t="str">
        <f t="shared" si="360"/>
        <v/>
      </c>
      <c r="Q317" s="1016" t="str">
        <f t="shared" si="361"/>
        <v/>
      </c>
      <c r="R317" s="214" t="str">
        <f t="shared" si="362"/>
        <v/>
      </c>
      <c r="S317" s="1125" t="str">
        <f t="shared" si="363"/>
        <v/>
      </c>
      <c r="T317" s="236" t="str">
        <f t="shared" si="364"/>
        <v/>
      </c>
      <c r="W317" s="642" t="e">
        <f>INDEX('Vessel Gauging Data'!$B$26:$V$56,MATCH($C317,'Vessel Gauging Data'!$B$26:$B$56,0),$W$198)</f>
        <v>#N/A</v>
      </c>
      <c r="X317" s="642" t="e">
        <f>INDEX('Vessel Gauging Data'!$B$26:$V$56,MATCH($C317,'Vessel Gauging Data'!$B$26:$B$56,0),$X$198)</f>
        <v>#N/A</v>
      </c>
      <c r="Y317" s="642" t="e">
        <f>INDEX('Vessel Gauging Data'!$B$26:$V$56,MATCH($C317,'Vessel Gauging Data'!$B$26:$B$56,0),$Y$198)</f>
        <v>#N/A</v>
      </c>
      <c r="Z317" s="642" t="e">
        <f>INDEX('Vessel Gauging Data'!$B$26:$V$56,MATCH($C317,'Vessel Gauging Data'!$B$26:$B$56,0),$Z$198)</f>
        <v>#N/A</v>
      </c>
      <c r="AB317" s="642" t="e">
        <f>INDEX(API2DENST,MATCH($C317,'Vessel Gauging Data'!$B$27:$B$56,0),1)</f>
        <v>#N/A</v>
      </c>
      <c r="AC317" s="642" t="e">
        <f t="shared" si="339"/>
        <v>#N/A</v>
      </c>
      <c r="AE317" s="661" t="e">
        <f t="shared" si="340"/>
        <v>#VALUE!</v>
      </c>
      <c r="AF317" s="661" t="e">
        <f t="shared" si="341"/>
        <v>#VALUE!</v>
      </c>
      <c r="AH317" s="662" t="str">
        <f t="shared" si="327"/>
        <v/>
      </c>
      <c r="AI317" s="662" t="str">
        <f t="shared" si="328"/>
        <v/>
      </c>
      <c r="AJ317" s="663">
        <f t="shared" si="342"/>
        <v>192.4571</v>
      </c>
      <c r="AK317" s="660">
        <f t="shared" si="343"/>
        <v>0.24379999999999999</v>
      </c>
      <c r="AL317" s="660" t="e">
        <f t="shared" si="344"/>
        <v>#VALUE!</v>
      </c>
      <c r="AM317" s="664" t="e">
        <f t="shared" si="345"/>
        <v>#VALUE!</v>
      </c>
      <c r="AN317" s="664" t="e">
        <f t="shared" si="346"/>
        <v>#VALUE!</v>
      </c>
      <c r="AO317" s="665" t="e">
        <f t="shared" si="347"/>
        <v>#VALUE!</v>
      </c>
      <c r="AP317" s="666" t="e">
        <f t="shared" si="348"/>
        <v>#VALUE!</v>
      </c>
      <c r="AQ317" s="660" t="e">
        <f t="shared" si="349"/>
        <v>#VALUE!</v>
      </c>
      <c r="AR317" s="667" t="e">
        <f t="shared" si="350"/>
        <v>#VALUE!</v>
      </c>
      <c r="AS317" s="667" t="e">
        <f t="shared" si="351"/>
        <v>#VALUE!</v>
      </c>
      <c r="AT317" s="668" t="e">
        <f t="shared" si="352"/>
        <v>#VALUE!</v>
      </c>
      <c r="AU317" s="667" t="e">
        <f t="shared" si="353"/>
        <v>#VALUE!</v>
      </c>
      <c r="AV317" s="669" t="e">
        <f t="shared" si="354"/>
        <v>#VALUE!</v>
      </c>
      <c r="AW317" s="667" t="e">
        <f t="shared" si="355"/>
        <v>#VALUE!</v>
      </c>
      <c r="AX317" s="667" t="e">
        <f t="shared" si="356"/>
        <v>#VALUE!</v>
      </c>
      <c r="AY317" s="660" t="e">
        <f t="shared" si="357"/>
        <v>#VALUE!</v>
      </c>
      <c r="AZ317" s="670" t="e">
        <f t="shared" si="358"/>
        <v>#VALUE!</v>
      </c>
      <c r="BB317" s="662" t="e">
        <f>INDEX('Vessel Gauging Data'!$B$26:$V$56,MATCH($C317,'Vessel Gauging Data'!$B$26:$B$56,0),$BB$198)</f>
        <v>#N/A</v>
      </c>
      <c r="BC317" s="662" t="e">
        <f>INDEX('Vessel Gauging Data'!$B$26:$V$56,MATCH($C317,'Vessel Gauging Data'!$B$26:$B$56,0),$BC$198)</f>
        <v>#N/A</v>
      </c>
      <c r="BD317" s="662" t="e">
        <f>INDEX('Vessel Gauging Data'!$B$26:$V$56,MATCH($C317,'Vessel Gauging Data'!$B$26:$B$56,0),$BD$198)</f>
        <v>#N/A</v>
      </c>
      <c r="BE317" s="662" t="e">
        <f>INDEX('Vessel Gauging Data'!$B$26:$V$56,MATCH($C317,'Vessel Gauging Data'!$B$26:$B$56,0),$BE$198)</f>
        <v>#N/A</v>
      </c>
    </row>
    <row r="318" spans="1:57" hidden="1">
      <c r="A318" s="641" t="str">
        <f t="shared" si="326"/>
        <v>N</v>
      </c>
      <c r="C318" s="235" t="str">
        <f t="shared" si="330"/>
        <v/>
      </c>
      <c r="D318" s="211" t="str">
        <f t="shared" si="330"/>
        <v/>
      </c>
      <c r="E318" s="1016" t="str">
        <f t="shared" si="329"/>
        <v/>
      </c>
      <c r="F318" s="1016" t="str">
        <f t="shared" si="331"/>
        <v/>
      </c>
      <c r="G318" s="1016" t="str">
        <f t="shared" si="332"/>
        <v/>
      </c>
      <c r="H318" s="1016" t="str">
        <f t="shared" si="332"/>
        <v/>
      </c>
      <c r="I318" s="211" t="str">
        <f t="shared" si="333"/>
        <v/>
      </c>
      <c r="J318" s="1016" t="str">
        <f t="shared" si="334"/>
        <v/>
      </c>
      <c r="K318" s="213" t="str">
        <f t="shared" si="335"/>
        <v/>
      </c>
      <c r="L318" s="212" t="str">
        <f t="shared" si="336"/>
        <v/>
      </c>
      <c r="M318" s="1125" t="str">
        <f>IF(OR($C318="",$C318=0),"",INDEX(API2DENST,MATCH($C318,'Vessel Gauging Data'!$B$27:$B$56,0),$AA$1))</f>
        <v/>
      </c>
      <c r="N318" s="212" t="str">
        <f t="shared" si="337"/>
        <v/>
      </c>
      <c r="O318" s="1016" t="str">
        <f t="shared" si="359"/>
        <v/>
      </c>
      <c r="P318" s="1125" t="str">
        <f t="shared" si="360"/>
        <v/>
      </c>
      <c r="Q318" s="1016" t="str">
        <f t="shared" si="361"/>
        <v/>
      </c>
      <c r="R318" s="214" t="str">
        <f t="shared" si="362"/>
        <v/>
      </c>
      <c r="S318" s="1125" t="str">
        <f t="shared" si="363"/>
        <v/>
      </c>
      <c r="T318" s="236" t="str">
        <f t="shared" si="364"/>
        <v/>
      </c>
      <c r="W318" s="642" t="e">
        <f>INDEX('Vessel Gauging Data'!$B$26:$V$56,MATCH($C318,'Vessel Gauging Data'!$B$26:$B$56,0),$W$198)</f>
        <v>#N/A</v>
      </c>
      <c r="X318" s="642" t="e">
        <f>INDEX('Vessel Gauging Data'!$B$26:$V$56,MATCH($C318,'Vessel Gauging Data'!$B$26:$B$56,0),$X$198)</f>
        <v>#N/A</v>
      </c>
      <c r="Y318" s="642" t="e">
        <f>INDEX('Vessel Gauging Data'!$B$26:$V$56,MATCH($C318,'Vessel Gauging Data'!$B$26:$B$56,0),$Y$198)</f>
        <v>#N/A</v>
      </c>
      <c r="Z318" s="642" t="e">
        <f>INDEX('Vessel Gauging Data'!$B$26:$V$56,MATCH($C318,'Vessel Gauging Data'!$B$26:$B$56,0),$Z$198)</f>
        <v>#N/A</v>
      </c>
      <c r="AB318" s="642" t="e">
        <f>INDEX(API2DENST,MATCH($C318,'Vessel Gauging Data'!$B$27:$B$56,0),1)</f>
        <v>#N/A</v>
      </c>
      <c r="AC318" s="642" t="e">
        <f t="shared" si="339"/>
        <v>#N/A</v>
      </c>
      <c r="AE318" s="661" t="e">
        <f t="shared" si="340"/>
        <v>#VALUE!</v>
      </c>
      <c r="AF318" s="661" t="e">
        <f t="shared" si="341"/>
        <v>#VALUE!</v>
      </c>
      <c r="AH318" s="662" t="str">
        <f t="shared" si="327"/>
        <v/>
      </c>
      <c r="AI318" s="662" t="str">
        <f t="shared" si="328"/>
        <v/>
      </c>
      <c r="AJ318" s="663">
        <f t="shared" si="342"/>
        <v>192.4571</v>
      </c>
      <c r="AK318" s="660">
        <f t="shared" si="343"/>
        <v>0.24379999999999999</v>
      </c>
      <c r="AL318" s="660" t="e">
        <f t="shared" si="344"/>
        <v>#VALUE!</v>
      </c>
      <c r="AM318" s="664" t="e">
        <f t="shared" si="345"/>
        <v>#VALUE!</v>
      </c>
      <c r="AN318" s="664" t="e">
        <f t="shared" si="346"/>
        <v>#VALUE!</v>
      </c>
      <c r="AO318" s="665" t="e">
        <f t="shared" si="347"/>
        <v>#VALUE!</v>
      </c>
      <c r="AP318" s="666" t="e">
        <f t="shared" si="348"/>
        <v>#VALUE!</v>
      </c>
      <c r="AQ318" s="660" t="e">
        <f t="shared" si="349"/>
        <v>#VALUE!</v>
      </c>
      <c r="AR318" s="667" t="e">
        <f t="shared" si="350"/>
        <v>#VALUE!</v>
      </c>
      <c r="AS318" s="667" t="e">
        <f t="shared" si="351"/>
        <v>#VALUE!</v>
      </c>
      <c r="AT318" s="668" t="e">
        <f t="shared" si="352"/>
        <v>#VALUE!</v>
      </c>
      <c r="AU318" s="667" t="e">
        <f t="shared" si="353"/>
        <v>#VALUE!</v>
      </c>
      <c r="AV318" s="669" t="e">
        <f t="shared" si="354"/>
        <v>#VALUE!</v>
      </c>
      <c r="AW318" s="667" t="e">
        <f t="shared" si="355"/>
        <v>#VALUE!</v>
      </c>
      <c r="AX318" s="667" t="e">
        <f t="shared" si="356"/>
        <v>#VALUE!</v>
      </c>
      <c r="AY318" s="660" t="e">
        <f t="shared" si="357"/>
        <v>#VALUE!</v>
      </c>
      <c r="AZ318" s="670" t="e">
        <f t="shared" si="358"/>
        <v>#VALUE!</v>
      </c>
      <c r="BB318" s="662" t="e">
        <f>INDEX('Vessel Gauging Data'!$B$26:$V$56,MATCH($C318,'Vessel Gauging Data'!$B$26:$B$56,0),$BB$198)</f>
        <v>#N/A</v>
      </c>
      <c r="BC318" s="662" t="e">
        <f>INDEX('Vessel Gauging Data'!$B$26:$V$56,MATCH($C318,'Vessel Gauging Data'!$B$26:$B$56,0),$BC$198)</f>
        <v>#N/A</v>
      </c>
      <c r="BD318" s="662" t="e">
        <f>INDEX('Vessel Gauging Data'!$B$26:$V$56,MATCH($C318,'Vessel Gauging Data'!$B$26:$B$56,0),$BD$198)</f>
        <v>#N/A</v>
      </c>
      <c r="BE318" s="662" t="e">
        <f>INDEX('Vessel Gauging Data'!$B$26:$V$56,MATCH($C318,'Vessel Gauging Data'!$B$26:$B$56,0),$BE$198)</f>
        <v>#N/A</v>
      </c>
    </row>
    <row r="319" spans="1:57" hidden="1">
      <c r="A319" s="641" t="str">
        <f t="shared" si="326"/>
        <v>N</v>
      </c>
      <c r="C319" s="235" t="str">
        <f t="shared" si="330"/>
        <v/>
      </c>
      <c r="D319" s="211" t="str">
        <f t="shared" si="330"/>
        <v/>
      </c>
      <c r="E319" s="1016" t="str">
        <f t="shared" si="329"/>
        <v/>
      </c>
      <c r="F319" s="1016" t="str">
        <f t="shared" si="331"/>
        <v/>
      </c>
      <c r="G319" s="1016" t="str">
        <f t="shared" si="332"/>
        <v/>
      </c>
      <c r="H319" s="1016" t="str">
        <f t="shared" si="332"/>
        <v/>
      </c>
      <c r="I319" s="211" t="str">
        <f t="shared" si="333"/>
        <v/>
      </c>
      <c r="J319" s="1016" t="str">
        <f t="shared" si="334"/>
        <v/>
      </c>
      <c r="K319" s="213" t="str">
        <f t="shared" si="335"/>
        <v/>
      </c>
      <c r="L319" s="212" t="str">
        <f t="shared" si="336"/>
        <v/>
      </c>
      <c r="M319" s="1125" t="str">
        <f>IF(OR($C319="",$C319=0),"",INDEX(API2DENST,MATCH($C319,'Vessel Gauging Data'!$B$27:$B$56,0),$AA$1))</f>
        <v/>
      </c>
      <c r="N319" s="212" t="str">
        <f t="shared" si="337"/>
        <v/>
      </c>
      <c r="O319" s="1016" t="str">
        <f t="shared" si="359"/>
        <v/>
      </c>
      <c r="P319" s="1125" t="str">
        <f t="shared" si="360"/>
        <v/>
      </c>
      <c r="Q319" s="1016" t="str">
        <f t="shared" si="361"/>
        <v/>
      </c>
      <c r="R319" s="214" t="str">
        <f t="shared" si="362"/>
        <v/>
      </c>
      <c r="S319" s="1125" t="str">
        <f t="shared" si="363"/>
        <v/>
      </c>
      <c r="T319" s="236" t="str">
        <f t="shared" si="364"/>
        <v/>
      </c>
      <c r="W319" s="642" t="e">
        <f>INDEX('Vessel Gauging Data'!$B$26:$V$56,MATCH($C319,'Vessel Gauging Data'!$B$26:$B$56,0),$W$198)</f>
        <v>#N/A</v>
      </c>
      <c r="X319" s="642" t="e">
        <f>INDEX('Vessel Gauging Data'!$B$26:$V$56,MATCH($C319,'Vessel Gauging Data'!$B$26:$B$56,0),$X$198)</f>
        <v>#N/A</v>
      </c>
      <c r="Y319" s="642" t="e">
        <f>INDEX('Vessel Gauging Data'!$B$26:$V$56,MATCH($C319,'Vessel Gauging Data'!$B$26:$B$56,0),$Y$198)</f>
        <v>#N/A</v>
      </c>
      <c r="Z319" s="642" t="e">
        <f>INDEX('Vessel Gauging Data'!$B$26:$V$56,MATCH($C319,'Vessel Gauging Data'!$B$26:$B$56,0),$Z$198)</f>
        <v>#N/A</v>
      </c>
      <c r="AB319" s="642" t="e">
        <f>INDEX(API2DENST,MATCH($C319,'Vessel Gauging Data'!$B$27:$B$56,0),1)</f>
        <v>#N/A</v>
      </c>
      <c r="AC319" s="642" t="e">
        <f t="shared" si="339"/>
        <v>#N/A</v>
      </c>
      <c r="AE319" s="661" t="e">
        <f t="shared" si="340"/>
        <v>#VALUE!</v>
      </c>
      <c r="AF319" s="661" t="e">
        <f t="shared" si="341"/>
        <v>#VALUE!</v>
      </c>
      <c r="AH319" s="662" t="str">
        <f t="shared" si="327"/>
        <v/>
      </c>
      <c r="AI319" s="662" t="str">
        <f t="shared" si="328"/>
        <v/>
      </c>
      <c r="AJ319" s="663">
        <f t="shared" si="342"/>
        <v>192.4571</v>
      </c>
      <c r="AK319" s="660">
        <f t="shared" si="343"/>
        <v>0.24379999999999999</v>
      </c>
      <c r="AL319" s="660" t="e">
        <f t="shared" si="344"/>
        <v>#VALUE!</v>
      </c>
      <c r="AM319" s="664" t="e">
        <f t="shared" si="345"/>
        <v>#VALUE!</v>
      </c>
      <c r="AN319" s="664" t="e">
        <f t="shared" si="346"/>
        <v>#VALUE!</v>
      </c>
      <c r="AO319" s="665" t="e">
        <f t="shared" si="347"/>
        <v>#VALUE!</v>
      </c>
      <c r="AP319" s="666" t="e">
        <f t="shared" si="348"/>
        <v>#VALUE!</v>
      </c>
      <c r="AQ319" s="660" t="e">
        <f t="shared" si="349"/>
        <v>#VALUE!</v>
      </c>
      <c r="AR319" s="667" t="e">
        <f t="shared" si="350"/>
        <v>#VALUE!</v>
      </c>
      <c r="AS319" s="667" t="e">
        <f t="shared" si="351"/>
        <v>#VALUE!</v>
      </c>
      <c r="AT319" s="668" t="e">
        <f t="shared" si="352"/>
        <v>#VALUE!</v>
      </c>
      <c r="AU319" s="667" t="e">
        <f t="shared" si="353"/>
        <v>#VALUE!</v>
      </c>
      <c r="AV319" s="669" t="e">
        <f t="shared" si="354"/>
        <v>#VALUE!</v>
      </c>
      <c r="AW319" s="667" t="e">
        <f t="shared" si="355"/>
        <v>#VALUE!</v>
      </c>
      <c r="AX319" s="667" t="e">
        <f t="shared" si="356"/>
        <v>#VALUE!</v>
      </c>
      <c r="AY319" s="660" t="e">
        <f t="shared" si="357"/>
        <v>#VALUE!</v>
      </c>
      <c r="AZ319" s="670" t="e">
        <f t="shared" si="358"/>
        <v>#VALUE!</v>
      </c>
      <c r="BB319" s="662" t="e">
        <f>INDEX('Vessel Gauging Data'!$B$26:$V$56,MATCH($C319,'Vessel Gauging Data'!$B$26:$B$56,0),$BB$198)</f>
        <v>#N/A</v>
      </c>
      <c r="BC319" s="662" t="e">
        <f>INDEX('Vessel Gauging Data'!$B$26:$V$56,MATCH($C319,'Vessel Gauging Data'!$B$26:$B$56,0),$BC$198)</f>
        <v>#N/A</v>
      </c>
      <c r="BD319" s="662" t="e">
        <f>INDEX('Vessel Gauging Data'!$B$26:$V$56,MATCH($C319,'Vessel Gauging Data'!$B$26:$B$56,0),$BD$198)</f>
        <v>#N/A</v>
      </c>
      <c r="BE319" s="662" t="e">
        <f>INDEX('Vessel Gauging Data'!$B$26:$V$56,MATCH($C319,'Vessel Gauging Data'!$B$26:$B$56,0),$BE$198)</f>
        <v>#N/A</v>
      </c>
    </row>
    <row r="320" spans="1:57" hidden="1">
      <c r="A320" s="641" t="str">
        <f t="shared" si="326"/>
        <v>N</v>
      </c>
      <c r="C320" s="235" t="str">
        <f t="shared" si="330"/>
        <v/>
      </c>
      <c r="D320" s="211" t="str">
        <f t="shared" si="330"/>
        <v/>
      </c>
      <c r="E320" s="1016" t="str">
        <f t="shared" si="329"/>
        <v/>
      </c>
      <c r="F320" s="1016" t="str">
        <f t="shared" si="331"/>
        <v/>
      </c>
      <c r="G320" s="1016" t="str">
        <f t="shared" si="332"/>
        <v/>
      </c>
      <c r="H320" s="1016" t="str">
        <f t="shared" si="332"/>
        <v/>
      </c>
      <c r="I320" s="211" t="str">
        <f t="shared" si="333"/>
        <v/>
      </c>
      <c r="J320" s="1016" t="str">
        <f t="shared" si="334"/>
        <v/>
      </c>
      <c r="K320" s="213" t="str">
        <f t="shared" si="335"/>
        <v/>
      </c>
      <c r="L320" s="212" t="str">
        <f t="shared" si="336"/>
        <v/>
      </c>
      <c r="M320" s="1125" t="str">
        <f>IF(OR($C320="",$C320=0),"",INDEX(API2DENST,MATCH($C320,'Vessel Gauging Data'!$B$27:$B$56,0),$AA$1))</f>
        <v/>
      </c>
      <c r="N320" s="212" t="str">
        <f t="shared" si="337"/>
        <v/>
      </c>
      <c r="O320" s="1016" t="str">
        <f t="shared" si="359"/>
        <v/>
      </c>
      <c r="P320" s="1125" t="str">
        <f t="shared" si="360"/>
        <v/>
      </c>
      <c r="Q320" s="1016" t="str">
        <f t="shared" si="361"/>
        <v/>
      </c>
      <c r="R320" s="214" t="str">
        <f t="shared" si="362"/>
        <v/>
      </c>
      <c r="S320" s="1125" t="str">
        <f t="shared" si="363"/>
        <v/>
      </c>
      <c r="T320" s="236" t="str">
        <f t="shared" si="364"/>
        <v/>
      </c>
      <c r="W320" s="642" t="e">
        <f>INDEX('Vessel Gauging Data'!$B$26:$V$56,MATCH($C320,'Vessel Gauging Data'!$B$26:$B$56,0),$W$198)</f>
        <v>#N/A</v>
      </c>
      <c r="X320" s="642" t="e">
        <f>INDEX('Vessel Gauging Data'!$B$26:$V$56,MATCH($C320,'Vessel Gauging Data'!$B$26:$B$56,0),$X$198)</f>
        <v>#N/A</v>
      </c>
      <c r="Y320" s="642" t="e">
        <f>INDEX('Vessel Gauging Data'!$B$26:$V$56,MATCH($C320,'Vessel Gauging Data'!$B$26:$B$56,0),$Y$198)</f>
        <v>#N/A</v>
      </c>
      <c r="Z320" s="642" t="e">
        <f>INDEX('Vessel Gauging Data'!$B$26:$V$56,MATCH($C320,'Vessel Gauging Data'!$B$26:$B$56,0),$Z$198)</f>
        <v>#N/A</v>
      </c>
      <c r="AB320" s="642" t="e">
        <f>INDEX(API2DENST,MATCH($C320,'Vessel Gauging Data'!$B$27:$B$56,0),1)</f>
        <v>#N/A</v>
      </c>
      <c r="AC320" s="642" t="e">
        <f t="shared" si="339"/>
        <v>#N/A</v>
      </c>
      <c r="AE320" s="661" t="e">
        <f t="shared" si="340"/>
        <v>#VALUE!</v>
      </c>
      <c r="AF320" s="661" t="e">
        <f t="shared" si="341"/>
        <v>#VALUE!</v>
      </c>
      <c r="AH320" s="662" t="str">
        <f t="shared" si="327"/>
        <v/>
      </c>
      <c r="AI320" s="662" t="str">
        <f t="shared" si="328"/>
        <v/>
      </c>
      <c r="AJ320" s="663">
        <f t="shared" si="342"/>
        <v>192.4571</v>
      </c>
      <c r="AK320" s="660">
        <f t="shared" si="343"/>
        <v>0.24379999999999999</v>
      </c>
      <c r="AL320" s="660" t="e">
        <f t="shared" si="344"/>
        <v>#VALUE!</v>
      </c>
      <c r="AM320" s="664" t="e">
        <f t="shared" si="345"/>
        <v>#VALUE!</v>
      </c>
      <c r="AN320" s="664" t="e">
        <f t="shared" si="346"/>
        <v>#VALUE!</v>
      </c>
      <c r="AO320" s="665" t="e">
        <f t="shared" si="347"/>
        <v>#VALUE!</v>
      </c>
      <c r="AP320" s="666" t="e">
        <f t="shared" si="348"/>
        <v>#VALUE!</v>
      </c>
      <c r="AQ320" s="660" t="e">
        <f t="shared" si="349"/>
        <v>#VALUE!</v>
      </c>
      <c r="AR320" s="667" t="e">
        <f t="shared" si="350"/>
        <v>#VALUE!</v>
      </c>
      <c r="AS320" s="667" t="e">
        <f t="shared" si="351"/>
        <v>#VALUE!</v>
      </c>
      <c r="AT320" s="668" t="e">
        <f t="shared" si="352"/>
        <v>#VALUE!</v>
      </c>
      <c r="AU320" s="667" t="e">
        <f t="shared" si="353"/>
        <v>#VALUE!</v>
      </c>
      <c r="AV320" s="669" t="e">
        <f t="shared" si="354"/>
        <v>#VALUE!</v>
      </c>
      <c r="AW320" s="667" t="e">
        <f t="shared" si="355"/>
        <v>#VALUE!</v>
      </c>
      <c r="AX320" s="667" t="e">
        <f t="shared" si="356"/>
        <v>#VALUE!</v>
      </c>
      <c r="AY320" s="660" t="e">
        <f t="shared" si="357"/>
        <v>#VALUE!</v>
      </c>
      <c r="AZ320" s="670" t="e">
        <f t="shared" si="358"/>
        <v>#VALUE!</v>
      </c>
      <c r="BB320" s="662" t="e">
        <f>INDEX('Vessel Gauging Data'!$B$26:$V$56,MATCH($C320,'Vessel Gauging Data'!$B$26:$B$56,0),$BB$198)</f>
        <v>#N/A</v>
      </c>
      <c r="BC320" s="662" t="e">
        <f>INDEX('Vessel Gauging Data'!$B$26:$V$56,MATCH($C320,'Vessel Gauging Data'!$B$26:$B$56,0),$BC$198)</f>
        <v>#N/A</v>
      </c>
      <c r="BD320" s="662" t="e">
        <f>INDEX('Vessel Gauging Data'!$B$26:$V$56,MATCH($C320,'Vessel Gauging Data'!$B$26:$B$56,0),$BD$198)</f>
        <v>#N/A</v>
      </c>
      <c r="BE320" s="662" t="e">
        <f>INDEX('Vessel Gauging Data'!$B$26:$V$56,MATCH($C320,'Vessel Gauging Data'!$B$26:$B$56,0),$BE$198)</f>
        <v>#N/A</v>
      </c>
    </row>
    <row r="321" spans="1:57" hidden="1">
      <c r="A321" s="641" t="str">
        <f t="shared" si="326"/>
        <v>N</v>
      </c>
      <c r="C321" s="235" t="str">
        <f t="shared" si="330"/>
        <v/>
      </c>
      <c r="D321" s="211" t="str">
        <f t="shared" si="330"/>
        <v/>
      </c>
      <c r="E321" s="1016" t="str">
        <f t="shared" si="329"/>
        <v/>
      </c>
      <c r="F321" s="1016" t="str">
        <f t="shared" si="331"/>
        <v/>
      </c>
      <c r="G321" s="1016" t="str">
        <f t="shared" si="332"/>
        <v/>
      </c>
      <c r="H321" s="1016" t="str">
        <f t="shared" si="332"/>
        <v/>
      </c>
      <c r="I321" s="211" t="str">
        <f t="shared" si="333"/>
        <v/>
      </c>
      <c r="J321" s="1016" t="str">
        <f t="shared" si="334"/>
        <v/>
      </c>
      <c r="K321" s="213" t="str">
        <f t="shared" si="335"/>
        <v/>
      </c>
      <c r="L321" s="212" t="str">
        <f t="shared" si="336"/>
        <v/>
      </c>
      <c r="M321" s="1125" t="str">
        <f>IF(OR($C321="",$C321=0),"",INDEX(API2DENST,MATCH($C321,'Vessel Gauging Data'!$B$27:$B$56,0),$AA$1))</f>
        <v/>
      </c>
      <c r="N321" s="212" t="str">
        <f t="shared" si="337"/>
        <v/>
      </c>
      <c r="O321" s="1016" t="str">
        <f t="shared" si="359"/>
        <v/>
      </c>
      <c r="P321" s="1125" t="str">
        <f t="shared" si="360"/>
        <v/>
      </c>
      <c r="Q321" s="1016" t="str">
        <f t="shared" si="361"/>
        <v/>
      </c>
      <c r="R321" s="214" t="str">
        <f t="shared" si="362"/>
        <v/>
      </c>
      <c r="S321" s="1125" t="str">
        <f t="shared" si="363"/>
        <v/>
      </c>
      <c r="T321" s="236" t="str">
        <f t="shared" si="364"/>
        <v/>
      </c>
      <c r="W321" s="642" t="e">
        <f>INDEX('Vessel Gauging Data'!$B$26:$V$56,MATCH($C321,'Vessel Gauging Data'!$B$26:$B$56,0),$W$198)</f>
        <v>#N/A</v>
      </c>
      <c r="X321" s="642" t="e">
        <f>INDEX('Vessel Gauging Data'!$B$26:$V$56,MATCH($C321,'Vessel Gauging Data'!$B$26:$B$56,0),$X$198)</f>
        <v>#N/A</v>
      </c>
      <c r="Y321" s="642" t="e">
        <f>INDEX('Vessel Gauging Data'!$B$26:$V$56,MATCH($C321,'Vessel Gauging Data'!$B$26:$B$56,0),$Y$198)</f>
        <v>#N/A</v>
      </c>
      <c r="Z321" s="642" t="e">
        <f>INDEX('Vessel Gauging Data'!$B$26:$V$56,MATCH($C321,'Vessel Gauging Data'!$B$26:$B$56,0),$Z$198)</f>
        <v>#N/A</v>
      </c>
      <c r="AB321" s="642" t="e">
        <f>INDEX(API2DENST,MATCH($C321,'Vessel Gauging Data'!$B$27:$B$56,0),1)</f>
        <v>#N/A</v>
      </c>
      <c r="AC321" s="642" t="e">
        <f t="shared" si="339"/>
        <v>#N/A</v>
      </c>
      <c r="AE321" s="661" t="e">
        <f t="shared" si="340"/>
        <v>#VALUE!</v>
      </c>
      <c r="AF321" s="661" t="e">
        <f t="shared" si="341"/>
        <v>#VALUE!</v>
      </c>
      <c r="AH321" s="662" t="str">
        <f t="shared" si="327"/>
        <v/>
      </c>
      <c r="AI321" s="662" t="str">
        <f t="shared" si="328"/>
        <v/>
      </c>
      <c r="AJ321" s="663">
        <f t="shared" si="342"/>
        <v>192.4571</v>
      </c>
      <c r="AK321" s="660">
        <f t="shared" si="343"/>
        <v>0.24379999999999999</v>
      </c>
      <c r="AL321" s="660" t="e">
        <f t="shared" si="344"/>
        <v>#VALUE!</v>
      </c>
      <c r="AM321" s="664" t="e">
        <f t="shared" si="345"/>
        <v>#VALUE!</v>
      </c>
      <c r="AN321" s="664" t="e">
        <f t="shared" si="346"/>
        <v>#VALUE!</v>
      </c>
      <c r="AO321" s="665" t="e">
        <f t="shared" si="347"/>
        <v>#VALUE!</v>
      </c>
      <c r="AP321" s="666" t="e">
        <f t="shared" si="348"/>
        <v>#VALUE!</v>
      </c>
      <c r="AQ321" s="660" t="e">
        <f t="shared" si="349"/>
        <v>#VALUE!</v>
      </c>
      <c r="AR321" s="667" t="e">
        <f t="shared" si="350"/>
        <v>#VALUE!</v>
      </c>
      <c r="AS321" s="667" t="e">
        <f t="shared" si="351"/>
        <v>#VALUE!</v>
      </c>
      <c r="AT321" s="668" t="e">
        <f t="shared" si="352"/>
        <v>#VALUE!</v>
      </c>
      <c r="AU321" s="667" t="e">
        <f t="shared" si="353"/>
        <v>#VALUE!</v>
      </c>
      <c r="AV321" s="669" t="e">
        <f t="shared" si="354"/>
        <v>#VALUE!</v>
      </c>
      <c r="AW321" s="667" t="e">
        <f t="shared" si="355"/>
        <v>#VALUE!</v>
      </c>
      <c r="AX321" s="667" t="e">
        <f t="shared" si="356"/>
        <v>#VALUE!</v>
      </c>
      <c r="AY321" s="660" t="e">
        <f t="shared" si="357"/>
        <v>#VALUE!</v>
      </c>
      <c r="AZ321" s="670" t="e">
        <f t="shared" si="358"/>
        <v>#VALUE!</v>
      </c>
      <c r="BB321" s="662" t="e">
        <f>INDEX('Vessel Gauging Data'!$B$26:$V$56,MATCH($C321,'Vessel Gauging Data'!$B$26:$B$56,0),$BB$198)</f>
        <v>#N/A</v>
      </c>
      <c r="BC321" s="662" t="e">
        <f>INDEX('Vessel Gauging Data'!$B$26:$V$56,MATCH($C321,'Vessel Gauging Data'!$B$26:$B$56,0),$BC$198)</f>
        <v>#N/A</v>
      </c>
      <c r="BD321" s="662" t="e">
        <f>INDEX('Vessel Gauging Data'!$B$26:$V$56,MATCH($C321,'Vessel Gauging Data'!$B$26:$B$56,0),$BD$198)</f>
        <v>#N/A</v>
      </c>
      <c r="BE321" s="662" t="e">
        <f>INDEX('Vessel Gauging Data'!$B$26:$V$56,MATCH($C321,'Vessel Gauging Data'!$B$26:$B$56,0),$BE$198)</f>
        <v>#N/A</v>
      </c>
    </row>
    <row r="322" spans="1:57" hidden="1">
      <c r="A322" s="641" t="str">
        <f t="shared" si="326"/>
        <v>N</v>
      </c>
      <c r="C322" s="235" t="str">
        <f t="shared" si="330"/>
        <v/>
      </c>
      <c r="D322" s="211" t="str">
        <f t="shared" si="330"/>
        <v/>
      </c>
      <c r="E322" s="1016" t="str">
        <f t="shared" si="329"/>
        <v/>
      </c>
      <c r="F322" s="1016" t="str">
        <f t="shared" si="331"/>
        <v/>
      </c>
      <c r="G322" s="1016" t="str">
        <f t="shared" si="332"/>
        <v/>
      </c>
      <c r="H322" s="1016" t="str">
        <f t="shared" si="332"/>
        <v/>
      </c>
      <c r="I322" s="211" t="str">
        <f t="shared" si="333"/>
        <v/>
      </c>
      <c r="J322" s="1016" t="str">
        <f t="shared" si="334"/>
        <v/>
      </c>
      <c r="K322" s="213" t="str">
        <f t="shared" si="335"/>
        <v/>
      </c>
      <c r="L322" s="212" t="str">
        <f t="shared" si="336"/>
        <v/>
      </c>
      <c r="M322" s="1125" t="str">
        <f>IF(OR($C322="",$C322=0),"",INDEX(API2DENST,MATCH($C322,'Vessel Gauging Data'!$B$27:$B$56,0),$AA$1))</f>
        <v/>
      </c>
      <c r="N322" s="212" t="str">
        <f t="shared" si="337"/>
        <v/>
      </c>
      <c r="O322" s="1016" t="str">
        <f t="shared" si="359"/>
        <v/>
      </c>
      <c r="P322" s="1125" t="str">
        <f t="shared" si="360"/>
        <v/>
      </c>
      <c r="Q322" s="1016" t="str">
        <f t="shared" si="361"/>
        <v/>
      </c>
      <c r="R322" s="214" t="str">
        <f t="shared" si="362"/>
        <v/>
      </c>
      <c r="S322" s="1125" t="str">
        <f t="shared" si="363"/>
        <v/>
      </c>
      <c r="T322" s="236" t="str">
        <f t="shared" si="364"/>
        <v/>
      </c>
      <c r="W322" s="642" t="e">
        <f>INDEX('Vessel Gauging Data'!$B$26:$V$56,MATCH($C322,'Vessel Gauging Data'!$B$26:$B$56,0),$W$198)</f>
        <v>#N/A</v>
      </c>
      <c r="X322" s="642" t="e">
        <f>INDEX('Vessel Gauging Data'!$B$26:$V$56,MATCH($C322,'Vessel Gauging Data'!$B$26:$B$56,0),$X$198)</f>
        <v>#N/A</v>
      </c>
      <c r="Y322" s="642" t="e">
        <f>INDEX('Vessel Gauging Data'!$B$26:$V$56,MATCH($C322,'Vessel Gauging Data'!$B$26:$B$56,0),$Y$198)</f>
        <v>#N/A</v>
      </c>
      <c r="Z322" s="642" t="e">
        <f>INDEX('Vessel Gauging Data'!$B$26:$V$56,MATCH($C322,'Vessel Gauging Data'!$B$26:$B$56,0),$Z$198)</f>
        <v>#N/A</v>
      </c>
      <c r="AB322" s="642" t="e">
        <f>INDEX(API2DENST,MATCH($C322,'Vessel Gauging Data'!$B$27:$B$56,0),1)</f>
        <v>#N/A</v>
      </c>
      <c r="AC322" s="642" t="e">
        <f t="shared" si="339"/>
        <v>#N/A</v>
      </c>
      <c r="AE322" s="661" t="e">
        <f t="shared" si="340"/>
        <v>#VALUE!</v>
      </c>
      <c r="AF322" s="661" t="e">
        <f t="shared" si="341"/>
        <v>#VALUE!</v>
      </c>
      <c r="AH322" s="662" t="str">
        <f t="shared" si="327"/>
        <v/>
      </c>
      <c r="AI322" s="662" t="str">
        <f t="shared" si="328"/>
        <v/>
      </c>
      <c r="AJ322" s="663">
        <f t="shared" si="342"/>
        <v>192.4571</v>
      </c>
      <c r="AK322" s="660">
        <f t="shared" si="343"/>
        <v>0.24379999999999999</v>
      </c>
      <c r="AL322" s="660" t="e">
        <f t="shared" si="344"/>
        <v>#VALUE!</v>
      </c>
      <c r="AM322" s="664" t="e">
        <f t="shared" si="345"/>
        <v>#VALUE!</v>
      </c>
      <c r="AN322" s="664" t="e">
        <f t="shared" si="346"/>
        <v>#VALUE!</v>
      </c>
      <c r="AO322" s="665" t="e">
        <f t="shared" si="347"/>
        <v>#VALUE!</v>
      </c>
      <c r="AP322" s="666" t="e">
        <f t="shared" si="348"/>
        <v>#VALUE!</v>
      </c>
      <c r="AQ322" s="660" t="e">
        <f t="shared" si="349"/>
        <v>#VALUE!</v>
      </c>
      <c r="AR322" s="667" t="e">
        <f t="shared" si="350"/>
        <v>#VALUE!</v>
      </c>
      <c r="AS322" s="667" t="e">
        <f t="shared" si="351"/>
        <v>#VALUE!</v>
      </c>
      <c r="AT322" s="668" t="e">
        <f t="shared" si="352"/>
        <v>#VALUE!</v>
      </c>
      <c r="AU322" s="667" t="e">
        <f t="shared" si="353"/>
        <v>#VALUE!</v>
      </c>
      <c r="AV322" s="669" t="e">
        <f t="shared" si="354"/>
        <v>#VALUE!</v>
      </c>
      <c r="AW322" s="667" t="e">
        <f t="shared" si="355"/>
        <v>#VALUE!</v>
      </c>
      <c r="AX322" s="667" t="e">
        <f t="shared" si="356"/>
        <v>#VALUE!</v>
      </c>
      <c r="AY322" s="660" t="e">
        <f t="shared" si="357"/>
        <v>#VALUE!</v>
      </c>
      <c r="AZ322" s="670" t="e">
        <f t="shared" si="358"/>
        <v>#VALUE!</v>
      </c>
      <c r="BB322" s="662" t="e">
        <f>INDEX('Vessel Gauging Data'!$B$26:$V$56,MATCH($C322,'Vessel Gauging Data'!$B$26:$B$56,0),$BB$198)</f>
        <v>#N/A</v>
      </c>
      <c r="BC322" s="662" t="e">
        <f>INDEX('Vessel Gauging Data'!$B$26:$V$56,MATCH($C322,'Vessel Gauging Data'!$B$26:$B$56,0),$BC$198)</f>
        <v>#N/A</v>
      </c>
      <c r="BD322" s="662" t="e">
        <f>INDEX('Vessel Gauging Data'!$B$26:$V$56,MATCH($C322,'Vessel Gauging Data'!$B$26:$B$56,0),$BD$198)</f>
        <v>#N/A</v>
      </c>
      <c r="BE322" s="662" t="e">
        <f>INDEX('Vessel Gauging Data'!$B$26:$V$56,MATCH($C322,'Vessel Gauging Data'!$B$26:$B$56,0),$BE$198)</f>
        <v>#N/A</v>
      </c>
    </row>
    <row r="323" spans="1:57" hidden="1">
      <c r="A323" s="641" t="str">
        <f t="shared" si="326"/>
        <v>N</v>
      </c>
      <c r="C323" s="235" t="str">
        <f t="shared" si="330"/>
        <v/>
      </c>
      <c r="D323" s="211" t="str">
        <f t="shared" si="330"/>
        <v/>
      </c>
      <c r="E323" s="1016" t="str">
        <f t="shared" si="329"/>
        <v/>
      </c>
      <c r="F323" s="1016" t="str">
        <f t="shared" si="331"/>
        <v/>
      </c>
      <c r="G323" s="1016" t="str">
        <f t="shared" si="332"/>
        <v/>
      </c>
      <c r="H323" s="1016" t="str">
        <f t="shared" si="332"/>
        <v/>
      </c>
      <c r="I323" s="211" t="str">
        <f t="shared" si="333"/>
        <v/>
      </c>
      <c r="J323" s="1016" t="str">
        <f t="shared" si="334"/>
        <v/>
      </c>
      <c r="K323" s="213" t="str">
        <f t="shared" si="335"/>
        <v/>
      </c>
      <c r="L323" s="212" t="str">
        <f t="shared" si="336"/>
        <v/>
      </c>
      <c r="M323" s="1125" t="str">
        <f>IF(OR($C323="",$C323=0),"",INDEX(API2DENST,MATCH($C323,'Vessel Gauging Data'!$B$27:$B$56,0),$AA$1))</f>
        <v/>
      </c>
      <c r="N323" s="212" t="str">
        <f t="shared" si="337"/>
        <v/>
      </c>
      <c r="O323" s="1016" t="str">
        <f t="shared" si="359"/>
        <v/>
      </c>
      <c r="P323" s="1125" t="str">
        <f t="shared" si="360"/>
        <v/>
      </c>
      <c r="Q323" s="1016" t="str">
        <f t="shared" si="361"/>
        <v/>
      </c>
      <c r="R323" s="214" t="str">
        <f t="shared" si="362"/>
        <v/>
      </c>
      <c r="S323" s="1125" t="str">
        <f t="shared" si="363"/>
        <v/>
      </c>
      <c r="T323" s="236" t="str">
        <f t="shared" si="364"/>
        <v/>
      </c>
      <c r="W323" s="642" t="e">
        <f>INDEX('Vessel Gauging Data'!$B$26:$V$56,MATCH($C323,'Vessel Gauging Data'!$B$26:$B$56,0),$W$198)</f>
        <v>#N/A</v>
      </c>
      <c r="X323" s="642" t="e">
        <f>INDEX('Vessel Gauging Data'!$B$26:$V$56,MATCH($C323,'Vessel Gauging Data'!$B$26:$B$56,0),$X$198)</f>
        <v>#N/A</v>
      </c>
      <c r="Y323" s="642" t="e">
        <f>INDEX('Vessel Gauging Data'!$B$26:$V$56,MATCH($C323,'Vessel Gauging Data'!$B$26:$B$56,0),$Y$198)</f>
        <v>#N/A</v>
      </c>
      <c r="Z323" s="642" t="e">
        <f>INDEX('Vessel Gauging Data'!$B$26:$V$56,MATCH($C323,'Vessel Gauging Data'!$B$26:$B$56,0),$Z$198)</f>
        <v>#N/A</v>
      </c>
      <c r="AB323" s="642" t="e">
        <f>INDEX(API2DENST,MATCH($C323,'Vessel Gauging Data'!$B$27:$B$56,0),1)</f>
        <v>#N/A</v>
      </c>
      <c r="AC323" s="642" t="e">
        <f t="shared" si="339"/>
        <v>#N/A</v>
      </c>
      <c r="AE323" s="661" t="e">
        <f t="shared" si="340"/>
        <v>#VALUE!</v>
      </c>
      <c r="AF323" s="661" t="e">
        <f t="shared" si="341"/>
        <v>#VALUE!</v>
      </c>
      <c r="AH323" s="662" t="str">
        <f t="shared" si="327"/>
        <v/>
      </c>
      <c r="AI323" s="662" t="str">
        <f t="shared" si="328"/>
        <v/>
      </c>
      <c r="AJ323" s="663">
        <f t="shared" si="342"/>
        <v>192.4571</v>
      </c>
      <c r="AK323" s="660">
        <f t="shared" si="343"/>
        <v>0.24379999999999999</v>
      </c>
      <c r="AL323" s="660" t="e">
        <f t="shared" si="344"/>
        <v>#VALUE!</v>
      </c>
      <c r="AM323" s="664" t="e">
        <f t="shared" si="345"/>
        <v>#VALUE!</v>
      </c>
      <c r="AN323" s="664" t="e">
        <f t="shared" si="346"/>
        <v>#VALUE!</v>
      </c>
      <c r="AO323" s="665" t="e">
        <f t="shared" si="347"/>
        <v>#VALUE!</v>
      </c>
      <c r="AP323" s="666" t="e">
        <f t="shared" si="348"/>
        <v>#VALUE!</v>
      </c>
      <c r="AQ323" s="660" t="e">
        <f t="shared" si="349"/>
        <v>#VALUE!</v>
      </c>
      <c r="AR323" s="667" t="e">
        <f t="shared" si="350"/>
        <v>#VALUE!</v>
      </c>
      <c r="AS323" s="667" t="e">
        <f t="shared" si="351"/>
        <v>#VALUE!</v>
      </c>
      <c r="AT323" s="668" t="e">
        <f t="shared" si="352"/>
        <v>#VALUE!</v>
      </c>
      <c r="AU323" s="667" t="e">
        <f t="shared" si="353"/>
        <v>#VALUE!</v>
      </c>
      <c r="AV323" s="669" t="e">
        <f t="shared" si="354"/>
        <v>#VALUE!</v>
      </c>
      <c r="AW323" s="667" t="e">
        <f t="shared" si="355"/>
        <v>#VALUE!</v>
      </c>
      <c r="AX323" s="667" t="e">
        <f t="shared" si="356"/>
        <v>#VALUE!</v>
      </c>
      <c r="AY323" s="660" t="e">
        <f t="shared" si="357"/>
        <v>#VALUE!</v>
      </c>
      <c r="AZ323" s="670" t="e">
        <f t="shared" si="358"/>
        <v>#VALUE!</v>
      </c>
      <c r="BB323" s="662" t="e">
        <f>INDEX('Vessel Gauging Data'!$B$26:$V$56,MATCH($C323,'Vessel Gauging Data'!$B$26:$B$56,0),$BB$198)</f>
        <v>#N/A</v>
      </c>
      <c r="BC323" s="662" t="e">
        <f>INDEX('Vessel Gauging Data'!$B$26:$V$56,MATCH($C323,'Vessel Gauging Data'!$B$26:$B$56,0),$BC$198)</f>
        <v>#N/A</v>
      </c>
      <c r="BD323" s="662" t="e">
        <f>INDEX('Vessel Gauging Data'!$B$26:$V$56,MATCH($C323,'Vessel Gauging Data'!$B$26:$B$56,0),$BD$198)</f>
        <v>#N/A</v>
      </c>
      <c r="BE323" s="662" t="e">
        <f>INDEX('Vessel Gauging Data'!$B$26:$V$56,MATCH($C323,'Vessel Gauging Data'!$B$26:$B$56,0),$BE$198)</f>
        <v>#N/A</v>
      </c>
    </row>
    <row r="324" spans="1:57" hidden="1">
      <c r="A324" s="641" t="str">
        <f t="shared" si="326"/>
        <v>N</v>
      </c>
      <c r="C324" s="235" t="str">
        <f t="shared" si="330"/>
        <v/>
      </c>
      <c r="D324" s="211" t="str">
        <f t="shared" si="330"/>
        <v/>
      </c>
      <c r="E324" s="1016" t="str">
        <f t="shared" si="329"/>
        <v/>
      </c>
      <c r="F324" s="1016" t="str">
        <f t="shared" si="331"/>
        <v/>
      </c>
      <c r="G324" s="1016" t="str">
        <f t="shared" si="332"/>
        <v/>
      </c>
      <c r="H324" s="1016" t="str">
        <f t="shared" si="332"/>
        <v/>
      </c>
      <c r="I324" s="211" t="str">
        <f t="shared" si="333"/>
        <v/>
      </c>
      <c r="J324" s="1016" t="str">
        <f t="shared" si="334"/>
        <v/>
      </c>
      <c r="K324" s="213" t="str">
        <f t="shared" si="335"/>
        <v/>
      </c>
      <c r="L324" s="212" t="str">
        <f t="shared" si="336"/>
        <v/>
      </c>
      <c r="M324" s="1125" t="str">
        <f>IF(OR($C324="",$C324=0),"",INDEX(API2DENST,MATCH($C324,'Vessel Gauging Data'!$B$27:$B$56,0),$AA$1))</f>
        <v/>
      </c>
      <c r="N324" s="212" t="str">
        <f t="shared" si="337"/>
        <v/>
      </c>
      <c r="O324" s="1016" t="str">
        <f t="shared" si="359"/>
        <v/>
      </c>
      <c r="P324" s="1125" t="str">
        <f t="shared" si="360"/>
        <v/>
      </c>
      <c r="Q324" s="1016" t="str">
        <f t="shared" si="361"/>
        <v/>
      </c>
      <c r="R324" s="214" t="str">
        <f t="shared" si="362"/>
        <v/>
      </c>
      <c r="S324" s="1125" t="str">
        <f t="shared" si="363"/>
        <v/>
      </c>
      <c r="T324" s="236" t="str">
        <f t="shared" si="364"/>
        <v/>
      </c>
      <c r="W324" s="642" t="e">
        <f>INDEX('Vessel Gauging Data'!$B$26:$V$56,MATCH($C324,'Vessel Gauging Data'!$B$26:$B$56,0),$W$198)</f>
        <v>#N/A</v>
      </c>
      <c r="X324" s="642" t="e">
        <f>INDEX('Vessel Gauging Data'!$B$26:$V$56,MATCH($C324,'Vessel Gauging Data'!$B$26:$B$56,0),$X$198)</f>
        <v>#N/A</v>
      </c>
      <c r="Y324" s="642" t="e">
        <f>INDEX('Vessel Gauging Data'!$B$26:$V$56,MATCH($C324,'Vessel Gauging Data'!$B$26:$B$56,0),$Y$198)</f>
        <v>#N/A</v>
      </c>
      <c r="Z324" s="642" t="e">
        <f>INDEX('Vessel Gauging Data'!$B$26:$V$56,MATCH($C324,'Vessel Gauging Data'!$B$26:$B$56,0),$Z$198)</f>
        <v>#N/A</v>
      </c>
      <c r="AB324" s="642" t="e">
        <f>INDEX(API2DENST,MATCH($C324,'Vessel Gauging Data'!$B$27:$B$56,0),1)</f>
        <v>#N/A</v>
      </c>
      <c r="AC324" s="642" t="e">
        <f t="shared" si="339"/>
        <v>#N/A</v>
      </c>
      <c r="AE324" s="661" t="e">
        <f t="shared" si="340"/>
        <v>#VALUE!</v>
      </c>
      <c r="AF324" s="661" t="e">
        <f t="shared" si="341"/>
        <v>#VALUE!</v>
      </c>
      <c r="AH324" s="662" t="str">
        <f t="shared" si="327"/>
        <v/>
      </c>
      <c r="AI324" s="662" t="str">
        <f t="shared" si="328"/>
        <v/>
      </c>
      <c r="AJ324" s="663">
        <f t="shared" si="342"/>
        <v>192.4571</v>
      </c>
      <c r="AK324" s="660">
        <f t="shared" si="343"/>
        <v>0.24379999999999999</v>
      </c>
      <c r="AL324" s="660" t="e">
        <f t="shared" si="344"/>
        <v>#VALUE!</v>
      </c>
      <c r="AM324" s="664" t="e">
        <f t="shared" si="345"/>
        <v>#VALUE!</v>
      </c>
      <c r="AN324" s="664" t="e">
        <f t="shared" si="346"/>
        <v>#VALUE!</v>
      </c>
      <c r="AO324" s="665" t="e">
        <f t="shared" si="347"/>
        <v>#VALUE!</v>
      </c>
      <c r="AP324" s="666" t="e">
        <f t="shared" si="348"/>
        <v>#VALUE!</v>
      </c>
      <c r="AQ324" s="660" t="e">
        <f t="shared" si="349"/>
        <v>#VALUE!</v>
      </c>
      <c r="AR324" s="667" t="e">
        <f t="shared" si="350"/>
        <v>#VALUE!</v>
      </c>
      <c r="AS324" s="667" t="e">
        <f t="shared" si="351"/>
        <v>#VALUE!</v>
      </c>
      <c r="AT324" s="668" t="e">
        <f t="shared" si="352"/>
        <v>#VALUE!</v>
      </c>
      <c r="AU324" s="667" t="e">
        <f t="shared" si="353"/>
        <v>#VALUE!</v>
      </c>
      <c r="AV324" s="669" t="e">
        <f t="shared" si="354"/>
        <v>#VALUE!</v>
      </c>
      <c r="AW324" s="667" t="e">
        <f t="shared" si="355"/>
        <v>#VALUE!</v>
      </c>
      <c r="AX324" s="667" t="e">
        <f t="shared" si="356"/>
        <v>#VALUE!</v>
      </c>
      <c r="AY324" s="660" t="e">
        <f t="shared" si="357"/>
        <v>#VALUE!</v>
      </c>
      <c r="AZ324" s="670" t="e">
        <f t="shared" si="358"/>
        <v>#VALUE!</v>
      </c>
      <c r="BB324" s="662" t="e">
        <f>INDEX('Vessel Gauging Data'!$B$26:$V$56,MATCH($C324,'Vessel Gauging Data'!$B$26:$B$56,0),$BB$198)</f>
        <v>#N/A</v>
      </c>
      <c r="BC324" s="662" t="e">
        <f>INDEX('Vessel Gauging Data'!$B$26:$V$56,MATCH($C324,'Vessel Gauging Data'!$B$26:$B$56,0),$BC$198)</f>
        <v>#N/A</v>
      </c>
      <c r="BD324" s="662" t="e">
        <f>INDEX('Vessel Gauging Data'!$B$26:$V$56,MATCH($C324,'Vessel Gauging Data'!$B$26:$B$56,0),$BD$198)</f>
        <v>#N/A</v>
      </c>
      <c r="BE324" s="662" t="e">
        <f>INDEX('Vessel Gauging Data'!$B$26:$V$56,MATCH($C324,'Vessel Gauging Data'!$B$26:$B$56,0),$BE$198)</f>
        <v>#N/A</v>
      </c>
    </row>
    <row r="325" spans="1:57" hidden="1">
      <c r="A325" s="641" t="str">
        <f t="shared" si="326"/>
        <v>N</v>
      </c>
      <c r="C325" s="235" t="str">
        <f t="shared" si="330"/>
        <v/>
      </c>
      <c r="D325" s="211" t="str">
        <f t="shared" si="330"/>
        <v/>
      </c>
      <c r="E325" s="1016" t="str">
        <f t="shared" si="329"/>
        <v/>
      </c>
      <c r="F325" s="1016" t="str">
        <f t="shared" si="331"/>
        <v/>
      </c>
      <c r="G325" s="1016" t="str">
        <f t="shared" si="332"/>
        <v/>
      </c>
      <c r="H325" s="1016" t="str">
        <f t="shared" si="332"/>
        <v/>
      </c>
      <c r="I325" s="211" t="str">
        <f t="shared" si="333"/>
        <v/>
      </c>
      <c r="J325" s="1016" t="str">
        <f t="shared" si="334"/>
        <v/>
      </c>
      <c r="K325" s="213" t="str">
        <f t="shared" si="335"/>
        <v/>
      </c>
      <c r="L325" s="212" t="str">
        <f t="shared" si="336"/>
        <v/>
      </c>
      <c r="M325" s="1125" t="str">
        <f>IF(OR($C325="",$C325=0),"",INDEX(API2DENST,MATCH($C325,'Vessel Gauging Data'!$B$27:$B$56,0),$AA$1))</f>
        <v/>
      </c>
      <c r="N325" s="212" t="str">
        <f t="shared" si="337"/>
        <v/>
      </c>
      <c r="O325" s="1016" t="str">
        <f t="shared" si="359"/>
        <v/>
      </c>
      <c r="P325" s="1125" t="str">
        <f t="shared" si="360"/>
        <v/>
      </c>
      <c r="Q325" s="1016" t="str">
        <f t="shared" si="361"/>
        <v/>
      </c>
      <c r="R325" s="214" t="str">
        <f t="shared" si="362"/>
        <v/>
      </c>
      <c r="S325" s="1125" t="str">
        <f t="shared" si="363"/>
        <v/>
      </c>
      <c r="T325" s="236" t="str">
        <f t="shared" si="364"/>
        <v/>
      </c>
      <c r="W325" s="642" t="e">
        <f>INDEX('Vessel Gauging Data'!$B$26:$V$56,MATCH($C325,'Vessel Gauging Data'!$B$26:$B$56,0),$W$198)</f>
        <v>#N/A</v>
      </c>
      <c r="X325" s="642" t="e">
        <f>INDEX('Vessel Gauging Data'!$B$26:$V$56,MATCH($C325,'Vessel Gauging Data'!$B$26:$B$56,0),$X$198)</f>
        <v>#N/A</v>
      </c>
      <c r="Y325" s="642" t="e">
        <f>INDEX('Vessel Gauging Data'!$B$26:$V$56,MATCH($C325,'Vessel Gauging Data'!$B$26:$B$56,0),$Y$198)</f>
        <v>#N/A</v>
      </c>
      <c r="Z325" s="642" t="e">
        <f>INDEX('Vessel Gauging Data'!$B$26:$V$56,MATCH($C325,'Vessel Gauging Data'!$B$26:$B$56,0),$Z$198)</f>
        <v>#N/A</v>
      </c>
      <c r="AB325" s="642" t="e">
        <f>INDEX(API2DENST,MATCH($C325,'Vessel Gauging Data'!$B$27:$B$56,0),1)</f>
        <v>#N/A</v>
      </c>
      <c r="AC325" s="642" t="e">
        <f t="shared" si="339"/>
        <v>#N/A</v>
      </c>
      <c r="AE325" s="661" t="e">
        <f t="shared" si="340"/>
        <v>#VALUE!</v>
      </c>
      <c r="AF325" s="661" t="e">
        <f t="shared" si="341"/>
        <v>#VALUE!</v>
      </c>
      <c r="AH325" s="662" t="str">
        <f t="shared" si="327"/>
        <v/>
      </c>
      <c r="AI325" s="662" t="str">
        <f t="shared" si="328"/>
        <v/>
      </c>
      <c r="AJ325" s="663">
        <f t="shared" si="342"/>
        <v>192.4571</v>
      </c>
      <c r="AK325" s="660">
        <f t="shared" si="343"/>
        <v>0.24379999999999999</v>
      </c>
      <c r="AL325" s="660" t="e">
        <f t="shared" si="344"/>
        <v>#VALUE!</v>
      </c>
      <c r="AM325" s="664" t="e">
        <f t="shared" si="345"/>
        <v>#VALUE!</v>
      </c>
      <c r="AN325" s="664" t="e">
        <f t="shared" si="346"/>
        <v>#VALUE!</v>
      </c>
      <c r="AO325" s="665" t="e">
        <f t="shared" si="347"/>
        <v>#VALUE!</v>
      </c>
      <c r="AP325" s="666" t="e">
        <f t="shared" si="348"/>
        <v>#VALUE!</v>
      </c>
      <c r="AQ325" s="660" t="e">
        <f t="shared" si="349"/>
        <v>#VALUE!</v>
      </c>
      <c r="AR325" s="667" t="e">
        <f t="shared" si="350"/>
        <v>#VALUE!</v>
      </c>
      <c r="AS325" s="667" t="e">
        <f t="shared" si="351"/>
        <v>#VALUE!</v>
      </c>
      <c r="AT325" s="668" t="e">
        <f t="shared" si="352"/>
        <v>#VALUE!</v>
      </c>
      <c r="AU325" s="667" t="e">
        <f t="shared" si="353"/>
        <v>#VALUE!</v>
      </c>
      <c r="AV325" s="669" t="e">
        <f t="shared" si="354"/>
        <v>#VALUE!</v>
      </c>
      <c r="AW325" s="667" t="e">
        <f t="shared" si="355"/>
        <v>#VALUE!</v>
      </c>
      <c r="AX325" s="667" t="e">
        <f t="shared" si="356"/>
        <v>#VALUE!</v>
      </c>
      <c r="AY325" s="660" t="e">
        <f t="shared" si="357"/>
        <v>#VALUE!</v>
      </c>
      <c r="AZ325" s="670" t="e">
        <f t="shared" si="358"/>
        <v>#VALUE!</v>
      </c>
      <c r="BB325" s="662" t="e">
        <f>INDEX('Vessel Gauging Data'!$B$26:$V$56,MATCH($C325,'Vessel Gauging Data'!$B$26:$B$56,0),$BB$198)</f>
        <v>#N/A</v>
      </c>
      <c r="BC325" s="662" t="e">
        <f>INDEX('Vessel Gauging Data'!$B$26:$V$56,MATCH($C325,'Vessel Gauging Data'!$B$26:$B$56,0),$BC$198)</f>
        <v>#N/A</v>
      </c>
      <c r="BD325" s="662" t="e">
        <f>INDEX('Vessel Gauging Data'!$B$26:$V$56,MATCH($C325,'Vessel Gauging Data'!$B$26:$B$56,0),$BD$198)</f>
        <v>#N/A</v>
      </c>
      <c r="BE325" s="662" t="e">
        <f>INDEX('Vessel Gauging Data'!$B$26:$V$56,MATCH($C325,'Vessel Gauging Data'!$B$26:$B$56,0),$BE$198)</f>
        <v>#N/A</v>
      </c>
    </row>
    <row r="326" spans="1:57" hidden="1">
      <c r="A326" s="641" t="str">
        <f t="shared" ref="A326:A357" si="365">A149</f>
        <v>N</v>
      </c>
      <c r="C326" s="235" t="str">
        <f t="shared" si="330"/>
        <v/>
      </c>
      <c r="D326" s="211" t="str">
        <f t="shared" si="330"/>
        <v/>
      </c>
      <c r="E326" s="1016" t="str">
        <f t="shared" si="329"/>
        <v/>
      </c>
      <c r="F326" s="1016" t="str">
        <f t="shared" si="331"/>
        <v/>
      </c>
      <c r="G326" s="1016" t="str">
        <f t="shared" si="332"/>
        <v/>
      </c>
      <c r="H326" s="1016" t="str">
        <f t="shared" si="332"/>
        <v/>
      </c>
      <c r="I326" s="211" t="str">
        <f t="shared" si="333"/>
        <v/>
      </c>
      <c r="J326" s="1016" t="str">
        <f t="shared" si="334"/>
        <v/>
      </c>
      <c r="K326" s="213" t="str">
        <f t="shared" si="335"/>
        <v/>
      </c>
      <c r="L326" s="212" t="str">
        <f t="shared" si="336"/>
        <v/>
      </c>
      <c r="M326" s="1125" t="str">
        <f>IF(OR($C326="",$C326=0),"",INDEX(API2DENST,MATCH($C326,'Vessel Gauging Data'!$B$27:$B$56,0),$AA$1))</f>
        <v/>
      </c>
      <c r="N326" s="212" t="str">
        <f t="shared" si="337"/>
        <v/>
      </c>
      <c r="O326" s="1016" t="str">
        <f t="shared" si="359"/>
        <v/>
      </c>
      <c r="P326" s="1125" t="str">
        <f t="shared" si="360"/>
        <v/>
      </c>
      <c r="Q326" s="1016" t="str">
        <f t="shared" si="361"/>
        <v/>
      </c>
      <c r="R326" s="214" t="str">
        <f t="shared" si="362"/>
        <v/>
      </c>
      <c r="S326" s="1125" t="str">
        <f t="shared" si="363"/>
        <v/>
      </c>
      <c r="T326" s="236" t="str">
        <f t="shared" si="364"/>
        <v/>
      </c>
      <c r="W326" s="642" t="e">
        <f>INDEX('Vessel Gauging Data'!$B$26:$V$56,MATCH($C326,'Vessel Gauging Data'!$B$26:$B$56,0),$W$198)</f>
        <v>#N/A</v>
      </c>
      <c r="X326" s="642" t="e">
        <f>INDEX('Vessel Gauging Data'!$B$26:$V$56,MATCH($C326,'Vessel Gauging Data'!$B$26:$B$56,0),$X$198)</f>
        <v>#N/A</v>
      </c>
      <c r="Y326" s="642" t="e">
        <f>INDEX('Vessel Gauging Data'!$B$26:$V$56,MATCH($C326,'Vessel Gauging Data'!$B$26:$B$56,0),$Y$198)</f>
        <v>#N/A</v>
      </c>
      <c r="Z326" s="642" t="e">
        <f>INDEX('Vessel Gauging Data'!$B$26:$V$56,MATCH($C326,'Vessel Gauging Data'!$B$26:$B$56,0),$Z$198)</f>
        <v>#N/A</v>
      </c>
      <c r="AB326" s="642" t="e">
        <f>INDEX(API2DENST,MATCH($C326,'Vessel Gauging Data'!$B$27:$B$56,0),1)</f>
        <v>#N/A</v>
      </c>
      <c r="AC326" s="642" t="e">
        <f t="shared" si="339"/>
        <v>#N/A</v>
      </c>
      <c r="AE326" s="661" t="e">
        <f t="shared" si="340"/>
        <v>#VALUE!</v>
      </c>
      <c r="AF326" s="661" t="e">
        <f t="shared" si="341"/>
        <v>#VALUE!</v>
      </c>
      <c r="AH326" s="662" t="str">
        <f t="shared" si="327"/>
        <v/>
      </c>
      <c r="AI326" s="662" t="str">
        <f t="shared" si="328"/>
        <v/>
      </c>
      <c r="AJ326" s="663">
        <f t="shared" si="342"/>
        <v>192.4571</v>
      </c>
      <c r="AK326" s="660">
        <f t="shared" si="343"/>
        <v>0.24379999999999999</v>
      </c>
      <c r="AL326" s="660" t="e">
        <f t="shared" si="344"/>
        <v>#VALUE!</v>
      </c>
      <c r="AM326" s="664" t="e">
        <f t="shared" si="345"/>
        <v>#VALUE!</v>
      </c>
      <c r="AN326" s="664" t="e">
        <f t="shared" si="346"/>
        <v>#VALUE!</v>
      </c>
      <c r="AO326" s="665" t="e">
        <f t="shared" si="347"/>
        <v>#VALUE!</v>
      </c>
      <c r="AP326" s="666" t="e">
        <f t="shared" si="348"/>
        <v>#VALUE!</v>
      </c>
      <c r="AQ326" s="660" t="e">
        <f t="shared" si="349"/>
        <v>#VALUE!</v>
      </c>
      <c r="AR326" s="667" t="e">
        <f t="shared" si="350"/>
        <v>#VALUE!</v>
      </c>
      <c r="AS326" s="667" t="e">
        <f t="shared" si="351"/>
        <v>#VALUE!</v>
      </c>
      <c r="AT326" s="668" t="e">
        <f t="shared" si="352"/>
        <v>#VALUE!</v>
      </c>
      <c r="AU326" s="667" t="e">
        <f t="shared" si="353"/>
        <v>#VALUE!</v>
      </c>
      <c r="AV326" s="669" t="e">
        <f t="shared" si="354"/>
        <v>#VALUE!</v>
      </c>
      <c r="AW326" s="667" t="e">
        <f t="shared" si="355"/>
        <v>#VALUE!</v>
      </c>
      <c r="AX326" s="667" t="e">
        <f t="shared" si="356"/>
        <v>#VALUE!</v>
      </c>
      <c r="AY326" s="660" t="e">
        <f t="shared" si="357"/>
        <v>#VALUE!</v>
      </c>
      <c r="AZ326" s="670" t="e">
        <f t="shared" si="358"/>
        <v>#VALUE!</v>
      </c>
      <c r="BB326" s="662" t="e">
        <f>INDEX('Vessel Gauging Data'!$B$26:$V$56,MATCH($C326,'Vessel Gauging Data'!$B$26:$B$56,0),$BB$198)</f>
        <v>#N/A</v>
      </c>
      <c r="BC326" s="662" t="e">
        <f>INDEX('Vessel Gauging Data'!$B$26:$V$56,MATCH($C326,'Vessel Gauging Data'!$B$26:$B$56,0),$BC$198)</f>
        <v>#N/A</v>
      </c>
      <c r="BD326" s="662" t="e">
        <f>INDEX('Vessel Gauging Data'!$B$26:$V$56,MATCH($C326,'Vessel Gauging Data'!$B$26:$B$56,0),$BD$198)</f>
        <v>#N/A</v>
      </c>
      <c r="BE326" s="662" t="e">
        <f>INDEX('Vessel Gauging Data'!$B$26:$V$56,MATCH($C326,'Vessel Gauging Data'!$B$26:$B$56,0),$BE$198)</f>
        <v>#N/A</v>
      </c>
    </row>
    <row r="327" spans="1:57" hidden="1">
      <c r="A327" s="641" t="str">
        <f t="shared" si="365"/>
        <v>N</v>
      </c>
      <c r="C327" s="235" t="str">
        <f t="shared" si="330"/>
        <v/>
      </c>
      <c r="D327" s="211" t="str">
        <f t="shared" si="330"/>
        <v/>
      </c>
      <c r="E327" s="1016" t="str">
        <f t="shared" si="329"/>
        <v/>
      </c>
      <c r="F327" s="1016" t="str">
        <f t="shared" si="331"/>
        <v/>
      </c>
      <c r="G327" s="1016" t="str">
        <f t="shared" si="332"/>
        <v/>
      </c>
      <c r="H327" s="1016" t="str">
        <f t="shared" si="332"/>
        <v/>
      </c>
      <c r="I327" s="211" t="str">
        <f t="shared" si="333"/>
        <v/>
      </c>
      <c r="J327" s="1016" t="str">
        <f t="shared" si="334"/>
        <v/>
      </c>
      <c r="K327" s="213" t="str">
        <f t="shared" si="335"/>
        <v/>
      </c>
      <c r="L327" s="212" t="str">
        <f t="shared" si="336"/>
        <v/>
      </c>
      <c r="M327" s="1125" t="str">
        <f>IF(OR($C327="",$C327=0),"",INDEX(API2DENST,MATCH($C327,'Vessel Gauging Data'!$B$27:$B$56,0),$AA$1))</f>
        <v/>
      </c>
      <c r="N327" s="212" t="str">
        <f t="shared" si="337"/>
        <v/>
      </c>
      <c r="O327" s="1016" t="str">
        <f t="shared" si="359"/>
        <v/>
      </c>
      <c r="P327" s="1125" t="str">
        <f t="shared" si="360"/>
        <v/>
      </c>
      <c r="Q327" s="1016" t="str">
        <f t="shared" si="361"/>
        <v/>
      </c>
      <c r="R327" s="214" t="str">
        <f t="shared" si="362"/>
        <v/>
      </c>
      <c r="S327" s="1125" t="str">
        <f t="shared" si="363"/>
        <v/>
      </c>
      <c r="T327" s="236" t="str">
        <f t="shared" si="364"/>
        <v/>
      </c>
      <c r="W327" s="642" t="e">
        <f>INDEX('Vessel Gauging Data'!$B$26:$V$56,MATCH($C327,'Vessel Gauging Data'!$B$26:$B$56,0),$W$198)</f>
        <v>#N/A</v>
      </c>
      <c r="X327" s="642" t="e">
        <f>INDEX('Vessel Gauging Data'!$B$26:$V$56,MATCH($C327,'Vessel Gauging Data'!$B$26:$B$56,0),$X$198)</f>
        <v>#N/A</v>
      </c>
      <c r="Y327" s="642" t="e">
        <f>INDEX('Vessel Gauging Data'!$B$26:$V$56,MATCH($C327,'Vessel Gauging Data'!$B$26:$B$56,0),$Y$198)</f>
        <v>#N/A</v>
      </c>
      <c r="Z327" s="642" t="e">
        <f>INDEX('Vessel Gauging Data'!$B$26:$V$56,MATCH($C327,'Vessel Gauging Data'!$B$26:$B$56,0),$Z$198)</f>
        <v>#N/A</v>
      </c>
      <c r="AB327" s="642" t="e">
        <f>INDEX(API2DENST,MATCH($C327,'Vessel Gauging Data'!$B$27:$B$56,0),1)</f>
        <v>#N/A</v>
      </c>
      <c r="AC327" s="642" t="e">
        <f t="shared" si="339"/>
        <v>#N/A</v>
      </c>
      <c r="AE327" s="661" t="e">
        <f t="shared" si="340"/>
        <v>#VALUE!</v>
      </c>
      <c r="AF327" s="661" t="e">
        <f t="shared" si="341"/>
        <v>#VALUE!</v>
      </c>
      <c r="AH327" s="662" t="str">
        <f t="shared" si="327"/>
        <v/>
      </c>
      <c r="AI327" s="662" t="str">
        <f t="shared" si="328"/>
        <v/>
      </c>
      <c r="AJ327" s="663">
        <f t="shared" si="342"/>
        <v>192.4571</v>
      </c>
      <c r="AK327" s="660">
        <f t="shared" si="343"/>
        <v>0.24379999999999999</v>
      </c>
      <c r="AL327" s="660" t="e">
        <f t="shared" si="344"/>
        <v>#VALUE!</v>
      </c>
      <c r="AM327" s="664" t="e">
        <f t="shared" si="345"/>
        <v>#VALUE!</v>
      </c>
      <c r="AN327" s="664" t="e">
        <f t="shared" si="346"/>
        <v>#VALUE!</v>
      </c>
      <c r="AO327" s="665" t="e">
        <f t="shared" si="347"/>
        <v>#VALUE!</v>
      </c>
      <c r="AP327" s="666" t="e">
        <f t="shared" si="348"/>
        <v>#VALUE!</v>
      </c>
      <c r="AQ327" s="660" t="e">
        <f t="shared" si="349"/>
        <v>#VALUE!</v>
      </c>
      <c r="AR327" s="667" t="e">
        <f t="shared" si="350"/>
        <v>#VALUE!</v>
      </c>
      <c r="AS327" s="667" t="e">
        <f t="shared" si="351"/>
        <v>#VALUE!</v>
      </c>
      <c r="AT327" s="668" t="e">
        <f t="shared" si="352"/>
        <v>#VALUE!</v>
      </c>
      <c r="AU327" s="667" t="e">
        <f t="shared" si="353"/>
        <v>#VALUE!</v>
      </c>
      <c r="AV327" s="669" t="e">
        <f t="shared" si="354"/>
        <v>#VALUE!</v>
      </c>
      <c r="AW327" s="667" t="e">
        <f t="shared" si="355"/>
        <v>#VALUE!</v>
      </c>
      <c r="AX327" s="667" t="e">
        <f t="shared" si="356"/>
        <v>#VALUE!</v>
      </c>
      <c r="AY327" s="660" t="e">
        <f t="shared" si="357"/>
        <v>#VALUE!</v>
      </c>
      <c r="AZ327" s="670" t="e">
        <f t="shared" si="358"/>
        <v>#VALUE!</v>
      </c>
      <c r="BB327" s="662" t="e">
        <f>INDEX('Vessel Gauging Data'!$B$26:$V$56,MATCH($C327,'Vessel Gauging Data'!$B$26:$B$56,0),$BB$198)</f>
        <v>#N/A</v>
      </c>
      <c r="BC327" s="662" t="e">
        <f>INDEX('Vessel Gauging Data'!$B$26:$V$56,MATCH($C327,'Vessel Gauging Data'!$B$26:$B$56,0),$BC$198)</f>
        <v>#N/A</v>
      </c>
      <c r="BD327" s="662" t="e">
        <f>INDEX('Vessel Gauging Data'!$B$26:$V$56,MATCH($C327,'Vessel Gauging Data'!$B$26:$B$56,0),$BD$198)</f>
        <v>#N/A</v>
      </c>
      <c r="BE327" s="662" t="e">
        <f>INDEX('Vessel Gauging Data'!$B$26:$V$56,MATCH($C327,'Vessel Gauging Data'!$B$26:$B$56,0),$BE$198)</f>
        <v>#N/A</v>
      </c>
    </row>
    <row r="328" spans="1:57" hidden="1">
      <c r="A328" s="641" t="str">
        <f t="shared" si="365"/>
        <v>N</v>
      </c>
      <c r="C328" s="235" t="str">
        <f t="shared" si="330"/>
        <v/>
      </c>
      <c r="D328" s="211" t="str">
        <f t="shared" si="330"/>
        <v/>
      </c>
      <c r="E328" s="1016" t="str">
        <f t="shared" si="329"/>
        <v/>
      </c>
      <c r="F328" s="1016" t="str">
        <f t="shared" si="331"/>
        <v/>
      </c>
      <c r="G328" s="1016" t="str">
        <f t="shared" si="332"/>
        <v/>
      </c>
      <c r="H328" s="1016" t="str">
        <f t="shared" si="332"/>
        <v/>
      </c>
      <c r="I328" s="211" t="str">
        <f t="shared" si="333"/>
        <v/>
      </c>
      <c r="J328" s="1016" t="str">
        <f t="shared" si="334"/>
        <v/>
      </c>
      <c r="K328" s="213" t="str">
        <f t="shared" si="335"/>
        <v/>
      </c>
      <c r="L328" s="212" t="str">
        <f t="shared" si="336"/>
        <v/>
      </c>
      <c r="M328" s="1125" t="str">
        <f>IF(OR($C328="",$C328=0),"",INDEX(API2DENST,MATCH($C328,'Vessel Gauging Data'!$B$27:$B$56,0),$AA$1))</f>
        <v/>
      </c>
      <c r="N328" s="212" t="str">
        <f t="shared" si="337"/>
        <v/>
      </c>
      <c r="O328" s="1016" t="str">
        <f t="shared" si="359"/>
        <v/>
      </c>
      <c r="P328" s="1125" t="str">
        <f t="shared" si="360"/>
        <v/>
      </c>
      <c r="Q328" s="1016" t="str">
        <f t="shared" si="361"/>
        <v/>
      </c>
      <c r="R328" s="214" t="str">
        <f t="shared" si="362"/>
        <v/>
      </c>
      <c r="S328" s="1125" t="str">
        <f t="shared" si="363"/>
        <v/>
      </c>
      <c r="T328" s="236" t="str">
        <f t="shared" si="364"/>
        <v/>
      </c>
      <c r="W328" s="642" t="e">
        <f>INDEX('Vessel Gauging Data'!$B$26:$V$56,MATCH($C328,'Vessel Gauging Data'!$B$26:$B$56,0),$W$198)</f>
        <v>#N/A</v>
      </c>
      <c r="X328" s="642" t="e">
        <f>INDEX('Vessel Gauging Data'!$B$26:$V$56,MATCH($C328,'Vessel Gauging Data'!$B$26:$B$56,0),$X$198)</f>
        <v>#N/A</v>
      </c>
      <c r="Y328" s="642" t="e">
        <f>INDEX('Vessel Gauging Data'!$B$26:$V$56,MATCH($C328,'Vessel Gauging Data'!$B$26:$B$56,0),$Y$198)</f>
        <v>#N/A</v>
      </c>
      <c r="Z328" s="642" t="e">
        <f>INDEX('Vessel Gauging Data'!$B$26:$V$56,MATCH($C328,'Vessel Gauging Data'!$B$26:$B$56,0),$Z$198)</f>
        <v>#N/A</v>
      </c>
      <c r="AB328" s="642" t="e">
        <f>INDEX(API2DENST,MATCH($C328,'Vessel Gauging Data'!$B$27:$B$56,0),1)</f>
        <v>#N/A</v>
      </c>
      <c r="AC328" s="642" t="e">
        <f t="shared" si="339"/>
        <v>#N/A</v>
      </c>
      <c r="AE328" s="661" t="e">
        <f t="shared" si="340"/>
        <v>#VALUE!</v>
      </c>
      <c r="AF328" s="661" t="e">
        <f t="shared" si="341"/>
        <v>#VALUE!</v>
      </c>
      <c r="AH328" s="662" t="str">
        <f t="shared" si="327"/>
        <v/>
      </c>
      <c r="AI328" s="662" t="str">
        <f t="shared" si="328"/>
        <v/>
      </c>
      <c r="AJ328" s="663">
        <f t="shared" ref="AJ328:AJ366" si="366">IF(AND(AI328&gt;=0,AI328&lt;=37),103.872,IF(AND(AI328&gt;=48,AI328&lt;=52),-0.0018684,IF(AND(AI328&gt;=37.1,AI328&lt;=47.9),330.301,IF(AND(AI328&gt;=52.1),192.4571))))</f>
        <v>192.4571</v>
      </c>
      <c r="AK328" s="660">
        <f t="shared" ref="AK328:AK366" si="367">IF(AND(AI328&gt;=0,AI328&lt;=37),0.2701,IF(AND(AI328&gt;=48,AJ328&lt;=52),1489.067,IF(AND(AI328&gt;=37.1,AI328&lt;=47.9),0,IF(AI328&gt;=52.1,0.2438))))</f>
        <v>0.24379999999999999</v>
      </c>
      <c r="AL328" s="660" t="e">
        <f t="shared" ref="AL328:AL366" si="368">ROUND(141360.198/(AI328+131.5),2)</f>
        <v>#VALUE!</v>
      </c>
      <c r="AM328" s="664" t="e">
        <f t="shared" ref="AM328:AM366" si="369">TRUNC(AJ328/AL328,8)</f>
        <v>#VALUE!</v>
      </c>
      <c r="AN328" s="664" t="e">
        <f t="shared" ref="AN328:AN366" si="370">TRUNC(AM328/AL328,10)</f>
        <v>#VALUE!</v>
      </c>
      <c r="AO328" s="665" t="e">
        <f t="shared" ref="AO328:AO366" si="371">TRUNC(AK328/AL328,10)</f>
        <v>#VALUE!</v>
      </c>
      <c r="AP328" s="666" t="e">
        <f t="shared" ref="AP328:AP366" si="372">IF(AND(AI328&gt;=48,AI328&lt;=52),ROUND(AW328+AJ328,7),ROUND(AN328+AO328,7))</f>
        <v>#VALUE!</v>
      </c>
      <c r="AQ328" s="660" t="e">
        <f t="shared" ref="AQ328:AQ366" si="373">AH328-60</f>
        <v>#VALUE!</v>
      </c>
      <c r="AR328" s="667" t="e">
        <f t="shared" ref="AR328:AR366" si="374">TRUNC(AP328*AQ328,8)</f>
        <v>#VALUE!</v>
      </c>
      <c r="AS328" s="667" t="e">
        <f t="shared" ref="AS328:AS366" si="375">TRUNC(0.8*AR328,8)</f>
        <v>#VALUE!</v>
      </c>
      <c r="AT328" s="668" t="e">
        <f t="shared" ref="AT328:AT366" si="376">TRUNC(0.8*AP328^2*AQ328^2,8)</f>
        <v>#VALUE!</v>
      </c>
      <c r="AU328" s="667" t="e">
        <f t="shared" ref="AU328:AU366" si="377">-AR328-AT328</f>
        <v>#VALUE!</v>
      </c>
      <c r="AV328" s="669" t="e">
        <f t="shared" ref="AV328:AV366" si="378">TRUNC(AK328/AL328,5)</f>
        <v>#VALUE!</v>
      </c>
      <c r="AW328" s="667" t="e">
        <f t="shared" ref="AW328:AW366" si="379">ROUND(AV328/AL328,8)</f>
        <v>#VALUE!</v>
      </c>
      <c r="AX328" s="667" t="e">
        <f t="shared" ref="AX328:AX366" si="380">ROUND(AW328+AJ328,8)</f>
        <v>#VALUE!</v>
      </c>
      <c r="AY328" s="660" t="e">
        <f t="shared" ref="AY328:AY366" si="381">IF(AND(AI328&gt;=48,AI328&lt;=52),AX328,AP328)</f>
        <v>#VALUE!</v>
      </c>
      <c r="AZ328" s="670" t="e">
        <f t="shared" ref="AZ328:AZ366" si="382">ROUND(EXP(AU328),5)</f>
        <v>#VALUE!</v>
      </c>
      <c r="BB328" s="662" t="e">
        <f>INDEX('Vessel Gauging Data'!$B$26:$V$56,MATCH($C328,'Vessel Gauging Data'!$B$26:$B$56,0),$BB$198)</f>
        <v>#N/A</v>
      </c>
      <c r="BC328" s="662" t="e">
        <f>INDEX('Vessel Gauging Data'!$B$26:$V$56,MATCH($C328,'Vessel Gauging Data'!$B$26:$B$56,0),$BC$198)</f>
        <v>#N/A</v>
      </c>
      <c r="BD328" s="662" t="e">
        <f>INDEX('Vessel Gauging Data'!$B$26:$V$56,MATCH($C328,'Vessel Gauging Data'!$B$26:$B$56,0),$BD$198)</f>
        <v>#N/A</v>
      </c>
      <c r="BE328" s="662" t="e">
        <f>INDEX('Vessel Gauging Data'!$B$26:$V$56,MATCH($C328,'Vessel Gauging Data'!$B$26:$B$56,0),$BE$198)</f>
        <v>#N/A</v>
      </c>
    </row>
    <row r="329" spans="1:57" hidden="1">
      <c r="A329" s="641" t="str">
        <f t="shared" si="365"/>
        <v>N</v>
      </c>
      <c r="C329" s="235" t="str">
        <f t="shared" si="330"/>
        <v/>
      </c>
      <c r="D329" s="211" t="str">
        <f t="shared" si="330"/>
        <v/>
      </c>
      <c r="E329" s="1016" t="str">
        <f t="shared" si="329"/>
        <v/>
      </c>
      <c r="F329" s="1016" t="str">
        <f t="shared" si="331"/>
        <v/>
      </c>
      <c r="G329" s="1016" t="str">
        <f t="shared" si="332"/>
        <v/>
      </c>
      <c r="H329" s="1016" t="str">
        <f t="shared" si="332"/>
        <v/>
      </c>
      <c r="I329" s="211" t="str">
        <f t="shared" si="333"/>
        <v/>
      </c>
      <c r="J329" s="1016" t="str">
        <f t="shared" si="334"/>
        <v/>
      </c>
      <c r="K329" s="213" t="str">
        <f t="shared" si="335"/>
        <v/>
      </c>
      <c r="L329" s="212" t="str">
        <f t="shared" si="336"/>
        <v/>
      </c>
      <c r="M329" s="1125" t="str">
        <f>IF(OR($C329="",$C329=0),"",INDEX(API2DENST,MATCH($C329,'Vessel Gauging Data'!$B$27:$B$56,0),$AA$1))</f>
        <v/>
      </c>
      <c r="N329" s="212" t="str">
        <f t="shared" si="337"/>
        <v/>
      </c>
      <c r="O329" s="1016" t="str">
        <f t="shared" si="359"/>
        <v/>
      </c>
      <c r="P329" s="1125" t="str">
        <f t="shared" si="360"/>
        <v/>
      </c>
      <c r="Q329" s="1016" t="str">
        <f t="shared" si="361"/>
        <v/>
      </c>
      <c r="R329" s="214" t="str">
        <f t="shared" si="362"/>
        <v/>
      </c>
      <c r="S329" s="1125" t="str">
        <f t="shared" si="363"/>
        <v/>
      </c>
      <c r="T329" s="236" t="str">
        <f t="shared" si="364"/>
        <v/>
      </c>
      <c r="W329" s="642" t="e">
        <f>INDEX('Vessel Gauging Data'!$B$26:$V$56,MATCH($C329,'Vessel Gauging Data'!$B$26:$B$56,0),$W$198)</f>
        <v>#N/A</v>
      </c>
      <c r="X329" s="642" t="e">
        <f>INDEX('Vessel Gauging Data'!$B$26:$V$56,MATCH($C329,'Vessel Gauging Data'!$B$26:$B$56,0),$X$198)</f>
        <v>#N/A</v>
      </c>
      <c r="Y329" s="642" t="e">
        <f>INDEX('Vessel Gauging Data'!$B$26:$V$56,MATCH($C329,'Vessel Gauging Data'!$B$26:$B$56,0),$Y$198)</f>
        <v>#N/A</v>
      </c>
      <c r="Z329" s="642" t="e">
        <f>INDEX('Vessel Gauging Data'!$B$26:$V$56,MATCH($C329,'Vessel Gauging Data'!$B$26:$B$56,0),$Z$198)</f>
        <v>#N/A</v>
      </c>
      <c r="AB329" s="642" t="e">
        <f>INDEX(API2DENST,MATCH($C329,'Vessel Gauging Data'!$B$27:$B$56,0),1)</f>
        <v>#N/A</v>
      </c>
      <c r="AC329" s="642" t="e">
        <f t="shared" si="339"/>
        <v>#N/A</v>
      </c>
      <c r="AE329" s="661" t="e">
        <f t="shared" si="340"/>
        <v>#VALUE!</v>
      </c>
      <c r="AF329" s="661" t="e">
        <f t="shared" si="341"/>
        <v>#VALUE!</v>
      </c>
      <c r="AH329" s="662" t="str">
        <f t="shared" si="327"/>
        <v/>
      </c>
      <c r="AI329" s="662" t="str">
        <f t="shared" si="328"/>
        <v/>
      </c>
      <c r="AJ329" s="663">
        <f t="shared" si="366"/>
        <v>192.4571</v>
      </c>
      <c r="AK329" s="660">
        <f t="shared" si="367"/>
        <v>0.24379999999999999</v>
      </c>
      <c r="AL329" s="660" t="e">
        <f t="shared" si="368"/>
        <v>#VALUE!</v>
      </c>
      <c r="AM329" s="664" t="e">
        <f t="shared" si="369"/>
        <v>#VALUE!</v>
      </c>
      <c r="AN329" s="664" t="e">
        <f t="shared" si="370"/>
        <v>#VALUE!</v>
      </c>
      <c r="AO329" s="665" t="e">
        <f t="shared" si="371"/>
        <v>#VALUE!</v>
      </c>
      <c r="AP329" s="666" t="e">
        <f t="shared" si="372"/>
        <v>#VALUE!</v>
      </c>
      <c r="AQ329" s="660" t="e">
        <f t="shared" si="373"/>
        <v>#VALUE!</v>
      </c>
      <c r="AR329" s="667" t="e">
        <f t="shared" si="374"/>
        <v>#VALUE!</v>
      </c>
      <c r="AS329" s="667" t="e">
        <f t="shared" si="375"/>
        <v>#VALUE!</v>
      </c>
      <c r="AT329" s="668" t="e">
        <f t="shared" si="376"/>
        <v>#VALUE!</v>
      </c>
      <c r="AU329" s="667" t="e">
        <f t="shared" si="377"/>
        <v>#VALUE!</v>
      </c>
      <c r="AV329" s="669" t="e">
        <f t="shared" si="378"/>
        <v>#VALUE!</v>
      </c>
      <c r="AW329" s="667" t="e">
        <f t="shared" si="379"/>
        <v>#VALUE!</v>
      </c>
      <c r="AX329" s="667" t="e">
        <f t="shared" si="380"/>
        <v>#VALUE!</v>
      </c>
      <c r="AY329" s="660" t="e">
        <f t="shared" si="381"/>
        <v>#VALUE!</v>
      </c>
      <c r="AZ329" s="670" t="e">
        <f t="shared" si="382"/>
        <v>#VALUE!</v>
      </c>
      <c r="BB329" s="662" t="e">
        <f>INDEX('Vessel Gauging Data'!$B$26:$V$56,MATCH($C329,'Vessel Gauging Data'!$B$26:$B$56,0),$BB$198)</f>
        <v>#N/A</v>
      </c>
      <c r="BC329" s="662" t="e">
        <f>INDEX('Vessel Gauging Data'!$B$26:$V$56,MATCH($C329,'Vessel Gauging Data'!$B$26:$B$56,0),$BC$198)</f>
        <v>#N/A</v>
      </c>
      <c r="BD329" s="662" t="e">
        <f>INDEX('Vessel Gauging Data'!$B$26:$V$56,MATCH($C329,'Vessel Gauging Data'!$B$26:$B$56,0),$BD$198)</f>
        <v>#N/A</v>
      </c>
      <c r="BE329" s="662" t="e">
        <f>INDEX('Vessel Gauging Data'!$B$26:$V$56,MATCH($C329,'Vessel Gauging Data'!$B$26:$B$56,0),$BE$198)</f>
        <v>#N/A</v>
      </c>
    </row>
    <row r="330" spans="1:57" hidden="1">
      <c r="A330" s="641" t="str">
        <f t="shared" si="365"/>
        <v>N</v>
      </c>
      <c r="C330" s="235" t="str">
        <f t="shared" si="330"/>
        <v/>
      </c>
      <c r="D330" s="211" t="str">
        <f t="shared" si="330"/>
        <v/>
      </c>
      <c r="E330" s="1016" t="str">
        <f t="shared" si="329"/>
        <v/>
      </c>
      <c r="F330" s="1016" t="str">
        <f t="shared" si="331"/>
        <v/>
      </c>
      <c r="G330" s="1016" t="str">
        <f t="shared" si="332"/>
        <v/>
      </c>
      <c r="H330" s="1016" t="str">
        <f t="shared" si="332"/>
        <v/>
      </c>
      <c r="I330" s="211" t="str">
        <f t="shared" si="333"/>
        <v/>
      </c>
      <c r="J330" s="1016" t="str">
        <f t="shared" si="334"/>
        <v/>
      </c>
      <c r="K330" s="213" t="str">
        <f t="shared" si="335"/>
        <v/>
      </c>
      <c r="L330" s="212" t="str">
        <f t="shared" si="336"/>
        <v/>
      </c>
      <c r="M330" s="1125" t="str">
        <f>IF(OR($C330="",$C330=0),"",INDEX(API2DENST,MATCH($C330,'Vessel Gauging Data'!$B$27:$B$56,0),$AA$1))</f>
        <v/>
      </c>
      <c r="N330" s="212" t="str">
        <f t="shared" si="337"/>
        <v/>
      </c>
      <c r="O330" s="1016" t="str">
        <f t="shared" si="359"/>
        <v/>
      </c>
      <c r="P330" s="1125" t="str">
        <f t="shared" si="360"/>
        <v/>
      </c>
      <c r="Q330" s="1016" t="str">
        <f t="shared" si="361"/>
        <v/>
      </c>
      <c r="R330" s="214" t="str">
        <f t="shared" si="362"/>
        <v/>
      </c>
      <c r="S330" s="1125" t="str">
        <f t="shared" si="363"/>
        <v/>
      </c>
      <c r="T330" s="236" t="str">
        <f t="shared" si="364"/>
        <v/>
      </c>
      <c r="W330" s="642" t="e">
        <f>INDEX('Vessel Gauging Data'!$B$26:$V$56,MATCH($C330,'Vessel Gauging Data'!$B$26:$B$56,0),$W$198)</f>
        <v>#N/A</v>
      </c>
      <c r="X330" s="642" t="e">
        <f>INDEX('Vessel Gauging Data'!$B$26:$V$56,MATCH($C330,'Vessel Gauging Data'!$B$26:$B$56,0),$X$198)</f>
        <v>#N/A</v>
      </c>
      <c r="Y330" s="642" t="e">
        <f>INDEX('Vessel Gauging Data'!$B$26:$V$56,MATCH($C330,'Vessel Gauging Data'!$B$26:$B$56,0),$Y$198)</f>
        <v>#N/A</v>
      </c>
      <c r="Z330" s="642" t="e">
        <f>INDEX('Vessel Gauging Data'!$B$26:$V$56,MATCH($C330,'Vessel Gauging Data'!$B$26:$B$56,0),$Z$198)</f>
        <v>#N/A</v>
      </c>
      <c r="AB330" s="642" t="e">
        <f>INDEX(API2DENST,MATCH($C330,'Vessel Gauging Data'!$B$27:$B$56,0),1)</f>
        <v>#N/A</v>
      </c>
      <c r="AC330" s="642" t="e">
        <f t="shared" si="339"/>
        <v>#N/A</v>
      </c>
      <c r="AE330" s="661" t="e">
        <f t="shared" si="340"/>
        <v>#VALUE!</v>
      </c>
      <c r="AF330" s="661" t="e">
        <f t="shared" si="341"/>
        <v>#VALUE!</v>
      </c>
      <c r="AH330" s="662" t="str">
        <f t="shared" si="327"/>
        <v/>
      </c>
      <c r="AI330" s="662" t="str">
        <f t="shared" si="328"/>
        <v/>
      </c>
      <c r="AJ330" s="663">
        <f t="shared" si="366"/>
        <v>192.4571</v>
      </c>
      <c r="AK330" s="660">
        <f t="shared" si="367"/>
        <v>0.24379999999999999</v>
      </c>
      <c r="AL330" s="660" t="e">
        <f t="shared" si="368"/>
        <v>#VALUE!</v>
      </c>
      <c r="AM330" s="664" t="e">
        <f t="shared" si="369"/>
        <v>#VALUE!</v>
      </c>
      <c r="AN330" s="664" t="e">
        <f t="shared" si="370"/>
        <v>#VALUE!</v>
      </c>
      <c r="AO330" s="665" t="e">
        <f t="shared" si="371"/>
        <v>#VALUE!</v>
      </c>
      <c r="AP330" s="666" t="e">
        <f t="shared" si="372"/>
        <v>#VALUE!</v>
      </c>
      <c r="AQ330" s="660" t="e">
        <f t="shared" si="373"/>
        <v>#VALUE!</v>
      </c>
      <c r="AR330" s="667" t="e">
        <f t="shared" si="374"/>
        <v>#VALUE!</v>
      </c>
      <c r="AS330" s="667" t="e">
        <f t="shared" si="375"/>
        <v>#VALUE!</v>
      </c>
      <c r="AT330" s="668" t="e">
        <f t="shared" si="376"/>
        <v>#VALUE!</v>
      </c>
      <c r="AU330" s="667" t="e">
        <f t="shared" si="377"/>
        <v>#VALUE!</v>
      </c>
      <c r="AV330" s="669" t="e">
        <f t="shared" si="378"/>
        <v>#VALUE!</v>
      </c>
      <c r="AW330" s="667" t="e">
        <f t="shared" si="379"/>
        <v>#VALUE!</v>
      </c>
      <c r="AX330" s="667" t="e">
        <f t="shared" si="380"/>
        <v>#VALUE!</v>
      </c>
      <c r="AY330" s="660" t="e">
        <f t="shared" si="381"/>
        <v>#VALUE!</v>
      </c>
      <c r="AZ330" s="670" t="e">
        <f t="shared" si="382"/>
        <v>#VALUE!</v>
      </c>
      <c r="BB330" s="662" t="e">
        <f>INDEX('Vessel Gauging Data'!$B$26:$V$56,MATCH($C330,'Vessel Gauging Data'!$B$26:$B$56,0),$BB$198)</f>
        <v>#N/A</v>
      </c>
      <c r="BC330" s="662" t="e">
        <f>INDEX('Vessel Gauging Data'!$B$26:$V$56,MATCH($C330,'Vessel Gauging Data'!$B$26:$B$56,0),$BC$198)</f>
        <v>#N/A</v>
      </c>
      <c r="BD330" s="662" t="e">
        <f>INDEX('Vessel Gauging Data'!$B$26:$V$56,MATCH($C330,'Vessel Gauging Data'!$B$26:$B$56,0),$BD$198)</f>
        <v>#N/A</v>
      </c>
      <c r="BE330" s="662" t="e">
        <f>INDEX('Vessel Gauging Data'!$B$26:$V$56,MATCH($C330,'Vessel Gauging Data'!$B$26:$B$56,0),$BE$198)</f>
        <v>#N/A</v>
      </c>
    </row>
    <row r="331" spans="1:57" hidden="1">
      <c r="A331" s="641" t="str">
        <f t="shared" si="365"/>
        <v>N</v>
      </c>
      <c r="C331" s="235" t="str">
        <f t="shared" si="330"/>
        <v/>
      </c>
      <c r="D331" s="211" t="str">
        <f t="shared" si="330"/>
        <v/>
      </c>
      <c r="E331" s="1016" t="str">
        <f t="shared" si="329"/>
        <v/>
      </c>
      <c r="F331" s="1016" t="str">
        <f t="shared" si="331"/>
        <v/>
      </c>
      <c r="G331" s="1016" t="str">
        <f t="shared" si="332"/>
        <v/>
      </c>
      <c r="H331" s="1016" t="str">
        <f t="shared" si="332"/>
        <v/>
      </c>
      <c r="I331" s="211" t="str">
        <f t="shared" si="333"/>
        <v/>
      </c>
      <c r="J331" s="1016" t="str">
        <f t="shared" si="334"/>
        <v/>
      </c>
      <c r="K331" s="213" t="str">
        <f t="shared" si="335"/>
        <v/>
      </c>
      <c r="L331" s="212" t="str">
        <f t="shared" si="336"/>
        <v/>
      </c>
      <c r="M331" s="1125" t="str">
        <f>IF(OR($C331="",$C331=0),"",INDEX(API2DENST,MATCH($C331,'Vessel Gauging Data'!$B$27:$B$56,0),$AA$1))</f>
        <v/>
      </c>
      <c r="N331" s="212" t="str">
        <f t="shared" si="337"/>
        <v/>
      </c>
      <c r="O331" s="1016" t="str">
        <f t="shared" si="359"/>
        <v/>
      </c>
      <c r="P331" s="1125" t="str">
        <f t="shared" si="360"/>
        <v/>
      </c>
      <c r="Q331" s="1016" t="str">
        <f t="shared" si="361"/>
        <v/>
      </c>
      <c r="R331" s="214" t="str">
        <f t="shared" si="362"/>
        <v/>
      </c>
      <c r="S331" s="1125" t="str">
        <f t="shared" si="363"/>
        <v/>
      </c>
      <c r="T331" s="236" t="str">
        <f t="shared" si="364"/>
        <v/>
      </c>
      <c r="W331" s="642" t="e">
        <f>INDEX('Vessel Gauging Data'!$B$26:$V$56,MATCH($C331,'Vessel Gauging Data'!$B$26:$B$56,0),$W$198)</f>
        <v>#N/A</v>
      </c>
      <c r="X331" s="642" t="e">
        <f>INDEX('Vessel Gauging Data'!$B$26:$V$56,MATCH($C331,'Vessel Gauging Data'!$B$26:$B$56,0),$X$198)</f>
        <v>#N/A</v>
      </c>
      <c r="Y331" s="642" t="e">
        <f>INDEX('Vessel Gauging Data'!$B$26:$V$56,MATCH($C331,'Vessel Gauging Data'!$B$26:$B$56,0),$Y$198)</f>
        <v>#N/A</v>
      </c>
      <c r="Z331" s="642" t="e">
        <f>INDEX('Vessel Gauging Data'!$B$26:$V$56,MATCH($C331,'Vessel Gauging Data'!$B$26:$B$56,0),$Z$198)</f>
        <v>#N/A</v>
      </c>
      <c r="AB331" s="642" t="e">
        <f>INDEX(API2DENST,MATCH($C331,'Vessel Gauging Data'!$B$27:$B$56,0),1)</f>
        <v>#N/A</v>
      </c>
      <c r="AC331" s="642" t="e">
        <f t="shared" si="339"/>
        <v>#N/A</v>
      </c>
      <c r="AE331" s="661" t="e">
        <f t="shared" si="340"/>
        <v>#VALUE!</v>
      </c>
      <c r="AF331" s="661" t="e">
        <f t="shared" si="341"/>
        <v>#VALUE!</v>
      </c>
      <c r="AH331" s="662" t="str">
        <f t="shared" si="327"/>
        <v/>
      </c>
      <c r="AI331" s="662" t="str">
        <f t="shared" si="328"/>
        <v/>
      </c>
      <c r="AJ331" s="663">
        <f t="shared" si="366"/>
        <v>192.4571</v>
      </c>
      <c r="AK331" s="660">
        <f t="shared" si="367"/>
        <v>0.24379999999999999</v>
      </c>
      <c r="AL331" s="660" t="e">
        <f t="shared" si="368"/>
        <v>#VALUE!</v>
      </c>
      <c r="AM331" s="664" t="e">
        <f t="shared" si="369"/>
        <v>#VALUE!</v>
      </c>
      <c r="AN331" s="664" t="e">
        <f t="shared" si="370"/>
        <v>#VALUE!</v>
      </c>
      <c r="AO331" s="665" t="e">
        <f t="shared" si="371"/>
        <v>#VALUE!</v>
      </c>
      <c r="AP331" s="666" t="e">
        <f t="shared" si="372"/>
        <v>#VALUE!</v>
      </c>
      <c r="AQ331" s="660" t="e">
        <f t="shared" si="373"/>
        <v>#VALUE!</v>
      </c>
      <c r="AR331" s="667" t="e">
        <f t="shared" si="374"/>
        <v>#VALUE!</v>
      </c>
      <c r="AS331" s="667" t="e">
        <f t="shared" si="375"/>
        <v>#VALUE!</v>
      </c>
      <c r="AT331" s="668" t="e">
        <f t="shared" si="376"/>
        <v>#VALUE!</v>
      </c>
      <c r="AU331" s="667" t="e">
        <f t="shared" si="377"/>
        <v>#VALUE!</v>
      </c>
      <c r="AV331" s="669" t="e">
        <f t="shared" si="378"/>
        <v>#VALUE!</v>
      </c>
      <c r="AW331" s="667" t="e">
        <f t="shared" si="379"/>
        <v>#VALUE!</v>
      </c>
      <c r="AX331" s="667" t="e">
        <f t="shared" si="380"/>
        <v>#VALUE!</v>
      </c>
      <c r="AY331" s="660" t="e">
        <f t="shared" si="381"/>
        <v>#VALUE!</v>
      </c>
      <c r="AZ331" s="670" t="e">
        <f t="shared" si="382"/>
        <v>#VALUE!</v>
      </c>
      <c r="BB331" s="662" t="e">
        <f>INDEX('Vessel Gauging Data'!$B$26:$V$56,MATCH($C331,'Vessel Gauging Data'!$B$26:$B$56,0),$BB$198)</f>
        <v>#N/A</v>
      </c>
      <c r="BC331" s="662" t="e">
        <f>INDEX('Vessel Gauging Data'!$B$26:$V$56,MATCH($C331,'Vessel Gauging Data'!$B$26:$B$56,0),$BC$198)</f>
        <v>#N/A</v>
      </c>
      <c r="BD331" s="662" t="e">
        <f>INDEX('Vessel Gauging Data'!$B$26:$V$56,MATCH($C331,'Vessel Gauging Data'!$B$26:$B$56,0),$BD$198)</f>
        <v>#N/A</v>
      </c>
      <c r="BE331" s="662" t="e">
        <f>INDEX('Vessel Gauging Data'!$B$26:$V$56,MATCH($C331,'Vessel Gauging Data'!$B$26:$B$56,0),$BE$198)</f>
        <v>#N/A</v>
      </c>
    </row>
    <row r="332" spans="1:57" hidden="1">
      <c r="A332" s="641" t="str">
        <f t="shared" si="365"/>
        <v>N</v>
      </c>
      <c r="C332" s="235" t="str">
        <f t="shared" si="330"/>
        <v/>
      </c>
      <c r="D332" s="211" t="str">
        <f t="shared" si="330"/>
        <v/>
      </c>
      <c r="E332" s="1016" t="str">
        <f t="shared" si="329"/>
        <v/>
      </c>
      <c r="F332" s="1016" t="str">
        <f t="shared" si="331"/>
        <v/>
      </c>
      <c r="G332" s="1016" t="str">
        <f t="shared" si="332"/>
        <v/>
      </c>
      <c r="H332" s="1016" t="str">
        <f t="shared" si="332"/>
        <v/>
      </c>
      <c r="I332" s="211" t="str">
        <f t="shared" si="333"/>
        <v/>
      </c>
      <c r="J332" s="1016" t="str">
        <f t="shared" si="334"/>
        <v/>
      </c>
      <c r="K332" s="213" t="str">
        <f t="shared" si="335"/>
        <v/>
      </c>
      <c r="L332" s="212" t="str">
        <f t="shared" si="336"/>
        <v/>
      </c>
      <c r="M332" s="1125" t="str">
        <f>IF(OR($C332="",$C332=0),"",INDEX(API2DENST,MATCH($C332,'Vessel Gauging Data'!$B$27:$B$56,0),$AA$1))</f>
        <v/>
      </c>
      <c r="N332" s="212" t="str">
        <f t="shared" si="337"/>
        <v/>
      </c>
      <c r="O332" s="1016" t="str">
        <f t="shared" si="359"/>
        <v/>
      </c>
      <c r="P332" s="1125" t="str">
        <f t="shared" si="360"/>
        <v/>
      </c>
      <c r="Q332" s="1016" t="str">
        <f t="shared" si="361"/>
        <v/>
      </c>
      <c r="R332" s="214" t="str">
        <f t="shared" si="362"/>
        <v/>
      </c>
      <c r="S332" s="1125" t="str">
        <f t="shared" si="363"/>
        <v/>
      </c>
      <c r="T332" s="236" t="str">
        <f t="shared" si="364"/>
        <v/>
      </c>
      <c r="W332" s="642" t="e">
        <f>INDEX('Vessel Gauging Data'!$B$26:$V$56,MATCH($C332,'Vessel Gauging Data'!$B$26:$B$56,0),$W$198)</f>
        <v>#N/A</v>
      </c>
      <c r="X332" s="642" t="e">
        <f>INDEX('Vessel Gauging Data'!$B$26:$V$56,MATCH($C332,'Vessel Gauging Data'!$B$26:$B$56,0),$X$198)</f>
        <v>#N/A</v>
      </c>
      <c r="Y332" s="642" t="e">
        <f>INDEX('Vessel Gauging Data'!$B$26:$V$56,MATCH($C332,'Vessel Gauging Data'!$B$26:$B$56,0),$Y$198)</f>
        <v>#N/A</v>
      </c>
      <c r="Z332" s="642" t="e">
        <f>INDEX('Vessel Gauging Data'!$B$26:$V$56,MATCH($C332,'Vessel Gauging Data'!$B$26:$B$56,0),$Z$198)</f>
        <v>#N/A</v>
      </c>
      <c r="AB332" s="642" t="e">
        <f>INDEX(API2DENST,MATCH($C332,'Vessel Gauging Data'!$B$27:$B$56,0),1)</f>
        <v>#N/A</v>
      </c>
      <c r="AC332" s="642" t="e">
        <f t="shared" si="339"/>
        <v>#N/A</v>
      </c>
      <c r="AE332" s="661" t="e">
        <f t="shared" si="340"/>
        <v>#VALUE!</v>
      </c>
      <c r="AF332" s="661" t="e">
        <f t="shared" si="341"/>
        <v>#VALUE!</v>
      </c>
      <c r="AH332" s="662" t="str">
        <f t="shared" si="327"/>
        <v/>
      </c>
      <c r="AI332" s="662" t="str">
        <f t="shared" si="328"/>
        <v/>
      </c>
      <c r="AJ332" s="663">
        <f t="shared" si="366"/>
        <v>192.4571</v>
      </c>
      <c r="AK332" s="660">
        <f t="shared" si="367"/>
        <v>0.24379999999999999</v>
      </c>
      <c r="AL332" s="660" t="e">
        <f t="shared" si="368"/>
        <v>#VALUE!</v>
      </c>
      <c r="AM332" s="664" t="e">
        <f t="shared" si="369"/>
        <v>#VALUE!</v>
      </c>
      <c r="AN332" s="664" t="e">
        <f t="shared" si="370"/>
        <v>#VALUE!</v>
      </c>
      <c r="AO332" s="665" t="e">
        <f t="shared" si="371"/>
        <v>#VALUE!</v>
      </c>
      <c r="AP332" s="666" t="e">
        <f t="shared" si="372"/>
        <v>#VALUE!</v>
      </c>
      <c r="AQ332" s="660" t="e">
        <f t="shared" si="373"/>
        <v>#VALUE!</v>
      </c>
      <c r="AR332" s="667" t="e">
        <f t="shared" si="374"/>
        <v>#VALUE!</v>
      </c>
      <c r="AS332" s="667" t="e">
        <f t="shared" si="375"/>
        <v>#VALUE!</v>
      </c>
      <c r="AT332" s="668" t="e">
        <f t="shared" si="376"/>
        <v>#VALUE!</v>
      </c>
      <c r="AU332" s="667" t="e">
        <f t="shared" si="377"/>
        <v>#VALUE!</v>
      </c>
      <c r="AV332" s="669" t="e">
        <f t="shared" si="378"/>
        <v>#VALUE!</v>
      </c>
      <c r="AW332" s="667" t="e">
        <f t="shared" si="379"/>
        <v>#VALUE!</v>
      </c>
      <c r="AX332" s="667" t="e">
        <f t="shared" si="380"/>
        <v>#VALUE!</v>
      </c>
      <c r="AY332" s="660" t="e">
        <f t="shared" si="381"/>
        <v>#VALUE!</v>
      </c>
      <c r="AZ332" s="670" t="e">
        <f t="shared" si="382"/>
        <v>#VALUE!</v>
      </c>
      <c r="BB332" s="662" t="e">
        <f>INDEX('Vessel Gauging Data'!$B$26:$V$56,MATCH($C332,'Vessel Gauging Data'!$B$26:$B$56,0),$BB$198)</f>
        <v>#N/A</v>
      </c>
      <c r="BC332" s="662" t="e">
        <f>INDEX('Vessel Gauging Data'!$B$26:$V$56,MATCH($C332,'Vessel Gauging Data'!$B$26:$B$56,0),$BC$198)</f>
        <v>#N/A</v>
      </c>
      <c r="BD332" s="662" t="e">
        <f>INDEX('Vessel Gauging Data'!$B$26:$V$56,MATCH($C332,'Vessel Gauging Data'!$B$26:$B$56,0),$BD$198)</f>
        <v>#N/A</v>
      </c>
      <c r="BE332" s="662" t="e">
        <f>INDEX('Vessel Gauging Data'!$B$26:$V$56,MATCH($C332,'Vessel Gauging Data'!$B$26:$B$56,0),$BE$198)</f>
        <v>#N/A</v>
      </c>
    </row>
    <row r="333" spans="1:57" hidden="1">
      <c r="A333" s="641" t="str">
        <f t="shared" si="365"/>
        <v>N</v>
      </c>
      <c r="C333" s="237" t="str">
        <f t="shared" si="330"/>
        <v/>
      </c>
      <c r="D333" s="238" t="str">
        <f t="shared" si="330"/>
        <v/>
      </c>
      <c r="E333" s="1017" t="str">
        <f t="shared" si="329"/>
        <v/>
      </c>
      <c r="F333" s="1017" t="str">
        <f t="shared" si="331"/>
        <v/>
      </c>
      <c r="G333" s="1017" t="str">
        <f t="shared" si="332"/>
        <v/>
      </c>
      <c r="H333" s="1017" t="str">
        <f t="shared" si="332"/>
        <v/>
      </c>
      <c r="I333" s="238" t="str">
        <f t="shared" si="333"/>
        <v/>
      </c>
      <c r="J333" s="1017" t="str">
        <f t="shared" si="334"/>
        <v/>
      </c>
      <c r="K333" s="240" t="str">
        <f t="shared" si="335"/>
        <v/>
      </c>
      <c r="L333" s="239" t="str">
        <f t="shared" si="336"/>
        <v/>
      </c>
      <c r="M333" s="1126" t="str">
        <f>IF(OR($C333="",$C333=0),"",INDEX(API2DENST,MATCH($C333,'Vessel Gauging Data'!$B$27:$B$56,0),$AA$1))</f>
        <v/>
      </c>
      <c r="N333" s="239" t="str">
        <f t="shared" si="337"/>
        <v/>
      </c>
      <c r="O333" s="1017" t="str">
        <f t="shared" si="359"/>
        <v/>
      </c>
      <c r="P333" s="1126" t="str">
        <f t="shared" si="360"/>
        <v/>
      </c>
      <c r="Q333" s="1017" t="str">
        <f t="shared" si="361"/>
        <v/>
      </c>
      <c r="R333" s="241" t="str">
        <f t="shared" si="362"/>
        <v/>
      </c>
      <c r="S333" s="1126" t="str">
        <f t="shared" si="363"/>
        <v/>
      </c>
      <c r="T333" s="242" t="str">
        <f t="shared" si="364"/>
        <v/>
      </c>
      <c r="W333" s="642" t="e">
        <f>INDEX('Vessel Gauging Data'!$B$26:$V$56,MATCH($C333,'Vessel Gauging Data'!$B$26:$B$56,0),$W$198)</f>
        <v>#N/A</v>
      </c>
      <c r="X333" s="642" t="e">
        <f>INDEX('Vessel Gauging Data'!$B$26:$V$56,MATCH($C333,'Vessel Gauging Data'!$B$26:$B$56,0),$X$198)</f>
        <v>#N/A</v>
      </c>
      <c r="Y333" s="642" t="e">
        <f>INDEX('Vessel Gauging Data'!$B$26:$V$56,MATCH($C333,'Vessel Gauging Data'!$B$26:$B$56,0),$Y$198)</f>
        <v>#N/A</v>
      </c>
      <c r="Z333" s="642" t="e">
        <f>INDEX('Vessel Gauging Data'!$B$26:$V$56,MATCH($C333,'Vessel Gauging Data'!$B$26:$B$56,0),$Z$198)</f>
        <v>#N/A</v>
      </c>
      <c r="AB333" s="642" t="e">
        <f>INDEX(API2DENST,MATCH($C333,'Vessel Gauging Data'!$B$27:$B$56,0),1)</f>
        <v>#N/A</v>
      </c>
      <c r="AC333" s="642" t="e">
        <f t="shared" si="339"/>
        <v>#N/A</v>
      </c>
      <c r="AE333" s="661" t="e">
        <f t="shared" si="340"/>
        <v>#VALUE!</v>
      </c>
      <c r="AF333" s="661" t="e">
        <f t="shared" si="341"/>
        <v>#VALUE!</v>
      </c>
      <c r="AH333" s="662" t="str">
        <f t="shared" si="327"/>
        <v/>
      </c>
      <c r="AI333" s="662" t="str">
        <f t="shared" si="328"/>
        <v/>
      </c>
      <c r="AJ333" s="663">
        <f t="shared" si="366"/>
        <v>192.4571</v>
      </c>
      <c r="AK333" s="660">
        <f t="shared" si="367"/>
        <v>0.24379999999999999</v>
      </c>
      <c r="AL333" s="660" t="e">
        <f t="shared" si="368"/>
        <v>#VALUE!</v>
      </c>
      <c r="AM333" s="664" t="e">
        <f t="shared" si="369"/>
        <v>#VALUE!</v>
      </c>
      <c r="AN333" s="664" t="e">
        <f t="shared" si="370"/>
        <v>#VALUE!</v>
      </c>
      <c r="AO333" s="665" t="e">
        <f t="shared" si="371"/>
        <v>#VALUE!</v>
      </c>
      <c r="AP333" s="666" t="e">
        <f t="shared" si="372"/>
        <v>#VALUE!</v>
      </c>
      <c r="AQ333" s="660" t="e">
        <f t="shared" si="373"/>
        <v>#VALUE!</v>
      </c>
      <c r="AR333" s="667" t="e">
        <f t="shared" si="374"/>
        <v>#VALUE!</v>
      </c>
      <c r="AS333" s="667" t="e">
        <f t="shared" si="375"/>
        <v>#VALUE!</v>
      </c>
      <c r="AT333" s="668" t="e">
        <f t="shared" si="376"/>
        <v>#VALUE!</v>
      </c>
      <c r="AU333" s="667" t="e">
        <f t="shared" si="377"/>
        <v>#VALUE!</v>
      </c>
      <c r="AV333" s="669" t="e">
        <f t="shared" si="378"/>
        <v>#VALUE!</v>
      </c>
      <c r="AW333" s="667" t="e">
        <f t="shared" si="379"/>
        <v>#VALUE!</v>
      </c>
      <c r="AX333" s="667" t="e">
        <f t="shared" si="380"/>
        <v>#VALUE!</v>
      </c>
      <c r="AY333" s="660" t="e">
        <f t="shared" si="381"/>
        <v>#VALUE!</v>
      </c>
      <c r="AZ333" s="670" t="e">
        <f t="shared" si="382"/>
        <v>#VALUE!</v>
      </c>
      <c r="BB333" s="662" t="e">
        <f>INDEX('Vessel Gauging Data'!$B$26:$V$56,MATCH($C333,'Vessel Gauging Data'!$B$26:$B$56,0),$BB$198)</f>
        <v>#N/A</v>
      </c>
      <c r="BC333" s="662" t="e">
        <f>INDEX('Vessel Gauging Data'!$B$26:$V$56,MATCH($C333,'Vessel Gauging Data'!$B$26:$B$56,0),$BC$198)</f>
        <v>#N/A</v>
      </c>
      <c r="BD333" s="662" t="e">
        <f>INDEX('Vessel Gauging Data'!$B$26:$V$56,MATCH($C333,'Vessel Gauging Data'!$B$26:$B$56,0),$BD$198)</f>
        <v>#N/A</v>
      </c>
      <c r="BE333" s="662" t="e">
        <f>INDEX('Vessel Gauging Data'!$B$26:$V$56,MATCH($C333,'Vessel Gauging Data'!$B$26:$B$56,0),$BE$198)</f>
        <v>#N/A</v>
      </c>
    </row>
    <row r="334" spans="1:57">
      <c r="A334" s="641" t="str">
        <f t="shared" si="365"/>
        <v>Y</v>
      </c>
      <c r="C334" s="671"/>
      <c r="D334" s="671"/>
      <c r="E334" s="672"/>
      <c r="F334" s="672"/>
      <c r="G334" s="672"/>
      <c r="H334" s="1501"/>
      <c r="I334" s="671"/>
      <c r="J334" s="672"/>
      <c r="K334" s="673"/>
      <c r="L334" s="672"/>
      <c r="M334" s="674"/>
      <c r="N334" s="672"/>
      <c r="O334" s="672"/>
      <c r="P334" s="1127"/>
      <c r="Q334" s="672"/>
      <c r="R334" s="675"/>
      <c r="S334" s="1137" t="s">
        <v>401</v>
      </c>
      <c r="T334" s="619">
        <f>SUM(T314:T333)</f>
        <v>40.143999999999998</v>
      </c>
      <c r="V334" s="676"/>
      <c r="W334" s="719"/>
      <c r="X334" s="719"/>
      <c r="Y334" s="719"/>
      <c r="Z334" s="719"/>
      <c r="AA334" s="676"/>
      <c r="AB334" s="719"/>
      <c r="AC334" s="719"/>
      <c r="AD334" s="676"/>
      <c r="AE334" s="720"/>
      <c r="AF334" s="720"/>
      <c r="AG334" s="676"/>
      <c r="AH334" s="721"/>
      <c r="AI334" s="721"/>
      <c r="AJ334" s="722"/>
      <c r="AK334" s="723"/>
      <c r="AL334" s="723"/>
      <c r="AM334" s="724"/>
      <c r="AN334" s="724"/>
      <c r="AO334" s="725"/>
      <c r="AP334" s="726"/>
      <c r="AQ334" s="723"/>
      <c r="AR334" s="727"/>
      <c r="AS334" s="727"/>
      <c r="AT334" s="728"/>
      <c r="AU334" s="727"/>
      <c r="AV334" s="729"/>
      <c r="AW334" s="727"/>
      <c r="AX334" s="727"/>
      <c r="AY334" s="723"/>
      <c r="AZ334" s="730"/>
      <c r="BA334" s="676"/>
      <c r="BB334" s="721"/>
      <c r="BC334" s="721"/>
      <c r="BD334" s="721"/>
      <c r="BE334" s="721"/>
    </row>
    <row r="335" spans="1:57" s="702" customFormat="1" ht="5.25">
      <c r="A335" s="702" t="str">
        <f t="shared" si="365"/>
        <v>Y</v>
      </c>
      <c r="C335" s="704"/>
      <c r="D335" s="704"/>
      <c r="E335" s="704"/>
      <c r="F335" s="704"/>
      <c r="G335" s="704"/>
      <c r="H335" s="704"/>
      <c r="I335" s="704"/>
      <c r="J335" s="705"/>
      <c r="K335" s="705"/>
      <c r="L335" s="705"/>
      <c r="M335" s="705"/>
      <c r="N335" s="705"/>
      <c r="O335" s="705"/>
      <c r="P335" s="1128"/>
      <c r="Q335" s="705"/>
      <c r="R335" s="705"/>
      <c r="S335" s="1136"/>
      <c r="T335" s="706"/>
      <c r="V335" s="707"/>
      <c r="W335" s="707"/>
      <c r="X335" s="707"/>
      <c r="Y335" s="707"/>
      <c r="Z335" s="707"/>
      <c r="AA335" s="707"/>
      <c r="AB335" s="707"/>
      <c r="AC335" s="707"/>
      <c r="AD335" s="707"/>
      <c r="AE335" s="708"/>
      <c r="AF335" s="708"/>
      <c r="AG335" s="707"/>
      <c r="AH335" s="709"/>
      <c r="AI335" s="709"/>
      <c r="AJ335" s="710"/>
      <c r="AK335" s="711"/>
      <c r="AL335" s="711"/>
      <c r="AM335" s="712"/>
      <c r="AN335" s="712"/>
      <c r="AO335" s="713"/>
      <c r="AP335" s="714"/>
      <c r="AQ335" s="711"/>
      <c r="AR335" s="715"/>
      <c r="AS335" s="715"/>
      <c r="AT335" s="716"/>
      <c r="AU335" s="715"/>
      <c r="AV335" s="717"/>
      <c r="AW335" s="715"/>
      <c r="AX335" s="715"/>
      <c r="AY335" s="711"/>
      <c r="AZ335" s="718"/>
      <c r="BA335" s="707"/>
      <c r="BB335" s="709"/>
      <c r="BC335" s="709"/>
      <c r="BD335" s="709"/>
      <c r="BE335" s="709"/>
    </row>
    <row r="336" spans="1:57" ht="15.75">
      <c r="A336" s="641" t="str">
        <f t="shared" si="365"/>
        <v>Y</v>
      </c>
      <c r="C336" s="2802" t="s">
        <v>162</v>
      </c>
      <c r="D336" s="2803"/>
      <c r="E336" s="2804" t="str">
        <f t="shared" ref="E336:E366" si="383">E159</f>
        <v>(Distillates)</v>
      </c>
      <c r="F336" s="2805"/>
      <c r="G336" s="2805"/>
      <c r="H336" s="2805"/>
      <c r="I336" s="2806"/>
      <c r="J336" s="698"/>
      <c r="K336" s="699"/>
      <c r="L336" s="700"/>
      <c r="M336" s="699"/>
      <c r="N336" s="699"/>
      <c r="O336" s="700"/>
      <c r="P336" s="1129"/>
      <c r="Q336" s="700"/>
      <c r="R336" s="703"/>
      <c r="S336" s="1129"/>
      <c r="T336" s="703"/>
      <c r="V336" s="676"/>
      <c r="W336" s="731"/>
      <c r="X336" s="731"/>
      <c r="Y336" s="731"/>
      <c r="Z336" s="731"/>
      <c r="AA336" s="676"/>
      <c r="AB336" s="731"/>
      <c r="AC336" s="731"/>
      <c r="AD336" s="676"/>
      <c r="AE336" s="732"/>
      <c r="AF336" s="732"/>
      <c r="AG336" s="676"/>
      <c r="AH336" s="733"/>
      <c r="AI336" s="733"/>
      <c r="AJ336" s="734"/>
      <c r="AK336" s="735"/>
      <c r="AL336" s="735"/>
      <c r="AM336" s="736"/>
      <c r="AN336" s="736"/>
      <c r="AO336" s="737"/>
      <c r="AP336" s="738"/>
      <c r="AQ336" s="735"/>
      <c r="AR336" s="739"/>
      <c r="AS336" s="739"/>
      <c r="AT336" s="740"/>
      <c r="AU336" s="739"/>
      <c r="AV336" s="741"/>
      <c r="AW336" s="739"/>
      <c r="AX336" s="739"/>
      <c r="AY336" s="735"/>
      <c r="AZ336" s="742"/>
      <c r="BA336" s="676"/>
      <c r="BB336" s="733"/>
      <c r="BC336" s="733"/>
      <c r="BD336" s="733"/>
      <c r="BE336" s="733"/>
    </row>
    <row r="337" spans="1:57">
      <c r="A337" s="641" t="str">
        <f t="shared" si="365"/>
        <v>Y</v>
      </c>
      <c r="C337" s="622" t="str">
        <f t="shared" ref="C337:D366" si="384">C160</f>
        <v>DO P</v>
      </c>
      <c r="D337" s="623" t="str">
        <f t="shared" si="384"/>
        <v>LSMGO</v>
      </c>
      <c r="E337" s="1018">
        <f t="shared" si="383"/>
        <v>2.46</v>
      </c>
      <c r="F337" s="1018">
        <f t="shared" ref="F337:F366" si="385">IF(ISERROR(W337),"",IF(OR($C337="",$C337=0),"",IF(ISTEXT(W337),W337,IF($AB$1=1,W337*UNITOR_1,INT(W337*UNITOR_1)&amp;"'-"&amp;TRIM(TEXT(ROUND(MOD(W337*UNITOR_1,1)*12,1),"# ???/???"))&amp;""""))))</f>
        <v>2.46</v>
      </c>
      <c r="G337" s="1018">
        <f t="shared" ref="G337:H366" si="386">IF(ISERROR(X337),"",IF(OR($C337="",$C337=0),"",IF(ISTEXT(X337),X337,IF($AB$1=1,X337*UNITOR_1,INT(X337*UNITOR_1)&amp;"'-"&amp;TRIM(TEXT(ROUND(MOD(X337*UNITOR_1,1)*12,1),"# ???/???"))&amp;""""))))</f>
        <v>2.02</v>
      </c>
      <c r="H337" s="1018">
        <f t="shared" si="386"/>
        <v>2.02</v>
      </c>
      <c r="I337" s="623" t="str">
        <f t="shared" ref="I337:I366" si="387">IF(ISERROR($BB337),"",IF(OR($C337="",$C337=0,$BB337=0),"",$BB337))</f>
        <v>S</v>
      </c>
      <c r="J337" s="1018">
        <f t="shared" ref="J337:J366" si="388">IF(ISERROR($BC337),"",IF(OR($C337="",$C337=0,$BC337=""),"",IF(ISTEXT($BC337),$BC337,$BC337*IF($AA$1=B1SEL,1,IF($AA$1=2,FBBLS,1/FBBLS)))))</f>
        <v>85</v>
      </c>
      <c r="K337" s="625">
        <f t="shared" ref="K337:K366" si="389">IF(ISERROR($BD337),"",IF(OR($C337="",$C337=0,$BD337=""),0,IF(ISTEXT($BD337),$BD337,$BD337*IF($AB$1=W1SEL,1,IF($AB$1=2,FINCH,1/FINCH)))))</f>
        <v>0</v>
      </c>
      <c r="L337" s="624">
        <f t="shared" ref="L337:L366" si="390">IF(ISERROR($BE337),"",IF(OR($C337="",$C337=0,$BE337=""),0,IF(ISTEXT($BE337),$BE337,$BE337*IF($AA$1=B1SEL,1,IF($AA$1=2,FBBLS,1/FBBLS)))))</f>
        <v>0</v>
      </c>
      <c r="M337" s="1124">
        <f>IF(OR($C337="",$C337=0),"",INDEX(API2DENST,MATCH($C337,'Vessel Gauging Data'!$B$27:$B$56,0),$AA$1))</f>
        <v>0.83789999999999998</v>
      </c>
      <c r="N337" s="624">
        <f t="shared" ref="N337:N366" si="391">IF(ISERROR(Z337),"",IF(OR($C337="",$C337=0,Z337=""),"",IF(ISTEXT(Z337),Z337,IF($AA$1=T1SEL,Z337,IF($AA$1=2,(Z337*9/5)+32,(Z337-32)*5/9)))))</f>
        <v>38</v>
      </c>
      <c r="O337" s="1018">
        <f t="shared" ref="O337:O366" si="392">IF(OR(J337="",L337=""),"",IF(ISTEXT(J337),"N/A",IF(ISTEXT(L337),J337,J337-L337)))</f>
        <v>85</v>
      </c>
      <c r="P337" s="1124">
        <f t="shared" ref="P337:P366" si="393">IF(OR(M337="",N337=""),"",IF(OR(ISTEXT(M337),ISTEXT(N337)),"N/A",IF($AA$1=1,ROUND(EXP(-AF337*(N337-15)*(1+0.8*AF337*(N337-15))),5),AZ337)))</f>
        <v>0.98041999999999996</v>
      </c>
      <c r="Q337" s="1018">
        <f t="shared" ref="Q337:Q366" si="394">IF(OR(M337="",N337=""),"",IF(OR(ISTEXT(M337),ISTEXT(N337)),"N/A",ROUND(O337*P337,3)))</f>
        <v>83.335999999999999</v>
      </c>
      <c r="R337" s="626">
        <f t="shared" ref="R337:R366" si="395">IF(M337="","",IF($AA$1=1,IF(ISTEXT(Q337),"N/A",ROUND(Q337*M337,3)),IF(ISTEXT(T337),"N/A",ROUND(T337*AC337,3))))</f>
        <v>69.826999999999998</v>
      </c>
      <c r="S337" s="1124">
        <f t="shared" ref="S337:S366" si="396">IF(M337="","",IF($AA$1=1,ROUND(M337-0.0011,5),ROUND((1.00122697*(141.5/(M337+131.5))-1.22269727*10^-3)*8.32823*42/2204.62,5+2)))</f>
        <v>0.83679999999999999</v>
      </c>
      <c r="T337" s="627">
        <f t="shared" ref="T337:T366" si="397">IF(OR(M337="",N337=""),"",IF(ISTEXT(Q337),"N/A",IF($AA$1=1,ROUND((Q337*(M337-0.0011)),3),ROUND(Q337*S337,3))))</f>
        <v>69.736000000000004</v>
      </c>
      <c r="W337" s="642">
        <f>INDEX('Vessel Gauging Data'!$B$26:$V$56,MATCH($C337,'Vessel Gauging Data'!$B$26:$B$56,0),$W$198)</f>
        <v>2.46</v>
      </c>
      <c r="X337" s="642">
        <f>INDEX('Vessel Gauging Data'!$B$26:$V$56,MATCH($C337,'Vessel Gauging Data'!$B$26:$B$56,0),$X$198)</f>
        <v>2.02</v>
      </c>
      <c r="Y337" s="642">
        <f>INDEX('Vessel Gauging Data'!$B$26:$V$56,MATCH($C337,'Vessel Gauging Data'!$B$26:$B$56,0),$Y$198)</f>
        <v>2.02</v>
      </c>
      <c r="Z337" s="642">
        <f>INDEX('Vessel Gauging Data'!$B$26:$V$56,MATCH($C337,'Vessel Gauging Data'!$B$26:$B$56,0),$Z$198)</f>
        <v>38</v>
      </c>
      <c r="AB337" s="642">
        <f>INDEX(API2DENST,MATCH($C337,'Vessel Gauging Data'!$B$27:$B$56,0),1)</f>
        <v>0.83789999999999998</v>
      </c>
      <c r="AC337" s="642">
        <f t="shared" si="339"/>
        <v>1.00135</v>
      </c>
      <c r="AE337" s="661">
        <f t="shared" si="340"/>
        <v>838</v>
      </c>
      <c r="AF337" s="661">
        <f t="shared" si="341"/>
        <v>8.4643999999999995E-4</v>
      </c>
      <c r="AH337" s="662">
        <f t="shared" si="327"/>
        <v>38</v>
      </c>
      <c r="AI337" s="662">
        <f t="shared" si="328"/>
        <v>0.83789999999999998</v>
      </c>
      <c r="AJ337" s="663">
        <f t="shared" si="366"/>
        <v>103.872</v>
      </c>
      <c r="AK337" s="660">
        <f t="shared" si="367"/>
        <v>0.27010000000000001</v>
      </c>
      <c r="AL337" s="660">
        <f t="shared" si="368"/>
        <v>1068.18</v>
      </c>
      <c r="AM337" s="664">
        <f t="shared" si="369"/>
        <v>9.7242029999999993E-2</v>
      </c>
      <c r="AN337" s="664">
        <f t="shared" si="370"/>
        <v>9.1035199999999999E-5</v>
      </c>
      <c r="AO337" s="665">
        <f t="shared" si="371"/>
        <v>2.5285999999999999E-4</v>
      </c>
      <c r="AP337" s="666">
        <f t="shared" si="372"/>
        <v>3.4390000000000001E-4</v>
      </c>
      <c r="AQ337" s="660">
        <f t="shared" si="373"/>
        <v>-22</v>
      </c>
      <c r="AR337" s="667">
        <f t="shared" si="374"/>
        <v>-7.5658000000000001E-3</v>
      </c>
      <c r="AS337" s="667">
        <f t="shared" si="375"/>
        <v>-6.0526399999999998E-3</v>
      </c>
      <c r="AT337" s="668">
        <f t="shared" si="376"/>
        <v>4.579E-5</v>
      </c>
      <c r="AU337" s="667">
        <f t="shared" si="377"/>
        <v>7.5200099999999997E-3</v>
      </c>
      <c r="AV337" s="669">
        <f t="shared" si="378"/>
        <v>2.5000000000000001E-4</v>
      </c>
      <c r="AW337" s="667">
        <f t="shared" si="379"/>
        <v>2.2999999999999999E-7</v>
      </c>
      <c r="AX337" s="667">
        <f t="shared" si="380"/>
        <v>103.87200023</v>
      </c>
      <c r="AY337" s="660">
        <f t="shared" si="381"/>
        <v>3.4390000000000001E-4</v>
      </c>
      <c r="AZ337" s="670">
        <f t="shared" si="382"/>
        <v>1.0075499999999999</v>
      </c>
      <c r="BB337" s="662" t="str">
        <f>INDEX('Vessel Gauging Data'!$B$26:$V$56,MATCH($C337,'Vessel Gauging Data'!$B$26:$B$56,0),$BB$198)</f>
        <v>S</v>
      </c>
      <c r="BC337" s="662">
        <f>INDEX('Vessel Gauging Data'!$B$26:$V$56,MATCH($C337,'Vessel Gauging Data'!$B$26:$B$56,0),$BC$198)</f>
        <v>85</v>
      </c>
      <c r="BD337" s="662">
        <f>INDEX('Vessel Gauging Data'!$B$26:$V$56,MATCH($C337,'Vessel Gauging Data'!$B$26:$B$56,0),$BD$198)</f>
        <v>0</v>
      </c>
      <c r="BE337" s="662">
        <f>INDEX('Vessel Gauging Data'!$B$26:$V$56,MATCH($C337,'Vessel Gauging Data'!$B$26:$B$56,0),$BE$198)</f>
        <v>0</v>
      </c>
    </row>
    <row r="338" spans="1:57">
      <c r="A338" s="641" t="str">
        <f t="shared" si="365"/>
        <v>Y</v>
      </c>
      <c r="C338" s="235" t="str">
        <f t="shared" si="384"/>
        <v>DO S</v>
      </c>
      <c r="D338" s="211" t="str">
        <f t="shared" si="384"/>
        <v>LSMGO</v>
      </c>
      <c r="E338" s="1016">
        <f t="shared" si="383"/>
        <v>2.46</v>
      </c>
      <c r="F338" s="1016">
        <f t="shared" si="385"/>
        <v>2.46</v>
      </c>
      <c r="G338" s="1016">
        <f t="shared" si="386"/>
        <v>0.97</v>
      </c>
      <c r="H338" s="1016">
        <f t="shared" si="386"/>
        <v>0.97</v>
      </c>
      <c r="I338" s="211" t="str">
        <f t="shared" si="387"/>
        <v>S</v>
      </c>
      <c r="J338" s="1016">
        <f t="shared" si="388"/>
        <v>34.700000000000003</v>
      </c>
      <c r="K338" s="213">
        <f t="shared" si="389"/>
        <v>0</v>
      </c>
      <c r="L338" s="212">
        <f t="shared" si="390"/>
        <v>0</v>
      </c>
      <c r="M338" s="1125">
        <f>IF(OR($C338="",$C338=0),"",INDEX(API2DENST,MATCH($C338,'Vessel Gauging Data'!$B$27:$B$56,0),$AA$1))</f>
        <v>0.83789999999999998</v>
      </c>
      <c r="N338" s="212">
        <f t="shared" si="391"/>
        <v>38</v>
      </c>
      <c r="O338" s="1016">
        <f t="shared" si="392"/>
        <v>34.700000000000003</v>
      </c>
      <c r="P338" s="1125">
        <f t="shared" si="393"/>
        <v>0.98041999999999996</v>
      </c>
      <c r="Q338" s="1016">
        <f t="shared" si="394"/>
        <v>34.021000000000001</v>
      </c>
      <c r="R338" s="214">
        <f t="shared" si="395"/>
        <v>28.506</v>
      </c>
      <c r="S338" s="1125">
        <f t="shared" si="396"/>
        <v>0.83679999999999999</v>
      </c>
      <c r="T338" s="236">
        <f t="shared" si="397"/>
        <v>28.469000000000001</v>
      </c>
      <c r="W338" s="642">
        <f>INDEX('Vessel Gauging Data'!$B$26:$V$56,MATCH($C338,'Vessel Gauging Data'!$B$26:$B$56,0),$W$198)</f>
        <v>2.46</v>
      </c>
      <c r="X338" s="642">
        <f>INDEX('Vessel Gauging Data'!$B$26:$V$56,MATCH($C338,'Vessel Gauging Data'!$B$26:$B$56,0),$X$198)</f>
        <v>0.97</v>
      </c>
      <c r="Y338" s="642">
        <f>INDEX('Vessel Gauging Data'!$B$26:$V$56,MATCH($C338,'Vessel Gauging Data'!$B$26:$B$56,0),$Y$198)</f>
        <v>0.97</v>
      </c>
      <c r="Z338" s="642">
        <f>INDEX('Vessel Gauging Data'!$B$26:$V$56,MATCH($C338,'Vessel Gauging Data'!$B$26:$B$56,0),$Z$198)</f>
        <v>38</v>
      </c>
      <c r="AB338" s="642">
        <f>INDEX(API2DENST,MATCH($C338,'Vessel Gauging Data'!$B$27:$B$56,0),1)</f>
        <v>0.83789999999999998</v>
      </c>
      <c r="AC338" s="642">
        <f t="shared" si="339"/>
        <v>1.00135</v>
      </c>
      <c r="AE338" s="661">
        <f t="shared" si="340"/>
        <v>838</v>
      </c>
      <c r="AF338" s="661">
        <f t="shared" si="341"/>
        <v>8.4643999999999995E-4</v>
      </c>
      <c r="AH338" s="662">
        <f t="shared" si="327"/>
        <v>38</v>
      </c>
      <c r="AI338" s="662">
        <f t="shared" si="328"/>
        <v>0.83789999999999998</v>
      </c>
      <c r="AJ338" s="663">
        <f t="shared" si="366"/>
        <v>103.872</v>
      </c>
      <c r="AK338" s="660">
        <f t="shared" si="367"/>
        <v>0.27010000000000001</v>
      </c>
      <c r="AL338" s="660">
        <f t="shared" si="368"/>
        <v>1068.18</v>
      </c>
      <c r="AM338" s="664">
        <f t="shared" si="369"/>
        <v>9.7242029999999993E-2</v>
      </c>
      <c r="AN338" s="664">
        <f t="shared" si="370"/>
        <v>9.1035199999999999E-5</v>
      </c>
      <c r="AO338" s="665">
        <f t="shared" si="371"/>
        <v>2.5285999999999999E-4</v>
      </c>
      <c r="AP338" s="666">
        <f t="shared" si="372"/>
        <v>3.4390000000000001E-4</v>
      </c>
      <c r="AQ338" s="660">
        <f t="shared" si="373"/>
        <v>-22</v>
      </c>
      <c r="AR338" s="667">
        <f t="shared" si="374"/>
        <v>-7.5658000000000001E-3</v>
      </c>
      <c r="AS338" s="667">
        <f t="shared" si="375"/>
        <v>-6.0526399999999998E-3</v>
      </c>
      <c r="AT338" s="668">
        <f t="shared" si="376"/>
        <v>4.579E-5</v>
      </c>
      <c r="AU338" s="667">
        <f t="shared" si="377"/>
        <v>7.5200099999999997E-3</v>
      </c>
      <c r="AV338" s="669">
        <f t="shared" si="378"/>
        <v>2.5000000000000001E-4</v>
      </c>
      <c r="AW338" s="667">
        <f t="shared" si="379"/>
        <v>2.2999999999999999E-7</v>
      </c>
      <c r="AX338" s="667">
        <f t="shared" si="380"/>
        <v>103.87200023</v>
      </c>
      <c r="AY338" s="660">
        <f t="shared" si="381"/>
        <v>3.4390000000000001E-4</v>
      </c>
      <c r="AZ338" s="670">
        <f t="shared" si="382"/>
        <v>1.0075499999999999</v>
      </c>
      <c r="BB338" s="662" t="str">
        <f>INDEX('Vessel Gauging Data'!$B$26:$V$56,MATCH($C338,'Vessel Gauging Data'!$B$26:$B$56,0),$BB$198)</f>
        <v>S</v>
      </c>
      <c r="BC338" s="662">
        <f>INDEX('Vessel Gauging Data'!$B$26:$V$56,MATCH($C338,'Vessel Gauging Data'!$B$26:$B$56,0),$BC$198)</f>
        <v>34.700000000000003</v>
      </c>
      <c r="BD338" s="662">
        <f>INDEX('Vessel Gauging Data'!$B$26:$V$56,MATCH($C338,'Vessel Gauging Data'!$B$26:$B$56,0),$BD$198)</f>
        <v>0</v>
      </c>
      <c r="BE338" s="662">
        <f>INDEX('Vessel Gauging Data'!$B$26:$V$56,MATCH($C338,'Vessel Gauging Data'!$B$26:$B$56,0),$BE$198)</f>
        <v>0</v>
      </c>
    </row>
    <row r="339" spans="1:57">
      <c r="A339" s="641" t="str">
        <f t="shared" si="365"/>
        <v>Y</v>
      </c>
      <c r="C339" s="235" t="str">
        <f t="shared" si="384"/>
        <v>DO SERV</v>
      </c>
      <c r="D339" s="211" t="str">
        <f t="shared" si="384"/>
        <v>LSMGO</v>
      </c>
      <c r="E339" s="1016" t="str">
        <f t="shared" si="383"/>
        <v>GAUGE</v>
      </c>
      <c r="F339" s="1016" t="str">
        <f t="shared" si="385"/>
        <v>GAUGE</v>
      </c>
      <c r="G339" s="1016" t="str">
        <f t="shared" si="386"/>
        <v>GAUGE</v>
      </c>
      <c r="H339" s="1016" t="str">
        <f t="shared" si="386"/>
        <v>GAUGE</v>
      </c>
      <c r="I339" s="211" t="str">
        <f t="shared" si="387"/>
        <v>G</v>
      </c>
      <c r="J339" s="1016">
        <f t="shared" si="388"/>
        <v>14.5</v>
      </c>
      <c r="K339" s="213">
        <f t="shared" si="389"/>
        <v>0</v>
      </c>
      <c r="L339" s="212">
        <f t="shared" si="390"/>
        <v>0</v>
      </c>
      <c r="M339" s="1125">
        <f>IF(OR($C339="",$C339=0),"",INDEX(API2DENST,MATCH($C339,'Vessel Gauging Data'!$B$27:$B$56,0),$AA$1))</f>
        <v>0.83789999999999998</v>
      </c>
      <c r="N339" s="212">
        <f t="shared" si="391"/>
        <v>38</v>
      </c>
      <c r="O339" s="1016">
        <f t="shared" si="392"/>
        <v>14.5</v>
      </c>
      <c r="P339" s="1125">
        <f t="shared" si="393"/>
        <v>0.98041999999999996</v>
      </c>
      <c r="Q339" s="1016">
        <f t="shared" si="394"/>
        <v>14.215999999999999</v>
      </c>
      <c r="R339" s="214">
        <f t="shared" si="395"/>
        <v>11.912000000000001</v>
      </c>
      <c r="S339" s="1125">
        <f t="shared" si="396"/>
        <v>0.83679999999999999</v>
      </c>
      <c r="T339" s="236">
        <f t="shared" si="397"/>
        <v>11.896000000000001</v>
      </c>
      <c r="W339" s="642" t="str">
        <f>INDEX('Vessel Gauging Data'!$B$26:$V$56,MATCH($C339,'Vessel Gauging Data'!$B$26:$B$56,0),$W$198)</f>
        <v>GAUGE</v>
      </c>
      <c r="X339" s="642" t="str">
        <f>INDEX('Vessel Gauging Data'!$B$26:$V$56,MATCH($C339,'Vessel Gauging Data'!$B$26:$B$56,0),$X$198)</f>
        <v>GAUGE</v>
      </c>
      <c r="Y339" s="642" t="str">
        <f>INDEX('Vessel Gauging Data'!$B$26:$V$56,MATCH($C339,'Vessel Gauging Data'!$B$26:$B$56,0),$Y$198)</f>
        <v>GAUGE</v>
      </c>
      <c r="Z339" s="642">
        <f>INDEX('Vessel Gauging Data'!$B$26:$V$56,MATCH($C339,'Vessel Gauging Data'!$B$26:$B$56,0),$Z$198)</f>
        <v>38</v>
      </c>
      <c r="AB339" s="642">
        <f>INDEX(API2DENST,MATCH($C339,'Vessel Gauging Data'!$B$27:$B$56,0),1)</f>
        <v>0.83789999999999998</v>
      </c>
      <c r="AC339" s="642">
        <f t="shared" si="339"/>
        <v>1.00135</v>
      </c>
      <c r="AE339" s="661">
        <f t="shared" si="340"/>
        <v>838</v>
      </c>
      <c r="AF339" s="661">
        <f t="shared" si="341"/>
        <v>8.4643999999999995E-4</v>
      </c>
      <c r="AH339" s="662">
        <f t="shared" si="327"/>
        <v>38</v>
      </c>
      <c r="AI339" s="662">
        <f t="shared" si="328"/>
        <v>0.83789999999999998</v>
      </c>
      <c r="AJ339" s="663">
        <f t="shared" si="366"/>
        <v>103.872</v>
      </c>
      <c r="AK339" s="660">
        <f t="shared" si="367"/>
        <v>0.27010000000000001</v>
      </c>
      <c r="AL339" s="660">
        <f t="shared" si="368"/>
        <v>1068.18</v>
      </c>
      <c r="AM339" s="664">
        <f t="shared" si="369"/>
        <v>9.7242029999999993E-2</v>
      </c>
      <c r="AN339" s="664">
        <f t="shared" si="370"/>
        <v>9.1035199999999999E-5</v>
      </c>
      <c r="AO339" s="665">
        <f t="shared" si="371"/>
        <v>2.5285999999999999E-4</v>
      </c>
      <c r="AP339" s="666">
        <f t="shared" si="372"/>
        <v>3.4390000000000001E-4</v>
      </c>
      <c r="AQ339" s="660">
        <f t="shared" si="373"/>
        <v>-22</v>
      </c>
      <c r="AR339" s="667">
        <f t="shared" si="374"/>
        <v>-7.5658000000000001E-3</v>
      </c>
      <c r="AS339" s="667">
        <f t="shared" si="375"/>
        <v>-6.0526399999999998E-3</v>
      </c>
      <c r="AT339" s="668">
        <f t="shared" si="376"/>
        <v>4.579E-5</v>
      </c>
      <c r="AU339" s="667">
        <f t="shared" si="377"/>
        <v>7.5200099999999997E-3</v>
      </c>
      <c r="AV339" s="669">
        <f t="shared" si="378"/>
        <v>2.5000000000000001E-4</v>
      </c>
      <c r="AW339" s="667">
        <f t="shared" si="379"/>
        <v>2.2999999999999999E-7</v>
      </c>
      <c r="AX339" s="667">
        <f t="shared" si="380"/>
        <v>103.87200023</v>
      </c>
      <c r="AY339" s="660">
        <f t="shared" si="381"/>
        <v>3.4390000000000001E-4</v>
      </c>
      <c r="AZ339" s="670">
        <f t="shared" si="382"/>
        <v>1.0075499999999999</v>
      </c>
      <c r="BB339" s="662" t="str">
        <f>INDEX('Vessel Gauging Data'!$B$26:$V$56,MATCH($C339,'Vessel Gauging Data'!$B$26:$B$56,0),$BB$198)</f>
        <v>G</v>
      </c>
      <c r="BC339" s="662">
        <f>INDEX('Vessel Gauging Data'!$B$26:$V$56,MATCH($C339,'Vessel Gauging Data'!$B$26:$B$56,0),$BC$198)</f>
        <v>14.5</v>
      </c>
      <c r="BD339" s="662">
        <f>INDEX('Vessel Gauging Data'!$B$26:$V$56,MATCH($C339,'Vessel Gauging Data'!$B$26:$B$56,0),$BD$198)</f>
        <v>0</v>
      </c>
      <c r="BE339" s="662">
        <f>INDEX('Vessel Gauging Data'!$B$26:$V$56,MATCH($C339,'Vessel Gauging Data'!$B$26:$B$56,0),$BE$198)</f>
        <v>0</v>
      </c>
    </row>
    <row r="340" spans="1:57">
      <c r="A340" s="641" t="str">
        <f t="shared" si="365"/>
        <v>Y</v>
      </c>
      <c r="C340" s="235" t="str">
        <f t="shared" si="384"/>
        <v>DO SETT</v>
      </c>
      <c r="D340" s="211" t="str">
        <f t="shared" si="384"/>
        <v>LSMGO</v>
      </c>
      <c r="E340" s="1016" t="str">
        <f t="shared" si="383"/>
        <v>GAUGE</v>
      </c>
      <c r="F340" s="1016" t="str">
        <f t="shared" si="385"/>
        <v>GAUGE</v>
      </c>
      <c r="G340" s="1016" t="str">
        <f t="shared" si="386"/>
        <v>GAUGE</v>
      </c>
      <c r="H340" s="1016" t="str">
        <f t="shared" si="386"/>
        <v>GAUGE</v>
      </c>
      <c r="I340" s="211" t="str">
        <f t="shared" si="387"/>
        <v>G</v>
      </c>
      <c r="J340" s="1016">
        <f t="shared" si="388"/>
        <v>6.5</v>
      </c>
      <c r="K340" s="213">
        <f t="shared" si="389"/>
        <v>0</v>
      </c>
      <c r="L340" s="212">
        <f t="shared" si="390"/>
        <v>0</v>
      </c>
      <c r="M340" s="1125">
        <f>IF(OR($C340="",$C340=0),"",INDEX(API2DENST,MATCH($C340,'Vessel Gauging Data'!$B$27:$B$56,0),$AA$1))</f>
        <v>0.83789999999999998</v>
      </c>
      <c r="N340" s="212">
        <f t="shared" si="391"/>
        <v>38</v>
      </c>
      <c r="O340" s="1016">
        <f t="shared" si="392"/>
        <v>6.5</v>
      </c>
      <c r="P340" s="1125">
        <f t="shared" si="393"/>
        <v>0.98041999999999996</v>
      </c>
      <c r="Q340" s="1016">
        <f t="shared" si="394"/>
        <v>6.3730000000000002</v>
      </c>
      <c r="R340" s="214">
        <f t="shared" si="395"/>
        <v>5.34</v>
      </c>
      <c r="S340" s="1125">
        <f t="shared" si="396"/>
        <v>0.83679999999999999</v>
      </c>
      <c r="T340" s="236">
        <f t="shared" si="397"/>
        <v>5.3330000000000002</v>
      </c>
      <c r="W340" s="642" t="str">
        <f>INDEX('Vessel Gauging Data'!$B$26:$V$56,MATCH($C340,'Vessel Gauging Data'!$B$26:$B$56,0),$W$198)</f>
        <v>GAUGE</v>
      </c>
      <c r="X340" s="642" t="str">
        <f>INDEX('Vessel Gauging Data'!$B$26:$V$56,MATCH($C340,'Vessel Gauging Data'!$B$26:$B$56,0),$X$198)</f>
        <v>GAUGE</v>
      </c>
      <c r="Y340" s="642" t="str">
        <f>INDEX('Vessel Gauging Data'!$B$26:$V$56,MATCH($C340,'Vessel Gauging Data'!$B$26:$B$56,0),$Y$198)</f>
        <v>GAUGE</v>
      </c>
      <c r="Z340" s="642">
        <f>INDEX('Vessel Gauging Data'!$B$26:$V$56,MATCH($C340,'Vessel Gauging Data'!$B$26:$B$56,0),$Z$198)</f>
        <v>38</v>
      </c>
      <c r="AB340" s="642">
        <f>INDEX(API2DENST,MATCH($C340,'Vessel Gauging Data'!$B$27:$B$56,0),1)</f>
        <v>0.83789999999999998</v>
      </c>
      <c r="AC340" s="642">
        <f t="shared" si="339"/>
        <v>1.00135</v>
      </c>
      <c r="AE340" s="661">
        <f t="shared" si="340"/>
        <v>838</v>
      </c>
      <c r="AF340" s="661">
        <f t="shared" si="341"/>
        <v>8.4643999999999995E-4</v>
      </c>
      <c r="AH340" s="662">
        <f t="shared" si="327"/>
        <v>38</v>
      </c>
      <c r="AI340" s="662">
        <f t="shared" si="328"/>
        <v>0.83789999999999998</v>
      </c>
      <c r="AJ340" s="663">
        <f t="shared" si="366"/>
        <v>103.872</v>
      </c>
      <c r="AK340" s="660">
        <f t="shared" si="367"/>
        <v>0.27010000000000001</v>
      </c>
      <c r="AL340" s="660">
        <f t="shared" si="368"/>
        <v>1068.18</v>
      </c>
      <c r="AM340" s="664">
        <f t="shared" si="369"/>
        <v>9.7242029999999993E-2</v>
      </c>
      <c r="AN340" s="664">
        <f t="shared" si="370"/>
        <v>9.1035199999999999E-5</v>
      </c>
      <c r="AO340" s="665">
        <f t="shared" si="371"/>
        <v>2.5285999999999999E-4</v>
      </c>
      <c r="AP340" s="666">
        <f t="shared" si="372"/>
        <v>3.4390000000000001E-4</v>
      </c>
      <c r="AQ340" s="660">
        <f t="shared" si="373"/>
        <v>-22</v>
      </c>
      <c r="AR340" s="667">
        <f t="shared" si="374"/>
        <v>-7.5658000000000001E-3</v>
      </c>
      <c r="AS340" s="667">
        <f t="shared" si="375"/>
        <v>-6.0526399999999998E-3</v>
      </c>
      <c r="AT340" s="668">
        <f t="shared" si="376"/>
        <v>4.579E-5</v>
      </c>
      <c r="AU340" s="667">
        <f t="shared" si="377"/>
        <v>7.5200099999999997E-3</v>
      </c>
      <c r="AV340" s="669">
        <f t="shared" si="378"/>
        <v>2.5000000000000001E-4</v>
      </c>
      <c r="AW340" s="667">
        <f t="shared" si="379"/>
        <v>2.2999999999999999E-7</v>
      </c>
      <c r="AX340" s="667">
        <f t="shared" si="380"/>
        <v>103.87200023</v>
      </c>
      <c r="AY340" s="660">
        <f t="shared" si="381"/>
        <v>3.4390000000000001E-4</v>
      </c>
      <c r="AZ340" s="670">
        <f t="shared" si="382"/>
        <v>1.0075499999999999</v>
      </c>
      <c r="BB340" s="662" t="str">
        <f>INDEX('Vessel Gauging Data'!$B$26:$V$56,MATCH($C340,'Vessel Gauging Data'!$B$26:$B$56,0),$BB$198)</f>
        <v>G</v>
      </c>
      <c r="BC340" s="662">
        <f>INDEX('Vessel Gauging Data'!$B$26:$V$56,MATCH($C340,'Vessel Gauging Data'!$B$26:$B$56,0),$BC$198)</f>
        <v>6.5</v>
      </c>
      <c r="BD340" s="662">
        <f>INDEX('Vessel Gauging Data'!$B$26:$V$56,MATCH($C340,'Vessel Gauging Data'!$B$26:$B$56,0),$BD$198)</f>
        <v>0</v>
      </c>
      <c r="BE340" s="662">
        <f>INDEX('Vessel Gauging Data'!$B$26:$V$56,MATCH($C340,'Vessel Gauging Data'!$B$26:$B$56,0),$BE$198)</f>
        <v>0</v>
      </c>
    </row>
    <row r="341" spans="1:57" hidden="1">
      <c r="A341" s="641" t="str">
        <f t="shared" si="365"/>
        <v>N</v>
      </c>
      <c r="C341" s="235" t="str">
        <f t="shared" si="384"/>
        <v/>
      </c>
      <c r="D341" s="211" t="str">
        <f t="shared" si="384"/>
        <v/>
      </c>
      <c r="E341" s="1016" t="str">
        <f t="shared" si="383"/>
        <v/>
      </c>
      <c r="F341" s="1016" t="str">
        <f t="shared" si="385"/>
        <v/>
      </c>
      <c r="G341" s="1016" t="str">
        <f t="shared" si="386"/>
        <v/>
      </c>
      <c r="H341" s="1016" t="str">
        <f t="shared" si="386"/>
        <v/>
      </c>
      <c r="I341" s="211" t="str">
        <f t="shared" si="387"/>
        <v/>
      </c>
      <c r="J341" s="1016" t="str">
        <f t="shared" si="388"/>
        <v/>
      </c>
      <c r="K341" s="213" t="str">
        <f t="shared" si="389"/>
        <v/>
      </c>
      <c r="L341" s="212" t="str">
        <f t="shared" si="390"/>
        <v/>
      </c>
      <c r="M341" s="1125" t="str">
        <f>IF(OR($C341="",$C341=0),"",INDEX(API2DENST,MATCH($C341,'Vessel Gauging Data'!$B$27:$B$56,0),$AA$1))</f>
        <v/>
      </c>
      <c r="N341" s="212" t="str">
        <f t="shared" si="391"/>
        <v/>
      </c>
      <c r="O341" s="1016" t="str">
        <f t="shared" si="392"/>
        <v/>
      </c>
      <c r="P341" s="1125" t="str">
        <f t="shared" si="393"/>
        <v/>
      </c>
      <c r="Q341" s="1016" t="str">
        <f t="shared" si="394"/>
        <v/>
      </c>
      <c r="R341" s="214" t="str">
        <f t="shared" si="395"/>
        <v/>
      </c>
      <c r="S341" s="1125" t="str">
        <f t="shared" si="396"/>
        <v/>
      </c>
      <c r="T341" s="236" t="str">
        <f t="shared" si="397"/>
        <v/>
      </c>
      <c r="W341" s="642" t="e">
        <f>INDEX('Vessel Gauging Data'!$B$26:$V$56,MATCH($C341,'Vessel Gauging Data'!$B$26:$B$56,0),$W$198)</f>
        <v>#N/A</v>
      </c>
      <c r="X341" s="642" t="e">
        <f>INDEX('Vessel Gauging Data'!$B$26:$V$56,MATCH($C341,'Vessel Gauging Data'!$B$26:$B$56,0),$X$198)</f>
        <v>#N/A</v>
      </c>
      <c r="Y341" s="642" t="e">
        <f>INDEX('Vessel Gauging Data'!$B$26:$V$56,MATCH($C341,'Vessel Gauging Data'!$B$26:$B$56,0),$Y$198)</f>
        <v>#N/A</v>
      </c>
      <c r="Z341" s="642" t="e">
        <f>INDEX('Vessel Gauging Data'!$B$26:$V$56,MATCH($C341,'Vessel Gauging Data'!$B$26:$B$56,0),$Z$198)</f>
        <v>#N/A</v>
      </c>
      <c r="AB341" s="642" t="e">
        <f>INDEX(API2DENST,MATCH($C341,'Vessel Gauging Data'!$B$27:$B$56,0),1)</f>
        <v>#N/A</v>
      </c>
      <c r="AC341" s="642" t="e">
        <f t="shared" si="339"/>
        <v>#N/A</v>
      </c>
      <c r="AE341" s="661" t="e">
        <f t="shared" si="340"/>
        <v>#VALUE!</v>
      </c>
      <c r="AF341" s="661" t="e">
        <f t="shared" si="341"/>
        <v>#VALUE!</v>
      </c>
      <c r="AH341" s="662" t="str">
        <f t="shared" si="327"/>
        <v/>
      </c>
      <c r="AI341" s="662" t="str">
        <f t="shared" si="328"/>
        <v/>
      </c>
      <c r="AJ341" s="663">
        <f t="shared" si="366"/>
        <v>192.4571</v>
      </c>
      <c r="AK341" s="660">
        <f t="shared" si="367"/>
        <v>0.24379999999999999</v>
      </c>
      <c r="AL341" s="660" t="e">
        <f t="shared" si="368"/>
        <v>#VALUE!</v>
      </c>
      <c r="AM341" s="664" t="e">
        <f t="shared" si="369"/>
        <v>#VALUE!</v>
      </c>
      <c r="AN341" s="664" t="e">
        <f t="shared" si="370"/>
        <v>#VALUE!</v>
      </c>
      <c r="AO341" s="665" t="e">
        <f t="shared" si="371"/>
        <v>#VALUE!</v>
      </c>
      <c r="AP341" s="666" t="e">
        <f t="shared" si="372"/>
        <v>#VALUE!</v>
      </c>
      <c r="AQ341" s="660" t="e">
        <f t="shared" si="373"/>
        <v>#VALUE!</v>
      </c>
      <c r="AR341" s="667" t="e">
        <f t="shared" si="374"/>
        <v>#VALUE!</v>
      </c>
      <c r="AS341" s="667" t="e">
        <f t="shared" si="375"/>
        <v>#VALUE!</v>
      </c>
      <c r="AT341" s="668" t="e">
        <f t="shared" si="376"/>
        <v>#VALUE!</v>
      </c>
      <c r="AU341" s="667" t="e">
        <f t="shared" si="377"/>
        <v>#VALUE!</v>
      </c>
      <c r="AV341" s="669" t="e">
        <f t="shared" si="378"/>
        <v>#VALUE!</v>
      </c>
      <c r="AW341" s="667" t="e">
        <f t="shared" si="379"/>
        <v>#VALUE!</v>
      </c>
      <c r="AX341" s="667" t="e">
        <f t="shared" si="380"/>
        <v>#VALUE!</v>
      </c>
      <c r="AY341" s="660" t="e">
        <f t="shared" si="381"/>
        <v>#VALUE!</v>
      </c>
      <c r="AZ341" s="670" t="e">
        <f t="shared" si="382"/>
        <v>#VALUE!</v>
      </c>
      <c r="BB341" s="662" t="e">
        <f>INDEX('Vessel Gauging Data'!$B$26:$V$56,MATCH($C341,'Vessel Gauging Data'!$B$26:$B$56,0),$BB$198)</f>
        <v>#N/A</v>
      </c>
      <c r="BC341" s="662" t="e">
        <f>INDEX('Vessel Gauging Data'!$B$26:$V$56,MATCH($C341,'Vessel Gauging Data'!$B$26:$B$56,0),$BC$198)</f>
        <v>#N/A</v>
      </c>
      <c r="BD341" s="662" t="e">
        <f>INDEX('Vessel Gauging Data'!$B$26:$V$56,MATCH($C341,'Vessel Gauging Data'!$B$26:$B$56,0),$BD$198)</f>
        <v>#N/A</v>
      </c>
      <c r="BE341" s="662" t="e">
        <f>INDEX('Vessel Gauging Data'!$B$26:$V$56,MATCH($C341,'Vessel Gauging Data'!$B$26:$B$56,0),$BE$198)</f>
        <v>#N/A</v>
      </c>
    </row>
    <row r="342" spans="1:57" hidden="1">
      <c r="A342" s="641" t="str">
        <f t="shared" si="365"/>
        <v>N</v>
      </c>
      <c r="C342" s="235" t="str">
        <f t="shared" si="384"/>
        <v/>
      </c>
      <c r="D342" s="211" t="str">
        <f t="shared" si="384"/>
        <v/>
      </c>
      <c r="E342" s="1016" t="str">
        <f t="shared" si="383"/>
        <v/>
      </c>
      <c r="F342" s="1016" t="str">
        <f t="shared" si="385"/>
        <v/>
      </c>
      <c r="G342" s="1016" t="str">
        <f t="shared" si="386"/>
        <v/>
      </c>
      <c r="H342" s="1016" t="str">
        <f t="shared" si="386"/>
        <v/>
      </c>
      <c r="I342" s="211" t="str">
        <f t="shared" si="387"/>
        <v/>
      </c>
      <c r="J342" s="1016" t="str">
        <f t="shared" si="388"/>
        <v/>
      </c>
      <c r="K342" s="213" t="str">
        <f t="shared" si="389"/>
        <v/>
      </c>
      <c r="L342" s="212" t="str">
        <f t="shared" si="390"/>
        <v/>
      </c>
      <c r="M342" s="1125" t="str">
        <f>IF(OR($C342="",$C342=0),"",INDEX(API2DENST,MATCH($C342,'Vessel Gauging Data'!$B$27:$B$56,0),$AA$1))</f>
        <v/>
      </c>
      <c r="N342" s="212" t="str">
        <f t="shared" si="391"/>
        <v/>
      </c>
      <c r="O342" s="1016" t="str">
        <f t="shared" si="392"/>
        <v/>
      </c>
      <c r="P342" s="1125" t="str">
        <f t="shared" si="393"/>
        <v/>
      </c>
      <c r="Q342" s="1016" t="str">
        <f t="shared" si="394"/>
        <v/>
      </c>
      <c r="R342" s="214" t="str">
        <f t="shared" si="395"/>
        <v/>
      </c>
      <c r="S342" s="1125" t="str">
        <f t="shared" si="396"/>
        <v/>
      </c>
      <c r="T342" s="236" t="str">
        <f t="shared" si="397"/>
        <v/>
      </c>
      <c r="W342" s="642" t="e">
        <f>INDEX('Vessel Gauging Data'!$B$26:$V$56,MATCH($C342,'Vessel Gauging Data'!$B$26:$B$56,0),$W$198)</f>
        <v>#N/A</v>
      </c>
      <c r="X342" s="642" t="e">
        <f>INDEX('Vessel Gauging Data'!$B$26:$V$56,MATCH($C342,'Vessel Gauging Data'!$B$26:$B$56,0),$X$198)</f>
        <v>#N/A</v>
      </c>
      <c r="Y342" s="642" t="e">
        <f>INDEX('Vessel Gauging Data'!$B$26:$V$56,MATCH($C342,'Vessel Gauging Data'!$B$26:$B$56,0),$Y$198)</f>
        <v>#N/A</v>
      </c>
      <c r="Z342" s="642" t="e">
        <f>INDEX('Vessel Gauging Data'!$B$26:$V$56,MATCH($C342,'Vessel Gauging Data'!$B$26:$B$56,0),$Z$198)</f>
        <v>#N/A</v>
      </c>
      <c r="AB342" s="642" t="e">
        <f>INDEX(API2DENST,MATCH($C342,'Vessel Gauging Data'!$B$27:$B$56,0),1)</f>
        <v>#N/A</v>
      </c>
      <c r="AC342" s="642" t="e">
        <f t="shared" ref="AC342:AC351" si="398">((INT((AB342/(1.0001506*AB342-0.0012202))*10000)+0.5)/10000)</f>
        <v>#N/A</v>
      </c>
      <c r="AE342" s="661" t="e">
        <f t="shared" ref="AE342:AE351" si="399">ROUND(+M342/2*1000,0)*2</f>
        <v>#VALUE!</v>
      </c>
      <c r="AF342" s="661" t="e">
        <f t="shared" ref="AF342:AF351" si="400">ROUND(186.9696/(AE342*AE342)+(0.4862/AE342),8)</f>
        <v>#VALUE!</v>
      </c>
      <c r="AH342" s="662" t="str">
        <f t="shared" ref="AH342:AH351" si="401">N342</f>
        <v/>
      </c>
      <c r="AI342" s="662" t="str">
        <f t="shared" ref="AI342:AI351" si="402">M342</f>
        <v/>
      </c>
      <c r="AJ342" s="663">
        <f t="shared" ref="AJ342:AJ351" si="403">IF(AND(AI342&gt;=0,AI342&lt;=37),103.872,IF(AND(AI342&gt;=48,AI342&lt;=52),-0.0018684,IF(AND(AI342&gt;=37.1,AI342&lt;=47.9),330.301,IF(AND(AI342&gt;=52.1),192.4571))))</f>
        <v>192.4571</v>
      </c>
      <c r="AK342" s="660">
        <f t="shared" ref="AK342:AK351" si="404">IF(AND(AI342&gt;=0,AI342&lt;=37),0.2701,IF(AND(AI342&gt;=48,AJ342&lt;=52),1489.067,IF(AND(AI342&gt;=37.1,AI342&lt;=47.9),0,IF(AI342&gt;=52.1,0.2438))))</f>
        <v>0.24379999999999999</v>
      </c>
      <c r="AL342" s="660" t="e">
        <f t="shared" ref="AL342:AL351" si="405">ROUND(141360.198/(AI342+131.5),2)</f>
        <v>#VALUE!</v>
      </c>
      <c r="AM342" s="664" t="e">
        <f t="shared" ref="AM342:AM351" si="406">TRUNC(AJ342/AL342,8)</f>
        <v>#VALUE!</v>
      </c>
      <c r="AN342" s="664" t="e">
        <f t="shared" ref="AN342:AN351" si="407">TRUNC(AM342/AL342,10)</f>
        <v>#VALUE!</v>
      </c>
      <c r="AO342" s="665" t="e">
        <f t="shared" ref="AO342:AO351" si="408">TRUNC(AK342/AL342,10)</f>
        <v>#VALUE!</v>
      </c>
      <c r="AP342" s="666" t="e">
        <f t="shared" ref="AP342:AP351" si="409">IF(AND(AI342&gt;=48,AI342&lt;=52),ROUND(AW342+AJ342,7),ROUND(AN342+AO342,7))</f>
        <v>#VALUE!</v>
      </c>
      <c r="AQ342" s="660" t="e">
        <f t="shared" ref="AQ342:AQ351" si="410">AH342-60</f>
        <v>#VALUE!</v>
      </c>
      <c r="AR342" s="667" t="e">
        <f t="shared" ref="AR342:AR351" si="411">TRUNC(AP342*AQ342,8)</f>
        <v>#VALUE!</v>
      </c>
      <c r="AS342" s="667" t="e">
        <f t="shared" ref="AS342:AS351" si="412">TRUNC(0.8*AR342,8)</f>
        <v>#VALUE!</v>
      </c>
      <c r="AT342" s="668" t="e">
        <f t="shared" ref="AT342:AT351" si="413">TRUNC(0.8*AP342^2*AQ342^2,8)</f>
        <v>#VALUE!</v>
      </c>
      <c r="AU342" s="667" t="e">
        <f t="shared" ref="AU342:AU351" si="414">-AR342-AT342</f>
        <v>#VALUE!</v>
      </c>
      <c r="AV342" s="669" t="e">
        <f t="shared" ref="AV342:AV351" si="415">TRUNC(AK342/AL342,5)</f>
        <v>#VALUE!</v>
      </c>
      <c r="AW342" s="667" t="e">
        <f t="shared" ref="AW342:AW351" si="416">ROUND(AV342/AL342,8)</f>
        <v>#VALUE!</v>
      </c>
      <c r="AX342" s="667" t="e">
        <f t="shared" ref="AX342:AX351" si="417">ROUND(AW342+AJ342,8)</f>
        <v>#VALUE!</v>
      </c>
      <c r="AY342" s="660" t="e">
        <f t="shared" ref="AY342:AY351" si="418">IF(AND(AI342&gt;=48,AI342&lt;=52),AX342,AP342)</f>
        <v>#VALUE!</v>
      </c>
      <c r="AZ342" s="670" t="e">
        <f t="shared" ref="AZ342:AZ351" si="419">ROUND(EXP(AU342),5)</f>
        <v>#VALUE!</v>
      </c>
      <c r="BB342" s="662" t="e">
        <f>INDEX('Vessel Gauging Data'!$B$26:$V$56,MATCH($C342,'Vessel Gauging Data'!$B$26:$B$56,0),$BB$198)</f>
        <v>#N/A</v>
      </c>
      <c r="BC342" s="662" t="e">
        <f>INDEX('Vessel Gauging Data'!$B$26:$V$56,MATCH($C342,'Vessel Gauging Data'!$B$26:$B$56,0),$BC$198)</f>
        <v>#N/A</v>
      </c>
      <c r="BD342" s="662" t="e">
        <f>INDEX('Vessel Gauging Data'!$B$26:$V$56,MATCH($C342,'Vessel Gauging Data'!$B$26:$B$56,0),$BD$198)</f>
        <v>#N/A</v>
      </c>
      <c r="BE342" s="662" t="e">
        <f>INDEX('Vessel Gauging Data'!$B$26:$V$56,MATCH($C342,'Vessel Gauging Data'!$B$26:$B$56,0),$BE$198)</f>
        <v>#N/A</v>
      </c>
    </row>
    <row r="343" spans="1:57" hidden="1">
      <c r="A343" s="641" t="str">
        <f t="shared" si="365"/>
        <v>N</v>
      </c>
      <c r="C343" s="235" t="str">
        <f t="shared" si="384"/>
        <v/>
      </c>
      <c r="D343" s="211" t="str">
        <f t="shared" si="384"/>
        <v/>
      </c>
      <c r="E343" s="1016" t="str">
        <f t="shared" si="383"/>
        <v/>
      </c>
      <c r="F343" s="1016" t="str">
        <f t="shared" si="385"/>
        <v/>
      </c>
      <c r="G343" s="1016" t="str">
        <f t="shared" si="386"/>
        <v/>
      </c>
      <c r="H343" s="1016" t="str">
        <f t="shared" si="386"/>
        <v/>
      </c>
      <c r="I343" s="211" t="str">
        <f t="shared" si="387"/>
        <v/>
      </c>
      <c r="J343" s="1016" t="str">
        <f t="shared" si="388"/>
        <v/>
      </c>
      <c r="K343" s="213" t="str">
        <f t="shared" si="389"/>
        <v/>
      </c>
      <c r="L343" s="212" t="str">
        <f t="shared" si="390"/>
        <v/>
      </c>
      <c r="M343" s="1125" t="str">
        <f>IF(OR($C343="",$C343=0),"",INDEX(API2DENST,MATCH($C343,'Vessel Gauging Data'!$B$27:$B$56,0),$AA$1))</f>
        <v/>
      </c>
      <c r="N343" s="212" t="str">
        <f t="shared" si="391"/>
        <v/>
      </c>
      <c r="O343" s="1016" t="str">
        <f t="shared" si="392"/>
        <v/>
      </c>
      <c r="P343" s="1125" t="str">
        <f t="shared" si="393"/>
        <v/>
      </c>
      <c r="Q343" s="1016" t="str">
        <f t="shared" si="394"/>
        <v/>
      </c>
      <c r="R343" s="214" t="str">
        <f t="shared" si="395"/>
        <v/>
      </c>
      <c r="S343" s="1125" t="str">
        <f t="shared" si="396"/>
        <v/>
      </c>
      <c r="T343" s="236" t="str">
        <f t="shared" si="397"/>
        <v/>
      </c>
      <c r="W343" s="642" t="e">
        <f>INDEX('Vessel Gauging Data'!$B$26:$V$56,MATCH($C343,'Vessel Gauging Data'!$B$26:$B$56,0),$W$198)</f>
        <v>#N/A</v>
      </c>
      <c r="X343" s="642" t="e">
        <f>INDEX('Vessel Gauging Data'!$B$26:$V$56,MATCH($C343,'Vessel Gauging Data'!$B$26:$B$56,0),$X$198)</f>
        <v>#N/A</v>
      </c>
      <c r="Y343" s="642" t="e">
        <f>INDEX('Vessel Gauging Data'!$B$26:$V$56,MATCH($C343,'Vessel Gauging Data'!$B$26:$B$56,0),$Y$198)</f>
        <v>#N/A</v>
      </c>
      <c r="Z343" s="642" t="e">
        <f>INDEX('Vessel Gauging Data'!$B$26:$V$56,MATCH($C343,'Vessel Gauging Data'!$B$26:$B$56,0),$Z$198)</f>
        <v>#N/A</v>
      </c>
      <c r="AB343" s="642" t="e">
        <f>INDEX(API2DENST,MATCH($C343,'Vessel Gauging Data'!$B$27:$B$56,0),1)</f>
        <v>#N/A</v>
      </c>
      <c r="AC343" s="642" t="e">
        <f t="shared" si="398"/>
        <v>#N/A</v>
      </c>
      <c r="AE343" s="661" t="e">
        <f t="shared" si="399"/>
        <v>#VALUE!</v>
      </c>
      <c r="AF343" s="661" t="e">
        <f t="shared" si="400"/>
        <v>#VALUE!</v>
      </c>
      <c r="AH343" s="662" t="str">
        <f t="shared" si="401"/>
        <v/>
      </c>
      <c r="AI343" s="662" t="str">
        <f t="shared" si="402"/>
        <v/>
      </c>
      <c r="AJ343" s="663">
        <f t="shared" si="403"/>
        <v>192.4571</v>
      </c>
      <c r="AK343" s="660">
        <f t="shared" si="404"/>
        <v>0.24379999999999999</v>
      </c>
      <c r="AL343" s="660" t="e">
        <f t="shared" si="405"/>
        <v>#VALUE!</v>
      </c>
      <c r="AM343" s="664" t="e">
        <f t="shared" si="406"/>
        <v>#VALUE!</v>
      </c>
      <c r="AN343" s="664" t="e">
        <f t="shared" si="407"/>
        <v>#VALUE!</v>
      </c>
      <c r="AO343" s="665" t="e">
        <f t="shared" si="408"/>
        <v>#VALUE!</v>
      </c>
      <c r="AP343" s="666" t="e">
        <f t="shared" si="409"/>
        <v>#VALUE!</v>
      </c>
      <c r="AQ343" s="660" t="e">
        <f t="shared" si="410"/>
        <v>#VALUE!</v>
      </c>
      <c r="AR343" s="667" t="e">
        <f t="shared" si="411"/>
        <v>#VALUE!</v>
      </c>
      <c r="AS343" s="667" t="e">
        <f t="shared" si="412"/>
        <v>#VALUE!</v>
      </c>
      <c r="AT343" s="668" t="e">
        <f t="shared" si="413"/>
        <v>#VALUE!</v>
      </c>
      <c r="AU343" s="667" t="e">
        <f t="shared" si="414"/>
        <v>#VALUE!</v>
      </c>
      <c r="AV343" s="669" t="e">
        <f t="shared" si="415"/>
        <v>#VALUE!</v>
      </c>
      <c r="AW343" s="667" t="e">
        <f t="shared" si="416"/>
        <v>#VALUE!</v>
      </c>
      <c r="AX343" s="667" t="e">
        <f t="shared" si="417"/>
        <v>#VALUE!</v>
      </c>
      <c r="AY343" s="660" t="e">
        <f t="shared" si="418"/>
        <v>#VALUE!</v>
      </c>
      <c r="AZ343" s="670" t="e">
        <f t="shared" si="419"/>
        <v>#VALUE!</v>
      </c>
      <c r="BB343" s="662" t="e">
        <f>INDEX('Vessel Gauging Data'!$B$26:$V$56,MATCH($C343,'Vessel Gauging Data'!$B$26:$B$56,0),$BB$198)</f>
        <v>#N/A</v>
      </c>
      <c r="BC343" s="662" t="e">
        <f>INDEX('Vessel Gauging Data'!$B$26:$V$56,MATCH($C343,'Vessel Gauging Data'!$B$26:$B$56,0),$BC$198)</f>
        <v>#N/A</v>
      </c>
      <c r="BD343" s="662" t="e">
        <f>INDEX('Vessel Gauging Data'!$B$26:$V$56,MATCH($C343,'Vessel Gauging Data'!$B$26:$B$56,0),$BD$198)</f>
        <v>#N/A</v>
      </c>
      <c r="BE343" s="662" t="e">
        <f>INDEX('Vessel Gauging Data'!$B$26:$V$56,MATCH($C343,'Vessel Gauging Data'!$B$26:$B$56,0),$BE$198)</f>
        <v>#N/A</v>
      </c>
    </row>
    <row r="344" spans="1:57" hidden="1">
      <c r="A344" s="641" t="str">
        <f t="shared" si="365"/>
        <v>N</v>
      </c>
      <c r="C344" s="235" t="str">
        <f t="shared" si="384"/>
        <v/>
      </c>
      <c r="D344" s="211" t="str">
        <f t="shared" si="384"/>
        <v/>
      </c>
      <c r="E344" s="1016" t="str">
        <f t="shared" si="383"/>
        <v/>
      </c>
      <c r="F344" s="1016" t="str">
        <f t="shared" si="385"/>
        <v/>
      </c>
      <c r="G344" s="1016" t="str">
        <f t="shared" si="386"/>
        <v/>
      </c>
      <c r="H344" s="1016" t="str">
        <f t="shared" si="386"/>
        <v/>
      </c>
      <c r="I344" s="211" t="str">
        <f t="shared" si="387"/>
        <v/>
      </c>
      <c r="J344" s="1016" t="str">
        <f t="shared" si="388"/>
        <v/>
      </c>
      <c r="K344" s="213" t="str">
        <f t="shared" si="389"/>
        <v/>
      </c>
      <c r="L344" s="212" t="str">
        <f t="shared" si="390"/>
        <v/>
      </c>
      <c r="M344" s="1125" t="str">
        <f>IF(OR($C344="",$C344=0),"",INDEX(API2DENST,MATCH($C344,'Vessel Gauging Data'!$B$27:$B$56,0),$AA$1))</f>
        <v/>
      </c>
      <c r="N344" s="212" t="str">
        <f t="shared" si="391"/>
        <v/>
      </c>
      <c r="O344" s="1016" t="str">
        <f t="shared" si="392"/>
        <v/>
      </c>
      <c r="P344" s="1125" t="str">
        <f t="shared" si="393"/>
        <v/>
      </c>
      <c r="Q344" s="1016" t="str">
        <f t="shared" si="394"/>
        <v/>
      </c>
      <c r="R344" s="214" t="str">
        <f t="shared" si="395"/>
        <v/>
      </c>
      <c r="S344" s="1125" t="str">
        <f t="shared" si="396"/>
        <v/>
      </c>
      <c r="T344" s="236" t="str">
        <f t="shared" si="397"/>
        <v/>
      </c>
      <c r="W344" s="642" t="e">
        <f>INDEX('Vessel Gauging Data'!$B$26:$V$56,MATCH($C344,'Vessel Gauging Data'!$B$26:$B$56,0),$W$198)</f>
        <v>#N/A</v>
      </c>
      <c r="X344" s="642" t="e">
        <f>INDEX('Vessel Gauging Data'!$B$26:$V$56,MATCH($C344,'Vessel Gauging Data'!$B$26:$B$56,0),$X$198)</f>
        <v>#N/A</v>
      </c>
      <c r="Y344" s="642" t="e">
        <f>INDEX('Vessel Gauging Data'!$B$26:$V$56,MATCH($C344,'Vessel Gauging Data'!$B$26:$B$56,0),$Y$198)</f>
        <v>#N/A</v>
      </c>
      <c r="Z344" s="642" t="e">
        <f>INDEX('Vessel Gauging Data'!$B$26:$V$56,MATCH($C344,'Vessel Gauging Data'!$B$26:$B$56,0),$Z$198)</f>
        <v>#N/A</v>
      </c>
      <c r="AB344" s="642" t="e">
        <f>INDEX(API2DENST,MATCH($C344,'Vessel Gauging Data'!$B$27:$B$56,0),1)</f>
        <v>#N/A</v>
      </c>
      <c r="AC344" s="642" t="e">
        <f t="shared" si="398"/>
        <v>#N/A</v>
      </c>
      <c r="AE344" s="661" t="e">
        <f t="shared" si="399"/>
        <v>#VALUE!</v>
      </c>
      <c r="AF344" s="661" t="e">
        <f t="shared" si="400"/>
        <v>#VALUE!</v>
      </c>
      <c r="AH344" s="662" t="str">
        <f t="shared" si="401"/>
        <v/>
      </c>
      <c r="AI344" s="662" t="str">
        <f t="shared" si="402"/>
        <v/>
      </c>
      <c r="AJ344" s="663">
        <f t="shared" si="403"/>
        <v>192.4571</v>
      </c>
      <c r="AK344" s="660">
        <f t="shared" si="404"/>
        <v>0.24379999999999999</v>
      </c>
      <c r="AL344" s="660" t="e">
        <f t="shared" si="405"/>
        <v>#VALUE!</v>
      </c>
      <c r="AM344" s="664" t="e">
        <f t="shared" si="406"/>
        <v>#VALUE!</v>
      </c>
      <c r="AN344" s="664" t="e">
        <f t="shared" si="407"/>
        <v>#VALUE!</v>
      </c>
      <c r="AO344" s="665" t="e">
        <f t="shared" si="408"/>
        <v>#VALUE!</v>
      </c>
      <c r="AP344" s="666" t="e">
        <f t="shared" si="409"/>
        <v>#VALUE!</v>
      </c>
      <c r="AQ344" s="660" t="e">
        <f t="shared" si="410"/>
        <v>#VALUE!</v>
      </c>
      <c r="AR344" s="667" t="e">
        <f t="shared" si="411"/>
        <v>#VALUE!</v>
      </c>
      <c r="AS344" s="667" t="e">
        <f t="shared" si="412"/>
        <v>#VALUE!</v>
      </c>
      <c r="AT344" s="668" t="e">
        <f t="shared" si="413"/>
        <v>#VALUE!</v>
      </c>
      <c r="AU344" s="667" t="e">
        <f t="shared" si="414"/>
        <v>#VALUE!</v>
      </c>
      <c r="AV344" s="669" t="e">
        <f t="shared" si="415"/>
        <v>#VALUE!</v>
      </c>
      <c r="AW344" s="667" t="e">
        <f t="shared" si="416"/>
        <v>#VALUE!</v>
      </c>
      <c r="AX344" s="667" t="e">
        <f t="shared" si="417"/>
        <v>#VALUE!</v>
      </c>
      <c r="AY344" s="660" t="e">
        <f t="shared" si="418"/>
        <v>#VALUE!</v>
      </c>
      <c r="AZ344" s="670" t="e">
        <f t="shared" si="419"/>
        <v>#VALUE!</v>
      </c>
      <c r="BB344" s="662" t="e">
        <f>INDEX('Vessel Gauging Data'!$B$26:$V$56,MATCH($C344,'Vessel Gauging Data'!$B$26:$B$56,0),$BB$198)</f>
        <v>#N/A</v>
      </c>
      <c r="BC344" s="662" t="e">
        <f>INDEX('Vessel Gauging Data'!$B$26:$V$56,MATCH($C344,'Vessel Gauging Data'!$B$26:$B$56,0),$BC$198)</f>
        <v>#N/A</v>
      </c>
      <c r="BD344" s="662" t="e">
        <f>INDEX('Vessel Gauging Data'!$B$26:$V$56,MATCH($C344,'Vessel Gauging Data'!$B$26:$B$56,0),$BD$198)</f>
        <v>#N/A</v>
      </c>
      <c r="BE344" s="662" t="e">
        <f>INDEX('Vessel Gauging Data'!$B$26:$V$56,MATCH($C344,'Vessel Gauging Data'!$B$26:$B$56,0),$BE$198)</f>
        <v>#N/A</v>
      </c>
    </row>
    <row r="345" spans="1:57" hidden="1">
      <c r="A345" s="641" t="str">
        <f t="shared" si="365"/>
        <v>N</v>
      </c>
      <c r="C345" s="235" t="str">
        <f t="shared" si="384"/>
        <v/>
      </c>
      <c r="D345" s="211" t="str">
        <f t="shared" si="384"/>
        <v/>
      </c>
      <c r="E345" s="1016" t="str">
        <f t="shared" si="383"/>
        <v/>
      </c>
      <c r="F345" s="1016" t="str">
        <f t="shared" si="385"/>
        <v/>
      </c>
      <c r="G345" s="1016" t="str">
        <f t="shared" si="386"/>
        <v/>
      </c>
      <c r="H345" s="1016" t="str">
        <f t="shared" si="386"/>
        <v/>
      </c>
      <c r="I345" s="211" t="str">
        <f t="shared" si="387"/>
        <v/>
      </c>
      <c r="J345" s="1016" t="str">
        <f t="shared" si="388"/>
        <v/>
      </c>
      <c r="K345" s="213" t="str">
        <f t="shared" si="389"/>
        <v/>
      </c>
      <c r="L345" s="212" t="str">
        <f t="shared" si="390"/>
        <v/>
      </c>
      <c r="M345" s="1125" t="str">
        <f>IF(OR($C345="",$C345=0),"",INDEX(API2DENST,MATCH($C345,'Vessel Gauging Data'!$B$27:$B$56,0),$AA$1))</f>
        <v/>
      </c>
      <c r="N345" s="212" t="str">
        <f t="shared" si="391"/>
        <v/>
      </c>
      <c r="O345" s="1016" t="str">
        <f t="shared" si="392"/>
        <v/>
      </c>
      <c r="P345" s="1125" t="str">
        <f t="shared" si="393"/>
        <v/>
      </c>
      <c r="Q345" s="1016" t="str">
        <f t="shared" si="394"/>
        <v/>
      </c>
      <c r="R345" s="214" t="str">
        <f t="shared" si="395"/>
        <v/>
      </c>
      <c r="S345" s="1125" t="str">
        <f t="shared" si="396"/>
        <v/>
      </c>
      <c r="T345" s="236" t="str">
        <f t="shared" si="397"/>
        <v/>
      </c>
      <c r="W345" s="642" t="e">
        <f>INDEX('Vessel Gauging Data'!$B$26:$V$56,MATCH($C345,'Vessel Gauging Data'!$B$26:$B$56,0),$W$198)</f>
        <v>#N/A</v>
      </c>
      <c r="X345" s="642" t="e">
        <f>INDEX('Vessel Gauging Data'!$B$26:$V$56,MATCH($C345,'Vessel Gauging Data'!$B$26:$B$56,0),$X$198)</f>
        <v>#N/A</v>
      </c>
      <c r="Y345" s="642" t="e">
        <f>INDEX('Vessel Gauging Data'!$B$26:$V$56,MATCH($C345,'Vessel Gauging Data'!$B$26:$B$56,0),$Y$198)</f>
        <v>#N/A</v>
      </c>
      <c r="Z345" s="642" t="e">
        <f>INDEX('Vessel Gauging Data'!$B$26:$V$56,MATCH($C345,'Vessel Gauging Data'!$B$26:$B$56,0),$Z$198)</f>
        <v>#N/A</v>
      </c>
      <c r="AB345" s="642" t="e">
        <f>INDEX(API2DENST,MATCH($C345,'Vessel Gauging Data'!$B$27:$B$56,0),1)</f>
        <v>#N/A</v>
      </c>
      <c r="AC345" s="642" t="e">
        <f t="shared" si="398"/>
        <v>#N/A</v>
      </c>
      <c r="AE345" s="661" t="e">
        <f t="shared" si="399"/>
        <v>#VALUE!</v>
      </c>
      <c r="AF345" s="661" t="e">
        <f t="shared" si="400"/>
        <v>#VALUE!</v>
      </c>
      <c r="AH345" s="662" t="str">
        <f t="shared" si="401"/>
        <v/>
      </c>
      <c r="AI345" s="662" t="str">
        <f t="shared" si="402"/>
        <v/>
      </c>
      <c r="AJ345" s="663">
        <f t="shared" si="403"/>
        <v>192.4571</v>
      </c>
      <c r="AK345" s="660">
        <f t="shared" si="404"/>
        <v>0.24379999999999999</v>
      </c>
      <c r="AL345" s="660" t="e">
        <f t="shared" si="405"/>
        <v>#VALUE!</v>
      </c>
      <c r="AM345" s="664" t="e">
        <f t="shared" si="406"/>
        <v>#VALUE!</v>
      </c>
      <c r="AN345" s="664" t="e">
        <f t="shared" si="407"/>
        <v>#VALUE!</v>
      </c>
      <c r="AO345" s="665" t="e">
        <f t="shared" si="408"/>
        <v>#VALUE!</v>
      </c>
      <c r="AP345" s="666" t="e">
        <f t="shared" si="409"/>
        <v>#VALUE!</v>
      </c>
      <c r="AQ345" s="660" t="e">
        <f t="shared" si="410"/>
        <v>#VALUE!</v>
      </c>
      <c r="AR345" s="667" t="e">
        <f t="shared" si="411"/>
        <v>#VALUE!</v>
      </c>
      <c r="AS345" s="667" t="e">
        <f t="shared" si="412"/>
        <v>#VALUE!</v>
      </c>
      <c r="AT345" s="668" t="e">
        <f t="shared" si="413"/>
        <v>#VALUE!</v>
      </c>
      <c r="AU345" s="667" t="e">
        <f t="shared" si="414"/>
        <v>#VALUE!</v>
      </c>
      <c r="AV345" s="669" t="e">
        <f t="shared" si="415"/>
        <v>#VALUE!</v>
      </c>
      <c r="AW345" s="667" t="e">
        <f t="shared" si="416"/>
        <v>#VALUE!</v>
      </c>
      <c r="AX345" s="667" t="e">
        <f t="shared" si="417"/>
        <v>#VALUE!</v>
      </c>
      <c r="AY345" s="660" t="e">
        <f t="shared" si="418"/>
        <v>#VALUE!</v>
      </c>
      <c r="AZ345" s="670" t="e">
        <f t="shared" si="419"/>
        <v>#VALUE!</v>
      </c>
      <c r="BB345" s="662" t="e">
        <f>INDEX('Vessel Gauging Data'!$B$26:$V$56,MATCH($C345,'Vessel Gauging Data'!$B$26:$B$56,0),$BB$198)</f>
        <v>#N/A</v>
      </c>
      <c r="BC345" s="662" t="e">
        <f>INDEX('Vessel Gauging Data'!$B$26:$V$56,MATCH($C345,'Vessel Gauging Data'!$B$26:$B$56,0),$BC$198)</f>
        <v>#N/A</v>
      </c>
      <c r="BD345" s="662" t="e">
        <f>INDEX('Vessel Gauging Data'!$B$26:$V$56,MATCH($C345,'Vessel Gauging Data'!$B$26:$B$56,0),$BD$198)</f>
        <v>#N/A</v>
      </c>
      <c r="BE345" s="662" t="e">
        <f>INDEX('Vessel Gauging Data'!$B$26:$V$56,MATCH($C345,'Vessel Gauging Data'!$B$26:$B$56,0),$BE$198)</f>
        <v>#N/A</v>
      </c>
    </row>
    <row r="346" spans="1:57" hidden="1">
      <c r="A346" s="641" t="str">
        <f t="shared" si="365"/>
        <v>N</v>
      </c>
      <c r="C346" s="235" t="str">
        <f t="shared" si="384"/>
        <v/>
      </c>
      <c r="D346" s="211" t="str">
        <f t="shared" si="384"/>
        <v/>
      </c>
      <c r="E346" s="1016" t="str">
        <f t="shared" si="383"/>
        <v/>
      </c>
      <c r="F346" s="1016" t="str">
        <f t="shared" si="385"/>
        <v/>
      </c>
      <c r="G346" s="1016" t="str">
        <f t="shared" si="386"/>
        <v/>
      </c>
      <c r="H346" s="1016" t="str">
        <f t="shared" si="386"/>
        <v/>
      </c>
      <c r="I346" s="211" t="str">
        <f t="shared" si="387"/>
        <v/>
      </c>
      <c r="J346" s="1016" t="str">
        <f t="shared" si="388"/>
        <v/>
      </c>
      <c r="K346" s="213" t="str">
        <f t="shared" si="389"/>
        <v/>
      </c>
      <c r="L346" s="212" t="str">
        <f t="shared" si="390"/>
        <v/>
      </c>
      <c r="M346" s="1125" t="str">
        <f>IF(OR($C346="",$C346=0),"",INDEX(API2DENST,MATCH($C346,'Vessel Gauging Data'!$B$27:$B$56,0),$AA$1))</f>
        <v/>
      </c>
      <c r="N346" s="212" t="str">
        <f t="shared" si="391"/>
        <v/>
      </c>
      <c r="O346" s="1016" t="str">
        <f t="shared" si="392"/>
        <v/>
      </c>
      <c r="P346" s="1125" t="str">
        <f t="shared" si="393"/>
        <v/>
      </c>
      <c r="Q346" s="1016" t="str">
        <f t="shared" si="394"/>
        <v/>
      </c>
      <c r="R346" s="214" t="str">
        <f t="shared" si="395"/>
        <v/>
      </c>
      <c r="S346" s="1125" t="str">
        <f t="shared" si="396"/>
        <v/>
      </c>
      <c r="T346" s="236" t="str">
        <f t="shared" si="397"/>
        <v/>
      </c>
      <c r="W346" s="642" t="e">
        <f>INDEX('Vessel Gauging Data'!$B$26:$V$56,MATCH($C346,'Vessel Gauging Data'!$B$26:$B$56,0),$W$198)</f>
        <v>#N/A</v>
      </c>
      <c r="X346" s="642" t="e">
        <f>INDEX('Vessel Gauging Data'!$B$26:$V$56,MATCH($C346,'Vessel Gauging Data'!$B$26:$B$56,0),$X$198)</f>
        <v>#N/A</v>
      </c>
      <c r="Y346" s="642" t="e">
        <f>INDEX('Vessel Gauging Data'!$B$26:$V$56,MATCH($C346,'Vessel Gauging Data'!$B$26:$B$56,0),$Y$198)</f>
        <v>#N/A</v>
      </c>
      <c r="Z346" s="642" t="e">
        <f>INDEX('Vessel Gauging Data'!$B$26:$V$56,MATCH($C346,'Vessel Gauging Data'!$B$26:$B$56,0),$Z$198)</f>
        <v>#N/A</v>
      </c>
      <c r="AB346" s="642" t="e">
        <f>INDEX(API2DENST,MATCH($C346,'Vessel Gauging Data'!$B$27:$B$56,0),1)</f>
        <v>#N/A</v>
      </c>
      <c r="AC346" s="642" t="e">
        <f t="shared" si="398"/>
        <v>#N/A</v>
      </c>
      <c r="AE346" s="661" t="e">
        <f t="shared" si="399"/>
        <v>#VALUE!</v>
      </c>
      <c r="AF346" s="661" t="e">
        <f t="shared" si="400"/>
        <v>#VALUE!</v>
      </c>
      <c r="AH346" s="662" t="str">
        <f t="shared" si="401"/>
        <v/>
      </c>
      <c r="AI346" s="662" t="str">
        <f t="shared" si="402"/>
        <v/>
      </c>
      <c r="AJ346" s="663">
        <f t="shared" si="403"/>
        <v>192.4571</v>
      </c>
      <c r="AK346" s="660">
        <f t="shared" si="404"/>
        <v>0.24379999999999999</v>
      </c>
      <c r="AL346" s="660" t="e">
        <f t="shared" si="405"/>
        <v>#VALUE!</v>
      </c>
      <c r="AM346" s="664" t="e">
        <f t="shared" si="406"/>
        <v>#VALUE!</v>
      </c>
      <c r="AN346" s="664" t="e">
        <f t="shared" si="407"/>
        <v>#VALUE!</v>
      </c>
      <c r="AO346" s="665" t="e">
        <f t="shared" si="408"/>
        <v>#VALUE!</v>
      </c>
      <c r="AP346" s="666" t="e">
        <f t="shared" si="409"/>
        <v>#VALUE!</v>
      </c>
      <c r="AQ346" s="660" t="e">
        <f t="shared" si="410"/>
        <v>#VALUE!</v>
      </c>
      <c r="AR346" s="667" t="e">
        <f t="shared" si="411"/>
        <v>#VALUE!</v>
      </c>
      <c r="AS346" s="667" t="e">
        <f t="shared" si="412"/>
        <v>#VALUE!</v>
      </c>
      <c r="AT346" s="668" t="e">
        <f t="shared" si="413"/>
        <v>#VALUE!</v>
      </c>
      <c r="AU346" s="667" t="e">
        <f t="shared" si="414"/>
        <v>#VALUE!</v>
      </c>
      <c r="AV346" s="669" t="e">
        <f t="shared" si="415"/>
        <v>#VALUE!</v>
      </c>
      <c r="AW346" s="667" t="e">
        <f t="shared" si="416"/>
        <v>#VALUE!</v>
      </c>
      <c r="AX346" s="667" t="e">
        <f t="shared" si="417"/>
        <v>#VALUE!</v>
      </c>
      <c r="AY346" s="660" t="e">
        <f t="shared" si="418"/>
        <v>#VALUE!</v>
      </c>
      <c r="AZ346" s="670" t="e">
        <f t="shared" si="419"/>
        <v>#VALUE!</v>
      </c>
      <c r="BB346" s="662" t="e">
        <f>INDEX('Vessel Gauging Data'!$B$26:$V$56,MATCH($C346,'Vessel Gauging Data'!$B$26:$B$56,0),$BB$198)</f>
        <v>#N/A</v>
      </c>
      <c r="BC346" s="662" t="e">
        <f>INDEX('Vessel Gauging Data'!$B$26:$V$56,MATCH($C346,'Vessel Gauging Data'!$B$26:$B$56,0),$BC$198)</f>
        <v>#N/A</v>
      </c>
      <c r="BD346" s="662" t="e">
        <f>INDEX('Vessel Gauging Data'!$B$26:$V$56,MATCH($C346,'Vessel Gauging Data'!$B$26:$B$56,0),$BD$198)</f>
        <v>#N/A</v>
      </c>
      <c r="BE346" s="662" t="e">
        <f>INDEX('Vessel Gauging Data'!$B$26:$V$56,MATCH($C346,'Vessel Gauging Data'!$B$26:$B$56,0),$BE$198)</f>
        <v>#N/A</v>
      </c>
    </row>
    <row r="347" spans="1:57" hidden="1">
      <c r="A347" s="641" t="str">
        <f t="shared" si="365"/>
        <v>N</v>
      </c>
      <c r="C347" s="235" t="str">
        <f t="shared" si="384"/>
        <v/>
      </c>
      <c r="D347" s="211" t="str">
        <f t="shared" si="384"/>
        <v/>
      </c>
      <c r="E347" s="1016" t="str">
        <f t="shared" si="383"/>
        <v/>
      </c>
      <c r="F347" s="1016" t="str">
        <f t="shared" si="385"/>
        <v/>
      </c>
      <c r="G347" s="1016" t="str">
        <f t="shared" si="386"/>
        <v/>
      </c>
      <c r="H347" s="1016" t="str">
        <f t="shared" si="386"/>
        <v/>
      </c>
      <c r="I347" s="211" t="str">
        <f t="shared" si="387"/>
        <v/>
      </c>
      <c r="J347" s="1016" t="str">
        <f t="shared" si="388"/>
        <v/>
      </c>
      <c r="K347" s="213" t="str">
        <f t="shared" si="389"/>
        <v/>
      </c>
      <c r="L347" s="212" t="str">
        <f t="shared" si="390"/>
        <v/>
      </c>
      <c r="M347" s="1125" t="str">
        <f>IF(OR($C347="",$C347=0),"",INDEX(API2DENST,MATCH($C347,'Vessel Gauging Data'!$B$27:$B$56,0),$AA$1))</f>
        <v/>
      </c>
      <c r="N347" s="212" t="str">
        <f t="shared" si="391"/>
        <v/>
      </c>
      <c r="O347" s="1016" t="str">
        <f t="shared" si="392"/>
        <v/>
      </c>
      <c r="P347" s="1125" t="str">
        <f t="shared" si="393"/>
        <v/>
      </c>
      <c r="Q347" s="1016" t="str">
        <f t="shared" si="394"/>
        <v/>
      </c>
      <c r="R347" s="214" t="str">
        <f t="shared" si="395"/>
        <v/>
      </c>
      <c r="S347" s="1125" t="str">
        <f t="shared" si="396"/>
        <v/>
      </c>
      <c r="T347" s="236" t="str">
        <f t="shared" si="397"/>
        <v/>
      </c>
      <c r="W347" s="642" t="e">
        <f>INDEX('Vessel Gauging Data'!$B$26:$V$56,MATCH($C347,'Vessel Gauging Data'!$B$26:$B$56,0),$W$198)</f>
        <v>#N/A</v>
      </c>
      <c r="X347" s="642" t="e">
        <f>INDEX('Vessel Gauging Data'!$B$26:$V$56,MATCH($C347,'Vessel Gauging Data'!$B$26:$B$56,0),$X$198)</f>
        <v>#N/A</v>
      </c>
      <c r="Y347" s="642" t="e">
        <f>INDEX('Vessel Gauging Data'!$B$26:$V$56,MATCH($C347,'Vessel Gauging Data'!$B$26:$B$56,0),$Y$198)</f>
        <v>#N/A</v>
      </c>
      <c r="Z347" s="642" t="e">
        <f>INDEX('Vessel Gauging Data'!$B$26:$V$56,MATCH($C347,'Vessel Gauging Data'!$B$26:$B$56,0),$Z$198)</f>
        <v>#N/A</v>
      </c>
      <c r="AB347" s="642" t="e">
        <f>INDEX(API2DENST,MATCH($C347,'Vessel Gauging Data'!$B$27:$B$56,0),1)</f>
        <v>#N/A</v>
      </c>
      <c r="AC347" s="642" t="e">
        <f t="shared" si="398"/>
        <v>#N/A</v>
      </c>
      <c r="AE347" s="661" t="e">
        <f t="shared" si="399"/>
        <v>#VALUE!</v>
      </c>
      <c r="AF347" s="661" t="e">
        <f t="shared" si="400"/>
        <v>#VALUE!</v>
      </c>
      <c r="AH347" s="662" t="str">
        <f t="shared" si="401"/>
        <v/>
      </c>
      <c r="AI347" s="662" t="str">
        <f t="shared" si="402"/>
        <v/>
      </c>
      <c r="AJ347" s="663">
        <f t="shared" si="403"/>
        <v>192.4571</v>
      </c>
      <c r="AK347" s="660">
        <f t="shared" si="404"/>
        <v>0.24379999999999999</v>
      </c>
      <c r="AL347" s="660" t="e">
        <f t="shared" si="405"/>
        <v>#VALUE!</v>
      </c>
      <c r="AM347" s="664" t="e">
        <f t="shared" si="406"/>
        <v>#VALUE!</v>
      </c>
      <c r="AN347" s="664" t="e">
        <f t="shared" si="407"/>
        <v>#VALUE!</v>
      </c>
      <c r="AO347" s="665" t="e">
        <f t="shared" si="408"/>
        <v>#VALUE!</v>
      </c>
      <c r="AP347" s="666" t="e">
        <f t="shared" si="409"/>
        <v>#VALUE!</v>
      </c>
      <c r="AQ347" s="660" t="e">
        <f t="shared" si="410"/>
        <v>#VALUE!</v>
      </c>
      <c r="AR347" s="667" t="e">
        <f t="shared" si="411"/>
        <v>#VALUE!</v>
      </c>
      <c r="AS347" s="667" t="e">
        <f t="shared" si="412"/>
        <v>#VALUE!</v>
      </c>
      <c r="AT347" s="668" t="e">
        <f t="shared" si="413"/>
        <v>#VALUE!</v>
      </c>
      <c r="AU347" s="667" t="e">
        <f t="shared" si="414"/>
        <v>#VALUE!</v>
      </c>
      <c r="AV347" s="669" t="e">
        <f t="shared" si="415"/>
        <v>#VALUE!</v>
      </c>
      <c r="AW347" s="667" t="e">
        <f t="shared" si="416"/>
        <v>#VALUE!</v>
      </c>
      <c r="AX347" s="667" t="e">
        <f t="shared" si="417"/>
        <v>#VALUE!</v>
      </c>
      <c r="AY347" s="660" t="e">
        <f t="shared" si="418"/>
        <v>#VALUE!</v>
      </c>
      <c r="AZ347" s="670" t="e">
        <f t="shared" si="419"/>
        <v>#VALUE!</v>
      </c>
      <c r="BB347" s="662" t="e">
        <f>INDEX('Vessel Gauging Data'!$B$26:$V$56,MATCH($C347,'Vessel Gauging Data'!$B$26:$B$56,0),$BB$198)</f>
        <v>#N/A</v>
      </c>
      <c r="BC347" s="662" t="e">
        <f>INDEX('Vessel Gauging Data'!$B$26:$V$56,MATCH($C347,'Vessel Gauging Data'!$B$26:$B$56,0),$BC$198)</f>
        <v>#N/A</v>
      </c>
      <c r="BD347" s="662" t="e">
        <f>INDEX('Vessel Gauging Data'!$B$26:$V$56,MATCH($C347,'Vessel Gauging Data'!$B$26:$B$56,0),$BD$198)</f>
        <v>#N/A</v>
      </c>
      <c r="BE347" s="662" t="e">
        <f>INDEX('Vessel Gauging Data'!$B$26:$V$56,MATCH($C347,'Vessel Gauging Data'!$B$26:$B$56,0),$BE$198)</f>
        <v>#N/A</v>
      </c>
    </row>
    <row r="348" spans="1:57" hidden="1">
      <c r="A348" s="641" t="str">
        <f t="shared" si="365"/>
        <v>N</v>
      </c>
      <c r="C348" s="235" t="str">
        <f t="shared" si="384"/>
        <v/>
      </c>
      <c r="D348" s="211" t="str">
        <f t="shared" si="384"/>
        <v/>
      </c>
      <c r="E348" s="1016" t="str">
        <f t="shared" si="383"/>
        <v/>
      </c>
      <c r="F348" s="1016" t="str">
        <f t="shared" si="385"/>
        <v/>
      </c>
      <c r="G348" s="1016" t="str">
        <f t="shared" si="386"/>
        <v/>
      </c>
      <c r="H348" s="1016" t="str">
        <f t="shared" si="386"/>
        <v/>
      </c>
      <c r="I348" s="211" t="str">
        <f t="shared" si="387"/>
        <v/>
      </c>
      <c r="J348" s="1016" t="str">
        <f t="shared" si="388"/>
        <v/>
      </c>
      <c r="K348" s="213" t="str">
        <f t="shared" si="389"/>
        <v/>
      </c>
      <c r="L348" s="212" t="str">
        <f t="shared" si="390"/>
        <v/>
      </c>
      <c r="M348" s="1125" t="str">
        <f>IF(OR($C348="",$C348=0),"",INDEX(API2DENST,MATCH($C348,'Vessel Gauging Data'!$B$27:$B$56,0),$AA$1))</f>
        <v/>
      </c>
      <c r="N348" s="212" t="str">
        <f t="shared" si="391"/>
        <v/>
      </c>
      <c r="O348" s="1016" t="str">
        <f t="shared" si="392"/>
        <v/>
      </c>
      <c r="P348" s="1125" t="str">
        <f t="shared" si="393"/>
        <v/>
      </c>
      <c r="Q348" s="1016" t="str">
        <f t="shared" si="394"/>
        <v/>
      </c>
      <c r="R348" s="214" t="str">
        <f t="shared" si="395"/>
        <v/>
      </c>
      <c r="S348" s="1125" t="str">
        <f t="shared" si="396"/>
        <v/>
      </c>
      <c r="T348" s="236" t="str">
        <f t="shared" si="397"/>
        <v/>
      </c>
      <c r="W348" s="642" t="e">
        <f>INDEX('Vessel Gauging Data'!$B$26:$V$56,MATCH($C348,'Vessel Gauging Data'!$B$26:$B$56,0),$W$198)</f>
        <v>#N/A</v>
      </c>
      <c r="X348" s="642" t="e">
        <f>INDEX('Vessel Gauging Data'!$B$26:$V$56,MATCH($C348,'Vessel Gauging Data'!$B$26:$B$56,0),$X$198)</f>
        <v>#N/A</v>
      </c>
      <c r="Y348" s="642" t="e">
        <f>INDEX('Vessel Gauging Data'!$B$26:$V$56,MATCH($C348,'Vessel Gauging Data'!$B$26:$B$56,0),$Y$198)</f>
        <v>#N/A</v>
      </c>
      <c r="Z348" s="642" t="e">
        <f>INDEX('Vessel Gauging Data'!$B$26:$V$56,MATCH($C348,'Vessel Gauging Data'!$B$26:$B$56,0),$Z$198)</f>
        <v>#N/A</v>
      </c>
      <c r="AB348" s="642" t="e">
        <f>INDEX(API2DENST,MATCH($C348,'Vessel Gauging Data'!$B$27:$B$56,0),1)</f>
        <v>#N/A</v>
      </c>
      <c r="AC348" s="642" t="e">
        <f t="shared" si="398"/>
        <v>#N/A</v>
      </c>
      <c r="AE348" s="661" t="e">
        <f t="shared" si="399"/>
        <v>#VALUE!</v>
      </c>
      <c r="AF348" s="661" t="e">
        <f t="shared" si="400"/>
        <v>#VALUE!</v>
      </c>
      <c r="AH348" s="662" t="str">
        <f t="shared" si="401"/>
        <v/>
      </c>
      <c r="AI348" s="662" t="str">
        <f t="shared" si="402"/>
        <v/>
      </c>
      <c r="AJ348" s="663">
        <f t="shared" si="403"/>
        <v>192.4571</v>
      </c>
      <c r="AK348" s="660">
        <f t="shared" si="404"/>
        <v>0.24379999999999999</v>
      </c>
      <c r="AL348" s="660" t="e">
        <f t="shared" si="405"/>
        <v>#VALUE!</v>
      </c>
      <c r="AM348" s="664" t="e">
        <f t="shared" si="406"/>
        <v>#VALUE!</v>
      </c>
      <c r="AN348" s="664" t="e">
        <f t="shared" si="407"/>
        <v>#VALUE!</v>
      </c>
      <c r="AO348" s="665" t="e">
        <f t="shared" si="408"/>
        <v>#VALUE!</v>
      </c>
      <c r="AP348" s="666" t="e">
        <f t="shared" si="409"/>
        <v>#VALUE!</v>
      </c>
      <c r="AQ348" s="660" t="e">
        <f t="shared" si="410"/>
        <v>#VALUE!</v>
      </c>
      <c r="AR348" s="667" t="e">
        <f t="shared" si="411"/>
        <v>#VALUE!</v>
      </c>
      <c r="AS348" s="667" t="e">
        <f t="shared" si="412"/>
        <v>#VALUE!</v>
      </c>
      <c r="AT348" s="668" t="e">
        <f t="shared" si="413"/>
        <v>#VALUE!</v>
      </c>
      <c r="AU348" s="667" t="e">
        <f t="shared" si="414"/>
        <v>#VALUE!</v>
      </c>
      <c r="AV348" s="669" t="e">
        <f t="shared" si="415"/>
        <v>#VALUE!</v>
      </c>
      <c r="AW348" s="667" t="e">
        <f t="shared" si="416"/>
        <v>#VALUE!</v>
      </c>
      <c r="AX348" s="667" t="e">
        <f t="shared" si="417"/>
        <v>#VALUE!</v>
      </c>
      <c r="AY348" s="660" t="e">
        <f t="shared" si="418"/>
        <v>#VALUE!</v>
      </c>
      <c r="AZ348" s="670" t="e">
        <f t="shared" si="419"/>
        <v>#VALUE!</v>
      </c>
      <c r="BB348" s="662" t="e">
        <f>INDEX('Vessel Gauging Data'!$B$26:$V$56,MATCH($C348,'Vessel Gauging Data'!$B$26:$B$56,0),$BB$198)</f>
        <v>#N/A</v>
      </c>
      <c r="BC348" s="662" t="e">
        <f>INDEX('Vessel Gauging Data'!$B$26:$V$56,MATCH($C348,'Vessel Gauging Data'!$B$26:$B$56,0),$BC$198)</f>
        <v>#N/A</v>
      </c>
      <c r="BD348" s="662" t="e">
        <f>INDEX('Vessel Gauging Data'!$B$26:$V$56,MATCH($C348,'Vessel Gauging Data'!$B$26:$B$56,0),$BD$198)</f>
        <v>#N/A</v>
      </c>
      <c r="BE348" s="662" t="e">
        <f>INDEX('Vessel Gauging Data'!$B$26:$V$56,MATCH($C348,'Vessel Gauging Data'!$B$26:$B$56,0),$BE$198)</f>
        <v>#N/A</v>
      </c>
    </row>
    <row r="349" spans="1:57" hidden="1">
      <c r="A349" s="641" t="str">
        <f t="shared" si="365"/>
        <v>N</v>
      </c>
      <c r="C349" s="235" t="str">
        <f t="shared" si="384"/>
        <v/>
      </c>
      <c r="D349" s="211" t="str">
        <f t="shared" si="384"/>
        <v/>
      </c>
      <c r="E349" s="1016" t="str">
        <f t="shared" si="383"/>
        <v/>
      </c>
      <c r="F349" s="1016" t="str">
        <f t="shared" si="385"/>
        <v/>
      </c>
      <c r="G349" s="1016" t="str">
        <f t="shared" si="386"/>
        <v/>
      </c>
      <c r="H349" s="1016" t="str">
        <f t="shared" si="386"/>
        <v/>
      </c>
      <c r="I349" s="211" t="str">
        <f t="shared" si="387"/>
        <v/>
      </c>
      <c r="J349" s="1016" t="str">
        <f t="shared" si="388"/>
        <v/>
      </c>
      <c r="K349" s="213" t="str">
        <f t="shared" si="389"/>
        <v/>
      </c>
      <c r="L349" s="212" t="str">
        <f t="shared" si="390"/>
        <v/>
      </c>
      <c r="M349" s="1125" t="str">
        <f>IF(OR($C349="",$C349=0),"",INDEX(API2DENST,MATCH($C349,'Vessel Gauging Data'!$B$27:$B$56,0),$AA$1))</f>
        <v/>
      </c>
      <c r="N349" s="212" t="str">
        <f t="shared" si="391"/>
        <v/>
      </c>
      <c r="O349" s="1016" t="str">
        <f t="shared" si="392"/>
        <v/>
      </c>
      <c r="P349" s="1125" t="str">
        <f t="shared" si="393"/>
        <v/>
      </c>
      <c r="Q349" s="1016" t="str">
        <f t="shared" si="394"/>
        <v/>
      </c>
      <c r="R349" s="214" t="str">
        <f t="shared" si="395"/>
        <v/>
      </c>
      <c r="S349" s="1125" t="str">
        <f t="shared" si="396"/>
        <v/>
      </c>
      <c r="T349" s="236" t="str">
        <f t="shared" si="397"/>
        <v/>
      </c>
      <c r="W349" s="642" t="e">
        <f>INDEX('Vessel Gauging Data'!$B$26:$V$56,MATCH($C349,'Vessel Gauging Data'!$B$26:$B$56,0),$W$198)</f>
        <v>#N/A</v>
      </c>
      <c r="X349" s="642" t="e">
        <f>INDEX('Vessel Gauging Data'!$B$26:$V$56,MATCH($C349,'Vessel Gauging Data'!$B$26:$B$56,0),$X$198)</f>
        <v>#N/A</v>
      </c>
      <c r="Y349" s="642" t="e">
        <f>INDEX('Vessel Gauging Data'!$B$26:$V$56,MATCH($C349,'Vessel Gauging Data'!$B$26:$B$56,0),$Y$198)</f>
        <v>#N/A</v>
      </c>
      <c r="Z349" s="642" t="e">
        <f>INDEX('Vessel Gauging Data'!$B$26:$V$56,MATCH($C349,'Vessel Gauging Data'!$B$26:$B$56,0),$Z$198)</f>
        <v>#N/A</v>
      </c>
      <c r="AB349" s="642" t="e">
        <f>INDEX(API2DENST,MATCH($C349,'Vessel Gauging Data'!$B$27:$B$56,0),1)</f>
        <v>#N/A</v>
      </c>
      <c r="AC349" s="642" t="e">
        <f t="shared" si="398"/>
        <v>#N/A</v>
      </c>
      <c r="AE349" s="661" t="e">
        <f t="shared" si="399"/>
        <v>#VALUE!</v>
      </c>
      <c r="AF349" s="661" t="e">
        <f t="shared" si="400"/>
        <v>#VALUE!</v>
      </c>
      <c r="AH349" s="662" t="str">
        <f t="shared" si="401"/>
        <v/>
      </c>
      <c r="AI349" s="662" t="str">
        <f t="shared" si="402"/>
        <v/>
      </c>
      <c r="AJ349" s="663">
        <f t="shared" si="403"/>
        <v>192.4571</v>
      </c>
      <c r="AK349" s="660">
        <f t="shared" si="404"/>
        <v>0.24379999999999999</v>
      </c>
      <c r="AL349" s="660" t="e">
        <f t="shared" si="405"/>
        <v>#VALUE!</v>
      </c>
      <c r="AM349" s="664" t="e">
        <f t="shared" si="406"/>
        <v>#VALUE!</v>
      </c>
      <c r="AN349" s="664" t="e">
        <f t="shared" si="407"/>
        <v>#VALUE!</v>
      </c>
      <c r="AO349" s="665" t="e">
        <f t="shared" si="408"/>
        <v>#VALUE!</v>
      </c>
      <c r="AP349" s="666" t="e">
        <f t="shared" si="409"/>
        <v>#VALUE!</v>
      </c>
      <c r="AQ349" s="660" t="e">
        <f t="shared" si="410"/>
        <v>#VALUE!</v>
      </c>
      <c r="AR349" s="667" t="e">
        <f t="shared" si="411"/>
        <v>#VALUE!</v>
      </c>
      <c r="AS349" s="667" t="e">
        <f t="shared" si="412"/>
        <v>#VALUE!</v>
      </c>
      <c r="AT349" s="668" t="e">
        <f t="shared" si="413"/>
        <v>#VALUE!</v>
      </c>
      <c r="AU349" s="667" t="e">
        <f t="shared" si="414"/>
        <v>#VALUE!</v>
      </c>
      <c r="AV349" s="669" t="e">
        <f t="shared" si="415"/>
        <v>#VALUE!</v>
      </c>
      <c r="AW349" s="667" t="e">
        <f t="shared" si="416"/>
        <v>#VALUE!</v>
      </c>
      <c r="AX349" s="667" t="e">
        <f t="shared" si="417"/>
        <v>#VALUE!</v>
      </c>
      <c r="AY349" s="660" t="e">
        <f t="shared" si="418"/>
        <v>#VALUE!</v>
      </c>
      <c r="AZ349" s="670" t="e">
        <f t="shared" si="419"/>
        <v>#VALUE!</v>
      </c>
      <c r="BB349" s="662" t="e">
        <f>INDEX('Vessel Gauging Data'!$B$26:$V$56,MATCH($C349,'Vessel Gauging Data'!$B$26:$B$56,0),$BB$198)</f>
        <v>#N/A</v>
      </c>
      <c r="BC349" s="662" t="e">
        <f>INDEX('Vessel Gauging Data'!$B$26:$V$56,MATCH($C349,'Vessel Gauging Data'!$B$26:$B$56,0),$BC$198)</f>
        <v>#N/A</v>
      </c>
      <c r="BD349" s="662" t="e">
        <f>INDEX('Vessel Gauging Data'!$B$26:$V$56,MATCH($C349,'Vessel Gauging Data'!$B$26:$B$56,0),$BD$198)</f>
        <v>#N/A</v>
      </c>
      <c r="BE349" s="662" t="e">
        <f>INDEX('Vessel Gauging Data'!$B$26:$V$56,MATCH($C349,'Vessel Gauging Data'!$B$26:$B$56,0),$BE$198)</f>
        <v>#N/A</v>
      </c>
    </row>
    <row r="350" spans="1:57" hidden="1">
      <c r="A350" s="641" t="str">
        <f t="shared" si="365"/>
        <v>N</v>
      </c>
      <c r="C350" s="235" t="str">
        <f t="shared" si="384"/>
        <v/>
      </c>
      <c r="D350" s="211" t="str">
        <f t="shared" si="384"/>
        <v/>
      </c>
      <c r="E350" s="1016" t="str">
        <f t="shared" si="383"/>
        <v/>
      </c>
      <c r="F350" s="1016" t="str">
        <f t="shared" si="385"/>
        <v/>
      </c>
      <c r="G350" s="1016" t="str">
        <f t="shared" si="386"/>
        <v/>
      </c>
      <c r="H350" s="1016" t="str">
        <f t="shared" si="386"/>
        <v/>
      </c>
      <c r="I350" s="211" t="str">
        <f t="shared" si="387"/>
        <v/>
      </c>
      <c r="J350" s="1016" t="str">
        <f t="shared" si="388"/>
        <v/>
      </c>
      <c r="K350" s="213" t="str">
        <f t="shared" si="389"/>
        <v/>
      </c>
      <c r="L350" s="212" t="str">
        <f t="shared" si="390"/>
        <v/>
      </c>
      <c r="M350" s="1125" t="str">
        <f>IF(OR($C350="",$C350=0),"",INDEX(API2DENST,MATCH($C350,'Vessel Gauging Data'!$B$27:$B$56,0),$AA$1))</f>
        <v/>
      </c>
      <c r="N350" s="212" t="str">
        <f t="shared" si="391"/>
        <v/>
      </c>
      <c r="O350" s="1016" t="str">
        <f t="shared" si="392"/>
        <v/>
      </c>
      <c r="P350" s="1125" t="str">
        <f t="shared" si="393"/>
        <v/>
      </c>
      <c r="Q350" s="1016" t="str">
        <f t="shared" si="394"/>
        <v/>
      </c>
      <c r="R350" s="214" t="str">
        <f t="shared" si="395"/>
        <v/>
      </c>
      <c r="S350" s="1125" t="str">
        <f t="shared" si="396"/>
        <v/>
      </c>
      <c r="T350" s="236" t="str">
        <f t="shared" si="397"/>
        <v/>
      </c>
      <c r="W350" s="642" t="e">
        <f>INDEX('Vessel Gauging Data'!$B$26:$V$56,MATCH($C350,'Vessel Gauging Data'!$B$26:$B$56,0),$W$198)</f>
        <v>#N/A</v>
      </c>
      <c r="X350" s="642" t="e">
        <f>INDEX('Vessel Gauging Data'!$B$26:$V$56,MATCH($C350,'Vessel Gauging Data'!$B$26:$B$56,0),$X$198)</f>
        <v>#N/A</v>
      </c>
      <c r="Y350" s="642" t="e">
        <f>INDEX('Vessel Gauging Data'!$B$26:$V$56,MATCH($C350,'Vessel Gauging Data'!$B$26:$B$56,0),$Y$198)</f>
        <v>#N/A</v>
      </c>
      <c r="Z350" s="642" t="e">
        <f>INDEX('Vessel Gauging Data'!$B$26:$V$56,MATCH($C350,'Vessel Gauging Data'!$B$26:$B$56,0),$Z$198)</f>
        <v>#N/A</v>
      </c>
      <c r="AB350" s="642" t="e">
        <f>INDEX(API2DENST,MATCH($C350,'Vessel Gauging Data'!$B$27:$B$56,0),1)</f>
        <v>#N/A</v>
      </c>
      <c r="AC350" s="642" t="e">
        <f t="shared" si="398"/>
        <v>#N/A</v>
      </c>
      <c r="AE350" s="661" t="e">
        <f t="shared" si="399"/>
        <v>#VALUE!</v>
      </c>
      <c r="AF350" s="661" t="e">
        <f t="shared" si="400"/>
        <v>#VALUE!</v>
      </c>
      <c r="AH350" s="662" t="str">
        <f t="shared" si="401"/>
        <v/>
      </c>
      <c r="AI350" s="662" t="str">
        <f t="shared" si="402"/>
        <v/>
      </c>
      <c r="AJ350" s="663">
        <f t="shared" si="403"/>
        <v>192.4571</v>
      </c>
      <c r="AK350" s="660">
        <f t="shared" si="404"/>
        <v>0.24379999999999999</v>
      </c>
      <c r="AL350" s="660" t="e">
        <f t="shared" si="405"/>
        <v>#VALUE!</v>
      </c>
      <c r="AM350" s="664" t="e">
        <f t="shared" si="406"/>
        <v>#VALUE!</v>
      </c>
      <c r="AN350" s="664" t="e">
        <f t="shared" si="407"/>
        <v>#VALUE!</v>
      </c>
      <c r="AO350" s="665" t="e">
        <f t="shared" si="408"/>
        <v>#VALUE!</v>
      </c>
      <c r="AP350" s="666" t="e">
        <f t="shared" si="409"/>
        <v>#VALUE!</v>
      </c>
      <c r="AQ350" s="660" t="e">
        <f t="shared" si="410"/>
        <v>#VALUE!</v>
      </c>
      <c r="AR350" s="667" t="e">
        <f t="shared" si="411"/>
        <v>#VALUE!</v>
      </c>
      <c r="AS350" s="667" t="e">
        <f t="shared" si="412"/>
        <v>#VALUE!</v>
      </c>
      <c r="AT350" s="668" t="e">
        <f t="shared" si="413"/>
        <v>#VALUE!</v>
      </c>
      <c r="AU350" s="667" t="e">
        <f t="shared" si="414"/>
        <v>#VALUE!</v>
      </c>
      <c r="AV350" s="669" t="e">
        <f t="shared" si="415"/>
        <v>#VALUE!</v>
      </c>
      <c r="AW350" s="667" t="e">
        <f t="shared" si="416"/>
        <v>#VALUE!</v>
      </c>
      <c r="AX350" s="667" t="e">
        <f t="shared" si="417"/>
        <v>#VALUE!</v>
      </c>
      <c r="AY350" s="660" t="e">
        <f t="shared" si="418"/>
        <v>#VALUE!</v>
      </c>
      <c r="AZ350" s="670" t="e">
        <f t="shared" si="419"/>
        <v>#VALUE!</v>
      </c>
      <c r="BB350" s="662" t="e">
        <f>INDEX('Vessel Gauging Data'!$B$26:$V$56,MATCH($C350,'Vessel Gauging Data'!$B$26:$B$56,0),$BB$198)</f>
        <v>#N/A</v>
      </c>
      <c r="BC350" s="662" t="e">
        <f>INDEX('Vessel Gauging Data'!$B$26:$V$56,MATCH($C350,'Vessel Gauging Data'!$B$26:$B$56,0),$BC$198)</f>
        <v>#N/A</v>
      </c>
      <c r="BD350" s="662" t="e">
        <f>INDEX('Vessel Gauging Data'!$B$26:$V$56,MATCH($C350,'Vessel Gauging Data'!$B$26:$B$56,0),$BD$198)</f>
        <v>#N/A</v>
      </c>
      <c r="BE350" s="662" t="e">
        <f>INDEX('Vessel Gauging Data'!$B$26:$V$56,MATCH($C350,'Vessel Gauging Data'!$B$26:$B$56,0),$BE$198)</f>
        <v>#N/A</v>
      </c>
    </row>
    <row r="351" spans="1:57" hidden="1">
      <c r="A351" s="641" t="str">
        <f t="shared" si="365"/>
        <v>N</v>
      </c>
      <c r="C351" s="235" t="str">
        <f t="shared" si="384"/>
        <v/>
      </c>
      <c r="D351" s="211" t="str">
        <f t="shared" si="384"/>
        <v/>
      </c>
      <c r="E351" s="1016" t="str">
        <f t="shared" si="383"/>
        <v/>
      </c>
      <c r="F351" s="1016" t="str">
        <f t="shared" si="385"/>
        <v/>
      </c>
      <c r="G351" s="1016" t="str">
        <f t="shared" si="386"/>
        <v/>
      </c>
      <c r="H351" s="1016" t="str">
        <f t="shared" si="386"/>
        <v/>
      </c>
      <c r="I351" s="211" t="str">
        <f t="shared" si="387"/>
        <v/>
      </c>
      <c r="J351" s="1016" t="str">
        <f t="shared" si="388"/>
        <v/>
      </c>
      <c r="K351" s="213" t="str">
        <f t="shared" si="389"/>
        <v/>
      </c>
      <c r="L351" s="212" t="str">
        <f t="shared" si="390"/>
        <v/>
      </c>
      <c r="M351" s="1125" t="str">
        <f>IF(OR($C351="",$C351=0),"",INDEX(API2DENST,MATCH($C351,'Vessel Gauging Data'!$B$27:$B$56,0),$AA$1))</f>
        <v/>
      </c>
      <c r="N351" s="212" t="str">
        <f t="shared" si="391"/>
        <v/>
      </c>
      <c r="O351" s="1016" t="str">
        <f t="shared" si="392"/>
        <v/>
      </c>
      <c r="P351" s="1125" t="str">
        <f t="shared" si="393"/>
        <v/>
      </c>
      <c r="Q351" s="1016" t="str">
        <f t="shared" si="394"/>
        <v/>
      </c>
      <c r="R351" s="214" t="str">
        <f t="shared" si="395"/>
        <v/>
      </c>
      <c r="S351" s="1125" t="str">
        <f t="shared" si="396"/>
        <v/>
      </c>
      <c r="T351" s="236" t="str">
        <f t="shared" si="397"/>
        <v/>
      </c>
      <c r="W351" s="642" t="e">
        <f>INDEX('Vessel Gauging Data'!$B$26:$V$56,MATCH($C351,'Vessel Gauging Data'!$B$26:$B$56,0),$W$198)</f>
        <v>#N/A</v>
      </c>
      <c r="X351" s="642" t="e">
        <f>INDEX('Vessel Gauging Data'!$B$26:$V$56,MATCH($C351,'Vessel Gauging Data'!$B$26:$B$56,0),$X$198)</f>
        <v>#N/A</v>
      </c>
      <c r="Y351" s="642" t="e">
        <f>INDEX('Vessel Gauging Data'!$B$26:$V$56,MATCH($C351,'Vessel Gauging Data'!$B$26:$B$56,0),$Y$198)</f>
        <v>#N/A</v>
      </c>
      <c r="Z351" s="642" t="e">
        <f>INDEX('Vessel Gauging Data'!$B$26:$V$56,MATCH($C351,'Vessel Gauging Data'!$B$26:$B$56,0),$Z$198)</f>
        <v>#N/A</v>
      </c>
      <c r="AB351" s="642" t="e">
        <f>INDEX(API2DENST,MATCH($C351,'Vessel Gauging Data'!$B$27:$B$56,0),1)</f>
        <v>#N/A</v>
      </c>
      <c r="AC351" s="642" t="e">
        <f t="shared" si="398"/>
        <v>#N/A</v>
      </c>
      <c r="AE351" s="661" t="e">
        <f t="shared" si="399"/>
        <v>#VALUE!</v>
      </c>
      <c r="AF351" s="661" t="e">
        <f t="shared" si="400"/>
        <v>#VALUE!</v>
      </c>
      <c r="AH351" s="662" t="str">
        <f t="shared" si="401"/>
        <v/>
      </c>
      <c r="AI351" s="662" t="str">
        <f t="shared" si="402"/>
        <v/>
      </c>
      <c r="AJ351" s="663">
        <f t="shared" si="403"/>
        <v>192.4571</v>
      </c>
      <c r="AK351" s="660">
        <f t="shared" si="404"/>
        <v>0.24379999999999999</v>
      </c>
      <c r="AL351" s="660" t="e">
        <f t="shared" si="405"/>
        <v>#VALUE!</v>
      </c>
      <c r="AM351" s="664" t="e">
        <f t="shared" si="406"/>
        <v>#VALUE!</v>
      </c>
      <c r="AN351" s="664" t="e">
        <f t="shared" si="407"/>
        <v>#VALUE!</v>
      </c>
      <c r="AO351" s="665" t="e">
        <f t="shared" si="408"/>
        <v>#VALUE!</v>
      </c>
      <c r="AP351" s="666" t="e">
        <f t="shared" si="409"/>
        <v>#VALUE!</v>
      </c>
      <c r="AQ351" s="660" t="e">
        <f t="shared" si="410"/>
        <v>#VALUE!</v>
      </c>
      <c r="AR351" s="667" t="e">
        <f t="shared" si="411"/>
        <v>#VALUE!</v>
      </c>
      <c r="AS351" s="667" t="e">
        <f t="shared" si="412"/>
        <v>#VALUE!</v>
      </c>
      <c r="AT351" s="668" t="e">
        <f t="shared" si="413"/>
        <v>#VALUE!</v>
      </c>
      <c r="AU351" s="667" t="e">
        <f t="shared" si="414"/>
        <v>#VALUE!</v>
      </c>
      <c r="AV351" s="669" t="e">
        <f t="shared" si="415"/>
        <v>#VALUE!</v>
      </c>
      <c r="AW351" s="667" t="e">
        <f t="shared" si="416"/>
        <v>#VALUE!</v>
      </c>
      <c r="AX351" s="667" t="e">
        <f t="shared" si="417"/>
        <v>#VALUE!</v>
      </c>
      <c r="AY351" s="660" t="e">
        <f t="shared" si="418"/>
        <v>#VALUE!</v>
      </c>
      <c r="AZ351" s="670" t="e">
        <f t="shared" si="419"/>
        <v>#VALUE!</v>
      </c>
      <c r="BB351" s="662" t="e">
        <f>INDEX('Vessel Gauging Data'!$B$26:$V$56,MATCH($C351,'Vessel Gauging Data'!$B$26:$B$56,0),$BB$198)</f>
        <v>#N/A</v>
      </c>
      <c r="BC351" s="662" t="e">
        <f>INDEX('Vessel Gauging Data'!$B$26:$V$56,MATCH($C351,'Vessel Gauging Data'!$B$26:$B$56,0),$BC$198)</f>
        <v>#N/A</v>
      </c>
      <c r="BD351" s="662" t="e">
        <f>INDEX('Vessel Gauging Data'!$B$26:$V$56,MATCH($C351,'Vessel Gauging Data'!$B$26:$B$56,0),$BD$198)</f>
        <v>#N/A</v>
      </c>
      <c r="BE351" s="662" t="e">
        <f>INDEX('Vessel Gauging Data'!$B$26:$V$56,MATCH($C351,'Vessel Gauging Data'!$B$26:$B$56,0),$BE$198)</f>
        <v>#N/A</v>
      </c>
    </row>
    <row r="352" spans="1:57" hidden="1">
      <c r="A352" s="641" t="str">
        <f t="shared" si="365"/>
        <v>N</v>
      </c>
      <c r="C352" s="235" t="str">
        <f t="shared" si="384"/>
        <v/>
      </c>
      <c r="D352" s="211" t="str">
        <f t="shared" si="384"/>
        <v/>
      </c>
      <c r="E352" s="1016" t="str">
        <f t="shared" si="383"/>
        <v/>
      </c>
      <c r="F352" s="1016" t="str">
        <f t="shared" si="385"/>
        <v/>
      </c>
      <c r="G352" s="1016" t="str">
        <f t="shared" si="386"/>
        <v/>
      </c>
      <c r="H352" s="1016" t="str">
        <f t="shared" si="386"/>
        <v/>
      </c>
      <c r="I352" s="211" t="str">
        <f t="shared" si="387"/>
        <v/>
      </c>
      <c r="J352" s="1016" t="str">
        <f t="shared" si="388"/>
        <v/>
      </c>
      <c r="K352" s="213" t="str">
        <f t="shared" si="389"/>
        <v/>
      </c>
      <c r="L352" s="212" t="str">
        <f t="shared" si="390"/>
        <v/>
      </c>
      <c r="M352" s="1125" t="str">
        <f>IF(OR($C352="",$C352=0),"",INDEX(API2DENST,MATCH($C352,'Vessel Gauging Data'!$B$27:$B$56,0),$AA$1))</f>
        <v/>
      </c>
      <c r="N352" s="212" t="str">
        <f t="shared" si="391"/>
        <v/>
      </c>
      <c r="O352" s="1016" t="str">
        <f t="shared" si="392"/>
        <v/>
      </c>
      <c r="P352" s="1125" t="str">
        <f t="shared" si="393"/>
        <v/>
      </c>
      <c r="Q352" s="1016" t="str">
        <f t="shared" si="394"/>
        <v/>
      </c>
      <c r="R352" s="214" t="str">
        <f t="shared" si="395"/>
        <v/>
      </c>
      <c r="S352" s="1125" t="str">
        <f t="shared" si="396"/>
        <v/>
      </c>
      <c r="T352" s="236" t="str">
        <f t="shared" si="397"/>
        <v/>
      </c>
      <c r="W352" s="642" t="e">
        <f>INDEX('Vessel Gauging Data'!$B$26:$V$56,MATCH($C352,'Vessel Gauging Data'!$B$26:$B$56,0),$W$198)</f>
        <v>#N/A</v>
      </c>
      <c r="X352" s="642" t="e">
        <f>INDEX('Vessel Gauging Data'!$B$26:$V$56,MATCH($C352,'Vessel Gauging Data'!$B$26:$B$56,0),$X$198)</f>
        <v>#N/A</v>
      </c>
      <c r="Y352" s="642" t="e">
        <f>INDEX('Vessel Gauging Data'!$B$26:$V$56,MATCH($C352,'Vessel Gauging Data'!$B$26:$B$56,0),$Y$198)</f>
        <v>#N/A</v>
      </c>
      <c r="Z352" s="642" t="e">
        <f>INDEX('Vessel Gauging Data'!$B$26:$V$56,MATCH($C352,'Vessel Gauging Data'!$B$26:$B$56,0),$Z$198)</f>
        <v>#N/A</v>
      </c>
      <c r="AB352" s="642" t="e">
        <f>INDEX(API2DENST,MATCH($C352,'Vessel Gauging Data'!$B$27:$B$56,0),1)</f>
        <v>#N/A</v>
      </c>
      <c r="AC352" s="642" t="e">
        <f t="shared" si="339"/>
        <v>#N/A</v>
      </c>
      <c r="AE352" s="661" t="e">
        <f t="shared" si="340"/>
        <v>#VALUE!</v>
      </c>
      <c r="AF352" s="661" t="e">
        <f t="shared" si="341"/>
        <v>#VALUE!</v>
      </c>
      <c r="AH352" s="662" t="str">
        <f t="shared" ref="AH352:AH366" si="420">N352</f>
        <v/>
      </c>
      <c r="AI352" s="662" t="str">
        <f t="shared" ref="AI352:AI366" si="421">M352</f>
        <v/>
      </c>
      <c r="AJ352" s="663">
        <f t="shared" si="366"/>
        <v>192.4571</v>
      </c>
      <c r="AK352" s="660">
        <f t="shared" si="367"/>
        <v>0.24379999999999999</v>
      </c>
      <c r="AL352" s="660" t="e">
        <f t="shared" si="368"/>
        <v>#VALUE!</v>
      </c>
      <c r="AM352" s="664" t="e">
        <f t="shared" si="369"/>
        <v>#VALUE!</v>
      </c>
      <c r="AN352" s="664" t="e">
        <f t="shared" si="370"/>
        <v>#VALUE!</v>
      </c>
      <c r="AO352" s="665" t="e">
        <f t="shared" si="371"/>
        <v>#VALUE!</v>
      </c>
      <c r="AP352" s="666" t="e">
        <f t="shared" si="372"/>
        <v>#VALUE!</v>
      </c>
      <c r="AQ352" s="660" t="e">
        <f t="shared" si="373"/>
        <v>#VALUE!</v>
      </c>
      <c r="AR352" s="667" t="e">
        <f t="shared" si="374"/>
        <v>#VALUE!</v>
      </c>
      <c r="AS352" s="667" t="e">
        <f t="shared" si="375"/>
        <v>#VALUE!</v>
      </c>
      <c r="AT352" s="668" t="e">
        <f t="shared" si="376"/>
        <v>#VALUE!</v>
      </c>
      <c r="AU352" s="667" t="e">
        <f t="shared" si="377"/>
        <v>#VALUE!</v>
      </c>
      <c r="AV352" s="669" t="e">
        <f t="shared" si="378"/>
        <v>#VALUE!</v>
      </c>
      <c r="AW352" s="667" t="e">
        <f t="shared" si="379"/>
        <v>#VALUE!</v>
      </c>
      <c r="AX352" s="667" t="e">
        <f t="shared" si="380"/>
        <v>#VALUE!</v>
      </c>
      <c r="AY352" s="660" t="e">
        <f t="shared" si="381"/>
        <v>#VALUE!</v>
      </c>
      <c r="AZ352" s="670" t="e">
        <f t="shared" si="382"/>
        <v>#VALUE!</v>
      </c>
      <c r="BB352" s="662" t="e">
        <f>INDEX('Vessel Gauging Data'!$B$26:$V$56,MATCH($C352,'Vessel Gauging Data'!$B$26:$B$56,0),$BB$198)</f>
        <v>#N/A</v>
      </c>
      <c r="BC352" s="662" t="e">
        <f>INDEX('Vessel Gauging Data'!$B$26:$V$56,MATCH($C352,'Vessel Gauging Data'!$B$26:$B$56,0),$BC$198)</f>
        <v>#N/A</v>
      </c>
      <c r="BD352" s="662" t="e">
        <f>INDEX('Vessel Gauging Data'!$B$26:$V$56,MATCH($C352,'Vessel Gauging Data'!$B$26:$B$56,0),$BD$198)</f>
        <v>#N/A</v>
      </c>
      <c r="BE352" s="662" t="e">
        <f>INDEX('Vessel Gauging Data'!$B$26:$V$56,MATCH($C352,'Vessel Gauging Data'!$B$26:$B$56,0),$BE$198)</f>
        <v>#N/A</v>
      </c>
    </row>
    <row r="353" spans="1:57" hidden="1">
      <c r="A353" s="641" t="str">
        <f t="shared" si="365"/>
        <v>N</v>
      </c>
      <c r="C353" s="235" t="str">
        <f t="shared" si="384"/>
        <v/>
      </c>
      <c r="D353" s="211" t="str">
        <f t="shared" si="384"/>
        <v/>
      </c>
      <c r="E353" s="1016" t="str">
        <f t="shared" si="383"/>
        <v/>
      </c>
      <c r="F353" s="1016" t="str">
        <f t="shared" si="385"/>
        <v/>
      </c>
      <c r="G353" s="1016" t="str">
        <f t="shared" si="386"/>
        <v/>
      </c>
      <c r="H353" s="1016" t="str">
        <f t="shared" si="386"/>
        <v/>
      </c>
      <c r="I353" s="211" t="str">
        <f t="shared" si="387"/>
        <v/>
      </c>
      <c r="J353" s="1016" t="str">
        <f t="shared" si="388"/>
        <v/>
      </c>
      <c r="K353" s="213" t="str">
        <f t="shared" si="389"/>
        <v/>
      </c>
      <c r="L353" s="212" t="str">
        <f t="shared" si="390"/>
        <v/>
      </c>
      <c r="M353" s="1125" t="str">
        <f>IF(OR($C353="",$C353=0),"",INDEX(API2DENST,MATCH($C353,'Vessel Gauging Data'!$B$27:$B$56,0),$AA$1))</f>
        <v/>
      </c>
      <c r="N353" s="212" t="str">
        <f t="shared" si="391"/>
        <v/>
      </c>
      <c r="O353" s="1016" t="str">
        <f t="shared" si="392"/>
        <v/>
      </c>
      <c r="P353" s="1125" t="str">
        <f t="shared" si="393"/>
        <v/>
      </c>
      <c r="Q353" s="1016" t="str">
        <f t="shared" si="394"/>
        <v/>
      </c>
      <c r="R353" s="214" t="str">
        <f t="shared" si="395"/>
        <v/>
      </c>
      <c r="S353" s="1125" t="str">
        <f t="shared" si="396"/>
        <v/>
      </c>
      <c r="T353" s="236" t="str">
        <f t="shared" si="397"/>
        <v/>
      </c>
      <c r="W353" s="642" t="e">
        <f>INDEX('Vessel Gauging Data'!$B$26:$V$56,MATCH($C353,'Vessel Gauging Data'!$B$26:$B$56,0),$W$198)</f>
        <v>#N/A</v>
      </c>
      <c r="X353" s="642" t="e">
        <f>INDEX('Vessel Gauging Data'!$B$26:$V$56,MATCH($C353,'Vessel Gauging Data'!$B$26:$B$56,0),$X$198)</f>
        <v>#N/A</v>
      </c>
      <c r="Y353" s="642" t="e">
        <f>INDEX('Vessel Gauging Data'!$B$26:$V$56,MATCH($C353,'Vessel Gauging Data'!$B$26:$B$56,0),$Y$198)</f>
        <v>#N/A</v>
      </c>
      <c r="Z353" s="642" t="e">
        <f>INDEX('Vessel Gauging Data'!$B$26:$V$56,MATCH($C353,'Vessel Gauging Data'!$B$26:$B$56,0),$Z$198)</f>
        <v>#N/A</v>
      </c>
      <c r="AB353" s="642" t="e">
        <f>INDEX(API2DENST,MATCH($C353,'Vessel Gauging Data'!$B$27:$B$56,0),1)</f>
        <v>#N/A</v>
      </c>
      <c r="AC353" s="642" t="e">
        <f t="shared" si="339"/>
        <v>#N/A</v>
      </c>
      <c r="AE353" s="661" t="e">
        <f t="shared" si="340"/>
        <v>#VALUE!</v>
      </c>
      <c r="AF353" s="661" t="e">
        <f t="shared" si="341"/>
        <v>#VALUE!</v>
      </c>
      <c r="AH353" s="662" t="str">
        <f t="shared" si="420"/>
        <v/>
      </c>
      <c r="AI353" s="662" t="str">
        <f t="shared" si="421"/>
        <v/>
      </c>
      <c r="AJ353" s="663">
        <f t="shared" si="366"/>
        <v>192.4571</v>
      </c>
      <c r="AK353" s="660">
        <f t="shared" si="367"/>
        <v>0.24379999999999999</v>
      </c>
      <c r="AL353" s="660" t="e">
        <f t="shared" si="368"/>
        <v>#VALUE!</v>
      </c>
      <c r="AM353" s="664" t="e">
        <f t="shared" si="369"/>
        <v>#VALUE!</v>
      </c>
      <c r="AN353" s="664" t="e">
        <f t="shared" si="370"/>
        <v>#VALUE!</v>
      </c>
      <c r="AO353" s="665" t="e">
        <f t="shared" si="371"/>
        <v>#VALUE!</v>
      </c>
      <c r="AP353" s="666" t="e">
        <f t="shared" si="372"/>
        <v>#VALUE!</v>
      </c>
      <c r="AQ353" s="660" t="e">
        <f t="shared" si="373"/>
        <v>#VALUE!</v>
      </c>
      <c r="AR353" s="667" t="e">
        <f t="shared" si="374"/>
        <v>#VALUE!</v>
      </c>
      <c r="AS353" s="667" t="e">
        <f t="shared" si="375"/>
        <v>#VALUE!</v>
      </c>
      <c r="AT353" s="668" t="e">
        <f t="shared" si="376"/>
        <v>#VALUE!</v>
      </c>
      <c r="AU353" s="667" t="e">
        <f t="shared" si="377"/>
        <v>#VALUE!</v>
      </c>
      <c r="AV353" s="669" t="e">
        <f t="shared" si="378"/>
        <v>#VALUE!</v>
      </c>
      <c r="AW353" s="667" t="e">
        <f t="shared" si="379"/>
        <v>#VALUE!</v>
      </c>
      <c r="AX353" s="667" t="e">
        <f t="shared" si="380"/>
        <v>#VALUE!</v>
      </c>
      <c r="AY353" s="660" t="e">
        <f t="shared" si="381"/>
        <v>#VALUE!</v>
      </c>
      <c r="AZ353" s="670" t="e">
        <f t="shared" si="382"/>
        <v>#VALUE!</v>
      </c>
      <c r="BB353" s="662" t="e">
        <f>INDEX('Vessel Gauging Data'!$B$26:$V$56,MATCH($C353,'Vessel Gauging Data'!$B$26:$B$56,0),$BB$198)</f>
        <v>#N/A</v>
      </c>
      <c r="BC353" s="662" t="e">
        <f>INDEX('Vessel Gauging Data'!$B$26:$V$56,MATCH($C353,'Vessel Gauging Data'!$B$26:$B$56,0),$BC$198)</f>
        <v>#N/A</v>
      </c>
      <c r="BD353" s="662" t="e">
        <f>INDEX('Vessel Gauging Data'!$B$26:$V$56,MATCH($C353,'Vessel Gauging Data'!$B$26:$B$56,0),$BD$198)</f>
        <v>#N/A</v>
      </c>
      <c r="BE353" s="662" t="e">
        <f>INDEX('Vessel Gauging Data'!$B$26:$V$56,MATCH($C353,'Vessel Gauging Data'!$B$26:$B$56,0),$BE$198)</f>
        <v>#N/A</v>
      </c>
    </row>
    <row r="354" spans="1:57" hidden="1">
      <c r="A354" s="641" t="str">
        <f t="shared" si="365"/>
        <v>N</v>
      </c>
      <c r="C354" s="235" t="str">
        <f t="shared" si="384"/>
        <v/>
      </c>
      <c r="D354" s="211" t="str">
        <f t="shared" si="384"/>
        <v/>
      </c>
      <c r="E354" s="1016" t="str">
        <f t="shared" si="383"/>
        <v/>
      </c>
      <c r="F354" s="1016" t="str">
        <f t="shared" si="385"/>
        <v/>
      </c>
      <c r="G354" s="1016" t="str">
        <f t="shared" si="386"/>
        <v/>
      </c>
      <c r="H354" s="1016" t="str">
        <f t="shared" si="386"/>
        <v/>
      </c>
      <c r="I354" s="211" t="str">
        <f t="shared" si="387"/>
        <v/>
      </c>
      <c r="J354" s="1016" t="str">
        <f t="shared" si="388"/>
        <v/>
      </c>
      <c r="K354" s="213" t="str">
        <f t="shared" si="389"/>
        <v/>
      </c>
      <c r="L354" s="212" t="str">
        <f t="shared" si="390"/>
        <v/>
      </c>
      <c r="M354" s="1125" t="str">
        <f>IF(OR($C354="",$C354=0),"",INDEX(API2DENST,MATCH($C354,'Vessel Gauging Data'!$B$27:$B$56,0),$AA$1))</f>
        <v/>
      </c>
      <c r="N354" s="212" t="str">
        <f t="shared" si="391"/>
        <v/>
      </c>
      <c r="O354" s="1016" t="str">
        <f t="shared" si="392"/>
        <v/>
      </c>
      <c r="P354" s="1125" t="str">
        <f t="shared" si="393"/>
        <v/>
      </c>
      <c r="Q354" s="1016" t="str">
        <f t="shared" si="394"/>
        <v/>
      </c>
      <c r="R354" s="214" t="str">
        <f t="shared" si="395"/>
        <v/>
      </c>
      <c r="S354" s="1125" t="str">
        <f t="shared" si="396"/>
        <v/>
      </c>
      <c r="T354" s="236" t="str">
        <f t="shared" si="397"/>
        <v/>
      </c>
      <c r="W354" s="642" t="e">
        <f>INDEX('Vessel Gauging Data'!$B$26:$V$56,MATCH($C354,'Vessel Gauging Data'!$B$26:$B$56,0),$W$198)</f>
        <v>#N/A</v>
      </c>
      <c r="X354" s="642" t="e">
        <f>INDEX('Vessel Gauging Data'!$B$26:$V$56,MATCH($C354,'Vessel Gauging Data'!$B$26:$B$56,0),$X$198)</f>
        <v>#N/A</v>
      </c>
      <c r="Y354" s="642" t="e">
        <f>INDEX('Vessel Gauging Data'!$B$26:$V$56,MATCH($C354,'Vessel Gauging Data'!$B$26:$B$56,0),$Y$198)</f>
        <v>#N/A</v>
      </c>
      <c r="Z354" s="642" t="e">
        <f>INDEX('Vessel Gauging Data'!$B$26:$V$56,MATCH($C354,'Vessel Gauging Data'!$B$26:$B$56,0),$Z$198)</f>
        <v>#N/A</v>
      </c>
      <c r="AB354" s="642" t="e">
        <f>INDEX(API2DENST,MATCH($C354,'Vessel Gauging Data'!$B$27:$B$56,0),1)</f>
        <v>#N/A</v>
      </c>
      <c r="AC354" s="642" t="e">
        <f t="shared" si="339"/>
        <v>#N/A</v>
      </c>
      <c r="AE354" s="661" t="e">
        <f t="shared" si="340"/>
        <v>#VALUE!</v>
      </c>
      <c r="AF354" s="661" t="e">
        <f t="shared" si="341"/>
        <v>#VALUE!</v>
      </c>
      <c r="AH354" s="662" t="str">
        <f t="shared" si="420"/>
        <v/>
      </c>
      <c r="AI354" s="662" t="str">
        <f t="shared" si="421"/>
        <v/>
      </c>
      <c r="AJ354" s="663">
        <f t="shared" si="366"/>
        <v>192.4571</v>
      </c>
      <c r="AK354" s="660">
        <f t="shared" si="367"/>
        <v>0.24379999999999999</v>
      </c>
      <c r="AL354" s="660" t="e">
        <f t="shared" si="368"/>
        <v>#VALUE!</v>
      </c>
      <c r="AM354" s="664" t="e">
        <f t="shared" si="369"/>
        <v>#VALUE!</v>
      </c>
      <c r="AN354" s="664" t="e">
        <f t="shared" si="370"/>
        <v>#VALUE!</v>
      </c>
      <c r="AO354" s="665" t="e">
        <f t="shared" si="371"/>
        <v>#VALUE!</v>
      </c>
      <c r="AP354" s="666" t="e">
        <f t="shared" si="372"/>
        <v>#VALUE!</v>
      </c>
      <c r="AQ354" s="660" t="e">
        <f t="shared" si="373"/>
        <v>#VALUE!</v>
      </c>
      <c r="AR354" s="667" t="e">
        <f t="shared" si="374"/>
        <v>#VALUE!</v>
      </c>
      <c r="AS354" s="667" t="e">
        <f t="shared" si="375"/>
        <v>#VALUE!</v>
      </c>
      <c r="AT354" s="668" t="e">
        <f t="shared" si="376"/>
        <v>#VALUE!</v>
      </c>
      <c r="AU354" s="667" t="e">
        <f t="shared" si="377"/>
        <v>#VALUE!</v>
      </c>
      <c r="AV354" s="669" t="e">
        <f t="shared" si="378"/>
        <v>#VALUE!</v>
      </c>
      <c r="AW354" s="667" t="e">
        <f t="shared" si="379"/>
        <v>#VALUE!</v>
      </c>
      <c r="AX354" s="667" t="e">
        <f t="shared" si="380"/>
        <v>#VALUE!</v>
      </c>
      <c r="AY354" s="660" t="e">
        <f t="shared" si="381"/>
        <v>#VALUE!</v>
      </c>
      <c r="AZ354" s="670" t="e">
        <f t="shared" si="382"/>
        <v>#VALUE!</v>
      </c>
      <c r="BB354" s="662" t="e">
        <f>INDEX('Vessel Gauging Data'!$B$26:$V$56,MATCH($C354,'Vessel Gauging Data'!$B$26:$B$56,0),$BB$198)</f>
        <v>#N/A</v>
      </c>
      <c r="BC354" s="662" t="e">
        <f>INDEX('Vessel Gauging Data'!$B$26:$V$56,MATCH($C354,'Vessel Gauging Data'!$B$26:$B$56,0),$BC$198)</f>
        <v>#N/A</v>
      </c>
      <c r="BD354" s="662" t="e">
        <f>INDEX('Vessel Gauging Data'!$B$26:$V$56,MATCH($C354,'Vessel Gauging Data'!$B$26:$B$56,0),$BD$198)</f>
        <v>#N/A</v>
      </c>
      <c r="BE354" s="662" t="e">
        <f>INDEX('Vessel Gauging Data'!$B$26:$V$56,MATCH($C354,'Vessel Gauging Data'!$B$26:$B$56,0),$BE$198)</f>
        <v>#N/A</v>
      </c>
    </row>
    <row r="355" spans="1:57" hidden="1">
      <c r="A355" s="641" t="str">
        <f t="shared" si="365"/>
        <v>N</v>
      </c>
      <c r="C355" s="235" t="str">
        <f t="shared" si="384"/>
        <v/>
      </c>
      <c r="D355" s="211" t="str">
        <f t="shared" si="384"/>
        <v/>
      </c>
      <c r="E355" s="1016" t="str">
        <f t="shared" si="383"/>
        <v/>
      </c>
      <c r="F355" s="1016" t="str">
        <f t="shared" si="385"/>
        <v/>
      </c>
      <c r="G355" s="1016" t="str">
        <f t="shared" si="386"/>
        <v/>
      </c>
      <c r="H355" s="1016" t="str">
        <f t="shared" si="386"/>
        <v/>
      </c>
      <c r="I355" s="211" t="str">
        <f t="shared" si="387"/>
        <v/>
      </c>
      <c r="J355" s="1016" t="str">
        <f t="shared" si="388"/>
        <v/>
      </c>
      <c r="K355" s="213" t="str">
        <f t="shared" si="389"/>
        <v/>
      </c>
      <c r="L355" s="212" t="str">
        <f t="shared" si="390"/>
        <v/>
      </c>
      <c r="M355" s="1125" t="str">
        <f>IF(OR($C355="",$C355=0),"",INDEX(API2DENST,MATCH($C355,'Vessel Gauging Data'!$B$27:$B$56,0),$AA$1))</f>
        <v/>
      </c>
      <c r="N355" s="212" t="str">
        <f t="shared" si="391"/>
        <v/>
      </c>
      <c r="O355" s="1016" t="str">
        <f t="shared" si="392"/>
        <v/>
      </c>
      <c r="P355" s="1125" t="str">
        <f t="shared" si="393"/>
        <v/>
      </c>
      <c r="Q355" s="1016" t="str">
        <f t="shared" si="394"/>
        <v/>
      </c>
      <c r="R355" s="214" t="str">
        <f t="shared" si="395"/>
        <v/>
      </c>
      <c r="S355" s="1125" t="str">
        <f t="shared" si="396"/>
        <v/>
      </c>
      <c r="T355" s="236" t="str">
        <f t="shared" si="397"/>
        <v/>
      </c>
      <c r="W355" s="642" t="e">
        <f>INDEX('Vessel Gauging Data'!$B$26:$V$56,MATCH($C355,'Vessel Gauging Data'!$B$26:$B$56,0),$W$198)</f>
        <v>#N/A</v>
      </c>
      <c r="X355" s="642" t="e">
        <f>INDEX('Vessel Gauging Data'!$B$26:$V$56,MATCH($C355,'Vessel Gauging Data'!$B$26:$B$56,0),$X$198)</f>
        <v>#N/A</v>
      </c>
      <c r="Y355" s="642" t="e">
        <f>INDEX('Vessel Gauging Data'!$B$26:$V$56,MATCH($C355,'Vessel Gauging Data'!$B$26:$B$56,0),$Y$198)</f>
        <v>#N/A</v>
      </c>
      <c r="Z355" s="642" t="e">
        <f>INDEX('Vessel Gauging Data'!$B$26:$V$56,MATCH($C355,'Vessel Gauging Data'!$B$26:$B$56,0),$Z$198)</f>
        <v>#N/A</v>
      </c>
      <c r="AB355" s="642" t="e">
        <f>INDEX(API2DENST,MATCH($C355,'Vessel Gauging Data'!$B$27:$B$56,0),1)</f>
        <v>#N/A</v>
      </c>
      <c r="AC355" s="642" t="e">
        <f t="shared" si="339"/>
        <v>#N/A</v>
      </c>
      <c r="AE355" s="661" t="e">
        <f t="shared" si="340"/>
        <v>#VALUE!</v>
      </c>
      <c r="AF355" s="661" t="e">
        <f t="shared" si="341"/>
        <v>#VALUE!</v>
      </c>
      <c r="AH355" s="662" t="str">
        <f t="shared" si="420"/>
        <v/>
      </c>
      <c r="AI355" s="662" t="str">
        <f t="shared" si="421"/>
        <v/>
      </c>
      <c r="AJ355" s="663">
        <f t="shared" si="366"/>
        <v>192.4571</v>
      </c>
      <c r="AK355" s="660">
        <f t="shared" si="367"/>
        <v>0.24379999999999999</v>
      </c>
      <c r="AL355" s="660" t="e">
        <f t="shared" si="368"/>
        <v>#VALUE!</v>
      </c>
      <c r="AM355" s="664" t="e">
        <f t="shared" si="369"/>
        <v>#VALUE!</v>
      </c>
      <c r="AN355" s="664" t="e">
        <f t="shared" si="370"/>
        <v>#VALUE!</v>
      </c>
      <c r="AO355" s="665" t="e">
        <f t="shared" si="371"/>
        <v>#VALUE!</v>
      </c>
      <c r="AP355" s="666" t="e">
        <f t="shared" si="372"/>
        <v>#VALUE!</v>
      </c>
      <c r="AQ355" s="660" t="e">
        <f t="shared" si="373"/>
        <v>#VALUE!</v>
      </c>
      <c r="AR355" s="667" t="e">
        <f t="shared" si="374"/>
        <v>#VALUE!</v>
      </c>
      <c r="AS355" s="667" t="e">
        <f t="shared" si="375"/>
        <v>#VALUE!</v>
      </c>
      <c r="AT355" s="668" t="e">
        <f t="shared" si="376"/>
        <v>#VALUE!</v>
      </c>
      <c r="AU355" s="667" t="e">
        <f t="shared" si="377"/>
        <v>#VALUE!</v>
      </c>
      <c r="AV355" s="669" t="e">
        <f t="shared" si="378"/>
        <v>#VALUE!</v>
      </c>
      <c r="AW355" s="667" t="e">
        <f t="shared" si="379"/>
        <v>#VALUE!</v>
      </c>
      <c r="AX355" s="667" t="e">
        <f t="shared" si="380"/>
        <v>#VALUE!</v>
      </c>
      <c r="AY355" s="660" t="e">
        <f t="shared" si="381"/>
        <v>#VALUE!</v>
      </c>
      <c r="AZ355" s="670" t="e">
        <f t="shared" si="382"/>
        <v>#VALUE!</v>
      </c>
      <c r="BB355" s="662" t="e">
        <f>INDEX('Vessel Gauging Data'!$B$26:$V$56,MATCH($C355,'Vessel Gauging Data'!$B$26:$B$56,0),$BB$198)</f>
        <v>#N/A</v>
      </c>
      <c r="BC355" s="662" t="e">
        <f>INDEX('Vessel Gauging Data'!$B$26:$V$56,MATCH($C355,'Vessel Gauging Data'!$B$26:$B$56,0),$BC$198)</f>
        <v>#N/A</v>
      </c>
      <c r="BD355" s="662" t="e">
        <f>INDEX('Vessel Gauging Data'!$B$26:$V$56,MATCH($C355,'Vessel Gauging Data'!$B$26:$B$56,0),$BD$198)</f>
        <v>#N/A</v>
      </c>
      <c r="BE355" s="662" t="e">
        <f>INDEX('Vessel Gauging Data'!$B$26:$V$56,MATCH($C355,'Vessel Gauging Data'!$B$26:$B$56,0),$BE$198)</f>
        <v>#N/A</v>
      </c>
    </row>
    <row r="356" spans="1:57" hidden="1">
      <c r="A356" s="641" t="str">
        <f t="shared" si="365"/>
        <v>N</v>
      </c>
      <c r="C356" s="235" t="str">
        <f t="shared" si="384"/>
        <v/>
      </c>
      <c r="D356" s="211" t="str">
        <f t="shared" si="384"/>
        <v/>
      </c>
      <c r="E356" s="1016" t="str">
        <f t="shared" si="383"/>
        <v/>
      </c>
      <c r="F356" s="1016" t="str">
        <f t="shared" si="385"/>
        <v/>
      </c>
      <c r="G356" s="1016" t="str">
        <f t="shared" si="386"/>
        <v/>
      </c>
      <c r="H356" s="1016" t="str">
        <f t="shared" si="386"/>
        <v/>
      </c>
      <c r="I356" s="211" t="str">
        <f t="shared" si="387"/>
        <v/>
      </c>
      <c r="J356" s="1016" t="str">
        <f t="shared" si="388"/>
        <v/>
      </c>
      <c r="K356" s="213" t="str">
        <f t="shared" si="389"/>
        <v/>
      </c>
      <c r="L356" s="212" t="str">
        <f t="shared" si="390"/>
        <v/>
      </c>
      <c r="M356" s="1125" t="str">
        <f>IF(OR($C356="",$C356=0),"",INDEX(API2DENST,MATCH($C356,'Vessel Gauging Data'!$B$27:$B$56,0),$AA$1))</f>
        <v/>
      </c>
      <c r="N356" s="212" t="str">
        <f t="shared" si="391"/>
        <v/>
      </c>
      <c r="O356" s="1016" t="str">
        <f t="shared" si="392"/>
        <v/>
      </c>
      <c r="P356" s="1125" t="str">
        <f t="shared" si="393"/>
        <v/>
      </c>
      <c r="Q356" s="1016" t="str">
        <f t="shared" si="394"/>
        <v/>
      </c>
      <c r="R356" s="214" t="str">
        <f t="shared" si="395"/>
        <v/>
      </c>
      <c r="S356" s="1125" t="str">
        <f t="shared" si="396"/>
        <v/>
      </c>
      <c r="T356" s="236" t="str">
        <f t="shared" si="397"/>
        <v/>
      </c>
      <c r="W356" s="642" t="e">
        <f>INDEX('Vessel Gauging Data'!$B$26:$V$56,MATCH($C356,'Vessel Gauging Data'!$B$26:$B$56,0),$W$198)</f>
        <v>#N/A</v>
      </c>
      <c r="X356" s="642" t="e">
        <f>INDEX('Vessel Gauging Data'!$B$26:$V$56,MATCH($C356,'Vessel Gauging Data'!$B$26:$B$56,0),$X$198)</f>
        <v>#N/A</v>
      </c>
      <c r="Y356" s="642" t="e">
        <f>INDEX('Vessel Gauging Data'!$B$26:$V$56,MATCH($C356,'Vessel Gauging Data'!$B$26:$B$56,0),$Y$198)</f>
        <v>#N/A</v>
      </c>
      <c r="Z356" s="642" t="e">
        <f>INDEX('Vessel Gauging Data'!$B$26:$V$56,MATCH($C356,'Vessel Gauging Data'!$B$26:$B$56,0),$Z$198)</f>
        <v>#N/A</v>
      </c>
      <c r="AB356" s="642" t="e">
        <f>INDEX(API2DENST,MATCH($C356,'Vessel Gauging Data'!$B$27:$B$56,0),1)</f>
        <v>#N/A</v>
      </c>
      <c r="AC356" s="642" t="e">
        <f t="shared" si="339"/>
        <v>#N/A</v>
      </c>
      <c r="AE356" s="661" t="e">
        <f t="shared" si="340"/>
        <v>#VALUE!</v>
      </c>
      <c r="AF356" s="661" t="e">
        <f t="shared" si="341"/>
        <v>#VALUE!</v>
      </c>
      <c r="AH356" s="662" t="str">
        <f t="shared" si="420"/>
        <v/>
      </c>
      <c r="AI356" s="662" t="str">
        <f t="shared" si="421"/>
        <v/>
      </c>
      <c r="AJ356" s="663">
        <f t="shared" si="366"/>
        <v>192.4571</v>
      </c>
      <c r="AK356" s="660">
        <f t="shared" si="367"/>
        <v>0.24379999999999999</v>
      </c>
      <c r="AL356" s="660" t="e">
        <f t="shared" si="368"/>
        <v>#VALUE!</v>
      </c>
      <c r="AM356" s="664" t="e">
        <f t="shared" si="369"/>
        <v>#VALUE!</v>
      </c>
      <c r="AN356" s="664" t="e">
        <f t="shared" si="370"/>
        <v>#VALUE!</v>
      </c>
      <c r="AO356" s="665" t="e">
        <f t="shared" si="371"/>
        <v>#VALUE!</v>
      </c>
      <c r="AP356" s="666" t="e">
        <f t="shared" si="372"/>
        <v>#VALUE!</v>
      </c>
      <c r="AQ356" s="660" t="e">
        <f t="shared" si="373"/>
        <v>#VALUE!</v>
      </c>
      <c r="AR356" s="667" t="e">
        <f t="shared" si="374"/>
        <v>#VALUE!</v>
      </c>
      <c r="AS356" s="667" t="e">
        <f t="shared" si="375"/>
        <v>#VALUE!</v>
      </c>
      <c r="AT356" s="668" t="e">
        <f t="shared" si="376"/>
        <v>#VALUE!</v>
      </c>
      <c r="AU356" s="667" t="e">
        <f t="shared" si="377"/>
        <v>#VALUE!</v>
      </c>
      <c r="AV356" s="669" t="e">
        <f t="shared" si="378"/>
        <v>#VALUE!</v>
      </c>
      <c r="AW356" s="667" t="e">
        <f t="shared" si="379"/>
        <v>#VALUE!</v>
      </c>
      <c r="AX356" s="667" t="e">
        <f t="shared" si="380"/>
        <v>#VALUE!</v>
      </c>
      <c r="AY356" s="660" t="e">
        <f t="shared" si="381"/>
        <v>#VALUE!</v>
      </c>
      <c r="AZ356" s="670" t="e">
        <f t="shared" si="382"/>
        <v>#VALUE!</v>
      </c>
      <c r="BB356" s="662" t="e">
        <f>INDEX('Vessel Gauging Data'!$B$26:$V$56,MATCH($C356,'Vessel Gauging Data'!$B$26:$B$56,0),$BB$198)</f>
        <v>#N/A</v>
      </c>
      <c r="BC356" s="662" t="e">
        <f>INDEX('Vessel Gauging Data'!$B$26:$V$56,MATCH($C356,'Vessel Gauging Data'!$B$26:$B$56,0),$BC$198)</f>
        <v>#N/A</v>
      </c>
      <c r="BD356" s="662" t="e">
        <f>INDEX('Vessel Gauging Data'!$B$26:$V$56,MATCH($C356,'Vessel Gauging Data'!$B$26:$B$56,0),$BD$198)</f>
        <v>#N/A</v>
      </c>
      <c r="BE356" s="662" t="e">
        <f>INDEX('Vessel Gauging Data'!$B$26:$V$56,MATCH($C356,'Vessel Gauging Data'!$B$26:$B$56,0),$BE$198)</f>
        <v>#N/A</v>
      </c>
    </row>
    <row r="357" spans="1:57" hidden="1">
      <c r="A357" s="641" t="str">
        <f t="shared" si="365"/>
        <v>N</v>
      </c>
      <c r="C357" s="235" t="str">
        <f t="shared" si="384"/>
        <v/>
      </c>
      <c r="D357" s="211" t="str">
        <f t="shared" si="384"/>
        <v/>
      </c>
      <c r="E357" s="1016" t="str">
        <f t="shared" si="383"/>
        <v/>
      </c>
      <c r="F357" s="1016" t="str">
        <f t="shared" si="385"/>
        <v/>
      </c>
      <c r="G357" s="1016" t="str">
        <f t="shared" si="386"/>
        <v/>
      </c>
      <c r="H357" s="1016" t="str">
        <f t="shared" si="386"/>
        <v/>
      </c>
      <c r="I357" s="211" t="str">
        <f t="shared" si="387"/>
        <v/>
      </c>
      <c r="J357" s="1016" t="str">
        <f t="shared" si="388"/>
        <v/>
      </c>
      <c r="K357" s="213" t="str">
        <f t="shared" si="389"/>
        <v/>
      </c>
      <c r="L357" s="212" t="str">
        <f t="shared" si="390"/>
        <v/>
      </c>
      <c r="M357" s="1125" t="str">
        <f>IF(OR($C357="",$C357=0),"",INDEX(API2DENST,MATCH($C357,'Vessel Gauging Data'!$B$27:$B$56,0),$AA$1))</f>
        <v/>
      </c>
      <c r="N357" s="212" t="str">
        <f t="shared" si="391"/>
        <v/>
      </c>
      <c r="O357" s="1016" t="str">
        <f t="shared" si="392"/>
        <v/>
      </c>
      <c r="P357" s="1125" t="str">
        <f t="shared" si="393"/>
        <v/>
      </c>
      <c r="Q357" s="1016" t="str">
        <f t="shared" si="394"/>
        <v/>
      </c>
      <c r="R357" s="214" t="str">
        <f t="shared" si="395"/>
        <v/>
      </c>
      <c r="S357" s="1125" t="str">
        <f t="shared" si="396"/>
        <v/>
      </c>
      <c r="T357" s="236" t="str">
        <f t="shared" si="397"/>
        <v/>
      </c>
      <c r="W357" s="642" t="e">
        <f>INDEX('Vessel Gauging Data'!$B$26:$V$56,MATCH($C357,'Vessel Gauging Data'!$B$26:$B$56,0),$W$198)</f>
        <v>#N/A</v>
      </c>
      <c r="X357" s="642" t="e">
        <f>INDEX('Vessel Gauging Data'!$B$26:$V$56,MATCH($C357,'Vessel Gauging Data'!$B$26:$B$56,0),$X$198)</f>
        <v>#N/A</v>
      </c>
      <c r="Y357" s="642" t="e">
        <f>INDEX('Vessel Gauging Data'!$B$26:$V$56,MATCH($C357,'Vessel Gauging Data'!$B$26:$B$56,0),$Y$198)</f>
        <v>#N/A</v>
      </c>
      <c r="Z357" s="642" t="e">
        <f>INDEX('Vessel Gauging Data'!$B$26:$V$56,MATCH($C357,'Vessel Gauging Data'!$B$26:$B$56,0),$Z$198)</f>
        <v>#N/A</v>
      </c>
      <c r="AB357" s="642" t="e">
        <f>INDEX(API2DENST,MATCH($C357,'Vessel Gauging Data'!$B$27:$B$56,0),1)</f>
        <v>#N/A</v>
      </c>
      <c r="AC357" s="642" t="e">
        <f t="shared" si="339"/>
        <v>#N/A</v>
      </c>
      <c r="AE357" s="661" t="e">
        <f t="shared" si="340"/>
        <v>#VALUE!</v>
      </c>
      <c r="AF357" s="661" t="e">
        <f t="shared" si="341"/>
        <v>#VALUE!</v>
      </c>
      <c r="AH357" s="662" t="str">
        <f t="shared" si="420"/>
        <v/>
      </c>
      <c r="AI357" s="662" t="str">
        <f t="shared" si="421"/>
        <v/>
      </c>
      <c r="AJ357" s="663">
        <f t="shared" si="366"/>
        <v>192.4571</v>
      </c>
      <c r="AK357" s="660">
        <f t="shared" si="367"/>
        <v>0.24379999999999999</v>
      </c>
      <c r="AL357" s="660" t="e">
        <f t="shared" si="368"/>
        <v>#VALUE!</v>
      </c>
      <c r="AM357" s="664" t="e">
        <f t="shared" si="369"/>
        <v>#VALUE!</v>
      </c>
      <c r="AN357" s="664" t="e">
        <f t="shared" si="370"/>
        <v>#VALUE!</v>
      </c>
      <c r="AO357" s="665" t="e">
        <f t="shared" si="371"/>
        <v>#VALUE!</v>
      </c>
      <c r="AP357" s="666" t="e">
        <f t="shared" si="372"/>
        <v>#VALUE!</v>
      </c>
      <c r="AQ357" s="660" t="e">
        <f t="shared" si="373"/>
        <v>#VALUE!</v>
      </c>
      <c r="AR357" s="667" t="e">
        <f t="shared" si="374"/>
        <v>#VALUE!</v>
      </c>
      <c r="AS357" s="667" t="e">
        <f t="shared" si="375"/>
        <v>#VALUE!</v>
      </c>
      <c r="AT357" s="668" t="e">
        <f t="shared" si="376"/>
        <v>#VALUE!</v>
      </c>
      <c r="AU357" s="667" t="e">
        <f t="shared" si="377"/>
        <v>#VALUE!</v>
      </c>
      <c r="AV357" s="669" t="e">
        <f t="shared" si="378"/>
        <v>#VALUE!</v>
      </c>
      <c r="AW357" s="667" t="e">
        <f t="shared" si="379"/>
        <v>#VALUE!</v>
      </c>
      <c r="AX357" s="667" t="e">
        <f t="shared" si="380"/>
        <v>#VALUE!</v>
      </c>
      <c r="AY357" s="660" t="e">
        <f t="shared" si="381"/>
        <v>#VALUE!</v>
      </c>
      <c r="AZ357" s="670" t="e">
        <f t="shared" si="382"/>
        <v>#VALUE!</v>
      </c>
      <c r="BB357" s="662" t="e">
        <f>INDEX('Vessel Gauging Data'!$B$26:$V$56,MATCH($C357,'Vessel Gauging Data'!$B$26:$B$56,0),$BB$198)</f>
        <v>#N/A</v>
      </c>
      <c r="BC357" s="662" t="e">
        <f>INDEX('Vessel Gauging Data'!$B$26:$V$56,MATCH($C357,'Vessel Gauging Data'!$B$26:$B$56,0),$BC$198)</f>
        <v>#N/A</v>
      </c>
      <c r="BD357" s="662" t="e">
        <f>INDEX('Vessel Gauging Data'!$B$26:$V$56,MATCH($C357,'Vessel Gauging Data'!$B$26:$B$56,0),$BD$198)</f>
        <v>#N/A</v>
      </c>
      <c r="BE357" s="662" t="e">
        <f>INDEX('Vessel Gauging Data'!$B$26:$V$56,MATCH($C357,'Vessel Gauging Data'!$B$26:$B$56,0),$BE$198)</f>
        <v>#N/A</v>
      </c>
    </row>
    <row r="358" spans="1:57" hidden="1">
      <c r="A358" s="641" t="str">
        <f t="shared" ref="A358:A367" si="422">A181</f>
        <v>N</v>
      </c>
      <c r="C358" s="235" t="str">
        <f t="shared" si="384"/>
        <v/>
      </c>
      <c r="D358" s="211" t="str">
        <f t="shared" si="384"/>
        <v/>
      </c>
      <c r="E358" s="1016" t="str">
        <f t="shared" si="383"/>
        <v/>
      </c>
      <c r="F358" s="1016" t="str">
        <f t="shared" si="385"/>
        <v/>
      </c>
      <c r="G358" s="1016" t="str">
        <f t="shared" si="386"/>
        <v/>
      </c>
      <c r="H358" s="1016" t="str">
        <f t="shared" si="386"/>
        <v/>
      </c>
      <c r="I358" s="211" t="str">
        <f t="shared" si="387"/>
        <v/>
      </c>
      <c r="J358" s="1016" t="str">
        <f t="shared" si="388"/>
        <v/>
      </c>
      <c r="K358" s="213" t="str">
        <f t="shared" si="389"/>
        <v/>
      </c>
      <c r="L358" s="212" t="str">
        <f t="shared" si="390"/>
        <v/>
      </c>
      <c r="M358" s="1125" t="str">
        <f>IF(OR($C358="",$C358=0),"",INDEX(API2DENST,MATCH($C358,'Vessel Gauging Data'!$B$27:$B$56,0),$AA$1))</f>
        <v/>
      </c>
      <c r="N358" s="212" t="str">
        <f t="shared" si="391"/>
        <v/>
      </c>
      <c r="O358" s="1016" t="str">
        <f t="shared" si="392"/>
        <v/>
      </c>
      <c r="P358" s="1125" t="str">
        <f t="shared" si="393"/>
        <v/>
      </c>
      <c r="Q358" s="1016" t="str">
        <f t="shared" si="394"/>
        <v/>
      </c>
      <c r="R358" s="214" t="str">
        <f t="shared" si="395"/>
        <v/>
      </c>
      <c r="S358" s="1125" t="str">
        <f t="shared" si="396"/>
        <v/>
      </c>
      <c r="T358" s="236" t="str">
        <f t="shared" si="397"/>
        <v/>
      </c>
      <c r="W358" s="642" t="e">
        <f>INDEX('Vessel Gauging Data'!$B$26:$V$56,MATCH($C358,'Vessel Gauging Data'!$B$26:$B$56,0),$W$198)</f>
        <v>#N/A</v>
      </c>
      <c r="X358" s="642" t="e">
        <f>INDEX('Vessel Gauging Data'!$B$26:$V$56,MATCH($C358,'Vessel Gauging Data'!$B$26:$B$56,0),$X$198)</f>
        <v>#N/A</v>
      </c>
      <c r="Y358" s="642" t="e">
        <f>INDEX('Vessel Gauging Data'!$B$26:$V$56,MATCH($C358,'Vessel Gauging Data'!$B$26:$B$56,0),$Y$198)</f>
        <v>#N/A</v>
      </c>
      <c r="Z358" s="642" t="e">
        <f>INDEX('Vessel Gauging Data'!$B$26:$V$56,MATCH($C358,'Vessel Gauging Data'!$B$26:$B$56,0),$Z$198)</f>
        <v>#N/A</v>
      </c>
      <c r="AB358" s="642" t="e">
        <f>INDEX(API2DENST,MATCH($C358,'Vessel Gauging Data'!$B$27:$B$56,0),1)</f>
        <v>#N/A</v>
      </c>
      <c r="AC358" s="642" t="e">
        <f t="shared" si="339"/>
        <v>#N/A</v>
      </c>
      <c r="AE358" s="661" t="e">
        <f t="shared" si="340"/>
        <v>#VALUE!</v>
      </c>
      <c r="AF358" s="661" t="e">
        <f t="shared" si="341"/>
        <v>#VALUE!</v>
      </c>
      <c r="AH358" s="662" t="str">
        <f t="shared" si="420"/>
        <v/>
      </c>
      <c r="AI358" s="662" t="str">
        <f t="shared" si="421"/>
        <v/>
      </c>
      <c r="AJ358" s="663">
        <f t="shared" si="366"/>
        <v>192.4571</v>
      </c>
      <c r="AK358" s="660">
        <f t="shared" si="367"/>
        <v>0.24379999999999999</v>
      </c>
      <c r="AL358" s="660" t="e">
        <f t="shared" si="368"/>
        <v>#VALUE!</v>
      </c>
      <c r="AM358" s="664" t="e">
        <f t="shared" si="369"/>
        <v>#VALUE!</v>
      </c>
      <c r="AN358" s="664" t="e">
        <f t="shared" si="370"/>
        <v>#VALUE!</v>
      </c>
      <c r="AO358" s="665" t="e">
        <f t="shared" si="371"/>
        <v>#VALUE!</v>
      </c>
      <c r="AP358" s="666" t="e">
        <f t="shared" si="372"/>
        <v>#VALUE!</v>
      </c>
      <c r="AQ358" s="660" t="e">
        <f t="shared" si="373"/>
        <v>#VALUE!</v>
      </c>
      <c r="AR358" s="667" t="e">
        <f t="shared" si="374"/>
        <v>#VALUE!</v>
      </c>
      <c r="AS358" s="667" t="e">
        <f t="shared" si="375"/>
        <v>#VALUE!</v>
      </c>
      <c r="AT358" s="668" t="e">
        <f t="shared" si="376"/>
        <v>#VALUE!</v>
      </c>
      <c r="AU358" s="667" t="e">
        <f t="shared" si="377"/>
        <v>#VALUE!</v>
      </c>
      <c r="AV358" s="669" t="e">
        <f t="shared" si="378"/>
        <v>#VALUE!</v>
      </c>
      <c r="AW358" s="667" t="e">
        <f t="shared" si="379"/>
        <v>#VALUE!</v>
      </c>
      <c r="AX358" s="667" t="e">
        <f t="shared" si="380"/>
        <v>#VALUE!</v>
      </c>
      <c r="AY358" s="660" t="e">
        <f t="shared" si="381"/>
        <v>#VALUE!</v>
      </c>
      <c r="AZ358" s="670" t="e">
        <f t="shared" si="382"/>
        <v>#VALUE!</v>
      </c>
      <c r="BB358" s="662" t="e">
        <f>INDEX('Vessel Gauging Data'!$B$26:$V$56,MATCH($C358,'Vessel Gauging Data'!$B$26:$B$56,0),$BB$198)</f>
        <v>#N/A</v>
      </c>
      <c r="BC358" s="662" t="e">
        <f>INDEX('Vessel Gauging Data'!$B$26:$V$56,MATCH($C358,'Vessel Gauging Data'!$B$26:$B$56,0),$BC$198)</f>
        <v>#N/A</v>
      </c>
      <c r="BD358" s="662" t="e">
        <f>INDEX('Vessel Gauging Data'!$B$26:$V$56,MATCH($C358,'Vessel Gauging Data'!$B$26:$B$56,0),$BD$198)</f>
        <v>#N/A</v>
      </c>
      <c r="BE358" s="662" t="e">
        <f>INDEX('Vessel Gauging Data'!$B$26:$V$56,MATCH($C358,'Vessel Gauging Data'!$B$26:$B$56,0),$BE$198)</f>
        <v>#N/A</v>
      </c>
    </row>
    <row r="359" spans="1:57" hidden="1">
      <c r="A359" s="641" t="str">
        <f t="shared" si="422"/>
        <v>N</v>
      </c>
      <c r="C359" s="235" t="str">
        <f t="shared" si="384"/>
        <v/>
      </c>
      <c r="D359" s="211" t="str">
        <f t="shared" si="384"/>
        <v/>
      </c>
      <c r="E359" s="1016" t="str">
        <f t="shared" si="383"/>
        <v/>
      </c>
      <c r="F359" s="1016" t="str">
        <f t="shared" si="385"/>
        <v/>
      </c>
      <c r="G359" s="1016" t="str">
        <f t="shared" si="386"/>
        <v/>
      </c>
      <c r="H359" s="1016" t="str">
        <f t="shared" si="386"/>
        <v/>
      </c>
      <c r="I359" s="211" t="str">
        <f t="shared" si="387"/>
        <v/>
      </c>
      <c r="J359" s="1016" t="str">
        <f t="shared" si="388"/>
        <v/>
      </c>
      <c r="K359" s="213" t="str">
        <f t="shared" si="389"/>
        <v/>
      </c>
      <c r="L359" s="212" t="str">
        <f t="shared" si="390"/>
        <v/>
      </c>
      <c r="M359" s="1125" t="str">
        <f>IF(OR($C359="",$C359=0),"",INDEX(API2DENST,MATCH($C359,'Vessel Gauging Data'!$B$27:$B$56,0),$AA$1))</f>
        <v/>
      </c>
      <c r="N359" s="212" t="str">
        <f t="shared" si="391"/>
        <v/>
      </c>
      <c r="O359" s="1016" t="str">
        <f t="shared" si="392"/>
        <v/>
      </c>
      <c r="P359" s="1125" t="str">
        <f t="shared" si="393"/>
        <v/>
      </c>
      <c r="Q359" s="1016" t="str">
        <f t="shared" si="394"/>
        <v/>
      </c>
      <c r="R359" s="214" t="str">
        <f t="shared" si="395"/>
        <v/>
      </c>
      <c r="S359" s="1125" t="str">
        <f t="shared" si="396"/>
        <v/>
      </c>
      <c r="T359" s="236" t="str">
        <f t="shared" si="397"/>
        <v/>
      </c>
      <c r="W359" s="642" t="e">
        <f>INDEX('Vessel Gauging Data'!$B$26:$V$56,MATCH($C359,'Vessel Gauging Data'!$B$26:$B$56,0),$W$198)</f>
        <v>#N/A</v>
      </c>
      <c r="X359" s="642" t="e">
        <f>INDEX('Vessel Gauging Data'!$B$26:$V$56,MATCH($C359,'Vessel Gauging Data'!$B$26:$B$56,0),$X$198)</f>
        <v>#N/A</v>
      </c>
      <c r="Y359" s="642" t="e">
        <f>INDEX('Vessel Gauging Data'!$B$26:$V$56,MATCH($C359,'Vessel Gauging Data'!$B$26:$B$56,0),$Y$198)</f>
        <v>#N/A</v>
      </c>
      <c r="Z359" s="642" t="e">
        <f>INDEX('Vessel Gauging Data'!$B$26:$V$56,MATCH($C359,'Vessel Gauging Data'!$B$26:$B$56,0),$Z$198)</f>
        <v>#N/A</v>
      </c>
      <c r="AB359" s="642" t="e">
        <f>INDEX(API2DENST,MATCH($C359,'Vessel Gauging Data'!$B$27:$B$56,0),1)</f>
        <v>#N/A</v>
      </c>
      <c r="AC359" s="642" t="e">
        <f t="shared" si="339"/>
        <v>#N/A</v>
      </c>
      <c r="AE359" s="661" t="e">
        <f t="shared" si="340"/>
        <v>#VALUE!</v>
      </c>
      <c r="AF359" s="661" t="e">
        <f t="shared" si="341"/>
        <v>#VALUE!</v>
      </c>
      <c r="AH359" s="662" t="str">
        <f t="shared" si="420"/>
        <v/>
      </c>
      <c r="AI359" s="662" t="str">
        <f t="shared" si="421"/>
        <v/>
      </c>
      <c r="AJ359" s="663">
        <f t="shared" si="366"/>
        <v>192.4571</v>
      </c>
      <c r="AK359" s="660">
        <f t="shared" si="367"/>
        <v>0.24379999999999999</v>
      </c>
      <c r="AL359" s="660" t="e">
        <f t="shared" si="368"/>
        <v>#VALUE!</v>
      </c>
      <c r="AM359" s="664" t="e">
        <f t="shared" si="369"/>
        <v>#VALUE!</v>
      </c>
      <c r="AN359" s="664" t="e">
        <f t="shared" si="370"/>
        <v>#VALUE!</v>
      </c>
      <c r="AO359" s="665" t="e">
        <f t="shared" si="371"/>
        <v>#VALUE!</v>
      </c>
      <c r="AP359" s="666" t="e">
        <f t="shared" si="372"/>
        <v>#VALUE!</v>
      </c>
      <c r="AQ359" s="660" t="e">
        <f t="shared" si="373"/>
        <v>#VALUE!</v>
      </c>
      <c r="AR359" s="667" t="e">
        <f t="shared" si="374"/>
        <v>#VALUE!</v>
      </c>
      <c r="AS359" s="667" t="e">
        <f t="shared" si="375"/>
        <v>#VALUE!</v>
      </c>
      <c r="AT359" s="668" t="e">
        <f t="shared" si="376"/>
        <v>#VALUE!</v>
      </c>
      <c r="AU359" s="667" t="e">
        <f t="shared" si="377"/>
        <v>#VALUE!</v>
      </c>
      <c r="AV359" s="669" t="e">
        <f t="shared" si="378"/>
        <v>#VALUE!</v>
      </c>
      <c r="AW359" s="667" t="e">
        <f t="shared" si="379"/>
        <v>#VALUE!</v>
      </c>
      <c r="AX359" s="667" t="e">
        <f t="shared" si="380"/>
        <v>#VALUE!</v>
      </c>
      <c r="AY359" s="660" t="e">
        <f t="shared" si="381"/>
        <v>#VALUE!</v>
      </c>
      <c r="AZ359" s="670" t="e">
        <f t="shared" si="382"/>
        <v>#VALUE!</v>
      </c>
      <c r="BB359" s="662" t="e">
        <f>INDEX('Vessel Gauging Data'!$B$26:$V$56,MATCH($C359,'Vessel Gauging Data'!$B$26:$B$56,0),$BB$198)</f>
        <v>#N/A</v>
      </c>
      <c r="BC359" s="662" t="e">
        <f>INDEX('Vessel Gauging Data'!$B$26:$V$56,MATCH($C359,'Vessel Gauging Data'!$B$26:$B$56,0),$BC$198)</f>
        <v>#N/A</v>
      </c>
      <c r="BD359" s="662" t="e">
        <f>INDEX('Vessel Gauging Data'!$B$26:$V$56,MATCH($C359,'Vessel Gauging Data'!$B$26:$B$56,0),$BD$198)</f>
        <v>#N/A</v>
      </c>
      <c r="BE359" s="662" t="e">
        <f>INDEX('Vessel Gauging Data'!$B$26:$V$56,MATCH($C359,'Vessel Gauging Data'!$B$26:$B$56,0),$BE$198)</f>
        <v>#N/A</v>
      </c>
    </row>
    <row r="360" spans="1:57" hidden="1">
      <c r="A360" s="641" t="str">
        <f t="shared" si="422"/>
        <v>N</v>
      </c>
      <c r="C360" s="235" t="str">
        <f t="shared" si="384"/>
        <v/>
      </c>
      <c r="D360" s="211" t="str">
        <f t="shared" si="384"/>
        <v/>
      </c>
      <c r="E360" s="1016" t="str">
        <f t="shared" si="383"/>
        <v/>
      </c>
      <c r="F360" s="1016" t="str">
        <f t="shared" si="385"/>
        <v/>
      </c>
      <c r="G360" s="1016" t="str">
        <f t="shared" si="386"/>
        <v/>
      </c>
      <c r="H360" s="1016" t="str">
        <f t="shared" si="386"/>
        <v/>
      </c>
      <c r="I360" s="211" t="str">
        <f t="shared" si="387"/>
        <v/>
      </c>
      <c r="J360" s="1016" t="str">
        <f t="shared" si="388"/>
        <v/>
      </c>
      <c r="K360" s="213" t="str">
        <f t="shared" si="389"/>
        <v/>
      </c>
      <c r="L360" s="212" t="str">
        <f t="shared" si="390"/>
        <v/>
      </c>
      <c r="M360" s="1125" t="str">
        <f>IF(OR($C360="",$C360=0),"",INDEX(API2DENST,MATCH($C360,'Vessel Gauging Data'!$B$27:$B$56,0),$AA$1))</f>
        <v/>
      </c>
      <c r="N360" s="212" t="str">
        <f t="shared" si="391"/>
        <v/>
      </c>
      <c r="O360" s="1016" t="str">
        <f t="shared" si="392"/>
        <v/>
      </c>
      <c r="P360" s="1125" t="str">
        <f t="shared" si="393"/>
        <v/>
      </c>
      <c r="Q360" s="1016" t="str">
        <f t="shared" si="394"/>
        <v/>
      </c>
      <c r="R360" s="214" t="str">
        <f t="shared" si="395"/>
        <v/>
      </c>
      <c r="S360" s="1125" t="str">
        <f t="shared" si="396"/>
        <v/>
      </c>
      <c r="T360" s="236" t="str">
        <f t="shared" si="397"/>
        <v/>
      </c>
      <c r="W360" s="642" t="e">
        <f>INDEX('Vessel Gauging Data'!$B$26:$V$56,MATCH($C360,'Vessel Gauging Data'!$B$26:$B$56,0),$W$198)</f>
        <v>#N/A</v>
      </c>
      <c r="X360" s="642" t="e">
        <f>INDEX('Vessel Gauging Data'!$B$26:$V$56,MATCH($C360,'Vessel Gauging Data'!$B$26:$B$56,0),$X$198)</f>
        <v>#N/A</v>
      </c>
      <c r="Y360" s="642" t="e">
        <f>INDEX('Vessel Gauging Data'!$B$26:$V$56,MATCH($C360,'Vessel Gauging Data'!$B$26:$B$56,0),$Y$198)</f>
        <v>#N/A</v>
      </c>
      <c r="Z360" s="642" t="e">
        <f>INDEX('Vessel Gauging Data'!$B$26:$V$56,MATCH($C360,'Vessel Gauging Data'!$B$26:$B$56,0),$Z$198)</f>
        <v>#N/A</v>
      </c>
      <c r="AB360" s="642" t="e">
        <f>INDEX(API2DENST,MATCH($C360,'Vessel Gauging Data'!$B$27:$B$56,0),1)</f>
        <v>#N/A</v>
      </c>
      <c r="AC360" s="642" t="e">
        <f t="shared" si="339"/>
        <v>#N/A</v>
      </c>
      <c r="AE360" s="661" t="e">
        <f t="shared" si="340"/>
        <v>#VALUE!</v>
      </c>
      <c r="AF360" s="661" t="e">
        <f t="shared" si="341"/>
        <v>#VALUE!</v>
      </c>
      <c r="AH360" s="662" t="str">
        <f t="shared" si="420"/>
        <v/>
      </c>
      <c r="AI360" s="662" t="str">
        <f t="shared" si="421"/>
        <v/>
      </c>
      <c r="AJ360" s="663">
        <f t="shared" si="366"/>
        <v>192.4571</v>
      </c>
      <c r="AK360" s="660">
        <f t="shared" si="367"/>
        <v>0.24379999999999999</v>
      </c>
      <c r="AL360" s="660" t="e">
        <f t="shared" si="368"/>
        <v>#VALUE!</v>
      </c>
      <c r="AM360" s="664" t="e">
        <f t="shared" si="369"/>
        <v>#VALUE!</v>
      </c>
      <c r="AN360" s="664" t="e">
        <f t="shared" si="370"/>
        <v>#VALUE!</v>
      </c>
      <c r="AO360" s="665" t="e">
        <f t="shared" si="371"/>
        <v>#VALUE!</v>
      </c>
      <c r="AP360" s="666" t="e">
        <f t="shared" si="372"/>
        <v>#VALUE!</v>
      </c>
      <c r="AQ360" s="660" t="e">
        <f t="shared" si="373"/>
        <v>#VALUE!</v>
      </c>
      <c r="AR360" s="667" t="e">
        <f t="shared" si="374"/>
        <v>#VALUE!</v>
      </c>
      <c r="AS360" s="667" t="e">
        <f t="shared" si="375"/>
        <v>#VALUE!</v>
      </c>
      <c r="AT360" s="668" t="e">
        <f t="shared" si="376"/>
        <v>#VALUE!</v>
      </c>
      <c r="AU360" s="667" t="e">
        <f t="shared" si="377"/>
        <v>#VALUE!</v>
      </c>
      <c r="AV360" s="669" t="e">
        <f t="shared" si="378"/>
        <v>#VALUE!</v>
      </c>
      <c r="AW360" s="667" t="e">
        <f t="shared" si="379"/>
        <v>#VALUE!</v>
      </c>
      <c r="AX360" s="667" t="e">
        <f t="shared" si="380"/>
        <v>#VALUE!</v>
      </c>
      <c r="AY360" s="660" t="e">
        <f t="shared" si="381"/>
        <v>#VALUE!</v>
      </c>
      <c r="AZ360" s="670" t="e">
        <f t="shared" si="382"/>
        <v>#VALUE!</v>
      </c>
      <c r="BB360" s="662" t="e">
        <f>INDEX('Vessel Gauging Data'!$B$26:$V$56,MATCH($C360,'Vessel Gauging Data'!$B$26:$B$56,0),$BB$198)</f>
        <v>#N/A</v>
      </c>
      <c r="BC360" s="662" t="e">
        <f>INDEX('Vessel Gauging Data'!$B$26:$V$56,MATCH($C360,'Vessel Gauging Data'!$B$26:$B$56,0),$BC$198)</f>
        <v>#N/A</v>
      </c>
      <c r="BD360" s="662" t="e">
        <f>INDEX('Vessel Gauging Data'!$B$26:$V$56,MATCH($C360,'Vessel Gauging Data'!$B$26:$B$56,0),$BD$198)</f>
        <v>#N/A</v>
      </c>
      <c r="BE360" s="662" t="e">
        <f>INDEX('Vessel Gauging Data'!$B$26:$V$56,MATCH($C360,'Vessel Gauging Data'!$B$26:$B$56,0),$BE$198)</f>
        <v>#N/A</v>
      </c>
    </row>
    <row r="361" spans="1:57" hidden="1">
      <c r="A361" s="641" t="str">
        <f t="shared" si="422"/>
        <v>N</v>
      </c>
      <c r="C361" s="235" t="str">
        <f t="shared" si="384"/>
        <v/>
      </c>
      <c r="D361" s="211" t="str">
        <f t="shared" si="384"/>
        <v/>
      </c>
      <c r="E361" s="1016" t="str">
        <f t="shared" si="383"/>
        <v/>
      </c>
      <c r="F361" s="1016" t="str">
        <f t="shared" si="385"/>
        <v/>
      </c>
      <c r="G361" s="1016" t="str">
        <f t="shared" si="386"/>
        <v/>
      </c>
      <c r="H361" s="1016" t="str">
        <f t="shared" si="386"/>
        <v/>
      </c>
      <c r="I361" s="211" t="str">
        <f t="shared" si="387"/>
        <v/>
      </c>
      <c r="J361" s="1016" t="str">
        <f t="shared" si="388"/>
        <v/>
      </c>
      <c r="K361" s="213" t="str">
        <f t="shared" si="389"/>
        <v/>
      </c>
      <c r="L361" s="212" t="str">
        <f t="shared" si="390"/>
        <v/>
      </c>
      <c r="M361" s="1125" t="str">
        <f>IF(OR($C361="",$C361=0),"",INDEX(API2DENST,MATCH($C361,'Vessel Gauging Data'!$B$27:$B$56,0),$AA$1))</f>
        <v/>
      </c>
      <c r="N361" s="212" t="str">
        <f t="shared" si="391"/>
        <v/>
      </c>
      <c r="O361" s="1016" t="str">
        <f t="shared" si="392"/>
        <v/>
      </c>
      <c r="P361" s="1125" t="str">
        <f t="shared" si="393"/>
        <v/>
      </c>
      <c r="Q361" s="1016" t="str">
        <f t="shared" si="394"/>
        <v/>
      </c>
      <c r="R361" s="214" t="str">
        <f t="shared" si="395"/>
        <v/>
      </c>
      <c r="S361" s="1125" t="str">
        <f t="shared" si="396"/>
        <v/>
      </c>
      <c r="T361" s="236" t="str">
        <f t="shared" si="397"/>
        <v/>
      </c>
      <c r="W361" s="642" t="e">
        <f>INDEX('Vessel Gauging Data'!$B$26:$V$56,MATCH($C361,'Vessel Gauging Data'!$B$26:$B$56,0),$W$198)</f>
        <v>#N/A</v>
      </c>
      <c r="X361" s="642" t="e">
        <f>INDEX('Vessel Gauging Data'!$B$26:$V$56,MATCH($C361,'Vessel Gauging Data'!$B$26:$B$56,0),$X$198)</f>
        <v>#N/A</v>
      </c>
      <c r="Y361" s="642" t="e">
        <f>INDEX('Vessel Gauging Data'!$B$26:$V$56,MATCH($C361,'Vessel Gauging Data'!$B$26:$B$56,0),$Y$198)</f>
        <v>#N/A</v>
      </c>
      <c r="Z361" s="642" t="e">
        <f>INDEX('Vessel Gauging Data'!$B$26:$V$56,MATCH($C361,'Vessel Gauging Data'!$B$26:$B$56,0),$Z$198)</f>
        <v>#N/A</v>
      </c>
      <c r="AB361" s="642" t="e">
        <f>INDEX(API2DENST,MATCH($C361,'Vessel Gauging Data'!$B$27:$B$56,0),1)</f>
        <v>#N/A</v>
      </c>
      <c r="AC361" s="642" t="e">
        <f t="shared" si="339"/>
        <v>#N/A</v>
      </c>
      <c r="AE361" s="661" t="e">
        <f t="shared" si="340"/>
        <v>#VALUE!</v>
      </c>
      <c r="AF361" s="661" t="e">
        <f t="shared" si="341"/>
        <v>#VALUE!</v>
      </c>
      <c r="AH361" s="662" t="str">
        <f t="shared" si="420"/>
        <v/>
      </c>
      <c r="AI361" s="662" t="str">
        <f t="shared" si="421"/>
        <v/>
      </c>
      <c r="AJ361" s="663">
        <f t="shared" si="366"/>
        <v>192.4571</v>
      </c>
      <c r="AK361" s="660">
        <f t="shared" si="367"/>
        <v>0.24379999999999999</v>
      </c>
      <c r="AL361" s="660" t="e">
        <f t="shared" si="368"/>
        <v>#VALUE!</v>
      </c>
      <c r="AM361" s="664" t="e">
        <f t="shared" si="369"/>
        <v>#VALUE!</v>
      </c>
      <c r="AN361" s="664" t="e">
        <f t="shared" si="370"/>
        <v>#VALUE!</v>
      </c>
      <c r="AO361" s="665" t="e">
        <f t="shared" si="371"/>
        <v>#VALUE!</v>
      </c>
      <c r="AP361" s="666" t="e">
        <f t="shared" si="372"/>
        <v>#VALUE!</v>
      </c>
      <c r="AQ361" s="660" t="e">
        <f t="shared" si="373"/>
        <v>#VALUE!</v>
      </c>
      <c r="AR361" s="667" t="e">
        <f t="shared" si="374"/>
        <v>#VALUE!</v>
      </c>
      <c r="AS361" s="667" t="e">
        <f t="shared" si="375"/>
        <v>#VALUE!</v>
      </c>
      <c r="AT361" s="668" t="e">
        <f t="shared" si="376"/>
        <v>#VALUE!</v>
      </c>
      <c r="AU361" s="667" t="e">
        <f t="shared" si="377"/>
        <v>#VALUE!</v>
      </c>
      <c r="AV361" s="669" t="e">
        <f t="shared" si="378"/>
        <v>#VALUE!</v>
      </c>
      <c r="AW361" s="667" t="e">
        <f t="shared" si="379"/>
        <v>#VALUE!</v>
      </c>
      <c r="AX361" s="667" t="e">
        <f t="shared" si="380"/>
        <v>#VALUE!</v>
      </c>
      <c r="AY361" s="660" t="e">
        <f t="shared" si="381"/>
        <v>#VALUE!</v>
      </c>
      <c r="AZ361" s="670" t="e">
        <f t="shared" si="382"/>
        <v>#VALUE!</v>
      </c>
      <c r="BB361" s="662" t="e">
        <f>INDEX('Vessel Gauging Data'!$B$26:$V$56,MATCH($C361,'Vessel Gauging Data'!$B$26:$B$56,0),$BB$198)</f>
        <v>#N/A</v>
      </c>
      <c r="BC361" s="662" t="e">
        <f>INDEX('Vessel Gauging Data'!$B$26:$V$56,MATCH($C361,'Vessel Gauging Data'!$B$26:$B$56,0),$BC$198)</f>
        <v>#N/A</v>
      </c>
      <c r="BD361" s="662" t="e">
        <f>INDEX('Vessel Gauging Data'!$B$26:$V$56,MATCH($C361,'Vessel Gauging Data'!$B$26:$B$56,0),$BD$198)</f>
        <v>#N/A</v>
      </c>
      <c r="BE361" s="662" t="e">
        <f>INDEX('Vessel Gauging Data'!$B$26:$V$56,MATCH($C361,'Vessel Gauging Data'!$B$26:$B$56,0),$BE$198)</f>
        <v>#N/A</v>
      </c>
    </row>
    <row r="362" spans="1:57" hidden="1">
      <c r="A362" s="641" t="str">
        <f t="shared" si="422"/>
        <v>N</v>
      </c>
      <c r="C362" s="235" t="str">
        <f t="shared" si="384"/>
        <v/>
      </c>
      <c r="D362" s="211" t="str">
        <f t="shared" si="384"/>
        <v/>
      </c>
      <c r="E362" s="1016" t="str">
        <f t="shared" si="383"/>
        <v/>
      </c>
      <c r="F362" s="1016" t="str">
        <f t="shared" si="385"/>
        <v/>
      </c>
      <c r="G362" s="1016" t="str">
        <f t="shared" si="386"/>
        <v/>
      </c>
      <c r="H362" s="1016" t="str">
        <f t="shared" si="386"/>
        <v/>
      </c>
      <c r="I362" s="211" t="str">
        <f t="shared" si="387"/>
        <v/>
      </c>
      <c r="J362" s="1016" t="str">
        <f t="shared" si="388"/>
        <v/>
      </c>
      <c r="K362" s="213" t="str">
        <f t="shared" si="389"/>
        <v/>
      </c>
      <c r="L362" s="212" t="str">
        <f t="shared" si="390"/>
        <v/>
      </c>
      <c r="M362" s="1125" t="str">
        <f>IF(OR($C362="",$C362=0),"",INDEX(API2DENST,MATCH($C362,'Vessel Gauging Data'!$B$27:$B$56,0),$AA$1))</f>
        <v/>
      </c>
      <c r="N362" s="212" t="str">
        <f t="shared" si="391"/>
        <v/>
      </c>
      <c r="O362" s="1016" t="str">
        <f t="shared" si="392"/>
        <v/>
      </c>
      <c r="P362" s="1125" t="str">
        <f t="shared" si="393"/>
        <v/>
      </c>
      <c r="Q362" s="1016" t="str">
        <f t="shared" si="394"/>
        <v/>
      </c>
      <c r="R362" s="214" t="str">
        <f t="shared" si="395"/>
        <v/>
      </c>
      <c r="S362" s="1125" t="str">
        <f t="shared" si="396"/>
        <v/>
      </c>
      <c r="T362" s="236" t="str">
        <f t="shared" si="397"/>
        <v/>
      </c>
      <c r="W362" s="642" t="e">
        <f>INDEX('Vessel Gauging Data'!$B$26:$V$56,MATCH($C362,'Vessel Gauging Data'!$B$26:$B$56,0),$W$198)</f>
        <v>#N/A</v>
      </c>
      <c r="X362" s="642" t="e">
        <f>INDEX('Vessel Gauging Data'!$B$26:$V$56,MATCH($C362,'Vessel Gauging Data'!$B$26:$B$56,0),$X$198)</f>
        <v>#N/A</v>
      </c>
      <c r="Y362" s="642" t="e">
        <f>INDEX('Vessel Gauging Data'!$B$26:$V$56,MATCH($C362,'Vessel Gauging Data'!$B$26:$B$56,0),$Y$198)</f>
        <v>#N/A</v>
      </c>
      <c r="Z362" s="642" t="e">
        <f>INDEX('Vessel Gauging Data'!$B$26:$V$56,MATCH($C362,'Vessel Gauging Data'!$B$26:$B$56,0),$Z$198)</f>
        <v>#N/A</v>
      </c>
      <c r="AB362" s="642" t="e">
        <f>INDEX(API2DENST,MATCH($C362,'Vessel Gauging Data'!$B$27:$B$56,0),1)</f>
        <v>#N/A</v>
      </c>
      <c r="AC362" s="642" t="e">
        <f t="shared" si="339"/>
        <v>#N/A</v>
      </c>
      <c r="AE362" s="661" t="e">
        <f t="shared" si="340"/>
        <v>#VALUE!</v>
      </c>
      <c r="AF362" s="661" t="e">
        <f t="shared" si="341"/>
        <v>#VALUE!</v>
      </c>
      <c r="AH362" s="662" t="str">
        <f t="shared" si="420"/>
        <v/>
      </c>
      <c r="AI362" s="662" t="str">
        <f t="shared" si="421"/>
        <v/>
      </c>
      <c r="AJ362" s="663">
        <f t="shared" si="366"/>
        <v>192.4571</v>
      </c>
      <c r="AK362" s="660">
        <f t="shared" si="367"/>
        <v>0.24379999999999999</v>
      </c>
      <c r="AL362" s="660" t="e">
        <f t="shared" si="368"/>
        <v>#VALUE!</v>
      </c>
      <c r="AM362" s="664" t="e">
        <f t="shared" si="369"/>
        <v>#VALUE!</v>
      </c>
      <c r="AN362" s="664" t="e">
        <f t="shared" si="370"/>
        <v>#VALUE!</v>
      </c>
      <c r="AO362" s="665" t="e">
        <f t="shared" si="371"/>
        <v>#VALUE!</v>
      </c>
      <c r="AP362" s="666" t="e">
        <f t="shared" si="372"/>
        <v>#VALUE!</v>
      </c>
      <c r="AQ362" s="660" t="e">
        <f t="shared" si="373"/>
        <v>#VALUE!</v>
      </c>
      <c r="AR362" s="667" t="e">
        <f t="shared" si="374"/>
        <v>#VALUE!</v>
      </c>
      <c r="AS362" s="667" t="e">
        <f t="shared" si="375"/>
        <v>#VALUE!</v>
      </c>
      <c r="AT362" s="668" t="e">
        <f t="shared" si="376"/>
        <v>#VALUE!</v>
      </c>
      <c r="AU362" s="667" t="e">
        <f t="shared" si="377"/>
        <v>#VALUE!</v>
      </c>
      <c r="AV362" s="669" t="e">
        <f t="shared" si="378"/>
        <v>#VALUE!</v>
      </c>
      <c r="AW362" s="667" t="e">
        <f t="shared" si="379"/>
        <v>#VALUE!</v>
      </c>
      <c r="AX362" s="667" t="e">
        <f t="shared" si="380"/>
        <v>#VALUE!</v>
      </c>
      <c r="AY362" s="660" t="e">
        <f t="shared" si="381"/>
        <v>#VALUE!</v>
      </c>
      <c r="AZ362" s="670" t="e">
        <f t="shared" si="382"/>
        <v>#VALUE!</v>
      </c>
      <c r="BB362" s="662" t="e">
        <f>INDEX('Vessel Gauging Data'!$B$26:$V$56,MATCH($C362,'Vessel Gauging Data'!$B$26:$B$56,0),$BB$198)</f>
        <v>#N/A</v>
      </c>
      <c r="BC362" s="662" t="e">
        <f>INDEX('Vessel Gauging Data'!$B$26:$V$56,MATCH($C362,'Vessel Gauging Data'!$B$26:$B$56,0),$BC$198)</f>
        <v>#N/A</v>
      </c>
      <c r="BD362" s="662" t="e">
        <f>INDEX('Vessel Gauging Data'!$B$26:$V$56,MATCH($C362,'Vessel Gauging Data'!$B$26:$B$56,0),$BD$198)</f>
        <v>#N/A</v>
      </c>
      <c r="BE362" s="662" t="e">
        <f>INDEX('Vessel Gauging Data'!$B$26:$V$56,MATCH($C362,'Vessel Gauging Data'!$B$26:$B$56,0),$BE$198)</f>
        <v>#N/A</v>
      </c>
    </row>
    <row r="363" spans="1:57" hidden="1">
      <c r="A363" s="641" t="str">
        <f t="shared" si="422"/>
        <v>N</v>
      </c>
      <c r="C363" s="235" t="str">
        <f t="shared" si="384"/>
        <v/>
      </c>
      <c r="D363" s="211" t="str">
        <f t="shared" si="384"/>
        <v/>
      </c>
      <c r="E363" s="1016" t="str">
        <f t="shared" si="383"/>
        <v/>
      </c>
      <c r="F363" s="1016" t="str">
        <f t="shared" si="385"/>
        <v/>
      </c>
      <c r="G363" s="1016" t="str">
        <f t="shared" si="386"/>
        <v/>
      </c>
      <c r="H363" s="1016" t="str">
        <f t="shared" si="386"/>
        <v/>
      </c>
      <c r="I363" s="211" t="str">
        <f t="shared" si="387"/>
        <v/>
      </c>
      <c r="J363" s="1016" t="str">
        <f t="shared" si="388"/>
        <v/>
      </c>
      <c r="K363" s="213" t="str">
        <f t="shared" si="389"/>
        <v/>
      </c>
      <c r="L363" s="212" t="str">
        <f t="shared" si="390"/>
        <v/>
      </c>
      <c r="M363" s="1125" t="str">
        <f>IF(OR($C363="",$C363=0),"",INDEX(API2DENST,MATCH($C363,'Vessel Gauging Data'!$B$27:$B$56,0),$AA$1))</f>
        <v/>
      </c>
      <c r="N363" s="212" t="str">
        <f t="shared" si="391"/>
        <v/>
      </c>
      <c r="O363" s="1016" t="str">
        <f t="shared" si="392"/>
        <v/>
      </c>
      <c r="P363" s="1125" t="str">
        <f t="shared" si="393"/>
        <v/>
      </c>
      <c r="Q363" s="1016" t="str">
        <f t="shared" si="394"/>
        <v/>
      </c>
      <c r="R363" s="214" t="str">
        <f t="shared" si="395"/>
        <v/>
      </c>
      <c r="S363" s="1125" t="str">
        <f t="shared" si="396"/>
        <v/>
      </c>
      <c r="T363" s="236" t="str">
        <f t="shared" si="397"/>
        <v/>
      </c>
      <c r="W363" s="642" t="e">
        <f>INDEX('Vessel Gauging Data'!$B$26:$V$56,MATCH($C363,'Vessel Gauging Data'!$B$26:$B$56,0),$W$198)</f>
        <v>#N/A</v>
      </c>
      <c r="X363" s="642" t="e">
        <f>INDEX('Vessel Gauging Data'!$B$26:$V$56,MATCH($C363,'Vessel Gauging Data'!$B$26:$B$56,0),$X$198)</f>
        <v>#N/A</v>
      </c>
      <c r="Y363" s="642" t="e">
        <f>INDEX('Vessel Gauging Data'!$B$26:$V$56,MATCH($C363,'Vessel Gauging Data'!$B$26:$B$56,0),$Y$198)</f>
        <v>#N/A</v>
      </c>
      <c r="Z363" s="642" t="e">
        <f>INDEX('Vessel Gauging Data'!$B$26:$V$56,MATCH($C363,'Vessel Gauging Data'!$B$26:$B$56,0),$Z$198)</f>
        <v>#N/A</v>
      </c>
      <c r="AB363" s="642" t="e">
        <f>INDEX(API2DENST,MATCH($C363,'Vessel Gauging Data'!$B$27:$B$56,0),1)</f>
        <v>#N/A</v>
      </c>
      <c r="AC363" s="642" t="e">
        <f t="shared" si="339"/>
        <v>#N/A</v>
      </c>
      <c r="AE363" s="661" t="e">
        <f t="shared" si="340"/>
        <v>#VALUE!</v>
      </c>
      <c r="AF363" s="661" t="e">
        <f t="shared" si="341"/>
        <v>#VALUE!</v>
      </c>
      <c r="AH363" s="662" t="str">
        <f t="shared" si="420"/>
        <v/>
      </c>
      <c r="AI363" s="662" t="str">
        <f t="shared" si="421"/>
        <v/>
      </c>
      <c r="AJ363" s="663">
        <f t="shared" si="366"/>
        <v>192.4571</v>
      </c>
      <c r="AK363" s="660">
        <f t="shared" si="367"/>
        <v>0.24379999999999999</v>
      </c>
      <c r="AL363" s="660" t="e">
        <f t="shared" si="368"/>
        <v>#VALUE!</v>
      </c>
      <c r="AM363" s="664" t="e">
        <f t="shared" si="369"/>
        <v>#VALUE!</v>
      </c>
      <c r="AN363" s="664" t="e">
        <f t="shared" si="370"/>
        <v>#VALUE!</v>
      </c>
      <c r="AO363" s="665" t="e">
        <f t="shared" si="371"/>
        <v>#VALUE!</v>
      </c>
      <c r="AP363" s="666" t="e">
        <f t="shared" si="372"/>
        <v>#VALUE!</v>
      </c>
      <c r="AQ363" s="660" t="e">
        <f t="shared" si="373"/>
        <v>#VALUE!</v>
      </c>
      <c r="AR363" s="667" t="e">
        <f t="shared" si="374"/>
        <v>#VALUE!</v>
      </c>
      <c r="AS363" s="667" t="e">
        <f t="shared" si="375"/>
        <v>#VALUE!</v>
      </c>
      <c r="AT363" s="668" t="e">
        <f t="shared" si="376"/>
        <v>#VALUE!</v>
      </c>
      <c r="AU363" s="667" t="e">
        <f t="shared" si="377"/>
        <v>#VALUE!</v>
      </c>
      <c r="AV363" s="669" t="e">
        <f t="shared" si="378"/>
        <v>#VALUE!</v>
      </c>
      <c r="AW363" s="667" t="e">
        <f t="shared" si="379"/>
        <v>#VALUE!</v>
      </c>
      <c r="AX363" s="667" t="e">
        <f t="shared" si="380"/>
        <v>#VALUE!</v>
      </c>
      <c r="AY363" s="660" t="e">
        <f t="shared" si="381"/>
        <v>#VALUE!</v>
      </c>
      <c r="AZ363" s="670" t="e">
        <f t="shared" si="382"/>
        <v>#VALUE!</v>
      </c>
      <c r="BB363" s="662" t="e">
        <f>INDEX('Vessel Gauging Data'!$B$26:$V$56,MATCH($C363,'Vessel Gauging Data'!$B$26:$B$56,0),$BB$198)</f>
        <v>#N/A</v>
      </c>
      <c r="BC363" s="662" t="e">
        <f>INDEX('Vessel Gauging Data'!$B$26:$V$56,MATCH($C363,'Vessel Gauging Data'!$B$26:$B$56,0),$BC$198)</f>
        <v>#N/A</v>
      </c>
      <c r="BD363" s="662" t="e">
        <f>INDEX('Vessel Gauging Data'!$B$26:$V$56,MATCH($C363,'Vessel Gauging Data'!$B$26:$B$56,0),$BD$198)</f>
        <v>#N/A</v>
      </c>
      <c r="BE363" s="662" t="e">
        <f>INDEX('Vessel Gauging Data'!$B$26:$V$56,MATCH($C363,'Vessel Gauging Data'!$B$26:$B$56,0),$BE$198)</f>
        <v>#N/A</v>
      </c>
    </row>
    <row r="364" spans="1:57" hidden="1">
      <c r="A364" s="641" t="str">
        <f t="shared" si="422"/>
        <v>N</v>
      </c>
      <c r="C364" s="235" t="str">
        <f t="shared" si="384"/>
        <v/>
      </c>
      <c r="D364" s="211" t="str">
        <f t="shared" si="384"/>
        <v/>
      </c>
      <c r="E364" s="1016" t="str">
        <f t="shared" si="383"/>
        <v/>
      </c>
      <c r="F364" s="1016" t="str">
        <f t="shared" si="385"/>
        <v/>
      </c>
      <c r="G364" s="1016" t="str">
        <f t="shared" si="386"/>
        <v/>
      </c>
      <c r="H364" s="1016" t="str">
        <f t="shared" si="386"/>
        <v/>
      </c>
      <c r="I364" s="211" t="str">
        <f t="shared" si="387"/>
        <v/>
      </c>
      <c r="J364" s="1016" t="str">
        <f t="shared" si="388"/>
        <v/>
      </c>
      <c r="K364" s="213" t="str">
        <f t="shared" si="389"/>
        <v/>
      </c>
      <c r="L364" s="212" t="str">
        <f t="shared" si="390"/>
        <v/>
      </c>
      <c r="M364" s="1125" t="str">
        <f>IF(OR($C364="",$C364=0),"",INDEX(API2DENST,MATCH($C364,'Vessel Gauging Data'!$B$27:$B$56,0),$AA$1))</f>
        <v/>
      </c>
      <c r="N364" s="212" t="str">
        <f t="shared" si="391"/>
        <v/>
      </c>
      <c r="O364" s="1016" t="str">
        <f t="shared" si="392"/>
        <v/>
      </c>
      <c r="P364" s="1125" t="str">
        <f t="shared" si="393"/>
        <v/>
      </c>
      <c r="Q364" s="1016" t="str">
        <f t="shared" si="394"/>
        <v/>
      </c>
      <c r="R364" s="214" t="str">
        <f t="shared" si="395"/>
        <v/>
      </c>
      <c r="S364" s="1125" t="str">
        <f t="shared" si="396"/>
        <v/>
      </c>
      <c r="T364" s="236" t="str">
        <f t="shared" si="397"/>
        <v/>
      </c>
      <c r="W364" s="642" t="e">
        <f>INDEX('Vessel Gauging Data'!$B$26:$V$56,MATCH($C364,'Vessel Gauging Data'!$B$26:$B$56,0),$W$198)</f>
        <v>#N/A</v>
      </c>
      <c r="X364" s="642" t="e">
        <f>INDEX('Vessel Gauging Data'!$B$26:$V$56,MATCH($C364,'Vessel Gauging Data'!$B$26:$B$56,0),$X$198)</f>
        <v>#N/A</v>
      </c>
      <c r="Y364" s="642" t="e">
        <f>INDEX('Vessel Gauging Data'!$B$26:$V$56,MATCH($C364,'Vessel Gauging Data'!$B$26:$B$56,0),$Y$198)</f>
        <v>#N/A</v>
      </c>
      <c r="Z364" s="642" t="e">
        <f>INDEX('Vessel Gauging Data'!$B$26:$V$56,MATCH($C364,'Vessel Gauging Data'!$B$26:$B$56,0),$Z$198)</f>
        <v>#N/A</v>
      </c>
      <c r="AB364" s="642" t="e">
        <f>INDEX(API2DENST,MATCH($C364,'Vessel Gauging Data'!$B$27:$B$56,0),1)</f>
        <v>#N/A</v>
      </c>
      <c r="AC364" s="642" t="e">
        <f t="shared" si="339"/>
        <v>#N/A</v>
      </c>
      <c r="AE364" s="661" t="e">
        <f t="shared" si="340"/>
        <v>#VALUE!</v>
      </c>
      <c r="AF364" s="661" t="e">
        <f t="shared" si="341"/>
        <v>#VALUE!</v>
      </c>
      <c r="AH364" s="662" t="str">
        <f t="shared" si="420"/>
        <v/>
      </c>
      <c r="AI364" s="662" t="str">
        <f t="shared" si="421"/>
        <v/>
      </c>
      <c r="AJ364" s="663">
        <f t="shared" si="366"/>
        <v>192.4571</v>
      </c>
      <c r="AK364" s="660">
        <f t="shared" si="367"/>
        <v>0.24379999999999999</v>
      </c>
      <c r="AL364" s="660" t="e">
        <f t="shared" si="368"/>
        <v>#VALUE!</v>
      </c>
      <c r="AM364" s="664" t="e">
        <f t="shared" si="369"/>
        <v>#VALUE!</v>
      </c>
      <c r="AN364" s="664" t="e">
        <f t="shared" si="370"/>
        <v>#VALUE!</v>
      </c>
      <c r="AO364" s="665" t="e">
        <f t="shared" si="371"/>
        <v>#VALUE!</v>
      </c>
      <c r="AP364" s="666" t="e">
        <f t="shared" si="372"/>
        <v>#VALUE!</v>
      </c>
      <c r="AQ364" s="660" t="e">
        <f t="shared" si="373"/>
        <v>#VALUE!</v>
      </c>
      <c r="AR364" s="667" t="e">
        <f t="shared" si="374"/>
        <v>#VALUE!</v>
      </c>
      <c r="AS364" s="667" t="e">
        <f t="shared" si="375"/>
        <v>#VALUE!</v>
      </c>
      <c r="AT364" s="668" t="e">
        <f t="shared" si="376"/>
        <v>#VALUE!</v>
      </c>
      <c r="AU364" s="667" t="e">
        <f t="shared" si="377"/>
        <v>#VALUE!</v>
      </c>
      <c r="AV364" s="669" t="e">
        <f t="shared" si="378"/>
        <v>#VALUE!</v>
      </c>
      <c r="AW364" s="667" t="e">
        <f t="shared" si="379"/>
        <v>#VALUE!</v>
      </c>
      <c r="AX364" s="667" t="e">
        <f t="shared" si="380"/>
        <v>#VALUE!</v>
      </c>
      <c r="AY364" s="660" t="e">
        <f t="shared" si="381"/>
        <v>#VALUE!</v>
      </c>
      <c r="AZ364" s="670" t="e">
        <f t="shared" si="382"/>
        <v>#VALUE!</v>
      </c>
      <c r="BB364" s="662" t="e">
        <f>INDEX('Vessel Gauging Data'!$B$26:$V$56,MATCH($C364,'Vessel Gauging Data'!$B$26:$B$56,0),$BB$198)</f>
        <v>#N/A</v>
      </c>
      <c r="BC364" s="662" t="e">
        <f>INDEX('Vessel Gauging Data'!$B$26:$V$56,MATCH($C364,'Vessel Gauging Data'!$B$26:$B$56,0),$BC$198)</f>
        <v>#N/A</v>
      </c>
      <c r="BD364" s="662" t="e">
        <f>INDEX('Vessel Gauging Data'!$B$26:$V$56,MATCH($C364,'Vessel Gauging Data'!$B$26:$B$56,0),$BD$198)</f>
        <v>#N/A</v>
      </c>
      <c r="BE364" s="662" t="e">
        <f>INDEX('Vessel Gauging Data'!$B$26:$V$56,MATCH($C364,'Vessel Gauging Data'!$B$26:$B$56,0),$BE$198)</f>
        <v>#N/A</v>
      </c>
    </row>
    <row r="365" spans="1:57" hidden="1">
      <c r="A365" s="641" t="str">
        <f t="shared" si="422"/>
        <v>N</v>
      </c>
      <c r="C365" s="235" t="str">
        <f t="shared" si="384"/>
        <v/>
      </c>
      <c r="D365" s="211" t="str">
        <f t="shared" si="384"/>
        <v/>
      </c>
      <c r="E365" s="1016" t="str">
        <f t="shared" si="383"/>
        <v/>
      </c>
      <c r="F365" s="1016" t="str">
        <f t="shared" si="385"/>
        <v/>
      </c>
      <c r="G365" s="1016" t="str">
        <f t="shared" si="386"/>
        <v/>
      </c>
      <c r="H365" s="1016" t="str">
        <f t="shared" si="386"/>
        <v/>
      </c>
      <c r="I365" s="211" t="str">
        <f t="shared" si="387"/>
        <v/>
      </c>
      <c r="J365" s="1016" t="str">
        <f t="shared" si="388"/>
        <v/>
      </c>
      <c r="K365" s="213" t="str">
        <f t="shared" si="389"/>
        <v/>
      </c>
      <c r="L365" s="212" t="str">
        <f t="shared" si="390"/>
        <v/>
      </c>
      <c r="M365" s="1125" t="str">
        <f>IF(OR($C365="",$C365=0),"",INDEX(API2DENST,MATCH($C365,'Vessel Gauging Data'!$B$27:$B$56,0),$AA$1))</f>
        <v/>
      </c>
      <c r="N365" s="212" t="str">
        <f t="shared" si="391"/>
        <v/>
      </c>
      <c r="O365" s="1016" t="str">
        <f t="shared" si="392"/>
        <v/>
      </c>
      <c r="P365" s="1125" t="str">
        <f t="shared" si="393"/>
        <v/>
      </c>
      <c r="Q365" s="1016" t="str">
        <f t="shared" si="394"/>
        <v/>
      </c>
      <c r="R365" s="214" t="str">
        <f t="shared" si="395"/>
        <v/>
      </c>
      <c r="S365" s="1125" t="str">
        <f t="shared" si="396"/>
        <v/>
      </c>
      <c r="T365" s="236" t="str">
        <f t="shared" si="397"/>
        <v/>
      </c>
      <c r="W365" s="642" t="e">
        <f>INDEX('Vessel Gauging Data'!$B$26:$V$56,MATCH($C365,'Vessel Gauging Data'!$B$26:$B$56,0),$W$198)</f>
        <v>#N/A</v>
      </c>
      <c r="X365" s="642" t="e">
        <f>INDEX('Vessel Gauging Data'!$B$26:$V$56,MATCH($C365,'Vessel Gauging Data'!$B$26:$B$56,0),$X$198)</f>
        <v>#N/A</v>
      </c>
      <c r="Y365" s="642" t="e">
        <f>INDEX('Vessel Gauging Data'!$B$26:$V$56,MATCH($C365,'Vessel Gauging Data'!$B$26:$B$56,0),$Y$198)</f>
        <v>#N/A</v>
      </c>
      <c r="Z365" s="642" t="e">
        <f>INDEX('Vessel Gauging Data'!$B$26:$V$56,MATCH($C365,'Vessel Gauging Data'!$B$26:$B$56,0),$Z$198)</f>
        <v>#N/A</v>
      </c>
      <c r="AB365" s="642" t="e">
        <f>INDEX(API2DENST,MATCH($C365,'Vessel Gauging Data'!$B$27:$B$56,0),1)</f>
        <v>#N/A</v>
      </c>
      <c r="AC365" s="642" t="e">
        <f t="shared" si="339"/>
        <v>#N/A</v>
      </c>
      <c r="AE365" s="661" t="e">
        <f t="shared" si="340"/>
        <v>#VALUE!</v>
      </c>
      <c r="AF365" s="661" t="e">
        <f t="shared" si="341"/>
        <v>#VALUE!</v>
      </c>
      <c r="AH365" s="662" t="str">
        <f t="shared" si="420"/>
        <v/>
      </c>
      <c r="AI365" s="662" t="str">
        <f t="shared" si="421"/>
        <v/>
      </c>
      <c r="AJ365" s="663">
        <f t="shared" si="366"/>
        <v>192.4571</v>
      </c>
      <c r="AK365" s="660">
        <f t="shared" si="367"/>
        <v>0.24379999999999999</v>
      </c>
      <c r="AL365" s="660" t="e">
        <f t="shared" si="368"/>
        <v>#VALUE!</v>
      </c>
      <c r="AM365" s="664" t="e">
        <f t="shared" si="369"/>
        <v>#VALUE!</v>
      </c>
      <c r="AN365" s="664" t="e">
        <f t="shared" si="370"/>
        <v>#VALUE!</v>
      </c>
      <c r="AO365" s="665" t="e">
        <f t="shared" si="371"/>
        <v>#VALUE!</v>
      </c>
      <c r="AP365" s="666" t="e">
        <f t="shared" si="372"/>
        <v>#VALUE!</v>
      </c>
      <c r="AQ365" s="660" t="e">
        <f t="shared" si="373"/>
        <v>#VALUE!</v>
      </c>
      <c r="AR365" s="667" t="e">
        <f t="shared" si="374"/>
        <v>#VALUE!</v>
      </c>
      <c r="AS365" s="667" t="e">
        <f t="shared" si="375"/>
        <v>#VALUE!</v>
      </c>
      <c r="AT365" s="668" t="e">
        <f t="shared" si="376"/>
        <v>#VALUE!</v>
      </c>
      <c r="AU365" s="667" t="e">
        <f t="shared" si="377"/>
        <v>#VALUE!</v>
      </c>
      <c r="AV365" s="669" t="e">
        <f t="shared" si="378"/>
        <v>#VALUE!</v>
      </c>
      <c r="AW365" s="667" t="e">
        <f t="shared" si="379"/>
        <v>#VALUE!</v>
      </c>
      <c r="AX365" s="667" t="e">
        <f t="shared" si="380"/>
        <v>#VALUE!</v>
      </c>
      <c r="AY365" s="660" t="e">
        <f t="shared" si="381"/>
        <v>#VALUE!</v>
      </c>
      <c r="AZ365" s="670" t="e">
        <f t="shared" si="382"/>
        <v>#VALUE!</v>
      </c>
      <c r="BB365" s="662" t="e">
        <f>INDEX('Vessel Gauging Data'!$B$26:$V$56,MATCH($C365,'Vessel Gauging Data'!$B$26:$B$56,0),$BB$198)</f>
        <v>#N/A</v>
      </c>
      <c r="BC365" s="662" t="e">
        <f>INDEX('Vessel Gauging Data'!$B$26:$V$56,MATCH($C365,'Vessel Gauging Data'!$B$26:$B$56,0),$BC$198)</f>
        <v>#N/A</v>
      </c>
      <c r="BD365" s="662" t="e">
        <f>INDEX('Vessel Gauging Data'!$B$26:$V$56,MATCH($C365,'Vessel Gauging Data'!$B$26:$B$56,0),$BD$198)</f>
        <v>#N/A</v>
      </c>
      <c r="BE365" s="662" t="e">
        <f>INDEX('Vessel Gauging Data'!$B$26:$V$56,MATCH($C365,'Vessel Gauging Data'!$B$26:$B$56,0),$BE$198)</f>
        <v>#N/A</v>
      </c>
    </row>
    <row r="366" spans="1:57" hidden="1">
      <c r="A366" s="641" t="str">
        <f t="shared" si="422"/>
        <v>N</v>
      </c>
      <c r="C366" s="237" t="str">
        <f t="shared" si="384"/>
        <v/>
      </c>
      <c r="D366" s="238" t="str">
        <f t="shared" si="384"/>
        <v/>
      </c>
      <c r="E366" s="1017" t="str">
        <f t="shared" si="383"/>
        <v/>
      </c>
      <c r="F366" s="1017" t="str">
        <f t="shared" si="385"/>
        <v/>
      </c>
      <c r="G366" s="1017" t="str">
        <f t="shared" si="386"/>
        <v/>
      </c>
      <c r="H366" s="1017" t="str">
        <f t="shared" si="386"/>
        <v/>
      </c>
      <c r="I366" s="238" t="str">
        <f t="shared" si="387"/>
        <v/>
      </c>
      <c r="J366" s="1017" t="str">
        <f t="shared" si="388"/>
        <v/>
      </c>
      <c r="K366" s="240" t="str">
        <f t="shared" si="389"/>
        <v/>
      </c>
      <c r="L366" s="239" t="str">
        <f t="shared" si="390"/>
        <v/>
      </c>
      <c r="M366" s="1126" t="str">
        <f>IF(OR($C366="",$C366=0),"",INDEX(API2DENST,MATCH($C366,'Vessel Gauging Data'!$B$27:$B$56,0),$AA$1))</f>
        <v/>
      </c>
      <c r="N366" s="239" t="str">
        <f t="shared" si="391"/>
        <v/>
      </c>
      <c r="O366" s="1017" t="str">
        <f t="shared" si="392"/>
        <v/>
      </c>
      <c r="P366" s="1126" t="str">
        <f t="shared" si="393"/>
        <v/>
      </c>
      <c r="Q366" s="1017" t="str">
        <f t="shared" si="394"/>
        <v/>
      </c>
      <c r="R366" s="241" t="str">
        <f t="shared" si="395"/>
        <v/>
      </c>
      <c r="S366" s="1126" t="str">
        <f t="shared" si="396"/>
        <v/>
      </c>
      <c r="T366" s="242" t="str">
        <f t="shared" si="397"/>
        <v/>
      </c>
      <c r="W366" s="642" t="e">
        <f>INDEX('Vessel Gauging Data'!$B$26:$V$56,MATCH($C366,'Vessel Gauging Data'!$B$26:$B$56,0),$W$198)</f>
        <v>#N/A</v>
      </c>
      <c r="X366" s="642" t="e">
        <f>INDEX('Vessel Gauging Data'!$B$26:$V$56,MATCH($C366,'Vessel Gauging Data'!$B$26:$B$56,0),$X$198)</f>
        <v>#N/A</v>
      </c>
      <c r="Y366" s="642" t="e">
        <f>INDEX('Vessel Gauging Data'!$B$26:$V$56,MATCH($C366,'Vessel Gauging Data'!$B$26:$B$56,0),$Y$198)</f>
        <v>#N/A</v>
      </c>
      <c r="Z366" s="642" t="e">
        <f>INDEX('Vessel Gauging Data'!$B$26:$V$56,MATCH($C366,'Vessel Gauging Data'!$B$26:$B$56,0),$Z$198)</f>
        <v>#N/A</v>
      </c>
      <c r="AB366" s="642" t="e">
        <f>INDEX(API2DENST,MATCH($C366,'Vessel Gauging Data'!$B$27:$B$56,0),1)</f>
        <v>#N/A</v>
      </c>
      <c r="AC366" s="642" t="e">
        <f t="shared" si="339"/>
        <v>#N/A</v>
      </c>
      <c r="AE366" s="661" t="e">
        <f t="shared" si="340"/>
        <v>#VALUE!</v>
      </c>
      <c r="AF366" s="661" t="e">
        <f t="shared" si="341"/>
        <v>#VALUE!</v>
      </c>
      <c r="AH366" s="662" t="str">
        <f t="shared" si="420"/>
        <v/>
      </c>
      <c r="AI366" s="662" t="str">
        <f t="shared" si="421"/>
        <v/>
      </c>
      <c r="AJ366" s="663">
        <f t="shared" si="366"/>
        <v>192.4571</v>
      </c>
      <c r="AK366" s="660">
        <f t="shared" si="367"/>
        <v>0.24379999999999999</v>
      </c>
      <c r="AL366" s="660" t="e">
        <f t="shared" si="368"/>
        <v>#VALUE!</v>
      </c>
      <c r="AM366" s="664" t="e">
        <f t="shared" si="369"/>
        <v>#VALUE!</v>
      </c>
      <c r="AN366" s="664" t="e">
        <f t="shared" si="370"/>
        <v>#VALUE!</v>
      </c>
      <c r="AO366" s="665" t="e">
        <f t="shared" si="371"/>
        <v>#VALUE!</v>
      </c>
      <c r="AP366" s="666" t="e">
        <f t="shared" si="372"/>
        <v>#VALUE!</v>
      </c>
      <c r="AQ366" s="660" t="e">
        <f t="shared" si="373"/>
        <v>#VALUE!</v>
      </c>
      <c r="AR366" s="667" t="e">
        <f t="shared" si="374"/>
        <v>#VALUE!</v>
      </c>
      <c r="AS366" s="667" t="e">
        <f t="shared" si="375"/>
        <v>#VALUE!</v>
      </c>
      <c r="AT366" s="668" t="e">
        <f t="shared" si="376"/>
        <v>#VALUE!</v>
      </c>
      <c r="AU366" s="667" t="e">
        <f t="shared" si="377"/>
        <v>#VALUE!</v>
      </c>
      <c r="AV366" s="669" t="e">
        <f t="shared" si="378"/>
        <v>#VALUE!</v>
      </c>
      <c r="AW366" s="667" t="e">
        <f t="shared" si="379"/>
        <v>#VALUE!</v>
      </c>
      <c r="AX366" s="667" t="e">
        <f t="shared" si="380"/>
        <v>#VALUE!</v>
      </c>
      <c r="AY366" s="660" t="e">
        <f t="shared" si="381"/>
        <v>#VALUE!</v>
      </c>
      <c r="AZ366" s="670" t="e">
        <f t="shared" si="382"/>
        <v>#VALUE!</v>
      </c>
      <c r="BB366" s="662" t="e">
        <f>INDEX('Vessel Gauging Data'!$B$26:$V$56,MATCH($C366,'Vessel Gauging Data'!$B$26:$B$56,0),$BB$198)</f>
        <v>#N/A</v>
      </c>
      <c r="BC366" s="662" t="e">
        <f>INDEX('Vessel Gauging Data'!$B$26:$V$56,MATCH($C366,'Vessel Gauging Data'!$B$26:$B$56,0),$BC$198)</f>
        <v>#N/A</v>
      </c>
      <c r="BD366" s="662" t="e">
        <f>INDEX('Vessel Gauging Data'!$B$26:$V$56,MATCH($C366,'Vessel Gauging Data'!$B$26:$B$56,0),$BD$198)</f>
        <v>#N/A</v>
      </c>
      <c r="BE366" s="662" t="e">
        <f>INDEX('Vessel Gauging Data'!$B$26:$V$56,MATCH($C366,'Vessel Gauging Data'!$B$26:$B$56,0),$BE$198)</f>
        <v>#N/A</v>
      </c>
    </row>
    <row r="367" spans="1:57">
      <c r="A367" s="641" t="str">
        <f t="shared" si="422"/>
        <v>Y</v>
      </c>
      <c r="C367" s="671"/>
      <c r="D367" s="671"/>
      <c r="E367" s="672"/>
      <c r="F367" s="672"/>
      <c r="G367" s="672"/>
      <c r="H367" s="1501"/>
      <c r="I367" s="671"/>
      <c r="J367" s="672"/>
      <c r="K367" s="673"/>
      <c r="L367" s="672"/>
      <c r="M367" s="674"/>
      <c r="N367" s="672"/>
      <c r="O367" s="672"/>
      <c r="P367" s="674"/>
      <c r="Q367" s="674"/>
      <c r="R367" s="675"/>
      <c r="S367" s="1138" t="s">
        <v>401</v>
      </c>
      <c r="T367" s="620">
        <f>SUM(T337:T366)</f>
        <v>115.43400000000001</v>
      </c>
      <c r="W367" s="676"/>
      <c r="X367" s="676"/>
      <c r="Y367" s="676"/>
      <c r="Z367" s="676"/>
      <c r="AB367" s="676"/>
      <c r="AC367" s="676"/>
      <c r="AE367" s="677"/>
      <c r="AF367" s="677"/>
      <c r="AH367" s="678"/>
      <c r="AI367" s="678"/>
      <c r="AJ367" s="679"/>
      <c r="AK367" s="680"/>
      <c r="AL367" s="680"/>
      <c r="AM367" s="681"/>
      <c r="AN367" s="681"/>
      <c r="AO367" s="682"/>
      <c r="AP367" s="683"/>
      <c r="AQ367" s="680"/>
      <c r="AR367" s="684"/>
      <c r="AS367" s="684"/>
      <c r="AT367" s="685"/>
      <c r="AU367" s="684"/>
      <c r="AV367" s="686"/>
      <c r="AW367" s="684"/>
      <c r="AX367" s="684"/>
      <c r="AY367" s="680"/>
      <c r="AZ367" s="687"/>
      <c r="BB367" s="678"/>
      <c r="BC367" s="678"/>
      <c r="BD367" s="678"/>
      <c r="BE367" s="678"/>
    </row>
    <row r="368" spans="1:57" s="702" customFormat="1" ht="5.25">
      <c r="A368" s="702" t="s">
        <v>284</v>
      </c>
      <c r="C368" s="704"/>
      <c r="D368" s="704"/>
      <c r="E368" s="704"/>
      <c r="F368" s="704"/>
      <c r="G368" s="704"/>
      <c r="H368" s="704"/>
      <c r="I368" s="704"/>
      <c r="J368" s="705"/>
      <c r="K368" s="705"/>
      <c r="L368" s="705"/>
      <c r="M368" s="705"/>
      <c r="N368" s="705"/>
      <c r="O368" s="705"/>
      <c r="P368" s="705"/>
      <c r="Q368" s="705"/>
      <c r="R368" s="705"/>
      <c r="S368" s="706"/>
      <c r="T368" s="706"/>
      <c r="V368" s="707"/>
      <c r="W368" s="707"/>
      <c r="X368" s="707"/>
      <c r="Y368" s="707"/>
      <c r="Z368" s="707"/>
      <c r="AA368" s="707"/>
      <c r="AB368" s="707"/>
      <c r="AC368" s="707"/>
      <c r="AD368" s="707"/>
      <c r="AE368" s="708"/>
      <c r="AF368" s="708"/>
      <c r="AG368" s="707"/>
      <c r="AH368" s="709"/>
      <c r="AI368" s="709"/>
      <c r="AJ368" s="710"/>
      <c r="AK368" s="711"/>
      <c r="AL368" s="711"/>
      <c r="AM368" s="712"/>
      <c r="AN368" s="712"/>
      <c r="AO368" s="713"/>
      <c r="AP368" s="714"/>
      <c r="AQ368" s="711"/>
      <c r="AR368" s="715"/>
      <c r="AS368" s="715"/>
      <c r="AT368" s="716"/>
      <c r="AU368" s="715"/>
      <c r="AV368" s="717"/>
      <c r="AW368" s="715"/>
      <c r="AX368" s="715"/>
      <c r="AY368" s="711"/>
      <c r="AZ368" s="718"/>
      <c r="BA368" s="707"/>
      <c r="BB368" s="709"/>
      <c r="BC368" s="709"/>
      <c r="BD368" s="709"/>
      <c r="BE368" s="709"/>
    </row>
    <row r="369" spans="1:32" hidden="1">
      <c r="A369" s="654" t="str">
        <f>IF(SUMCALC="No","N","Y")</f>
        <v>N</v>
      </c>
      <c r="C369" s="777" t="str">
        <f>C196</f>
        <v>AFTER BUNKERING (CLOSING GAUGING)</v>
      </c>
      <c r="D369" s="778"/>
      <c r="E369" s="778"/>
      <c r="F369" s="778"/>
      <c r="G369" s="778" t="s">
        <v>401</v>
      </c>
      <c r="H369" s="778"/>
      <c r="I369" s="779"/>
      <c r="J369" s="780">
        <f>SUMIF($A198:$A366,"Y",(J198:J366))</f>
        <v>189.2</v>
      </c>
      <c r="K369" s="780"/>
      <c r="L369" s="780">
        <f>SUMIF($A198:$A366,"Y",(L198:L366))</f>
        <v>0</v>
      </c>
      <c r="M369" s="780"/>
      <c r="N369" s="780"/>
      <c r="O369" s="780">
        <f>SUMIF($A198:$A366,"Y",(O198:O366))</f>
        <v>189.2</v>
      </c>
      <c r="P369" s="780"/>
      <c r="Q369" s="780">
        <f>SUMIF($A198:$A366,"Y",(Q198:Q366))</f>
        <v>186.07400000000001</v>
      </c>
      <c r="R369" s="780">
        <f>SUMIF($A198:$A366,"Y",(R198:R366))</f>
        <v>155.78200000000001</v>
      </c>
      <c r="S369" s="780"/>
      <c r="T369" s="781">
        <f>SUMIF($A198:$A367,"Y",(T198:T367))/2</f>
        <v>155.578</v>
      </c>
      <c r="Z369" s="689"/>
      <c r="AB369" s="689"/>
      <c r="AC369" s="689"/>
      <c r="AD369" s="689"/>
      <c r="AE369" s="689"/>
      <c r="AF369" s="689"/>
    </row>
    <row r="370" spans="1:32" hidden="1">
      <c r="A370" s="688" t="str">
        <f>A369</f>
        <v>N</v>
      </c>
      <c r="C370" s="782"/>
      <c r="D370" s="783"/>
      <c r="E370" s="783"/>
      <c r="F370" s="783"/>
      <c r="G370" s="783" t="s">
        <v>403</v>
      </c>
      <c r="H370" s="783"/>
      <c r="I370" s="784"/>
      <c r="J370" s="785">
        <f>SUMIF($A198:$A333,"Y",(J198:J333))</f>
        <v>48.5</v>
      </c>
      <c r="K370" s="785"/>
      <c r="L370" s="785">
        <f>SUMIF($A198:$A333,"Y",(L198:L333))</f>
        <v>0</v>
      </c>
      <c r="M370" s="785"/>
      <c r="N370" s="785"/>
      <c r="O370" s="785">
        <f>SUMIF($A198:$A333,"Y",(O198:O333))</f>
        <v>48.5</v>
      </c>
      <c r="P370" s="785"/>
      <c r="Q370" s="785">
        <f>SUMIF($A198:$A333,"Y",(Q198:Q333))</f>
        <v>48.128</v>
      </c>
      <c r="R370" s="785">
        <f>SUMIF($A198:$A333,"Y",(R198:R333))</f>
        <v>40.197000000000003</v>
      </c>
      <c r="S370" s="785"/>
      <c r="T370" s="786">
        <f>SUMIF($A198:$A334,"Y",(T198:T334))/2</f>
        <v>40.143999999999998</v>
      </c>
      <c r="Z370" s="689"/>
      <c r="AB370" s="689"/>
      <c r="AC370" s="689"/>
      <c r="AD370" s="689"/>
      <c r="AE370" s="689"/>
      <c r="AF370" s="689"/>
    </row>
    <row r="371" spans="1:32" hidden="1">
      <c r="A371" s="688" t="str">
        <f>A369</f>
        <v>N</v>
      </c>
      <c r="C371" s="787"/>
      <c r="D371" s="788"/>
      <c r="E371" s="788"/>
      <c r="F371" s="788"/>
      <c r="G371" s="788" t="s">
        <v>402</v>
      </c>
      <c r="H371" s="788"/>
      <c r="I371" s="789"/>
      <c r="J371" s="790">
        <f>SUMIF($A336:$A366,"Y",(J336:J366))</f>
        <v>140.69999999999999</v>
      </c>
      <c r="K371" s="790"/>
      <c r="L371" s="790">
        <f>SUMIF($A336:$A366,"Y",(L336:L366))</f>
        <v>0</v>
      </c>
      <c r="M371" s="790"/>
      <c r="N371" s="790"/>
      <c r="O371" s="790">
        <f>SUMIF($A336:$A366,"Y",(O336:O366))</f>
        <v>140.69999999999999</v>
      </c>
      <c r="P371" s="790"/>
      <c r="Q371" s="790">
        <f>SUMIF($A336:$A366,"Y",(Q336:Q366))</f>
        <v>137.946</v>
      </c>
      <c r="R371" s="790">
        <f>SUMIF($A336:$A366,"Y",(R336:R366))</f>
        <v>115.58500000000001</v>
      </c>
      <c r="S371" s="790"/>
      <c r="T371" s="791">
        <f>SUMIF($A336:$A367,"Y",(T336:T367))/2</f>
        <v>115.43400000000001</v>
      </c>
      <c r="Z371" s="689"/>
      <c r="AB371" s="689"/>
      <c r="AC371" s="689"/>
      <c r="AD371" s="689"/>
      <c r="AE371" s="689"/>
      <c r="AF371" s="689"/>
    </row>
    <row r="372" spans="1:32" s="702" customFormat="1" ht="5.25" hidden="1">
      <c r="A372" s="702" t="str">
        <f>A369</f>
        <v>N</v>
      </c>
      <c r="Z372" s="708"/>
      <c r="AA372" s="708"/>
      <c r="AB372" s="708"/>
      <c r="AC372" s="708"/>
      <c r="AD372" s="708"/>
      <c r="AE372" s="708"/>
    </row>
    <row r="373" spans="1:32" ht="15.75">
      <c r="A373" s="690" t="s">
        <v>284</v>
      </c>
      <c r="C373" s="628"/>
      <c r="D373" s="629"/>
      <c r="E373" s="629"/>
      <c r="F373" s="629"/>
      <c r="G373" s="629"/>
      <c r="H373" s="629"/>
      <c r="I373" s="629"/>
      <c r="J373" s="630"/>
      <c r="K373" s="631"/>
      <c r="L373" s="630"/>
      <c r="M373" s="629" t="str">
        <f>"TOTAL RECEIVED ("&amp;INDEX('STANDARD SETT'!H15:L15,1,GRADECHNO)&amp;"):"</f>
        <v>TOTAL RECEIVED ():</v>
      </c>
      <c r="N373" s="629"/>
      <c r="O373" s="632" t="str">
        <f>IF(SUMCALC="No","",O370-O193)</f>
        <v/>
      </c>
      <c r="P373" s="633"/>
      <c r="Q373" s="632" t="str">
        <f>IF(SUMCALC="No","",Q370-Q193)</f>
        <v/>
      </c>
      <c r="R373" s="632" t="str">
        <f>IF(SUMCALC="No","",R370-R193)</f>
        <v/>
      </c>
      <c r="S373" s="2809">
        <f>T370-T193</f>
        <v>40.061999999999998</v>
      </c>
      <c r="T373" s="2810"/>
      <c r="Z373" s="689"/>
      <c r="AA373" s="689"/>
      <c r="AB373" s="689"/>
      <c r="AC373" s="689"/>
      <c r="AD373" s="689"/>
      <c r="AE373" s="689"/>
    </row>
    <row r="374" spans="1:32" ht="15.75">
      <c r="A374" s="690" t="s">
        <v>284</v>
      </c>
      <c r="C374" s="634"/>
      <c r="D374" s="635"/>
      <c r="E374" s="635"/>
      <c r="F374" s="635"/>
      <c r="G374" s="635"/>
      <c r="H374" s="635"/>
      <c r="I374" s="635"/>
      <c r="J374" s="636"/>
      <c r="K374" s="637"/>
      <c r="L374" s="636"/>
      <c r="M374" s="635" t="s">
        <v>616</v>
      </c>
      <c r="N374" s="635"/>
      <c r="O374" s="638" t="str">
        <f>IF(SUMCALC="No","",O371-O194)</f>
        <v/>
      </c>
      <c r="P374" s="639"/>
      <c r="Q374" s="638" t="str">
        <f>IF(SUMCALC="No","",Q371-Q194)</f>
        <v/>
      </c>
      <c r="R374" s="638" t="str">
        <f>IF(SUMCALC="No","",R371-R194)</f>
        <v/>
      </c>
      <c r="S374" s="2811">
        <f>T371-T194</f>
        <v>0</v>
      </c>
      <c r="T374" s="2812"/>
      <c r="Z374" s="689"/>
      <c r="AA374" s="689"/>
      <c r="AB374" s="689"/>
      <c r="AC374" s="689"/>
      <c r="AD374" s="689"/>
      <c r="AE374" s="689"/>
    </row>
    <row r="375" spans="1:32" s="702" customFormat="1" ht="5.25">
      <c r="A375" s="702" t="s">
        <v>284</v>
      </c>
      <c r="Z375" s="708"/>
      <c r="AA375" s="708"/>
      <c r="AB375" s="708"/>
      <c r="AC375" s="708"/>
      <c r="AD375" s="708"/>
      <c r="AE375" s="708"/>
    </row>
    <row r="376" spans="1:32" ht="15.75">
      <c r="A376" s="690" t="s">
        <v>284</v>
      </c>
      <c r="C376" s="628"/>
      <c r="D376" s="629"/>
      <c r="E376" s="629"/>
      <c r="F376" s="629"/>
      <c r="G376" s="629"/>
      <c r="H376" s="629"/>
      <c r="I376" s="629"/>
      <c r="J376" s="630"/>
      <c r="K376" s="631"/>
      <c r="L376" s="630"/>
      <c r="M376" s="629" t="s">
        <v>404</v>
      </c>
      <c r="N376" s="629"/>
      <c r="O376" s="743" t="str">
        <f>IF(O377="","",'STANDARD SETT'!$O16)</f>
        <v/>
      </c>
      <c r="P376" s="743" t="str">
        <f>IF(P377="","",'STANDARD SETT'!$O17)</f>
        <v/>
      </c>
      <c r="Q376" s="744" t="str">
        <f>IF(Q377="","",'STANDARD SETT'!$O18)</f>
        <v/>
      </c>
      <c r="R376" s="743" t="str">
        <f>IF(R377="","",'STANDARD SETT'!$O19)</f>
        <v/>
      </c>
      <c r="S376" s="744" t="str">
        <f>IF(S377="","",'STANDARD SETT'!$O20)</f>
        <v/>
      </c>
      <c r="T376" s="745" t="str">
        <f>IF(T377="","",'STANDARD SETT'!$O21)</f>
        <v>LSMGO</v>
      </c>
      <c r="Z376" s="689"/>
      <c r="AA376" s="689"/>
      <c r="AB376" s="689"/>
      <c r="AC376" s="689"/>
      <c r="AD376" s="689"/>
      <c r="AE376" s="689"/>
    </row>
    <row r="377" spans="1:32" ht="15.75">
      <c r="A377" s="690" t="s">
        <v>284</v>
      </c>
      <c r="C377" s="634"/>
      <c r="D377" s="635"/>
      <c r="E377" s="635"/>
      <c r="F377" s="635"/>
      <c r="G377" s="635"/>
      <c r="H377" s="635"/>
      <c r="I377" s="635"/>
      <c r="J377" s="636"/>
      <c r="K377" s="637"/>
      <c r="L377" s="636"/>
      <c r="M377" s="635" t="s">
        <v>312</v>
      </c>
      <c r="N377" s="635"/>
      <c r="O377" s="638" t="str">
        <f>IF($A21="Y",$T219-$T42,"")</f>
        <v/>
      </c>
      <c r="P377" s="638" t="str">
        <f>IF($A44="Y",$T242-$T65,"")</f>
        <v/>
      </c>
      <c r="Q377" s="638" t="str">
        <f>IF($A67="Y",$T265-$T88,"")</f>
        <v/>
      </c>
      <c r="R377" s="638" t="str">
        <f>IF($A90="Y",$T288-$T111,"")</f>
        <v/>
      </c>
      <c r="S377" s="638" t="str">
        <f>IF($A113="Y",$T311-$T134,"")</f>
        <v/>
      </c>
      <c r="T377" s="746">
        <f>IF($A136="Y",$T334-$T157,"")</f>
        <v>40.061999999999998</v>
      </c>
      <c r="Z377" s="689"/>
      <c r="AA377" s="689"/>
      <c r="AB377" s="689"/>
      <c r="AC377" s="689"/>
      <c r="AD377" s="689"/>
      <c r="AE377" s="689"/>
    </row>
    <row r="378" spans="1:32" ht="7.5" customHeight="1">
      <c r="A378" s="688" t="s">
        <v>284</v>
      </c>
      <c r="Z378" s="689"/>
      <c r="AA378" s="689"/>
      <c r="AB378" s="689"/>
      <c r="AC378" s="689"/>
      <c r="AD378" s="689"/>
      <c r="AE378" s="689"/>
    </row>
    <row r="379" spans="1:32">
      <c r="A379" s="654" t="s">
        <v>284</v>
      </c>
      <c r="C379" s="691" t="s">
        <v>179</v>
      </c>
      <c r="D379" s="2818"/>
      <c r="E379" s="2819"/>
      <c r="F379" s="2819"/>
      <c r="G379" s="2819"/>
      <c r="H379" s="2819"/>
      <c r="I379" s="2819"/>
      <c r="J379" s="2819"/>
      <c r="K379" s="2819"/>
      <c r="L379" s="2819"/>
      <c r="M379" s="2819"/>
      <c r="N379" s="2819"/>
      <c r="O379" s="2819"/>
      <c r="P379" s="2819"/>
      <c r="Q379" s="2819"/>
      <c r="R379" s="2820"/>
      <c r="Z379" s="689"/>
      <c r="AA379" s="689"/>
      <c r="AB379" s="689"/>
      <c r="AC379" s="689"/>
      <c r="AD379" s="689"/>
      <c r="AE379" s="689"/>
    </row>
    <row r="380" spans="1:32">
      <c r="A380" s="654" t="s">
        <v>284</v>
      </c>
      <c r="D380" s="2818"/>
      <c r="E380" s="2819"/>
      <c r="F380" s="2819"/>
      <c r="G380" s="2819"/>
      <c r="H380" s="2819"/>
      <c r="I380" s="2819"/>
      <c r="J380" s="2819"/>
      <c r="K380" s="2819"/>
      <c r="L380" s="2819"/>
      <c r="M380" s="2819"/>
      <c r="N380" s="2819"/>
      <c r="O380" s="2819"/>
      <c r="P380" s="2819"/>
      <c r="Q380" s="2819"/>
      <c r="R380" s="2820"/>
      <c r="Z380" s="689"/>
      <c r="AA380" s="689"/>
      <c r="AB380" s="689"/>
      <c r="AC380" s="689"/>
      <c r="AD380" s="689"/>
      <c r="AE380" s="689"/>
    </row>
    <row r="381" spans="1:32">
      <c r="A381" s="654" t="s">
        <v>284</v>
      </c>
      <c r="D381" s="2818"/>
      <c r="E381" s="2819"/>
      <c r="F381" s="2819"/>
      <c r="G381" s="2819"/>
      <c r="H381" s="2819"/>
      <c r="I381" s="2819"/>
      <c r="J381" s="2819"/>
      <c r="K381" s="2819"/>
      <c r="L381" s="2819"/>
      <c r="M381" s="2819"/>
      <c r="N381" s="2819"/>
      <c r="O381" s="2819"/>
      <c r="P381" s="2819"/>
      <c r="Q381" s="2819"/>
      <c r="R381" s="2820"/>
      <c r="Z381" s="689"/>
      <c r="AA381" s="689"/>
      <c r="AB381" s="689"/>
      <c r="AC381" s="689"/>
      <c r="AD381" s="689"/>
      <c r="AE381" s="689"/>
    </row>
    <row r="382" spans="1:32">
      <c r="A382" s="654" t="s">
        <v>284</v>
      </c>
      <c r="Z382" s="689"/>
      <c r="AA382" s="689"/>
      <c r="AB382" s="689"/>
      <c r="AC382" s="689"/>
      <c r="AD382" s="689"/>
      <c r="AE382" s="689"/>
    </row>
    <row r="383" spans="1:32">
      <c r="A383" s="654" t="s">
        <v>284</v>
      </c>
      <c r="Z383" s="689"/>
      <c r="AA383" s="689"/>
      <c r="AB383" s="689"/>
      <c r="AC383" s="689"/>
      <c r="AD383" s="689"/>
      <c r="AE383" s="689"/>
    </row>
    <row r="384" spans="1:32">
      <c r="A384" s="654" t="s">
        <v>284</v>
      </c>
      <c r="Z384" s="689"/>
      <c r="AA384" s="689"/>
      <c r="AB384" s="689"/>
      <c r="AC384" s="689"/>
      <c r="AD384" s="689"/>
      <c r="AE384" s="689"/>
    </row>
    <row r="385" spans="1:31">
      <c r="A385" s="654" t="s">
        <v>284</v>
      </c>
      <c r="C385" s="2807" t="str">
        <f>CHENG</f>
        <v>CANO ARTHUR D. CADAVOS</v>
      </c>
      <c r="D385" s="2807"/>
      <c r="E385" s="2807"/>
      <c r="R385" s="2808" t="str">
        <f>SURVEYOR</f>
        <v>MEHMET EROĞLU</v>
      </c>
      <c r="S385" s="2808"/>
      <c r="T385" s="2808"/>
      <c r="Z385" s="689"/>
      <c r="AA385" s="689"/>
      <c r="AB385" s="689"/>
      <c r="AC385" s="689"/>
      <c r="AD385" s="689"/>
      <c r="AE385" s="689"/>
    </row>
    <row r="386" spans="1:31">
      <c r="A386" s="654" t="s">
        <v>284</v>
      </c>
      <c r="C386" s="2379" t="s">
        <v>15</v>
      </c>
      <c r="D386" s="2379"/>
      <c r="E386" s="2379"/>
      <c r="R386" s="2386" t="str">
        <f>"Bunker Surveyor"&amp;IF(SPORE=TRUE,", License No. "&amp;SURVLIC,"")</f>
        <v>Bunker Surveyor</v>
      </c>
      <c r="S386" s="2815"/>
      <c r="T386" s="2815"/>
      <c r="Z386" s="689"/>
      <c r="AA386" s="689"/>
      <c r="AB386" s="689"/>
      <c r="AC386" s="689"/>
      <c r="AD386" s="689"/>
      <c r="AE386" s="689"/>
    </row>
    <row r="387" spans="1:31" ht="2.25" customHeight="1"/>
  </sheetData>
  <sheetProtection autoFilter="0"/>
  <autoFilter ref="A17:A386" xr:uid="{00000000-0009-0000-0000-000013000000}">
    <filterColumn colId="0">
      <filters>
        <filter val="Y"/>
      </filters>
    </filterColumn>
  </autoFilter>
  <mergeCells count="44">
    <mergeCell ref="C14:C15"/>
    <mergeCell ref="R386:T386"/>
    <mergeCell ref="C9:E9"/>
    <mergeCell ref="C386:E386"/>
    <mergeCell ref="D379:R379"/>
    <mergeCell ref="D380:R380"/>
    <mergeCell ref="D381:R381"/>
    <mergeCell ref="D11:F11"/>
    <mergeCell ref="D12:F12"/>
    <mergeCell ref="D13:F13"/>
    <mergeCell ref="C21:D21"/>
    <mergeCell ref="E21:I21"/>
    <mergeCell ref="C44:D44"/>
    <mergeCell ref="E44:I44"/>
    <mergeCell ref="C67:D67"/>
    <mergeCell ref="E90:I90"/>
    <mergeCell ref="C113:D113"/>
    <mergeCell ref="E113:I113"/>
    <mergeCell ref="C385:E385"/>
    <mergeCell ref="R385:T385"/>
    <mergeCell ref="C336:D336"/>
    <mergeCell ref="E336:I336"/>
    <mergeCell ref="C267:D267"/>
    <mergeCell ref="E267:I267"/>
    <mergeCell ref="C290:D290"/>
    <mergeCell ref="E290:I290"/>
    <mergeCell ref="S373:T373"/>
    <mergeCell ref="S374:T374"/>
    <mergeCell ref="I12:O13"/>
    <mergeCell ref="D14:F15"/>
    <mergeCell ref="C313:D313"/>
    <mergeCell ref="E313:I313"/>
    <mergeCell ref="C198:D198"/>
    <mergeCell ref="E198:I198"/>
    <mergeCell ref="C221:D221"/>
    <mergeCell ref="E221:I221"/>
    <mergeCell ref="C244:D244"/>
    <mergeCell ref="E244:I244"/>
    <mergeCell ref="C136:D136"/>
    <mergeCell ref="E136:I136"/>
    <mergeCell ref="C159:D159"/>
    <mergeCell ref="E159:I159"/>
    <mergeCell ref="E67:I67"/>
    <mergeCell ref="C90:D90"/>
  </mergeCells>
  <conditionalFormatting sqref="C337:T366">
    <cfRule type="expression" dxfId="30" priority="3">
      <formula>C337&lt;&gt;C160</formula>
    </cfRule>
  </conditionalFormatting>
  <conditionalFormatting sqref="P373:R374">
    <cfRule type="expression" dxfId="29" priority="1">
      <formula>SUMCALC="No"</formula>
    </cfRule>
  </conditionalFormatting>
  <dataValidations count="1">
    <dataValidation type="list" errorStyle="information" allowBlank="1" showInputMessage="1" showErrorMessage="1" prompt="Choose Remarks from list or edit yours." sqref="D379:R381" xr:uid="{00000000-0002-0000-1300-000000000000}">
      <formula1>REMCOL</formula1>
    </dataValidation>
  </dataValidations>
  <hyperlinks>
    <hyperlink ref="C379" location="REMCODE" display="Remarks:" xr:uid="{00000000-0004-0000-1300-000000000000}"/>
  </hyperlinks>
  <printOptions horizontalCentered="1"/>
  <pageMargins left="0.3" right="0.3" top="0.2" bottom="0.3" header="0.1" footer="0.1"/>
  <pageSetup scale="66" orientation="portrait" cellComments="atEnd" horizontalDpi="4294967293" r:id="rId1"/>
  <headerFooter>
    <oddFooter>&amp;L&amp;8BunkerManager, v1.12&amp;C&amp;8by AMS-Marine | www.ams-marine.com&amp;R&amp;8RefNo: PI/2022/15000/TR</oddFooter>
  </headerFooter>
  <colBreaks count="1" manualBreakCount="1">
    <brk id="20" max="411" man="1"/>
  </colBreaks>
  <drawing r:id="rId2"/>
  <legacyDrawing r:id="rId3"/>
  <mc:AlternateContent xmlns:mc="http://schemas.openxmlformats.org/markup-compatibility/2006">
    <mc:Choice Requires="x14">
      <controls>
        <mc:AlternateContent xmlns:mc="http://schemas.openxmlformats.org/markup-compatibility/2006">
          <mc:Choice Requires="x14">
            <control shapeId="9226" r:id="rId4" name="List Box 10">
              <controlPr defaultSize="0" print="0" autoLine="0" autoPict="0" macro="[0]!BEEPER">
                <anchor moveWithCells="1">
                  <from>
                    <xdr:col>10</xdr:col>
                    <xdr:colOff>76200</xdr:colOff>
                    <xdr:row>13</xdr:row>
                    <xdr:rowOff>28575</xdr:rowOff>
                  </from>
                  <to>
                    <xdr:col>13</xdr:col>
                    <xdr:colOff>152400</xdr:colOff>
                    <xdr:row>14</xdr:row>
                    <xdr:rowOff>114300</xdr:rowOff>
                  </to>
                </anchor>
              </controlPr>
            </control>
          </mc:Choice>
        </mc:AlternateContent>
        <mc:AlternateContent xmlns:mc="http://schemas.openxmlformats.org/markup-compatibility/2006">
          <mc:Choice Requires="x14">
            <control shapeId="9229" r:id="rId5" name="List Box 13">
              <controlPr defaultSize="0" print="0" autoLine="0" autoPict="0" macro="[0]!CHOOSEGRADE">
                <anchor moveWithCells="1">
                  <from>
                    <xdr:col>8</xdr:col>
                    <xdr:colOff>9525</xdr:colOff>
                    <xdr:row>13</xdr:row>
                    <xdr:rowOff>9525</xdr:rowOff>
                  </from>
                  <to>
                    <xdr:col>9</xdr:col>
                    <xdr:colOff>485775</xdr:colOff>
                    <xdr:row>15</xdr:row>
                    <xdr:rowOff>38100</xdr:rowOff>
                  </to>
                </anchor>
              </controlPr>
            </control>
          </mc:Choice>
        </mc:AlternateContent>
        <mc:AlternateContent xmlns:mc="http://schemas.openxmlformats.org/markup-compatibility/2006">
          <mc:Choice Requires="x14">
            <control shapeId="9230" r:id="rId6" name="List Box 14">
              <controlPr defaultSize="0" print="0" autoLine="0" autoPict="0" macro="[0]!BEEPER">
                <anchor moveWithCells="1">
                  <from>
                    <xdr:col>13</xdr:col>
                    <xdr:colOff>447675</xdr:colOff>
                    <xdr:row>13</xdr:row>
                    <xdr:rowOff>28575</xdr:rowOff>
                  </from>
                  <to>
                    <xdr:col>15</xdr:col>
                    <xdr:colOff>9525</xdr:colOff>
                    <xdr:row>14</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5" filterMode="1">
    <tabColor rgb="FF7030A0"/>
    <pageSetUpPr fitToPage="1"/>
  </sheetPr>
  <dimension ref="A1:CT387"/>
  <sheetViews>
    <sheetView showGridLines="0" showRowColHeaders="0" topLeftCell="C8" zoomScaleNormal="100" zoomScaleSheetLayoutView="100" workbookViewId="0">
      <pane ySplit="11" topLeftCell="A157" activePane="bottomLeft" state="frozen"/>
      <selection pane="bottomLeft" activeCell="K368" sqref="K368"/>
    </sheetView>
  </sheetViews>
  <sheetFormatPr defaultColWidth="0" defaultRowHeight="15" zeroHeight="1"/>
  <cols>
    <col min="1" max="2" width="4.375" style="641" hidden="1" customWidth="1"/>
    <col min="3" max="3" width="13.375" style="641" customWidth="1"/>
    <col min="4" max="8" width="7.875" style="641" customWidth="1"/>
    <col min="9" max="9" width="4.5" style="641" customWidth="1"/>
    <col min="10" max="10" width="8.75" style="641" customWidth="1"/>
    <col min="11" max="12" width="5.875" style="641" customWidth="1"/>
    <col min="13" max="13" width="7.125" style="641" customWidth="1"/>
    <col min="14" max="14" width="6.25" style="641" customWidth="1"/>
    <col min="15" max="15" width="9.125" style="641" customWidth="1"/>
    <col min="16" max="16" width="7.625" style="641" customWidth="1"/>
    <col min="17" max="18" width="9.125" style="641" customWidth="1"/>
    <col min="19" max="19" width="8.375" style="641" customWidth="1"/>
    <col min="20" max="20" width="9.125" style="641" customWidth="1"/>
    <col min="21" max="21" width="0.375" style="641" customWidth="1"/>
    <col min="22" max="35" width="9" style="641" hidden="1" customWidth="1"/>
    <col min="36" max="36" width="11.125" style="641" hidden="1" customWidth="1"/>
    <col min="37" max="37" width="10.125" style="641" hidden="1" customWidth="1"/>
    <col min="38" max="40" width="9" style="641" hidden="1" customWidth="1"/>
    <col min="41" max="41" width="11.75" style="641" hidden="1" customWidth="1"/>
    <col min="42" max="42" width="11.875" style="641" hidden="1" customWidth="1"/>
    <col min="43" max="43" width="11" style="641" hidden="1" customWidth="1"/>
    <col min="44" max="44" width="10.625" style="641" hidden="1" customWidth="1"/>
    <col min="45" max="45" width="9.75" style="641" hidden="1" customWidth="1"/>
    <col min="46" max="46" width="11.375" style="641" hidden="1" customWidth="1"/>
    <col min="47" max="47" width="10.125" style="641" hidden="1" customWidth="1"/>
    <col min="48" max="48" width="9.75" style="641" hidden="1" customWidth="1"/>
    <col min="49" max="49" width="23.25" style="641" hidden="1" customWidth="1"/>
    <col min="50" max="50" width="11.375" style="641" hidden="1" customWidth="1"/>
    <col min="51" max="51" width="11" style="641" hidden="1" customWidth="1"/>
    <col min="52" max="81" width="9" style="641" hidden="1" customWidth="1"/>
    <col min="82" max="82" width="10.125" style="641" hidden="1" customWidth="1"/>
    <col min="83" max="84" width="9" style="641" hidden="1" customWidth="1"/>
    <col min="85" max="85" width="9.625" style="641" hidden="1" customWidth="1"/>
    <col min="86" max="86" width="10.875" style="641" hidden="1" customWidth="1"/>
    <col min="87" max="87" width="11.875" style="641" hidden="1" customWidth="1"/>
    <col min="88" max="88" width="11" style="641" hidden="1" customWidth="1"/>
    <col min="89" max="89" width="6.75" style="641" hidden="1" customWidth="1"/>
    <col min="90" max="91" width="9.75" style="641" hidden="1" customWidth="1"/>
    <col min="92" max="92" width="10.125" style="641" hidden="1" customWidth="1"/>
    <col min="93" max="93" width="9.25" style="641" hidden="1" customWidth="1"/>
    <col min="94" max="94" width="23.25" style="641" hidden="1" customWidth="1"/>
    <col min="95" max="95" width="9.25" style="641" hidden="1" customWidth="1"/>
    <col min="96" max="97" width="11" style="641" hidden="1" customWidth="1"/>
    <col min="98" max="98" width="6.625" style="641" hidden="1" customWidth="1"/>
    <col min="99" max="16384" width="8.625" style="641" hidden="1"/>
  </cols>
  <sheetData>
    <row r="1" spans="3:28" ht="8.25" hidden="1" customHeight="1">
      <c r="Z1" s="158">
        <f>GRADECHNO</f>
        <v>3</v>
      </c>
      <c r="AA1" s="158">
        <v>1</v>
      </c>
      <c r="AB1" s="158">
        <v>1</v>
      </c>
    </row>
    <row r="2" spans="3:28">
      <c r="Z2" s="642" t="str">
        <f>'STANDARD SETT'!H15</f>
        <v>All Grades</v>
      </c>
      <c r="AA2" s="642" t="s">
        <v>310</v>
      </c>
      <c r="AB2" s="643" t="s">
        <v>33</v>
      </c>
    </row>
    <row r="3" spans="3:28">
      <c r="Z3" s="642" t="str">
        <f>'STANDARD SETT'!K15</f>
        <v>Residuals</v>
      </c>
      <c r="AA3" s="642" t="s">
        <v>311</v>
      </c>
      <c r="AB3" s="643" t="s">
        <v>329</v>
      </c>
    </row>
    <row r="4" spans="3:28" ht="18">
      <c r="T4" s="644" t="str">
        <f>COMPANY1</f>
        <v>Petro Inspect International</v>
      </c>
      <c r="Z4" s="642" t="str">
        <f>'STANDARD SETT'!L15</f>
        <v>Distillates</v>
      </c>
    </row>
    <row r="5" spans="3:28" ht="12.75" customHeight="1">
      <c r="T5" s="645" t="str">
        <f>COMPANY2</f>
        <v>ops@petro-inspect.com</v>
      </c>
    </row>
    <row r="6" spans="3:28" ht="12.75" customHeight="1">
      <c r="T6" s="645" t="str">
        <f>COMPANY3</f>
        <v/>
      </c>
    </row>
    <row r="7" spans="3:28" ht="12.75" customHeight="1">
      <c r="T7" s="645" t="str">
        <f>COMPANY4</f>
        <v/>
      </c>
    </row>
    <row r="8" spans="3:28" ht="3" customHeight="1" thickBot="1">
      <c r="C8" s="646"/>
      <c r="D8" s="646"/>
      <c r="E8" s="646"/>
      <c r="F8" s="646"/>
      <c r="G8" s="646"/>
      <c r="H8" s="646"/>
      <c r="I8" s="646"/>
      <c r="J8" s="646"/>
      <c r="K8" s="646"/>
      <c r="L8" s="646"/>
      <c r="M8" s="646"/>
      <c r="N8" s="646"/>
      <c r="O8" s="646"/>
      <c r="P8" s="646"/>
      <c r="Q8" s="646"/>
      <c r="R8" s="646"/>
      <c r="S8" s="646"/>
      <c r="T8" s="647"/>
    </row>
    <row r="9" spans="3:28" ht="15.95" hidden="1" customHeight="1">
      <c r="C9" s="2816"/>
      <c r="D9" s="2816"/>
      <c r="E9" s="2817"/>
    </row>
    <row r="10" spans="3:28" ht="4.5" customHeight="1"/>
    <row r="11" spans="3:28">
      <c r="C11" s="772" t="s">
        <v>9</v>
      </c>
      <c r="D11" s="2821" t="str">
        <f>VESSEL</f>
        <v>MV PESSADA</v>
      </c>
      <c r="E11" s="2821"/>
      <c r="F11" s="2821"/>
      <c r="R11" s="458" t="s">
        <v>178</v>
      </c>
      <c r="S11" s="459" t="s">
        <v>1182</v>
      </c>
      <c r="T11" s="460" t="s">
        <v>1173</v>
      </c>
      <c r="V11" s="1151">
        <f>IF($AB$1=FONESEL_2,1,IF($AB$1=2,FFEET,1/FFEET))</f>
        <v>1</v>
      </c>
    </row>
    <row r="12" spans="3:28" ht="15" customHeight="1">
      <c r="C12" s="773" t="s">
        <v>607</v>
      </c>
      <c r="D12" s="2822" t="str">
        <f>MYBARGENAME</f>
        <v>M/T YALÇIN 2</v>
      </c>
      <c r="E12" s="2822"/>
      <c r="F12" s="2822"/>
      <c r="I12" s="2794" t="str">
        <f>"BARGE BQS REPORT"&amp;IF(GRADECHNO_2=2," (Residuals)",IF(GRADECHNO_2=3," (Distillates)",""))</f>
        <v>BARGE BQS REPORT (Distillates)</v>
      </c>
      <c r="J12" s="2794"/>
      <c r="K12" s="2794"/>
      <c r="L12" s="2794"/>
      <c r="M12" s="2794"/>
      <c r="N12" s="2794"/>
      <c r="O12" s="2794"/>
      <c r="R12" s="774" t="s">
        <v>47</v>
      </c>
      <c r="S12" s="457">
        <f>'Barge Gauging Data'!N18</f>
        <v>2</v>
      </c>
      <c r="T12" s="454">
        <f>'Barge Gauging Data'!O18</f>
        <v>1</v>
      </c>
      <c r="V12" s="648" t="s">
        <v>396</v>
      </c>
      <c r="W12" s="642" t="s">
        <v>32</v>
      </c>
      <c r="X12" s="648" t="s">
        <v>394</v>
      </c>
      <c r="Y12" s="1505"/>
    </row>
    <row r="13" spans="3:28" ht="15" customHeight="1">
      <c r="C13" s="773" t="s">
        <v>44</v>
      </c>
      <c r="D13" s="2823">
        <f>DATESURVC</f>
        <v>44792</v>
      </c>
      <c r="E13" s="2823"/>
      <c r="F13" s="2823"/>
      <c r="I13" s="2794"/>
      <c r="J13" s="2794"/>
      <c r="K13" s="2794"/>
      <c r="L13" s="2794"/>
      <c r="M13" s="2794"/>
      <c r="N13" s="2794"/>
      <c r="O13" s="2794"/>
      <c r="R13" s="775" t="s">
        <v>45</v>
      </c>
      <c r="S13" s="455">
        <f>'Barge Gauging Data'!N19</f>
        <v>3</v>
      </c>
      <c r="T13" s="452">
        <f>'Barge Gauging Data'!O19</f>
        <v>2</v>
      </c>
      <c r="V13" s="648" t="s">
        <v>397</v>
      </c>
      <c r="W13" s="642" t="s">
        <v>292</v>
      </c>
      <c r="X13" s="648" t="s">
        <v>395</v>
      </c>
      <c r="Y13" s="1505"/>
    </row>
    <row r="14" spans="3:28" ht="15" customHeight="1">
      <c r="C14" s="2813" t="s">
        <v>609</v>
      </c>
      <c r="D14" s="2795" t="str">
        <f>IF(ISERROR(BRGSUPP_GROUP),"N/A",BRGSUPP_GROUP)</f>
        <v>LSMGO</v>
      </c>
      <c r="E14" s="2795"/>
      <c r="F14" s="2795"/>
      <c r="R14" s="775" t="s">
        <v>43</v>
      </c>
      <c r="S14" s="455">
        <f>S13-S12</f>
        <v>1</v>
      </c>
      <c r="T14" s="452">
        <f>T13-T12</f>
        <v>1</v>
      </c>
    </row>
    <row r="15" spans="3:28" ht="15" customHeight="1">
      <c r="C15" s="2814"/>
      <c r="D15" s="2796"/>
      <c r="E15" s="2796"/>
      <c r="F15" s="2796"/>
      <c r="I15" s="649"/>
      <c r="J15" s="649"/>
      <c r="K15" s="650"/>
      <c r="L15" s="650"/>
      <c r="M15" s="651"/>
      <c r="N15" s="652"/>
      <c r="O15" s="653"/>
      <c r="R15" s="776" t="s">
        <v>41</v>
      </c>
      <c r="S15" s="456">
        <f>'Barge Gauging Data'!N21</f>
        <v>0</v>
      </c>
      <c r="T15" s="453">
        <f>'Barge Gauging Data'!O21</f>
        <v>0</v>
      </c>
    </row>
    <row r="16" spans="3:28" ht="4.5" customHeight="1">
      <c r="I16" s="649"/>
      <c r="J16" s="649"/>
      <c r="K16" s="650"/>
      <c r="L16" s="650"/>
      <c r="M16" s="651"/>
      <c r="N16" s="652"/>
      <c r="O16" s="653"/>
      <c r="P16" s="653"/>
    </row>
    <row r="17" spans="1:57" ht="50.1" customHeight="1">
      <c r="A17" s="654" t="s">
        <v>284</v>
      </c>
      <c r="C17" s="448" t="s">
        <v>173</v>
      </c>
      <c r="D17" s="193" t="s">
        <v>172</v>
      </c>
      <c r="E17" s="194" t="s">
        <v>171</v>
      </c>
      <c r="F17" s="193" t="s">
        <v>39</v>
      </c>
      <c r="G17" s="193" t="str">
        <f>'Barge Gauging Data'!H24</f>
        <v>Observed Ullage Sounding Gauge</v>
      </c>
      <c r="H17" s="193" t="str">
        <f>'Barge Gauging Data'!I24</f>
        <v>Corrected Ullage Sounding Gauge</v>
      </c>
      <c r="I17" s="449" t="s">
        <v>37</v>
      </c>
      <c r="J17" s="2227" t="s">
        <v>1229</v>
      </c>
      <c r="K17" s="450" t="s">
        <v>170</v>
      </c>
      <c r="L17" s="450" t="s">
        <v>169</v>
      </c>
      <c r="M17" s="193" t="str">
        <f>INDEX($V$12:$W$13,$AA$1,1)</f>
        <v>Density
 @ 15°C</v>
      </c>
      <c r="N17" s="193" t="s">
        <v>36</v>
      </c>
      <c r="O17" s="193" t="s">
        <v>400</v>
      </c>
      <c r="P17" s="314" t="s">
        <v>168</v>
      </c>
      <c r="Q17" s="193" t="str">
        <f>INDEX(X12:X13,AA1,1)</f>
        <v>G.S.V.
 @ 15° C</v>
      </c>
      <c r="R17" s="193" t="s">
        <v>35</v>
      </c>
      <c r="S17" s="193" t="s">
        <v>167</v>
      </c>
      <c r="T17" s="451" t="s">
        <v>34</v>
      </c>
      <c r="V17" s="1153" t="s">
        <v>171</v>
      </c>
      <c r="W17" s="1153" t="s">
        <v>39</v>
      </c>
      <c r="X17" s="1153" t="str">
        <f>G17</f>
        <v>Observed Ullage Sounding Gauge</v>
      </c>
      <c r="Y17" s="1153" t="str">
        <f>H17</f>
        <v>Corrected Ullage Sounding Gauge</v>
      </c>
      <c r="Z17" s="1153" t="s">
        <v>36</v>
      </c>
      <c r="AB17" s="655" t="s">
        <v>389</v>
      </c>
      <c r="AC17" s="655" t="s">
        <v>330</v>
      </c>
      <c r="AE17" s="641" t="s">
        <v>390</v>
      </c>
      <c r="AF17" s="641" t="s">
        <v>390</v>
      </c>
      <c r="AH17" s="656"/>
      <c r="AI17" s="656"/>
      <c r="AJ17" s="656"/>
      <c r="AK17" s="656"/>
      <c r="AL17" s="656"/>
      <c r="AM17" s="656"/>
      <c r="AN17" s="656"/>
      <c r="AO17" s="656"/>
      <c r="AP17" s="656"/>
      <c r="AQ17" s="656"/>
      <c r="AR17" s="656"/>
      <c r="AS17" s="656"/>
      <c r="AT17" s="656"/>
      <c r="AU17" s="656"/>
      <c r="AV17" s="656"/>
      <c r="AW17" s="656"/>
      <c r="AX17" s="656"/>
      <c r="AY17" s="657" t="s">
        <v>351</v>
      </c>
      <c r="AZ17" s="656"/>
      <c r="BB17" s="1151" t="s">
        <v>37</v>
      </c>
      <c r="BC17" s="1152" t="s">
        <v>352</v>
      </c>
      <c r="BD17" s="1151" t="s">
        <v>170</v>
      </c>
      <c r="BE17" s="1151" t="s">
        <v>169</v>
      </c>
    </row>
    <row r="18" spans="1:57" ht="15" customHeight="1">
      <c r="A18" s="654" t="s">
        <v>284</v>
      </c>
      <c r="C18" s="475"/>
      <c r="D18" s="476"/>
      <c r="E18" s="477" t="str">
        <f>INDEX($AB$2:$AB$3,$AB$1,1)</f>
        <v>m</v>
      </c>
      <c r="F18" s="478" t="str">
        <f>INDEX($AB$2:$AB$3,$AB$1,1)</f>
        <v>m</v>
      </c>
      <c r="G18" s="478" t="str">
        <f>INDEX($AB$2:$AB$3,$AB$1,1)</f>
        <v>m</v>
      </c>
      <c r="H18" s="478" t="str">
        <f>INDEX($AB$2:$AB$3,$AB$1,1)</f>
        <v>m</v>
      </c>
      <c r="I18" s="478"/>
      <c r="J18" s="478" t="str">
        <f>IF($AA1=1,"m3","Bbls")</f>
        <v>m3</v>
      </c>
      <c r="K18" s="478" t="str">
        <f>IF(AB1=1,"cm","in")</f>
        <v>cm</v>
      </c>
      <c r="L18" s="478" t="str">
        <f>IF($AA1=1,"m3","Bbls")</f>
        <v>m3</v>
      </c>
      <c r="M18" s="478" t="str">
        <f>INDEX($V$12:$W$13,$AA$1,2)</f>
        <v>kg/L</v>
      </c>
      <c r="N18" s="478" t="str">
        <f>IF(AA1=1,"° C","° F")</f>
        <v>° C</v>
      </c>
      <c r="O18" s="478" t="str">
        <f>IF($AA1=1,"m3","Bbls")</f>
        <v>m3</v>
      </c>
      <c r="P18" s="478" t="str">
        <f>IF(AA1=1,"Table 54B","Table 6B")</f>
        <v>Table 54B</v>
      </c>
      <c r="Q18" s="478" t="str">
        <f>IF($AA1=1,"m3","Bbls")</f>
        <v>m3</v>
      </c>
      <c r="R18" s="478" t="s">
        <v>31</v>
      </c>
      <c r="S18" s="478" t="str">
        <f>IF(AA1=1,"Table 56D","Table 13")</f>
        <v>Table 56D</v>
      </c>
      <c r="T18" s="479" t="s">
        <v>31</v>
      </c>
      <c r="V18" s="1151" t="str">
        <f>'Barge Gauging Data'!E26</f>
        <v>4</v>
      </c>
      <c r="W18" s="1151" t="str">
        <f>'Barge Gauging Data'!F26</f>
        <v>5</v>
      </c>
      <c r="X18" s="1151" t="str">
        <f>'Barge Gauging Data'!H26</f>
        <v>7</v>
      </c>
      <c r="Y18" s="1151" t="str">
        <f>'Barge Gauging Data'!I26</f>
        <v>8</v>
      </c>
      <c r="Z18" s="1151" t="str">
        <f>'Barge Gauging Data'!K26</f>
        <v>10</v>
      </c>
      <c r="AH18" s="656"/>
      <c r="AI18" s="656"/>
      <c r="AJ18" s="656"/>
      <c r="AK18" s="656"/>
      <c r="AL18" s="656"/>
      <c r="AM18" s="656"/>
      <c r="AN18" s="656"/>
      <c r="AO18" s="656"/>
      <c r="AP18" s="656"/>
      <c r="AQ18" s="656"/>
      <c r="AR18" s="657"/>
      <c r="AS18" s="656"/>
      <c r="AT18" s="656"/>
      <c r="AU18" s="656"/>
      <c r="AV18" s="656"/>
      <c r="AW18" s="656"/>
      <c r="AX18" s="656"/>
      <c r="AY18" s="657" t="s">
        <v>350</v>
      </c>
      <c r="AZ18" s="656"/>
      <c r="BB18" s="1151">
        <f>'Barge Gauging Data'!G26</f>
        <v>6</v>
      </c>
      <c r="BC18" s="1151" t="str">
        <f>'Barge Gauging Data'!J26</f>
        <v>9</v>
      </c>
      <c r="BD18" s="1151" t="str">
        <f>'Barge Gauging Data'!M26</f>
        <v>12</v>
      </c>
      <c r="BE18" s="1151" t="str">
        <f>'Barge Gauging Data'!N26</f>
        <v>13</v>
      </c>
    </row>
    <row r="19" spans="1:57" s="658" customFormat="1" ht="18.75">
      <c r="A19" s="658" t="s">
        <v>284</v>
      </c>
      <c r="C19" s="692" t="s">
        <v>165</v>
      </c>
      <c r="D19" s="693"/>
      <c r="E19" s="693"/>
      <c r="F19" s="693"/>
      <c r="G19" s="693"/>
      <c r="H19" s="693"/>
      <c r="I19" s="693"/>
      <c r="J19" s="693"/>
      <c r="K19" s="693"/>
      <c r="L19" s="693"/>
      <c r="M19" s="693"/>
      <c r="N19" s="693"/>
      <c r="O19" s="693"/>
      <c r="P19" s="693"/>
      <c r="Q19" s="693"/>
      <c r="R19" s="693"/>
      <c r="S19" s="693"/>
      <c r="T19" s="694"/>
      <c r="X19" s="641"/>
      <c r="Y19" s="641"/>
      <c r="AE19" s="641"/>
      <c r="AF19" s="641"/>
      <c r="AH19" s="656" t="s">
        <v>387</v>
      </c>
      <c r="AI19" s="656"/>
      <c r="AJ19" s="656"/>
      <c r="AK19" s="656"/>
      <c r="AL19" s="656"/>
      <c r="AM19" s="657" t="s">
        <v>349</v>
      </c>
      <c r="AN19" s="657" t="s">
        <v>348</v>
      </c>
      <c r="AO19" s="657" t="s">
        <v>347</v>
      </c>
      <c r="AP19" s="657" t="s">
        <v>346</v>
      </c>
      <c r="AQ19" s="656"/>
      <c r="AR19" s="657" t="s">
        <v>386</v>
      </c>
      <c r="AS19" s="656"/>
      <c r="AT19" s="656"/>
      <c r="AU19" s="656"/>
      <c r="AV19" s="656" t="s">
        <v>345</v>
      </c>
      <c r="AW19" s="656"/>
      <c r="AX19" s="656"/>
      <c r="AY19" s="657" t="s">
        <v>344</v>
      </c>
      <c r="AZ19" s="656"/>
    </row>
    <row r="20" spans="1:57" s="803" customFormat="1" ht="5.25">
      <c r="A20" s="799" t="s">
        <v>284</v>
      </c>
      <c r="B20" s="799"/>
      <c r="C20" s="799"/>
      <c r="D20" s="799"/>
      <c r="E20" s="799"/>
      <c r="F20" s="799"/>
      <c r="G20" s="800"/>
      <c r="H20" s="800"/>
      <c r="I20" s="800"/>
      <c r="J20" s="801"/>
      <c r="K20" s="801"/>
      <c r="L20" s="801"/>
      <c r="M20" s="801"/>
      <c r="N20" s="801"/>
      <c r="O20" s="801"/>
      <c r="P20" s="801"/>
      <c r="Q20" s="801"/>
      <c r="R20" s="801"/>
      <c r="S20" s="802"/>
      <c r="T20" s="802"/>
      <c r="AC20" s="804"/>
      <c r="AD20" s="804"/>
      <c r="AF20" s="805"/>
      <c r="AG20" s="805"/>
      <c r="AH20" s="806"/>
      <c r="AI20" s="807"/>
      <c r="AJ20" s="807"/>
      <c r="AK20" s="807"/>
      <c r="AL20" s="807"/>
      <c r="AM20" s="808"/>
      <c r="AN20" s="809"/>
      <c r="AO20" s="807"/>
      <c r="AP20" s="810"/>
      <c r="AQ20" s="810"/>
      <c r="AR20" s="811"/>
      <c r="AS20" s="810"/>
      <c r="AT20" s="812"/>
      <c r="AU20" s="810"/>
      <c r="AV20" s="810"/>
      <c r="AW20" s="807"/>
      <c r="AX20" s="813"/>
      <c r="AZ20" s="805"/>
      <c r="BA20" s="805"/>
      <c r="BB20" s="805"/>
      <c r="BC20" s="805"/>
    </row>
    <row r="21" spans="1:57" ht="15.75" hidden="1">
      <c r="A21" s="641" t="str">
        <f>A22</f>
        <v>N</v>
      </c>
      <c r="B21" s="641">
        <v>1</v>
      </c>
      <c r="C21" s="2797" t="s">
        <v>163</v>
      </c>
      <c r="D21" s="2798"/>
      <c r="E21" s="2799" t="str">
        <f>'Preliminary Report'!E1</f>
        <v>HSFO</v>
      </c>
      <c r="F21" s="2800"/>
      <c r="G21" s="2800"/>
      <c r="H21" s="2824"/>
      <c r="I21" s="2801"/>
      <c r="J21" s="700"/>
      <c r="K21" s="699"/>
      <c r="L21" s="700"/>
      <c r="M21" s="699"/>
      <c r="N21" s="699"/>
      <c r="O21" s="700"/>
      <c r="P21" s="699"/>
      <c r="Q21" s="700"/>
      <c r="R21" s="701"/>
      <c r="S21" s="699"/>
      <c r="T21" s="701"/>
      <c r="AB21" s="641" t="s">
        <v>389</v>
      </c>
      <c r="AC21" s="655" t="s">
        <v>330</v>
      </c>
      <c r="AE21" s="659" t="s">
        <v>390</v>
      </c>
      <c r="AH21" s="660" t="s">
        <v>343</v>
      </c>
      <c r="AI21" s="660" t="s">
        <v>292</v>
      </c>
      <c r="AJ21" s="660" t="s">
        <v>342</v>
      </c>
      <c r="AK21" s="660" t="s">
        <v>341</v>
      </c>
      <c r="AL21" s="660" t="s">
        <v>340</v>
      </c>
      <c r="AM21" s="660" t="s">
        <v>334</v>
      </c>
      <c r="AN21" s="660" t="s">
        <v>333</v>
      </c>
      <c r="AO21" s="660" t="s">
        <v>339</v>
      </c>
      <c r="AP21" s="660" t="s">
        <v>338</v>
      </c>
      <c r="AQ21" s="660" t="s">
        <v>337</v>
      </c>
      <c r="AR21" s="660" t="s">
        <v>334</v>
      </c>
      <c r="AS21" s="660" t="s">
        <v>333</v>
      </c>
      <c r="AT21" s="660" t="s">
        <v>336</v>
      </c>
      <c r="AU21" s="660" t="s">
        <v>335</v>
      </c>
      <c r="AV21" s="660" t="s">
        <v>334</v>
      </c>
      <c r="AW21" s="660" t="s">
        <v>333</v>
      </c>
      <c r="AX21" s="660" t="s">
        <v>332</v>
      </c>
      <c r="AY21" s="660" t="s">
        <v>331</v>
      </c>
      <c r="AZ21" s="660" t="s">
        <v>388</v>
      </c>
    </row>
    <row r="22" spans="1:57" hidden="1">
      <c r="A22" s="641" t="str">
        <f t="shared" ref="A22:A41" si="0">IF(C22="","N",IF(ISERROR(MATCH($E$21,IF($Z$1=1,GRADESLIST,IF($Z$1=2,RESIDUALS,DISTILLATES)),0)),"N","Y"))</f>
        <v>N</v>
      </c>
      <c r="C22" s="622" t="str">
        <f t="array" ref="C22">IF(OR($E$21="",SUMPRODUCT(('Barge Gauging Data'!$C$27:$C$56=$E$21)*('Barge Gauging Data'!$D$27:$D$56=NOMY))&lt;ROWS($C$22:$C22)),"",INDEX('Barge Gauging Data'!$B$27:$B$56,SMALL(IF(('Barge Gauging Data'!$C$27:$C$56=$E$21)+('Barge Gauging Data'!$D$27:$D$56=NOMY)=2,ROW('Barge Gauging Data'!$B$27:$B$56)-ROW('Barge Gauging Data'!$C$26)),ROW()-ROW(C$21))))</f>
        <v/>
      </c>
      <c r="D22" s="623" t="str">
        <f>IF(OR($C22="",$C22=0),"",INDEX('Barge Gauging Data'!$B$26:$V$56,MATCH($C22,'Barge Gauging Data'!$B$27:$B$56,0)+1,2))</f>
        <v/>
      </c>
      <c r="E22" s="1018" t="str">
        <f t="shared" ref="E22:E41" si="1">IF(ISERROR(V22),"",IF(OR($C22="",$C22=0),"",IF(ISTEXT(V22),V22,IF($AB$1=1,V22*UNITOR_2,INT(V22*UNITOR_2)&amp;"'-"&amp;TRIM(TEXT(ROUND(MOD(V22*UNITOR_2,1)*12,1),"# ???/???"))&amp;""""))))</f>
        <v/>
      </c>
      <c r="F22" s="1018" t="str">
        <f t="shared" ref="F22:F41" si="2">IF(ISERROR(W22),"",IF(OR($C22="",$C22=0),"",IF(ISTEXT(W22),W22,IF($AB$1=1,W22*UNITOR_2,INT(W22*UNITOR_2)&amp;"'-"&amp;TRIM(TEXT(ROUND(MOD(W22*UNITOR_2,1)*12,1),"# ???/???"))&amp;""""))))</f>
        <v/>
      </c>
      <c r="G22" s="1018" t="str">
        <f t="shared" ref="G22:H41" si="3">IF(ISERROR(X22),"",IF(OR($C22="",$C22=0),"",IF(ISTEXT(X22),X22,IF($AB$1=1,X22*UNITOR_2,INT(X22*UNITOR_2)&amp;"'-"&amp;TRIM(TEXT(ROUND(MOD(X22*UNITOR_2,1)*12,1),"# ???/???"))&amp;""""))))</f>
        <v/>
      </c>
      <c r="H22" s="1018" t="str">
        <f t="shared" si="3"/>
        <v/>
      </c>
      <c r="I22" s="623" t="str">
        <f t="shared" ref="I22:I41" si="4">IF(ISERROR($BB22),"",IF(OR($C22="",$C22=0,$BB22=0),"",$BB22))</f>
        <v/>
      </c>
      <c r="J22" s="1016" t="str">
        <f t="shared" ref="J22:J41" si="5">IF(ISERROR($BC22),"",IF(OR($C22="",$C22=0,$BC22=""),"",IF(ISTEXT($BC22),$BC22,$BC22*IF($AA$1=B1SEL_2,1,IF($AA$1=2,FBBLS,1/FBBLS)))))</f>
        <v/>
      </c>
      <c r="K22" s="213" t="str">
        <f t="shared" ref="K22:K41" si="6">IF(ISERROR($BD22),"",IF(OR($C22="",$C22=0,$BD22=""),0,IF(ISTEXT($BD22),$BD22,$BD22*IF($AB$1=W1SEL_2,1,IF($AB$1=2,FINCH,1/FINCH)))))</f>
        <v/>
      </c>
      <c r="L22" s="212" t="str">
        <f t="shared" ref="L22:L41" si="7">IF(ISERROR($BE22),"",IF(OR($C22="",$C22=0,$BE22=""),0,IF(ISTEXT($BE22),$BE22,$BE22*IF($AA$1=B1SEL_2,1,IF($AA$1=2,FBBLS,1/FBBLS)))))</f>
        <v/>
      </c>
      <c r="M22" s="1125" t="str">
        <f>IF(OR($C22="",$C22=0),"",INDEX(API1DENST_2,MATCH($C22,'Barge Gauging Data'!$B$27:$B$56,0),$AA$1))</f>
        <v/>
      </c>
      <c r="N22" s="212" t="str">
        <f t="shared" ref="N22:N41" si="8">IF(ISERROR(Z22),"",IF(OR($C22="",$C22=0,Z22=""),"",IF(ISTEXT(Z22),Z22,IF($AA$1=T1SEL_2,Z22,IF($AA$1=2,(Z22*9/5)+32,(Z22-32)*5/9)))))</f>
        <v/>
      </c>
      <c r="O22" s="1016" t="str">
        <f t="shared" ref="O22:O41" si="9">IF(OR(J22="",L22=""),"",IF(ISTEXT(J22),"N/A",IF(ISTEXT(L22),J22,J22-L22)))</f>
        <v/>
      </c>
      <c r="P22" s="1125" t="str">
        <f t="shared" ref="P22:P41" si="10">IF(OR(M22="",N22=""),"",IF(OR(ISTEXT(M22),ISTEXT(N22)),"N/A",IF($AA$1=1,ROUND(EXP(-AF22*(N22-15)*(1+0.8*AF22*(N22-15))),5),AZ22)))</f>
        <v/>
      </c>
      <c r="Q22" s="1016" t="str">
        <f t="shared" ref="Q22:Q41" si="11">IF(OR(M22="",N22=""),"",IF(OR(ISTEXT(M22),ISTEXT(N22)),"N/A",ROUND(O22*P22,3)))</f>
        <v/>
      </c>
      <c r="R22" s="214" t="str">
        <f t="shared" ref="R22:R41" si="12">IF(M22="","",IF($AA$1=1,IF(ISTEXT(Q22),"N/A",ROUND(Q22*M22,3)),IF(ISTEXT(T22),"N/A",ROUND(T22*AC22,3))))</f>
        <v/>
      </c>
      <c r="S22" s="1125" t="str">
        <f t="shared" ref="S22:S41" si="13">IF(M22="","",IF($AA$1=1,ROUND(M22-0.0011,5),ROUND((1.00122697*(141.5/(M22+131.5))-1.22269727*10^-3)*8.32823*42/2204.62,5+2)))</f>
        <v/>
      </c>
      <c r="T22" s="236" t="str">
        <f t="shared" ref="T22:T41" si="14">IF(OR(M22="",N22=""),"",IF(ISTEXT(Q22),"N/A",IF($AA$1=1,ROUND((Q22*(M22-0.0011)),3),ROUND(Q22*S22,3))))</f>
        <v/>
      </c>
      <c r="V22" s="642" t="e">
        <f>INDEX('Barge Gauging Data'!$B$26:$V$56,MATCH($C22,'Barge Gauging Data'!$B$26:$B$56,0),$V$18)</f>
        <v>#N/A</v>
      </c>
      <c r="W22" s="642" t="e">
        <f>INDEX('Barge Gauging Data'!$B$26:$V$56,MATCH($C22,'Barge Gauging Data'!$B$26:$B$56,0),$W$18)</f>
        <v>#N/A</v>
      </c>
      <c r="X22" s="642" t="e">
        <f>INDEX('Barge Gauging Data'!$B$26:$V$56,MATCH($C22,'Barge Gauging Data'!$B$26:$B$56,0),$X$18)</f>
        <v>#N/A</v>
      </c>
      <c r="Y22" s="642" t="e">
        <f>INDEX('Barge Gauging Data'!$B$26:$V$56,MATCH($C22,'Barge Gauging Data'!$B$26:$B$56,0),$Y$18)</f>
        <v>#N/A</v>
      </c>
      <c r="Z22" s="642" t="e">
        <f>INDEX('Barge Gauging Data'!$B$26:$V$56,MATCH($C22,'Barge Gauging Data'!$B$26:$B$56,0),$Z$18)</f>
        <v>#N/A</v>
      </c>
      <c r="AB22" s="642" t="e">
        <f>INDEX(API1DENST_2,MATCH($C22,'Barge Gauging Data'!$B$27:$B$56,0),1)</f>
        <v>#N/A</v>
      </c>
      <c r="AC22" s="642" t="e">
        <f>((INT((AB22/(1.0001506*AB22-0.0012202))*10000)+0.5)/10000)</f>
        <v>#N/A</v>
      </c>
      <c r="AE22" s="661" t="e">
        <f>ROUND(+M22/2*1000,0)*2</f>
        <v>#VALUE!</v>
      </c>
      <c r="AF22" s="661" t="e">
        <f>ROUND(186.9696/(AE22*AE22)+(0.4862/AE22),8)</f>
        <v>#VALUE!</v>
      </c>
      <c r="AH22" s="662" t="str">
        <f t="shared" ref="AH22:AH91" si="15">N22</f>
        <v/>
      </c>
      <c r="AI22" s="662" t="str">
        <f t="shared" ref="AI22:AI91" si="16">M22</f>
        <v/>
      </c>
      <c r="AJ22" s="663">
        <f>IF(AND(AI22&gt;=0,AI22&lt;=37),103.872,IF(AND(AI22&gt;=48,AI22&lt;=52),-0.0018684,IF(AND(AI22&gt;=37.1,AI22&lt;=47.9),330.301,IF(AND(AI22&gt;=52.1),192.4571))))</f>
        <v>192.4571</v>
      </c>
      <c r="AK22" s="660">
        <f>IF(AND(AI22&gt;=0,AI22&lt;=37),0.2701,IF(AND(AI22&gt;=48,AJ22&lt;=52),1489.067,IF(AND(AI22&gt;=37.1,AI22&lt;=47.9),0,IF(AI22&gt;=52.1,0.2438))))</f>
        <v>0.24379999999999999</v>
      </c>
      <c r="AL22" s="660" t="e">
        <f>ROUND(141360.198/(AI22+131.5),2)</f>
        <v>#VALUE!</v>
      </c>
      <c r="AM22" s="664" t="e">
        <f>TRUNC(AJ22/AL22,8)</f>
        <v>#VALUE!</v>
      </c>
      <c r="AN22" s="664" t="e">
        <f>TRUNC(AM22/AL22,10)</f>
        <v>#VALUE!</v>
      </c>
      <c r="AO22" s="665" t="e">
        <f>TRUNC(AK22/AL22,10)</f>
        <v>#VALUE!</v>
      </c>
      <c r="AP22" s="666" t="e">
        <f>IF(AND(AI22&gt;=48,AI22&lt;=52),ROUND(AW22+AJ22,7),ROUND(AN22+AO22,7))</f>
        <v>#VALUE!</v>
      </c>
      <c r="AQ22" s="660" t="e">
        <f>AH22-60</f>
        <v>#VALUE!</v>
      </c>
      <c r="AR22" s="667" t="e">
        <f>TRUNC(AP22*AQ22,8)</f>
        <v>#VALUE!</v>
      </c>
      <c r="AS22" s="667" t="e">
        <f>TRUNC(0.8*AR22,8)</f>
        <v>#VALUE!</v>
      </c>
      <c r="AT22" s="668" t="e">
        <f>TRUNC(0.8*AP22^2*AQ22^2,8)</f>
        <v>#VALUE!</v>
      </c>
      <c r="AU22" s="667" t="e">
        <f>-AR22-AT22</f>
        <v>#VALUE!</v>
      </c>
      <c r="AV22" s="669" t="e">
        <f>TRUNC(AK22/AL22,5)</f>
        <v>#VALUE!</v>
      </c>
      <c r="AW22" s="667" t="e">
        <f>ROUND(AV22/AL22,8)</f>
        <v>#VALUE!</v>
      </c>
      <c r="AX22" s="667" t="e">
        <f>ROUND(AW22+AJ22,8)</f>
        <v>#VALUE!</v>
      </c>
      <c r="AY22" s="660" t="e">
        <f>IF(AND(AI22&gt;=48,AI22&lt;=52),AX22,AP22)</f>
        <v>#VALUE!</v>
      </c>
      <c r="AZ22" s="670" t="e">
        <f>ROUND(EXP(AU22),5)</f>
        <v>#VALUE!</v>
      </c>
      <c r="BB22" s="662" t="e">
        <f>INDEX('Barge Gauging Data'!$B$26:$V$56,MATCH($C22,'Barge Gauging Data'!$B$26:$B$56,0),$BB$18)</f>
        <v>#N/A</v>
      </c>
      <c r="BC22" s="662" t="e">
        <f>INDEX('Barge Gauging Data'!$B$26:$V$56,MATCH($C22,'Barge Gauging Data'!$B$26:$B$56,0),$BC$18)</f>
        <v>#N/A</v>
      </c>
      <c r="BD22" s="662" t="e">
        <f>INDEX('Barge Gauging Data'!$B$26:$V$56,MATCH($C22,'Barge Gauging Data'!$B$26:$B$56,0),$BD$18)</f>
        <v>#N/A</v>
      </c>
      <c r="BE22" s="662" t="e">
        <f>INDEX('Barge Gauging Data'!$B$26:$V$56,MATCH($C22,'Barge Gauging Data'!$B$26:$B$56,0),$BE$18)</f>
        <v>#N/A</v>
      </c>
    </row>
    <row r="23" spans="1:57" hidden="1">
      <c r="A23" s="641" t="str">
        <f t="shared" si="0"/>
        <v>N</v>
      </c>
      <c r="C23" s="235" t="str">
        <f t="array" ref="C23">IF(OR($E$21="",SUMPRODUCT(('Barge Gauging Data'!$C$27:$C$56=$E$21)*('Barge Gauging Data'!$D$27:$D$56=NOMY))&lt;ROWS($C$22:$C23)),"",INDEX('Barge Gauging Data'!$B$27:$B$56,SMALL(IF(('Barge Gauging Data'!$C$27:$C$56=$E$21)+('Barge Gauging Data'!$D$27:$D$56=NOMY)=2,ROW('Barge Gauging Data'!$B$27:$B$56)-ROW('Barge Gauging Data'!$C$26)),ROW()-ROW(C$21))))</f>
        <v/>
      </c>
      <c r="D23" s="211" t="str">
        <f>IF(OR($C23="",$C23=0),"",INDEX('Barge Gauging Data'!$B$26:$V$56,MATCH($C23,'Barge Gauging Data'!$B$27:$B$56,0)+1,2))</f>
        <v/>
      </c>
      <c r="E23" s="1016" t="str">
        <f t="shared" si="1"/>
        <v/>
      </c>
      <c r="F23" s="1016" t="str">
        <f t="shared" si="2"/>
        <v/>
      </c>
      <c r="G23" s="1016" t="str">
        <f t="shared" si="3"/>
        <v/>
      </c>
      <c r="H23" s="1016" t="str">
        <f t="shared" si="3"/>
        <v/>
      </c>
      <c r="I23" s="211" t="str">
        <f t="shared" si="4"/>
        <v/>
      </c>
      <c r="J23" s="1016" t="str">
        <f t="shared" si="5"/>
        <v/>
      </c>
      <c r="K23" s="213" t="str">
        <f t="shared" si="6"/>
        <v/>
      </c>
      <c r="L23" s="212" t="str">
        <f t="shared" si="7"/>
        <v/>
      </c>
      <c r="M23" s="1125" t="str">
        <f>IF(OR($C23="",$C23=0),"",INDEX(API1DENST_2,MATCH($C23,'Barge Gauging Data'!$B$27:$B$56,0),$AA$1))</f>
        <v/>
      </c>
      <c r="N23" s="212" t="str">
        <f t="shared" si="8"/>
        <v/>
      </c>
      <c r="O23" s="1016" t="str">
        <f t="shared" si="9"/>
        <v/>
      </c>
      <c r="P23" s="1125" t="str">
        <f t="shared" si="10"/>
        <v/>
      </c>
      <c r="Q23" s="1016" t="str">
        <f t="shared" si="11"/>
        <v/>
      </c>
      <c r="R23" s="214" t="str">
        <f t="shared" si="12"/>
        <v/>
      </c>
      <c r="S23" s="1125" t="str">
        <f t="shared" si="13"/>
        <v/>
      </c>
      <c r="T23" s="236" t="str">
        <f t="shared" si="14"/>
        <v/>
      </c>
      <c r="V23" s="642" t="e">
        <f>INDEX('Barge Gauging Data'!$B$26:$V$56,MATCH($C23,'Barge Gauging Data'!$B$26:$B$56,0),$V$18)</f>
        <v>#N/A</v>
      </c>
      <c r="W23" s="642" t="e">
        <f>INDEX('Barge Gauging Data'!$B$26:$V$56,MATCH($C23,'Barge Gauging Data'!$B$26:$B$56,0),$W$18)</f>
        <v>#N/A</v>
      </c>
      <c r="X23" s="642" t="e">
        <f>INDEX('Barge Gauging Data'!$B$26:$V$56,MATCH($C23,'Barge Gauging Data'!$B$26:$B$56,0),$X$18)</f>
        <v>#N/A</v>
      </c>
      <c r="Y23" s="642" t="e">
        <f>INDEX('Barge Gauging Data'!$B$26:$V$56,MATCH($C23,'Barge Gauging Data'!$B$26:$B$56,0),$Y$18)</f>
        <v>#N/A</v>
      </c>
      <c r="Z23" s="642" t="e">
        <f>INDEX('Barge Gauging Data'!$B$26:$V$56,MATCH($C23,'Barge Gauging Data'!$B$26:$B$56,0),$Z$18)</f>
        <v>#N/A</v>
      </c>
      <c r="AB23" s="642" t="e">
        <f>INDEX(API1DENST_2,MATCH($C23,'Barge Gauging Data'!$B$27:$B$56,0),1)</f>
        <v>#N/A</v>
      </c>
      <c r="AC23" s="642" t="e">
        <f t="shared" ref="AC23:AC92" si="17">((INT((AB23/(1.0001506*AB23-0.0012202))*10000)+0.5)/10000)</f>
        <v>#N/A</v>
      </c>
      <c r="AE23" s="661" t="e">
        <f t="shared" ref="AE23:AE92" si="18">ROUND(+M23/2*1000,0)*2</f>
        <v>#VALUE!</v>
      </c>
      <c r="AF23" s="661" t="e">
        <f t="shared" ref="AF23:AF92" si="19">ROUND(186.9696/(AE23*AE23)+(0.4862/AE23),8)</f>
        <v>#VALUE!</v>
      </c>
      <c r="AH23" s="662" t="str">
        <f t="shared" si="15"/>
        <v/>
      </c>
      <c r="AI23" s="662" t="str">
        <f t="shared" si="16"/>
        <v/>
      </c>
      <c r="AJ23" s="663">
        <f t="shared" ref="AJ23:AJ92" si="20">IF(AND(AI23&gt;=0,AI23&lt;=37),103.872,IF(AND(AI23&gt;=48,AI23&lt;=52),-0.0018684,IF(AND(AI23&gt;=37.1,AI23&lt;=47.9),330.301,IF(AND(AI23&gt;=52.1),192.4571))))</f>
        <v>192.4571</v>
      </c>
      <c r="AK23" s="660">
        <f t="shared" ref="AK23:AK92" si="21">IF(AND(AI23&gt;=0,AI23&lt;=37),0.2701,IF(AND(AI23&gt;=48,AJ23&lt;=52),1489.067,IF(AND(AI23&gt;=37.1,AI23&lt;=47.9),0,IF(AI23&gt;=52.1,0.2438))))</f>
        <v>0.24379999999999999</v>
      </c>
      <c r="AL23" s="660" t="e">
        <f t="shared" ref="AL23:AL92" si="22">ROUND(141360.198/(AI23+131.5),2)</f>
        <v>#VALUE!</v>
      </c>
      <c r="AM23" s="664" t="e">
        <f t="shared" ref="AM23:AM92" si="23">TRUNC(AJ23/AL23,8)</f>
        <v>#VALUE!</v>
      </c>
      <c r="AN23" s="664" t="e">
        <f t="shared" ref="AN23:AN92" si="24">TRUNC(AM23/AL23,10)</f>
        <v>#VALUE!</v>
      </c>
      <c r="AO23" s="665" t="e">
        <f t="shared" ref="AO23:AO92" si="25">TRUNC(AK23/AL23,10)</f>
        <v>#VALUE!</v>
      </c>
      <c r="AP23" s="666" t="e">
        <f t="shared" ref="AP23:AP92" si="26">IF(AND(AI23&gt;=48,AI23&lt;=52),ROUND(AW23+AJ23,7),ROUND(AN23+AO23,7))</f>
        <v>#VALUE!</v>
      </c>
      <c r="AQ23" s="660" t="e">
        <f t="shared" ref="AQ23:AQ92" si="27">AH23-60</f>
        <v>#VALUE!</v>
      </c>
      <c r="AR23" s="667" t="e">
        <f t="shared" ref="AR23:AR92" si="28">TRUNC(AP23*AQ23,8)</f>
        <v>#VALUE!</v>
      </c>
      <c r="AS23" s="667" t="e">
        <f t="shared" ref="AS23:AS92" si="29">TRUNC(0.8*AR23,8)</f>
        <v>#VALUE!</v>
      </c>
      <c r="AT23" s="668" t="e">
        <f t="shared" ref="AT23:AT92" si="30">TRUNC(0.8*AP23^2*AQ23^2,8)</f>
        <v>#VALUE!</v>
      </c>
      <c r="AU23" s="667" t="e">
        <f t="shared" ref="AU23:AU92" si="31">-AR23-AT23</f>
        <v>#VALUE!</v>
      </c>
      <c r="AV23" s="669" t="e">
        <f t="shared" ref="AV23:AV92" si="32">TRUNC(AK23/AL23,5)</f>
        <v>#VALUE!</v>
      </c>
      <c r="AW23" s="667" t="e">
        <f t="shared" ref="AW23:AW92" si="33">ROUND(AV23/AL23,8)</f>
        <v>#VALUE!</v>
      </c>
      <c r="AX23" s="667" t="e">
        <f t="shared" ref="AX23:AX92" si="34">ROUND(AW23+AJ23,8)</f>
        <v>#VALUE!</v>
      </c>
      <c r="AY23" s="660" t="e">
        <f t="shared" ref="AY23:AY92" si="35">IF(AND(AI23&gt;=48,AI23&lt;=52),AX23,AP23)</f>
        <v>#VALUE!</v>
      </c>
      <c r="AZ23" s="670" t="e">
        <f t="shared" ref="AZ23:AZ92" si="36">ROUND(EXP(AU23),5)</f>
        <v>#VALUE!</v>
      </c>
      <c r="BB23" s="662" t="e">
        <f>INDEX('Barge Gauging Data'!$B$26:$V$56,MATCH($C23,'Barge Gauging Data'!$B$26:$B$56,0),$BB$18)</f>
        <v>#N/A</v>
      </c>
      <c r="BC23" s="662" t="e">
        <f>INDEX('Barge Gauging Data'!$B$26:$V$56,MATCH($C23,'Barge Gauging Data'!$B$26:$B$56,0),$BC$18)</f>
        <v>#N/A</v>
      </c>
      <c r="BD23" s="662" t="e">
        <f>INDEX('Barge Gauging Data'!$B$26:$V$56,MATCH($C23,'Barge Gauging Data'!$B$26:$B$56,0),$BD$18)</f>
        <v>#N/A</v>
      </c>
      <c r="BE23" s="662" t="e">
        <f>INDEX('Barge Gauging Data'!$B$26:$V$56,MATCH($C23,'Barge Gauging Data'!$B$26:$B$56,0),$BE$18)</f>
        <v>#N/A</v>
      </c>
    </row>
    <row r="24" spans="1:57" hidden="1">
      <c r="A24" s="641" t="str">
        <f t="shared" si="0"/>
        <v>N</v>
      </c>
      <c r="C24" s="235" t="str">
        <f t="array" ref="C24">IF(OR($E$21="",SUMPRODUCT(('Barge Gauging Data'!$C$27:$C$56=$E$21)*('Barge Gauging Data'!$D$27:$D$56=NOMY))&lt;ROWS($C$22:$C24)),"",INDEX('Barge Gauging Data'!$B$27:$B$56,SMALL(IF(('Barge Gauging Data'!$C$27:$C$56=$E$21)+('Barge Gauging Data'!$D$27:$D$56=NOMY)=2,ROW('Barge Gauging Data'!$B$27:$B$56)-ROW('Barge Gauging Data'!$C$26)),ROW()-ROW(C$21))))</f>
        <v/>
      </c>
      <c r="D24" s="211" t="str">
        <f>IF(OR($C24="",$C24=0),"",INDEX('Barge Gauging Data'!$B$26:$V$56,MATCH($C24,'Barge Gauging Data'!$B$27:$B$56,0)+1,2))</f>
        <v/>
      </c>
      <c r="E24" s="1016" t="str">
        <f t="shared" si="1"/>
        <v/>
      </c>
      <c r="F24" s="1016" t="str">
        <f t="shared" si="2"/>
        <v/>
      </c>
      <c r="G24" s="1016" t="str">
        <f t="shared" si="3"/>
        <v/>
      </c>
      <c r="H24" s="1016" t="str">
        <f t="shared" si="3"/>
        <v/>
      </c>
      <c r="I24" s="211" t="str">
        <f t="shared" si="4"/>
        <v/>
      </c>
      <c r="J24" s="1016" t="str">
        <f t="shared" si="5"/>
        <v/>
      </c>
      <c r="K24" s="213" t="str">
        <f t="shared" si="6"/>
        <v/>
      </c>
      <c r="L24" s="212" t="str">
        <f t="shared" si="7"/>
        <v/>
      </c>
      <c r="M24" s="1125" t="str">
        <f>IF(OR($C24="",$C24=0),"",INDEX(API1DENST_2,MATCH($C24,'Barge Gauging Data'!$B$27:$B$56,0),$AA$1))</f>
        <v/>
      </c>
      <c r="N24" s="212" t="str">
        <f t="shared" si="8"/>
        <v/>
      </c>
      <c r="O24" s="1016" t="str">
        <f t="shared" si="9"/>
        <v/>
      </c>
      <c r="P24" s="1125" t="str">
        <f t="shared" si="10"/>
        <v/>
      </c>
      <c r="Q24" s="1016" t="str">
        <f t="shared" si="11"/>
        <v/>
      </c>
      <c r="R24" s="214" t="str">
        <f t="shared" si="12"/>
        <v/>
      </c>
      <c r="S24" s="1125" t="str">
        <f t="shared" si="13"/>
        <v/>
      </c>
      <c r="T24" s="236" t="str">
        <f t="shared" si="14"/>
        <v/>
      </c>
      <c r="V24" s="642" t="e">
        <f>INDEX('Barge Gauging Data'!$B$26:$V$56,MATCH($C24,'Barge Gauging Data'!$B$26:$B$56,0),$V$18)</f>
        <v>#N/A</v>
      </c>
      <c r="W24" s="642" t="e">
        <f>INDEX('Barge Gauging Data'!$B$26:$V$56,MATCH($C24,'Barge Gauging Data'!$B$26:$B$56,0),$W$18)</f>
        <v>#N/A</v>
      </c>
      <c r="X24" s="642" t="e">
        <f>INDEX('Barge Gauging Data'!$B$26:$V$56,MATCH($C24,'Barge Gauging Data'!$B$26:$B$56,0),$X$18)</f>
        <v>#N/A</v>
      </c>
      <c r="Y24" s="642" t="e">
        <f>INDEX('Barge Gauging Data'!$B$26:$V$56,MATCH($C24,'Barge Gauging Data'!$B$26:$B$56,0),$Y$18)</f>
        <v>#N/A</v>
      </c>
      <c r="Z24" s="642" t="e">
        <f>INDEX('Barge Gauging Data'!$B$26:$V$56,MATCH($C24,'Barge Gauging Data'!$B$26:$B$56,0),$Z$18)</f>
        <v>#N/A</v>
      </c>
      <c r="AB24" s="642" t="e">
        <f>INDEX(API1DENST_2,MATCH($C24,'Barge Gauging Data'!$B$27:$B$56,0),1)</f>
        <v>#N/A</v>
      </c>
      <c r="AC24" s="642" t="e">
        <f t="shared" si="17"/>
        <v>#N/A</v>
      </c>
      <c r="AE24" s="661" t="e">
        <f t="shared" si="18"/>
        <v>#VALUE!</v>
      </c>
      <c r="AF24" s="661" t="e">
        <f t="shared" si="19"/>
        <v>#VALUE!</v>
      </c>
      <c r="AH24" s="662" t="str">
        <f t="shared" si="15"/>
        <v/>
      </c>
      <c r="AI24" s="662" t="str">
        <f t="shared" si="16"/>
        <v/>
      </c>
      <c r="AJ24" s="663">
        <f t="shared" si="20"/>
        <v>192.4571</v>
      </c>
      <c r="AK24" s="660">
        <f t="shared" si="21"/>
        <v>0.24379999999999999</v>
      </c>
      <c r="AL24" s="660" t="e">
        <f t="shared" si="22"/>
        <v>#VALUE!</v>
      </c>
      <c r="AM24" s="664" t="e">
        <f t="shared" si="23"/>
        <v>#VALUE!</v>
      </c>
      <c r="AN24" s="664" t="e">
        <f t="shared" si="24"/>
        <v>#VALUE!</v>
      </c>
      <c r="AO24" s="665" t="e">
        <f t="shared" si="25"/>
        <v>#VALUE!</v>
      </c>
      <c r="AP24" s="666" t="e">
        <f t="shared" si="26"/>
        <v>#VALUE!</v>
      </c>
      <c r="AQ24" s="660" t="e">
        <f t="shared" si="27"/>
        <v>#VALUE!</v>
      </c>
      <c r="AR24" s="667" t="e">
        <f t="shared" si="28"/>
        <v>#VALUE!</v>
      </c>
      <c r="AS24" s="667" t="e">
        <f t="shared" si="29"/>
        <v>#VALUE!</v>
      </c>
      <c r="AT24" s="668" t="e">
        <f t="shared" si="30"/>
        <v>#VALUE!</v>
      </c>
      <c r="AU24" s="667" t="e">
        <f t="shared" si="31"/>
        <v>#VALUE!</v>
      </c>
      <c r="AV24" s="669" t="e">
        <f t="shared" si="32"/>
        <v>#VALUE!</v>
      </c>
      <c r="AW24" s="667" t="e">
        <f t="shared" si="33"/>
        <v>#VALUE!</v>
      </c>
      <c r="AX24" s="667" t="e">
        <f t="shared" si="34"/>
        <v>#VALUE!</v>
      </c>
      <c r="AY24" s="660" t="e">
        <f t="shared" si="35"/>
        <v>#VALUE!</v>
      </c>
      <c r="AZ24" s="670" t="e">
        <f t="shared" si="36"/>
        <v>#VALUE!</v>
      </c>
      <c r="BB24" s="662" t="e">
        <f>INDEX('Barge Gauging Data'!$B$26:$V$56,MATCH($C24,'Barge Gauging Data'!$B$26:$B$56,0),$BB$18)</f>
        <v>#N/A</v>
      </c>
      <c r="BC24" s="662" t="e">
        <f>INDEX('Barge Gauging Data'!$B$26:$V$56,MATCH($C24,'Barge Gauging Data'!$B$26:$B$56,0),$BC$18)</f>
        <v>#N/A</v>
      </c>
      <c r="BD24" s="662" t="e">
        <f>INDEX('Barge Gauging Data'!$B$26:$V$56,MATCH($C24,'Barge Gauging Data'!$B$26:$B$56,0),$BD$18)</f>
        <v>#N/A</v>
      </c>
      <c r="BE24" s="662" t="e">
        <f>INDEX('Barge Gauging Data'!$B$26:$V$56,MATCH($C24,'Barge Gauging Data'!$B$26:$B$56,0),$BE$18)</f>
        <v>#N/A</v>
      </c>
    </row>
    <row r="25" spans="1:57" hidden="1">
      <c r="A25" s="641" t="str">
        <f t="shared" si="0"/>
        <v>N</v>
      </c>
      <c r="C25" s="235" t="str">
        <f t="array" ref="C25">IF(OR($E$21="",SUMPRODUCT(('Barge Gauging Data'!$C$27:$C$56=$E$21)*('Barge Gauging Data'!$D$27:$D$56=NOMY))&lt;ROWS($C$22:$C25)),"",INDEX('Barge Gauging Data'!$B$27:$B$56,SMALL(IF(('Barge Gauging Data'!$C$27:$C$56=$E$21)+('Barge Gauging Data'!$D$27:$D$56=NOMY)=2,ROW('Barge Gauging Data'!$B$27:$B$56)-ROW('Barge Gauging Data'!$C$26)),ROW()-ROW(C$21))))</f>
        <v/>
      </c>
      <c r="D25" s="211" t="str">
        <f>IF(OR($C25="",$C25=0),"",INDEX('Barge Gauging Data'!$B$26:$V$56,MATCH($C25,'Barge Gauging Data'!$B$27:$B$56,0)+1,2))</f>
        <v/>
      </c>
      <c r="E25" s="1016" t="str">
        <f t="shared" si="1"/>
        <v/>
      </c>
      <c r="F25" s="1016" t="str">
        <f t="shared" si="2"/>
        <v/>
      </c>
      <c r="G25" s="1016" t="str">
        <f t="shared" si="3"/>
        <v/>
      </c>
      <c r="H25" s="1016" t="str">
        <f t="shared" si="3"/>
        <v/>
      </c>
      <c r="I25" s="211" t="str">
        <f t="shared" si="4"/>
        <v/>
      </c>
      <c r="J25" s="1016" t="str">
        <f t="shared" si="5"/>
        <v/>
      </c>
      <c r="K25" s="213" t="str">
        <f t="shared" si="6"/>
        <v/>
      </c>
      <c r="L25" s="212" t="str">
        <f t="shared" si="7"/>
        <v/>
      </c>
      <c r="M25" s="1125" t="str">
        <f>IF(OR($C25="",$C25=0),"",INDEX(API1DENST_2,MATCH($C25,'Barge Gauging Data'!$B$27:$B$56,0),$AA$1))</f>
        <v/>
      </c>
      <c r="N25" s="212" t="str">
        <f t="shared" si="8"/>
        <v/>
      </c>
      <c r="O25" s="1016" t="str">
        <f t="shared" si="9"/>
        <v/>
      </c>
      <c r="P25" s="1125" t="str">
        <f t="shared" si="10"/>
        <v/>
      </c>
      <c r="Q25" s="1016" t="str">
        <f t="shared" si="11"/>
        <v/>
      </c>
      <c r="R25" s="214" t="str">
        <f t="shared" si="12"/>
        <v/>
      </c>
      <c r="S25" s="1125" t="str">
        <f t="shared" si="13"/>
        <v/>
      </c>
      <c r="T25" s="236" t="str">
        <f t="shared" si="14"/>
        <v/>
      </c>
      <c r="V25" s="642" t="e">
        <f>INDEX('Barge Gauging Data'!$B$26:$V$56,MATCH($C25,'Barge Gauging Data'!$B$26:$B$56,0),$V$18)</f>
        <v>#N/A</v>
      </c>
      <c r="W25" s="642" t="e">
        <f>INDEX('Barge Gauging Data'!$B$26:$V$56,MATCH($C25,'Barge Gauging Data'!$B$26:$B$56,0),$W$18)</f>
        <v>#N/A</v>
      </c>
      <c r="X25" s="642" t="e">
        <f>INDEX('Barge Gauging Data'!$B$26:$V$56,MATCH($C25,'Barge Gauging Data'!$B$26:$B$56,0),$X$18)</f>
        <v>#N/A</v>
      </c>
      <c r="Y25" s="642" t="e">
        <f>INDEX('Barge Gauging Data'!$B$26:$V$56,MATCH($C25,'Barge Gauging Data'!$B$26:$B$56,0),$Y$18)</f>
        <v>#N/A</v>
      </c>
      <c r="Z25" s="642" t="e">
        <f>INDEX('Barge Gauging Data'!$B$26:$V$56,MATCH($C25,'Barge Gauging Data'!$B$26:$B$56,0),$Z$18)</f>
        <v>#N/A</v>
      </c>
      <c r="AB25" s="642" t="e">
        <f>INDEX(API1DENST_2,MATCH($C25,'Barge Gauging Data'!$B$27:$B$56,0),1)</f>
        <v>#N/A</v>
      </c>
      <c r="AC25" s="642" t="e">
        <f t="shared" si="17"/>
        <v>#N/A</v>
      </c>
      <c r="AE25" s="661" t="e">
        <f t="shared" si="18"/>
        <v>#VALUE!</v>
      </c>
      <c r="AF25" s="661" t="e">
        <f t="shared" si="19"/>
        <v>#VALUE!</v>
      </c>
      <c r="AH25" s="662" t="str">
        <f t="shared" si="15"/>
        <v/>
      </c>
      <c r="AI25" s="662" t="str">
        <f t="shared" si="16"/>
        <v/>
      </c>
      <c r="AJ25" s="663">
        <f t="shared" si="20"/>
        <v>192.4571</v>
      </c>
      <c r="AK25" s="660">
        <f t="shared" si="21"/>
        <v>0.24379999999999999</v>
      </c>
      <c r="AL25" s="660" t="e">
        <f t="shared" si="22"/>
        <v>#VALUE!</v>
      </c>
      <c r="AM25" s="664" t="e">
        <f t="shared" si="23"/>
        <v>#VALUE!</v>
      </c>
      <c r="AN25" s="664" t="e">
        <f t="shared" si="24"/>
        <v>#VALUE!</v>
      </c>
      <c r="AO25" s="665" t="e">
        <f t="shared" si="25"/>
        <v>#VALUE!</v>
      </c>
      <c r="AP25" s="666" t="e">
        <f t="shared" si="26"/>
        <v>#VALUE!</v>
      </c>
      <c r="AQ25" s="660" t="e">
        <f t="shared" si="27"/>
        <v>#VALUE!</v>
      </c>
      <c r="AR25" s="667" t="e">
        <f t="shared" si="28"/>
        <v>#VALUE!</v>
      </c>
      <c r="AS25" s="667" t="e">
        <f t="shared" si="29"/>
        <v>#VALUE!</v>
      </c>
      <c r="AT25" s="668" t="e">
        <f t="shared" si="30"/>
        <v>#VALUE!</v>
      </c>
      <c r="AU25" s="667" t="e">
        <f t="shared" si="31"/>
        <v>#VALUE!</v>
      </c>
      <c r="AV25" s="669" t="e">
        <f t="shared" si="32"/>
        <v>#VALUE!</v>
      </c>
      <c r="AW25" s="667" t="e">
        <f t="shared" si="33"/>
        <v>#VALUE!</v>
      </c>
      <c r="AX25" s="667" t="e">
        <f t="shared" si="34"/>
        <v>#VALUE!</v>
      </c>
      <c r="AY25" s="660" t="e">
        <f t="shared" si="35"/>
        <v>#VALUE!</v>
      </c>
      <c r="AZ25" s="670" t="e">
        <f t="shared" si="36"/>
        <v>#VALUE!</v>
      </c>
      <c r="BB25" s="662" t="e">
        <f>INDEX('Barge Gauging Data'!$B$26:$V$56,MATCH($C25,'Barge Gauging Data'!$B$26:$B$56,0),$BB$18)</f>
        <v>#N/A</v>
      </c>
      <c r="BC25" s="662" t="e">
        <f>INDEX('Barge Gauging Data'!$B$26:$V$56,MATCH($C25,'Barge Gauging Data'!$B$26:$B$56,0),$BC$18)</f>
        <v>#N/A</v>
      </c>
      <c r="BD25" s="662" t="e">
        <f>INDEX('Barge Gauging Data'!$B$26:$V$56,MATCH($C25,'Barge Gauging Data'!$B$26:$B$56,0),$BD$18)</f>
        <v>#N/A</v>
      </c>
      <c r="BE25" s="662" t="e">
        <f>INDEX('Barge Gauging Data'!$B$26:$V$56,MATCH($C25,'Barge Gauging Data'!$B$26:$B$56,0),$BE$18)</f>
        <v>#N/A</v>
      </c>
    </row>
    <row r="26" spans="1:57" hidden="1">
      <c r="A26" s="641" t="str">
        <f t="shared" si="0"/>
        <v>N</v>
      </c>
      <c r="C26" s="235" t="str">
        <f t="array" ref="C26">IF(OR($E$21="",SUMPRODUCT(('Barge Gauging Data'!$C$27:$C$56=$E$21)*('Barge Gauging Data'!$D$27:$D$56=NOMY))&lt;ROWS($C$22:$C26)),"",INDEX('Barge Gauging Data'!$B$27:$B$56,SMALL(IF(('Barge Gauging Data'!$C$27:$C$56=$E$21)+('Barge Gauging Data'!$D$27:$D$56=NOMY)=2,ROW('Barge Gauging Data'!$B$27:$B$56)-ROW('Barge Gauging Data'!$C$26)),ROW()-ROW(C$21))))</f>
        <v/>
      </c>
      <c r="D26" s="211" t="str">
        <f>IF(OR($C26="",$C26=0),"",INDEX('Barge Gauging Data'!$B$26:$V$56,MATCH($C26,'Barge Gauging Data'!$B$27:$B$56,0)+1,2))</f>
        <v/>
      </c>
      <c r="E26" s="1016" t="str">
        <f t="shared" si="1"/>
        <v/>
      </c>
      <c r="F26" s="1016" t="str">
        <f t="shared" si="2"/>
        <v/>
      </c>
      <c r="G26" s="1016" t="str">
        <f t="shared" si="3"/>
        <v/>
      </c>
      <c r="H26" s="1016" t="str">
        <f t="shared" si="3"/>
        <v/>
      </c>
      <c r="I26" s="211" t="str">
        <f t="shared" si="4"/>
        <v/>
      </c>
      <c r="J26" s="1016" t="str">
        <f t="shared" si="5"/>
        <v/>
      </c>
      <c r="K26" s="213" t="str">
        <f t="shared" si="6"/>
        <v/>
      </c>
      <c r="L26" s="212" t="str">
        <f t="shared" si="7"/>
        <v/>
      </c>
      <c r="M26" s="1125" t="str">
        <f>IF(OR($C26="",$C26=0),"",INDEX(API1DENST_2,MATCH($C26,'Barge Gauging Data'!$B$27:$B$56,0),$AA$1))</f>
        <v/>
      </c>
      <c r="N26" s="212" t="str">
        <f t="shared" si="8"/>
        <v/>
      </c>
      <c r="O26" s="1016" t="str">
        <f t="shared" si="9"/>
        <v/>
      </c>
      <c r="P26" s="1125" t="str">
        <f t="shared" si="10"/>
        <v/>
      </c>
      <c r="Q26" s="1016" t="str">
        <f t="shared" si="11"/>
        <v/>
      </c>
      <c r="R26" s="214" t="str">
        <f t="shared" si="12"/>
        <v/>
      </c>
      <c r="S26" s="1125" t="str">
        <f t="shared" si="13"/>
        <v/>
      </c>
      <c r="T26" s="236" t="str">
        <f t="shared" si="14"/>
        <v/>
      </c>
      <c r="V26" s="642" t="e">
        <f>INDEX('Barge Gauging Data'!$B$26:$V$56,MATCH($C26,'Barge Gauging Data'!$B$26:$B$56,0),$V$18)</f>
        <v>#N/A</v>
      </c>
      <c r="W26" s="642" t="e">
        <f>INDEX('Barge Gauging Data'!$B$26:$V$56,MATCH($C26,'Barge Gauging Data'!$B$26:$B$56,0),$W$18)</f>
        <v>#N/A</v>
      </c>
      <c r="X26" s="642" t="e">
        <f>INDEX('Barge Gauging Data'!$B$26:$V$56,MATCH($C26,'Barge Gauging Data'!$B$26:$B$56,0),$X$18)</f>
        <v>#N/A</v>
      </c>
      <c r="Y26" s="642" t="e">
        <f>INDEX('Barge Gauging Data'!$B$26:$V$56,MATCH($C26,'Barge Gauging Data'!$B$26:$B$56,0),$Y$18)</f>
        <v>#N/A</v>
      </c>
      <c r="Z26" s="642" t="e">
        <f>INDEX('Barge Gauging Data'!$B$26:$V$56,MATCH($C26,'Barge Gauging Data'!$B$26:$B$56,0),$Z$18)</f>
        <v>#N/A</v>
      </c>
      <c r="AB26" s="642" t="e">
        <f>INDEX(API1DENST_2,MATCH($C26,'Barge Gauging Data'!$B$27:$B$56,0),1)</f>
        <v>#N/A</v>
      </c>
      <c r="AC26" s="642" t="e">
        <f t="shared" si="17"/>
        <v>#N/A</v>
      </c>
      <c r="AE26" s="661" t="e">
        <f t="shared" si="18"/>
        <v>#VALUE!</v>
      </c>
      <c r="AF26" s="661" t="e">
        <f t="shared" si="19"/>
        <v>#VALUE!</v>
      </c>
      <c r="AH26" s="662" t="str">
        <f t="shared" si="15"/>
        <v/>
      </c>
      <c r="AI26" s="662" t="str">
        <f t="shared" si="16"/>
        <v/>
      </c>
      <c r="AJ26" s="663">
        <f t="shared" si="20"/>
        <v>192.4571</v>
      </c>
      <c r="AK26" s="660">
        <f t="shared" si="21"/>
        <v>0.24379999999999999</v>
      </c>
      <c r="AL26" s="660" t="e">
        <f t="shared" si="22"/>
        <v>#VALUE!</v>
      </c>
      <c r="AM26" s="664" t="e">
        <f t="shared" si="23"/>
        <v>#VALUE!</v>
      </c>
      <c r="AN26" s="664" t="e">
        <f t="shared" si="24"/>
        <v>#VALUE!</v>
      </c>
      <c r="AO26" s="665" t="e">
        <f t="shared" si="25"/>
        <v>#VALUE!</v>
      </c>
      <c r="AP26" s="666" t="e">
        <f t="shared" si="26"/>
        <v>#VALUE!</v>
      </c>
      <c r="AQ26" s="660" t="e">
        <f t="shared" si="27"/>
        <v>#VALUE!</v>
      </c>
      <c r="AR26" s="667" t="e">
        <f t="shared" si="28"/>
        <v>#VALUE!</v>
      </c>
      <c r="AS26" s="667" t="e">
        <f t="shared" si="29"/>
        <v>#VALUE!</v>
      </c>
      <c r="AT26" s="668" t="e">
        <f t="shared" si="30"/>
        <v>#VALUE!</v>
      </c>
      <c r="AU26" s="667" t="e">
        <f t="shared" si="31"/>
        <v>#VALUE!</v>
      </c>
      <c r="AV26" s="669" t="e">
        <f t="shared" si="32"/>
        <v>#VALUE!</v>
      </c>
      <c r="AW26" s="667" t="e">
        <f t="shared" si="33"/>
        <v>#VALUE!</v>
      </c>
      <c r="AX26" s="667" t="e">
        <f t="shared" si="34"/>
        <v>#VALUE!</v>
      </c>
      <c r="AY26" s="660" t="e">
        <f t="shared" si="35"/>
        <v>#VALUE!</v>
      </c>
      <c r="AZ26" s="670" t="e">
        <f t="shared" si="36"/>
        <v>#VALUE!</v>
      </c>
      <c r="BB26" s="662" t="e">
        <f>INDEX('Barge Gauging Data'!$B$26:$V$56,MATCH($C26,'Barge Gauging Data'!$B$26:$B$56,0),$BB$18)</f>
        <v>#N/A</v>
      </c>
      <c r="BC26" s="662" t="e">
        <f>INDEX('Barge Gauging Data'!$B$26:$V$56,MATCH($C26,'Barge Gauging Data'!$B$26:$B$56,0),$BC$18)</f>
        <v>#N/A</v>
      </c>
      <c r="BD26" s="662" t="e">
        <f>INDEX('Barge Gauging Data'!$B$26:$V$56,MATCH($C26,'Barge Gauging Data'!$B$26:$B$56,0),$BD$18)</f>
        <v>#N/A</v>
      </c>
      <c r="BE26" s="662" t="e">
        <f>INDEX('Barge Gauging Data'!$B$26:$V$56,MATCH($C26,'Barge Gauging Data'!$B$26:$B$56,0),$BE$18)</f>
        <v>#N/A</v>
      </c>
    </row>
    <row r="27" spans="1:57" hidden="1">
      <c r="A27" s="641" t="str">
        <f t="shared" si="0"/>
        <v>N</v>
      </c>
      <c r="C27" s="235" t="str">
        <f t="array" ref="C27">IF(OR($E$21="",SUMPRODUCT(('Barge Gauging Data'!$C$27:$C$56=$E$21)*('Barge Gauging Data'!$D$27:$D$56=NOMY))&lt;ROWS($C$22:$C27)),"",INDEX('Barge Gauging Data'!$B$27:$B$56,SMALL(IF(('Barge Gauging Data'!$C$27:$C$56=$E$21)+('Barge Gauging Data'!$D$27:$D$56=NOMY)=2,ROW('Barge Gauging Data'!$B$27:$B$56)-ROW('Barge Gauging Data'!$C$26)),ROW()-ROW(C$21))))</f>
        <v/>
      </c>
      <c r="D27" s="211" t="str">
        <f>IF(OR($C27="",$C27=0),"",INDEX('Barge Gauging Data'!$B$26:$V$56,MATCH($C27,'Barge Gauging Data'!$B$27:$B$56,0)+1,2))</f>
        <v/>
      </c>
      <c r="E27" s="1016" t="str">
        <f t="shared" si="1"/>
        <v/>
      </c>
      <c r="F27" s="1016" t="str">
        <f t="shared" si="2"/>
        <v/>
      </c>
      <c r="G27" s="1016" t="str">
        <f t="shared" si="3"/>
        <v/>
      </c>
      <c r="H27" s="1016" t="str">
        <f t="shared" si="3"/>
        <v/>
      </c>
      <c r="I27" s="211" t="str">
        <f t="shared" si="4"/>
        <v/>
      </c>
      <c r="J27" s="1016" t="str">
        <f t="shared" si="5"/>
        <v/>
      </c>
      <c r="K27" s="213" t="str">
        <f t="shared" si="6"/>
        <v/>
      </c>
      <c r="L27" s="212" t="str">
        <f t="shared" si="7"/>
        <v/>
      </c>
      <c r="M27" s="1125" t="str">
        <f>IF(OR($C27="",$C27=0),"",INDEX(API1DENST_2,MATCH($C27,'Barge Gauging Data'!$B$27:$B$56,0),$AA$1))</f>
        <v/>
      </c>
      <c r="N27" s="212" t="str">
        <f t="shared" si="8"/>
        <v/>
      </c>
      <c r="O27" s="1016" t="str">
        <f t="shared" si="9"/>
        <v/>
      </c>
      <c r="P27" s="1125" t="str">
        <f t="shared" si="10"/>
        <v/>
      </c>
      <c r="Q27" s="1016" t="str">
        <f t="shared" si="11"/>
        <v/>
      </c>
      <c r="R27" s="214" t="str">
        <f t="shared" si="12"/>
        <v/>
      </c>
      <c r="S27" s="1125" t="str">
        <f t="shared" si="13"/>
        <v/>
      </c>
      <c r="T27" s="236" t="str">
        <f t="shared" si="14"/>
        <v/>
      </c>
      <c r="V27" s="642" t="e">
        <f>INDEX('Barge Gauging Data'!$B$26:$V$56,MATCH($C27,'Barge Gauging Data'!$B$26:$B$56,0),$V$18)</f>
        <v>#N/A</v>
      </c>
      <c r="W27" s="642" t="e">
        <f>INDEX('Barge Gauging Data'!$B$26:$V$56,MATCH($C27,'Barge Gauging Data'!$B$26:$B$56,0),$W$18)</f>
        <v>#N/A</v>
      </c>
      <c r="X27" s="642" t="e">
        <f>INDEX('Barge Gauging Data'!$B$26:$V$56,MATCH($C27,'Barge Gauging Data'!$B$26:$B$56,0),$X$18)</f>
        <v>#N/A</v>
      </c>
      <c r="Y27" s="642" t="e">
        <f>INDEX('Barge Gauging Data'!$B$26:$V$56,MATCH($C27,'Barge Gauging Data'!$B$26:$B$56,0),$Y$18)</f>
        <v>#N/A</v>
      </c>
      <c r="Z27" s="642" t="e">
        <f>INDEX('Barge Gauging Data'!$B$26:$V$56,MATCH($C27,'Barge Gauging Data'!$B$26:$B$56,0),$Z$18)</f>
        <v>#N/A</v>
      </c>
      <c r="AB27" s="642" t="e">
        <f>INDEX(API1DENST_2,MATCH($C27,'Barge Gauging Data'!$B$27:$B$56,0),1)</f>
        <v>#N/A</v>
      </c>
      <c r="AC27" s="642" t="e">
        <f t="shared" si="17"/>
        <v>#N/A</v>
      </c>
      <c r="AE27" s="661" t="e">
        <f t="shared" si="18"/>
        <v>#VALUE!</v>
      </c>
      <c r="AF27" s="661" t="e">
        <f t="shared" si="19"/>
        <v>#VALUE!</v>
      </c>
      <c r="AH27" s="662" t="str">
        <f t="shared" si="15"/>
        <v/>
      </c>
      <c r="AI27" s="662" t="str">
        <f t="shared" si="16"/>
        <v/>
      </c>
      <c r="AJ27" s="663">
        <f t="shared" si="20"/>
        <v>192.4571</v>
      </c>
      <c r="AK27" s="660">
        <f t="shared" si="21"/>
        <v>0.24379999999999999</v>
      </c>
      <c r="AL27" s="660" t="e">
        <f t="shared" si="22"/>
        <v>#VALUE!</v>
      </c>
      <c r="AM27" s="664" t="e">
        <f t="shared" si="23"/>
        <v>#VALUE!</v>
      </c>
      <c r="AN27" s="664" t="e">
        <f t="shared" si="24"/>
        <v>#VALUE!</v>
      </c>
      <c r="AO27" s="665" t="e">
        <f t="shared" si="25"/>
        <v>#VALUE!</v>
      </c>
      <c r="AP27" s="666" t="e">
        <f t="shared" si="26"/>
        <v>#VALUE!</v>
      </c>
      <c r="AQ27" s="660" t="e">
        <f t="shared" si="27"/>
        <v>#VALUE!</v>
      </c>
      <c r="AR27" s="667" t="e">
        <f t="shared" si="28"/>
        <v>#VALUE!</v>
      </c>
      <c r="AS27" s="667" t="e">
        <f t="shared" si="29"/>
        <v>#VALUE!</v>
      </c>
      <c r="AT27" s="668" t="e">
        <f t="shared" si="30"/>
        <v>#VALUE!</v>
      </c>
      <c r="AU27" s="667" t="e">
        <f t="shared" si="31"/>
        <v>#VALUE!</v>
      </c>
      <c r="AV27" s="669" t="e">
        <f t="shared" si="32"/>
        <v>#VALUE!</v>
      </c>
      <c r="AW27" s="667" t="e">
        <f t="shared" si="33"/>
        <v>#VALUE!</v>
      </c>
      <c r="AX27" s="667" t="e">
        <f t="shared" si="34"/>
        <v>#VALUE!</v>
      </c>
      <c r="AY27" s="660" t="e">
        <f t="shared" si="35"/>
        <v>#VALUE!</v>
      </c>
      <c r="AZ27" s="670" t="e">
        <f t="shared" si="36"/>
        <v>#VALUE!</v>
      </c>
      <c r="BB27" s="662" t="e">
        <f>INDEX('Barge Gauging Data'!$B$26:$V$56,MATCH($C27,'Barge Gauging Data'!$B$26:$B$56,0),$BB$18)</f>
        <v>#N/A</v>
      </c>
      <c r="BC27" s="662" t="e">
        <f>INDEX('Barge Gauging Data'!$B$26:$V$56,MATCH($C27,'Barge Gauging Data'!$B$26:$B$56,0),$BC$18)</f>
        <v>#N/A</v>
      </c>
      <c r="BD27" s="662" t="e">
        <f>INDEX('Barge Gauging Data'!$B$26:$V$56,MATCH($C27,'Barge Gauging Data'!$B$26:$B$56,0),$BD$18)</f>
        <v>#N/A</v>
      </c>
      <c r="BE27" s="662" t="e">
        <f>INDEX('Barge Gauging Data'!$B$26:$V$56,MATCH($C27,'Barge Gauging Data'!$B$26:$B$56,0),$BE$18)</f>
        <v>#N/A</v>
      </c>
    </row>
    <row r="28" spans="1:57" hidden="1">
      <c r="A28" s="641" t="str">
        <f t="shared" si="0"/>
        <v>N</v>
      </c>
      <c r="C28" s="235" t="str">
        <f t="array" ref="C28">IF(OR($E$21="",SUMPRODUCT(('Barge Gauging Data'!$C$27:$C$56=$E$21)*('Barge Gauging Data'!$D$27:$D$56=NOMY))&lt;ROWS($C$22:$C28)),"",INDEX('Barge Gauging Data'!$B$27:$B$56,SMALL(IF(('Barge Gauging Data'!$C$27:$C$56=$E$21)+('Barge Gauging Data'!$D$27:$D$56=NOMY)=2,ROW('Barge Gauging Data'!$B$27:$B$56)-ROW('Barge Gauging Data'!$C$26)),ROW()-ROW(C$21))))</f>
        <v/>
      </c>
      <c r="D28" s="211" t="str">
        <f>IF(OR($C28="",$C28=0),"",INDEX('Barge Gauging Data'!$B$26:$V$56,MATCH($C28,'Barge Gauging Data'!$B$27:$B$56,0)+1,2))</f>
        <v/>
      </c>
      <c r="E28" s="1016" t="str">
        <f t="shared" si="1"/>
        <v/>
      </c>
      <c r="F28" s="1016" t="str">
        <f t="shared" si="2"/>
        <v/>
      </c>
      <c r="G28" s="1016" t="str">
        <f t="shared" si="3"/>
        <v/>
      </c>
      <c r="H28" s="1016" t="str">
        <f t="shared" si="3"/>
        <v/>
      </c>
      <c r="I28" s="211" t="str">
        <f t="shared" si="4"/>
        <v/>
      </c>
      <c r="J28" s="1016" t="str">
        <f t="shared" si="5"/>
        <v/>
      </c>
      <c r="K28" s="213" t="str">
        <f t="shared" si="6"/>
        <v/>
      </c>
      <c r="L28" s="212" t="str">
        <f t="shared" si="7"/>
        <v/>
      </c>
      <c r="M28" s="1125" t="str">
        <f>IF(OR($C28="",$C28=0),"",INDEX(API1DENST_2,MATCH($C28,'Barge Gauging Data'!$B$27:$B$56,0),$AA$1))</f>
        <v/>
      </c>
      <c r="N28" s="212" t="str">
        <f t="shared" si="8"/>
        <v/>
      </c>
      <c r="O28" s="1016" t="str">
        <f t="shared" si="9"/>
        <v/>
      </c>
      <c r="P28" s="1125" t="str">
        <f t="shared" si="10"/>
        <v/>
      </c>
      <c r="Q28" s="1016" t="str">
        <f t="shared" si="11"/>
        <v/>
      </c>
      <c r="R28" s="214" t="str">
        <f t="shared" si="12"/>
        <v/>
      </c>
      <c r="S28" s="1125" t="str">
        <f t="shared" si="13"/>
        <v/>
      </c>
      <c r="T28" s="236" t="str">
        <f t="shared" si="14"/>
        <v/>
      </c>
      <c r="V28" s="642" t="e">
        <f>INDEX('Barge Gauging Data'!$B$26:$V$56,MATCH($C28,'Barge Gauging Data'!$B$26:$B$56,0),$V$18)</f>
        <v>#N/A</v>
      </c>
      <c r="W28" s="642" t="e">
        <f>INDEX('Barge Gauging Data'!$B$26:$V$56,MATCH($C28,'Barge Gauging Data'!$B$26:$B$56,0),$W$18)</f>
        <v>#N/A</v>
      </c>
      <c r="X28" s="642" t="e">
        <f>INDEX('Barge Gauging Data'!$B$26:$V$56,MATCH($C28,'Barge Gauging Data'!$B$26:$B$56,0),$X$18)</f>
        <v>#N/A</v>
      </c>
      <c r="Y28" s="642" t="e">
        <f>INDEX('Barge Gauging Data'!$B$26:$V$56,MATCH($C28,'Barge Gauging Data'!$B$26:$B$56,0),$Y$18)</f>
        <v>#N/A</v>
      </c>
      <c r="Z28" s="642" t="e">
        <f>INDEX('Barge Gauging Data'!$B$26:$V$56,MATCH($C28,'Barge Gauging Data'!$B$26:$B$56,0),$Z$18)</f>
        <v>#N/A</v>
      </c>
      <c r="AB28" s="642" t="e">
        <f>INDEX(API1DENST_2,MATCH($C28,'Barge Gauging Data'!$B$27:$B$56,0),1)</f>
        <v>#N/A</v>
      </c>
      <c r="AC28" s="642" t="e">
        <f t="shared" si="17"/>
        <v>#N/A</v>
      </c>
      <c r="AE28" s="661" t="e">
        <f t="shared" si="18"/>
        <v>#VALUE!</v>
      </c>
      <c r="AF28" s="661" t="e">
        <f t="shared" si="19"/>
        <v>#VALUE!</v>
      </c>
      <c r="AH28" s="662" t="str">
        <f t="shared" si="15"/>
        <v/>
      </c>
      <c r="AI28" s="662" t="str">
        <f t="shared" si="16"/>
        <v/>
      </c>
      <c r="AJ28" s="663">
        <f t="shared" si="20"/>
        <v>192.4571</v>
      </c>
      <c r="AK28" s="660">
        <f t="shared" si="21"/>
        <v>0.24379999999999999</v>
      </c>
      <c r="AL28" s="660" t="e">
        <f t="shared" si="22"/>
        <v>#VALUE!</v>
      </c>
      <c r="AM28" s="664" t="e">
        <f t="shared" si="23"/>
        <v>#VALUE!</v>
      </c>
      <c r="AN28" s="664" t="e">
        <f t="shared" si="24"/>
        <v>#VALUE!</v>
      </c>
      <c r="AO28" s="665" t="e">
        <f t="shared" si="25"/>
        <v>#VALUE!</v>
      </c>
      <c r="AP28" s="666" t="e">
        <f t="shared" si="26"/>
        <v>#VALUE!</v>
      </c>
      <c r="AQ28" s="660" t="e">
        <f t="shared" si="27"/>
        <v>#VALUE!</v>
      </c>
      <c r="AR28" s="667" t="e">
        <f t="shared" si="28"/>
        <v>#VALUE!</v>
      </c>
      <c r="AS28" s="667" t="e">
        <f t="shared" si="29"/>
        <v>#VALUE!</v>
      </c>
      <c r="AT28" s="668" t="e">
        <f t="shared" si="30"/>
        <v>#VALUE!</v>
      </c>
      <c r="AU28" s="667" t="e">
        <f t="shared" si="31"/>
        <v>#VALUE!</v>
      </c>
      <c r="AV28" s="669" t="e">
        <f t="shared" si="32"/>
        <v>#VALUE!</v>
      </c>
      <c r="AW28" s="667" t="e">
        <f t="shared" si="33"/>
        <v>#VALUE!</v>
      </c>
      <c r="AX28" s="667" t="e">
        <f t="shared" si="34"/>
        <v>#VALUE!</v>
      </c>
      <c r="AY28" s="660" t="e">
        <f t="shared" si="35"/>
        <v>#VALUE!</v>
      </c>
      <c r="AZ28" s="670" t="e">
        <f t="shared" si="36"/>
        <v>#VALUE!</v>
      </c>
      <c r="BB28" s="662" t="e">
        <f>INDEX('Barge Gauging Data'!$B$26:$V$56,MATCH($C28,'Barge Gauging Data'!$B$26:$B$56,0),$BB$18)</f>
        <v>#N/A</v>
      </c>
      <c r="BC28" s="662" t="e">
        <f>INDEX('Barge Gauging Data'!$B$26:$V$56,MATCH($C28,'Barge Gauging Data'!$B$26:$B$56,0),$BC$18)</f>
        <v>#N/A</v>
      </c>
      <c r="BD28" s="662" t="e">
        <f>INDEX('Barge Gauging Data'!$B$26:$V$56,MATCH($C28,'Barge Gauging Data'!$B$26:$B$56,0),$BD$18)</f>
        <v>#N/A</v>
      </c>
      <c r="BE28" s="662" t="e">
        <f>INDEX('Barge Gauging Data'!$B$26:$V$56,MATCH($C28,'Barge Gauging Data'!$B$26:$B$56,0),$BE$18)</f>
        <v>#N/A</v>
      </c>
    </row>
    <row r="29" spans="1:57" hidden="1">
      <c r="A29" s="641" t="str">
        <f t="shared" si="0"/>
        <v>N</v>
      </c>
      <c r="C29" s="235" t="str">
        <f t="array" ref="C29">IF(OR($E$21="",SUMPRODUCT(('Barge Gauging Data'!$C$27:$C$56=$E$21)*('Barge Gauging Data'!$D$27:$D$56=NOMY))&lt;ROWS($C$22:$C29)),"",INDEX('Barge Gauging Data'!$B$27:$B$56,SMALL(IF(('Barge Gauging Data'!$C$27:$C$56=$E$21)+('Barge Gauging Data'!$D$27:$D$56=NOMY)=2,ROW('Barge Gauging Data'!$B$27:$B$56)-ROW('Barge Gauging Data'!$C$26)),ROW()-ROW(C$21))))</f>
        <v/>
      </c>
      <c r="D29" s="211" t="str">
        <f>IF(OR($C29="",$C29=0),"",INDEX('Barge Gauging Data'!$B$26:$V$56,MATCH($C29,'Barge Gauging Data'!$B$27:$B$56,0)+1,2))</f>
        <v/>
      </c>
      <c r="E29" s="1016" t="str">
        <f t="shared" si="1"/>
        <v/>
      </c>
      <c r="F29" s="1016" t="str">
        <f t="shared" si="2"/>
        <v/>
      </c>
      <c r="G29" s="1016" t="str">
        <f t="shared" si="3"/>
        <v/>
      </c>
      <c r="H29" s="1016" t="str">
        <f t="shared" si="3"/>
        <v/>
      </c>
      <c r="I29" s="211" t="str">
        <f t="shared" si="4"/>
        <v/>
      </c>
      <c r="J29" s="1016" t="str">
        <f t="shared" si="5"/>
        <v/>
      </c>
      <c r="K29" s="213" t="str">
        <f t="shared" si="6"/>
        <v/>
      </c>
      <c r="L29" s="212" t="str">
        <f t="shared" si="7"/>
        <v/>
      </c>
      <c r="M29" s="1125" t="str">
        <f>IF(OR($C29="",$C29=0),"",INDEX(API1DENST_2,MATCH($C29,'Barge Gauging Data'!$B$27:$B$56,0),$AA$1))</f>
        <v/>
      </c>
      <c r="N29" s="212" t="str">
        <f t="shared" si="8"/>
        <v/>
      </c>
      <c r="O29" s="1016" t="str">
        <f t="shared" si="9"/>
        <v/>
      </c>
      <c r="P29" s="1125" t="str">
        <f t="shared" si="10"/>
        <v/>
      </c>
      <c r="Q29" s="1016" t="str">
        <f t="shared" si="11"/>
        <v/>
      </c>
      <c r="R29" s="214" t="str">
        <f t="shared" si="12"/>
        <v/>
      </c>
      <c r="S29" s="1125" t="str">
        <f t="shared" si="13"/>
        <v/>
      </c>
      <c r="T29" s="236" t="str">
        <f t="shared" si="14"/>
        <v/>
      </c>
      <c r="V29" s="642" t="e">
        <f>INDEX('Barge Gauging Data'!$B$26:$V$56,MATCH($C29,'Barge Gauging Data'!$B$26:$B$56,0),$V$18)</f>
        <v>#N/A</v>
      </c>
      <c r="W29" s="642" t="e">
        <f>INDEX('Barge Gauging Data'!$B$26:$V$56,MATCH($C29,'Barge Gauging Data'!$B$26:$B$56,0),$W$18)</f>
        <v>#N/A</v>
      </c>
      <c r="X29" s="642" t="e">
        <f>INDEX('Barge Gauging Data'!$B$26:$V$56,MATCH($C29,'Barge Gauging Data'!$B$26:$B$56,0),$X$18)</f>
        <v>#N/A</v>
      </c>
      <c r="Y29" s="642" t="e">
        <f>INDEX('Barge Gauging Data'!$B$26:$V$56,MATCH($C29,'Barge Gauging Data'!$B$26:$B$56,0),$Y$18)</f>
        <v>#N/A</v>
      </c>
      <c r="Z29" s="642" t="e">
        <f>INDEX('Barge Gauging Data'!$B$26:$V$56,MATCH($C29,'Barge Gauging Data'!$B$26:$B$56,0),$Z$18)</f>
        <v>#N/A</v>
      </c>
      <c r="AB29" s="642" t="e">
        <f>INDEX(API1DENST_2,MATCH($C29,'Barge Gauging Data'!$B$27:$B$56,0),1)</f>
        <v>#N/A</v>
      </c>
      <c r="AC29" s="642" t="e">
        <f t="shared" si="17"/>
        <v>#N/A</v>
      </c>
      <c r="AE29" s="661" t="e">
        <f t="shared" si="18"/>
        <v>#VALUE!</v>
      </c>
      <c r="AF29" s="661" t="e">
        <f t="shared" si="19"/>
        <v>#VALUE!</v>
      </c>
      <c r="AH29" s="662" t="str">
        <f t="shared" si="15"/>
        <v/>
      </c>
      <c r="AI29" s="662" t="str">
        <f t="shared" si="16"/>
        <v/>
      </c>
      <c r="AJ29" s="663">
        <f t="shared" si="20"/>
        <v>192.4571</v>
      </c>
      <c r="AK29" s="660">
        <f t="shared" si="21"/>
        <v>0.24379999999999999</v>
      </c>
      <c r="AL29" s="660" t="e">
        <f t="shared" si="22"/>
        <v>#VALUE!</v>
      </c>
      <c r="AM29" s="664" t="e">
        <f t="shared" si="23"/>
        <v>#VALUE!</v>
      </c>
      <c r="AN29" s="664" t="e">
        <f t="shared" si="24"/>
        <v>#VALUE!</v>
      </c>
      <c r="AO29" s="665" t="e">
        <f t="shared" si="25"/>
        <v>#VALUE!</v>
      </c>
      <c r="AP29" s="666" t="e">
        <f t="shared" si="26"/>
        <v>#VALUE!</v>
      </c>
      <c r="AQ29" s="660" t="e">
        <f t="shared" si="27"/>
        <v>#VALUE!</v>
      </c>
      <c r="AR29" s="667" t="e">
        <f t="shared" si="28"/>
        <v>#VALUE!</v>
      </c>
      <c r="AS29" s="667" t="e">
        <f t="shared" si="29"/>
        <v>#VALUE!</v>
      </c>
      <c r="AT29" s="668" t="e">
        <f t="shared" si="30"/>
        <v>#VALUE!</v>
      </c>
      <c r="AU29" s="667" t="e">
        <f t="shared" si="31"/>
        <v>#VALUE!</v>
      </c>
      <c r="AV29" s="669" t="e">
        <f t="shared" si="32"/>
        <v>#VALUE!</v>
      </c>
      <c r="AW29" s="667" t="e">
        <f t="shared" si="33"/>
        <v>#VALUE!</v>
      </c>
      <c r="AX29" s="667" t="e">
        <f t="shared" si="34"/>
        <v>#VALUE!</v>
      </c>
      <c r="AY29" s="660" t="e">
        <f t="shared" si="35"/>
        <v>#VALUE!</v>
      </c>
      <c r="AZ29" s="670" t="e">
        <f t="shared" si="36"/>
        <v>#VALUE!</v>
      </c>
      <c r="BB29" s="662" t="e">
        <f>INDEX('Barge Gauging Data'!$B$26:$V$56,MATCH($C29,'Barge Gauging Data'!$B$26:$B$56,0),$BB$18)</f>
        <v>#N/A</v>
      </c>
      <c r="BC29" s="662" t="e">
        <f>INDEX('Barge Gauging Data'!$B$26:$V$56,MATCH($C29,'Barge Gauging Data'!$B$26:$B$56,0),$BC$18)</f>
        <v>#N/A</v>
      </c>
      <c r="BD29" s="662" t="e">
        <f>INDEX('Barge Gauging Data'!$B$26:$V$56,MATCH($C29,'Barge Gauging Data'!$B$26:$B$56,0),$BD$18)</f>
        <v>#N/A</v>
      </c>
      <c r="BE29" s="662" t="e">
        <f>INDEX('Barge Gauging Data'!$B$26:$V$56,MATCH($C29,'Barge Gauging Data'!$B$26:$B$56,0),$BE$18)</f>
        <v>#N/A</v>
      </c>
    </row>
    <row r="30" spans="1:57" hidden="1">
      <c r="A30" s="641" t="str">
        <f t="shared" si="0"/>
        <v>N</v>
      </c>
      <c r="C30" s="235" t="str">
        <f t="array" ref="C30">IF(OR($E$21="",SUMPRODUCT(('Barge Gauging Data'!$C$27:$C$56=$E$21)*('Barge Gauging Data'!$D$27:$D$56=NOMY))&lt;ROWS($C$22:$C30)),"",INDEX('Barge Gauging Data'!$B$27:$B$56,SMALL(IF(('Barge Gauging Data'!$C$27:$C$56=$E$21)+('Barge Gauging Data'!$D$27:$D$56=NOMY)=2,ROW('Barge Gauging Data'!$B$27:$B$56)-ROW('Barge Gauging Data'!$C$26)),ROW()-ROW(C$21))))</f>
        <v/>
      </c>
      <c r="D30" s="211" t="str">
        <f>IF(OR($C30="",$C30=0),"",INDEX('Barge Gauging Data'!$B$26:$V$56,MATCH($C30,'Barge Gauging Data'!$B$27:$B$56,0)+1,2))</f>
        <v/>
      </c>
      <c r="E30" s="1016" t="str">
        <f t="shared" si="1"/>
        <v/>
      </c>
      <c r="F30" s="1016" t="str">
        <f t="shared" si="2"/>
        <v/>
      </c>
      <c r="G30" s="1016" t="str">
        <f t="shared" si="3"/>
        <v/>
      </c>
      <c r="H30" s="1016" t="str">
        <f t="shared" si="3"/>
        <v/>
      </c>
      <c r="I30" s="211" t="str">
        <f t="shared" si="4"/>
        <v/>
      </c>
      <c r="J30" s="1016" t="str">
        <f t="shared" si="5"/>
        <v/>
      </c>
      <c r="K30" s="213" t="str">
        <f t="shared" si="6"/>
        <v/>
      </c>
      <c r="L30" s="212" t="str">
        <f t="shared" si="7"/>
        <v/>
      </c>
      <c r="M30" s="1125" t="str">
        <f>IF(OR($C30="",$C30=0),"",INDEX(API1DENST_2,MATCH($C30,'Barge Gauging Data'!$B$27:$B$56,0),$AA$1))</f>
        <v/>
      </c>
      <c r="N30" s="212" t="str">
        <f t="shared" si="8"/>
        <v/>
      </c>
      <c r="O30" s="1016" t="str">
        <f t="shared" si="9"/>
        <v/>
      </c>
      <c r="P30" s="1125" t="str">
        <f t="shared" si="10"/>
        <v/>
      </c>
      <c r="Q30" s="1016" t="str">
        <f t="shared" si="11"/>
        <v/>
      </c>
      <c r="R30" s="214" t="str">
        <f t="shared" si="12"/>
        <v/>
      </c>
      <c r="S30" s="1125" t="str">
        <f t="shared" si="13"/>
        <v/>
      </c>
      <c r="T30" s="236" t="str">
        <f t="shared" si="14"/>
        <v/>
      </c>
      <c r="V30" s="642" t="e">
        <f>INDEX('Barge Gauging Data'!$B$26:$V$56,MATCH($C30,'Barge Gauging Data'!$B$26:$B$56,0),$V$18)</f>
        <v>#N/A</v>
      </c>
      <c r="W30" s="642" t="e">
        <f>INDEX('Barge Gauging Data'!$B$26:$V$56,MATCH($C30,'Barge Gauging Data'!$B$26:$B$56,0),$W$18)</f>
        <v>#N/A</v>
      </c>
      <c r="X30" s="642" t="e">
        <f>INDEX('Barge Gauging Data'!$B$26:$V$56,MATCH($C30,'Barge Gauging Data'!$B$26:$B$56,0),$X$18)</f>
        <v>#N/A</v>
      </c>
      <c r="Y30" s="642" t="e">
        <f>INDEX('Barge Gauging Data'!$B$26:$V$56,MATCH($C30,'Barge Gauging Data'!$B$26:$B$56,0),$Y$18)</f>
        <v>#N/A</v>
      </c>
      <c r="Z30" s="642" t="e">
        <f>INDEX('Barge Gauging Data'!$B$26:$V$56,MATCH($C30,'Barge Gauging Data'!$B$26:$B$56,0),$Z$18)</f>
        <v>#N/A</v>
      </c>
      <c r="AB30" s="642" t="e">
        <f>INDEX(API1DENST_2,MATCH($C30,'Barge Gauging Data'!$B$27:$B$56,0),1)</f>
        <v>#N/A</v>
      </c>
      <c r="AC30" s="642" t="e">
        <f t="shared" si="17"/>
        <v>#N/A</v>
      </c>
      <c r="AE30" s="661" t="e">
        <f t="shared" si="18"/>
        <v>#VALUE!</v>
      </c>
      <c r="AF30" s="661" t="e">
        <f t="shared" si="19"/>
        <v>#VALUE!</v>
      </c>
      <c r="AH30" s="662" t="str">
        <f t="shared" si="15"/>
        <v/>
      </c>
      <c r="AI30" s="662" t="str">
        <f t="shared" si="16"/>
        <v/>
      </c>
      <c r="AJ30" s="663">
        <f t="shared" si="20"/>
        <v>192.4571</v>
      </c>
      <c r="AK30" s="660">
        <f t="shared" si="21"/>
        <v>0.24379999999999999</v>
      </c>
      <c r="AL30" s="660" t="e">
        <f t="shared" si="22"/>
        <v>#VALUE!</v>
      </c>
      <c r="AM30" s="664" t="e">
        <f t="shared" si="23"/>
        <v>#VALUE!</v>
      </c>
      <c r="AN30" s="664" t="e">
        <f t="shared" si="24"/>
        <v>#VALUE!</v>
      </c>
      <c r="AO30" s="665" t="e">
        <f t="shared" si="25"/>
        <v>#VALUE!</v>
      </c>
      <c r="AP30" s="666" t="e">
        <f t="shared" si="26"/>
        <v>#VALUE!</v>
      </c>
      <c r="AQ30" s="660" t="e">
        <f t="shared" si="27"/>
        <v>#VALUE!</v>
      </c>
      <c r="AR30" s="667" t="e">
        <f t="shared" si="28"/>
        <v>#VALUE!</v>
      </c>
      <c r="AS30" s="667" t="e">
        <f t="shared" si="29"/>
        <v>#VALUE!</v>
      </c>
      <c r="AT30" s="668" t="e">
        <f t="shared" si="30"/>
        <v>#VALUE!</v>
      </c>
      <c r="AU30" s="667" t="e">
        <f t="shared" si="31"/>
        <v>#VALUE!</v>
      </c>
      <c r="AV30" s="669" t="e">
        <f t="shared" si="32"/>
        <v>#VALUE!</v>
      </c>
      <c r="AW30" s="667" t="e">
        <f t="shared" si="33"/>
        <v>#VALUE!</v>
      </c>
      <c r="AX30" s="667" t="e">
        <f t="shared" si="34"/>
        <v>#VALUE!</v>
      </c>
      <c r="AY30" s="660" t="e">
        <f t="shared" si="35"/>
        <v>#VALUE!</v>
      </c>
      <c r="AZ30" s="670" t="e">
        <f t="shared" si="36"/>
        <v>#VALUE!</v>
      </c>
      <c r="BB30" s="662" t="e">
        <f>INDEX('Barge Gauging Data'!$B$26:$V$56,MATCH($C30,'Barge Gauging Data'!$B$26:$B$56,0),$BB$18)</f>
        <v>#N/A</v>
      </c>
      <c r="BC30" s="662" t="e">
        <f>INDEX('Barge Gauging Data'!$B$26:$V$56,MATCH($C30,'Barge Gauging Data'!$B$26:$B$56,0),$BC$18)</f>
        <v>#N/A</v>
      </c>
      <c r="BD30" s="662" t="e">
        <f>INDEX('Barge Gauging Data'!$B$26:$V$56,MATCH($C30,'Barge Gauging Data'!$B$26:$B$56,0),$BD$18)</f>
        <v>#N/A</v>
      </c>
      <c r="BE30" s="662" t="e">
        <f>INDEX('Barge Gauging Data'!$B$26:$V$56,MATCH($C30,'Barge Gauging Data'!$B$26:$B$56,0),$BE$18)</f>
        <v>#N/A</v>
      </c>
    </row>
    <row r="31" spans="1:57" hidden="1">
      <c r="A31" s="641" t="str">
        <f t="shared" si="0"/>
        <v>N</v>
      </c>
      <c r="C31" s="235" t="str">
        <f t="array" ref="C31">IF(OR($E$21="",SUMPRODUCT(('Barge Gauging Data'!$C$27:$C$56=$E$21)*('Barge Gauging Data'!$D$27:$D$56=NOMY))&lt;ROWS($C$22:$C31)),"",INDEX('Barge Gauging Data'!$B$27:$B$56,SMALL(IF(('Barge Gauging Data'!$C$27:$C$56=$E$21)+('Barge Gauging Data'!$D$27:$D$56=NOMY)=2,ROW('Barge Gauging Data'!$B$27:$B$56)-ROW('Barge Gauging Data'!$C$26)),ROW()-ROW(C$21))))</f>
        <v/>
      </c>
      <c r="D31" s="211" t="str">
        <f>IF(OR($C31="",$C31=0),"",INDEX('Barge Gauging Data'!$B$26:$V$56,MATCH($C31,'Barge Gauging Data'!$B$27:$B$56,0)+1,2))</f>
        <v/>
      </c>
      <c r="E31" s="1016" t="str">
        <f t="shared" si="1"/>
        <v/>
      </c>
      <c r="F31" s="1016" t="str">
        <f t="shared" si="2"/>
        <v/>
      </c>
      <c r="G31" s="1016" t="str">
        <f t="shared" si="3"/>
        <v/>
      </c>
      <c r="H31" s="1016" t="str">
        <f t="shared" si="3"/>
        <v/>
      </c>
      <c r="I31" s="211" t="str">
        <f t="shared" si="4"/>
        <v/>
      </c>
      <c r="J31" s="1016" t="str">
        <f t="shared" si="5"/>
        <v/>
      </c>
      <c r="K31" s="213" t="str">
        <f t="shared" si="6"/>
        <v/>
      </c>
      <c r="L31" s="212" t="str">
        <f t="shared" si="7"/>
        <v/>
      </c>
      <c r="M31" s="1125" t="str">
        <f>IF(OR($C31="",$C31=0),"",INDEX(API1DENST_2,MATCH($C31,'Barge Gauging Data'!$B$27:$B$56,0),$AA$1))</f>
        <v/>
      </c>
      <c r="N31" s="212" t="str">
        <f t="shared" si="8"/>
        <v/>
      </c>
      <c r="O31" s="1016" t="str">
        <f t="shared" si="9"/>
        <v/>
      </c>
      <c r="P31" s="1125" t="str">
        <f t="shared" si="10"/>
        <v/>
      </c>
      <c r="Q31" s="1016" t="str">
        <f t="shared" si="11"/>
        <v/>
      </c>
      <c r="R31" s="214" t="str">
        <f t="shared" si="12"/>
        <v/>
      </c>
      <c r="S31" s="1125" t="str">
        <f t="shared" si="13"/>
        <v/>
      </c>
      <c r="T31" s="236" t="str">
        <f t="shared" si="14"/>
        <v/>
      </c>
      <c r="V31" s="642" t="e">
        <f>INDEX('Barge Gauging Data'!$B$26:$V$56,MATCH($C31,'Barge Gauging Data'!$B$26:$B$56,0),$V$18)</f>
        <v>#N/A</v>
      </c>
      <c r="W31" s="642" t="e">
        <f>INDEX('Barge Gauging Data'!$B$26:$V$56,MATCH($C31,'Barge Gauging Data'!$B$26:$B$56,0),$W$18)</f>
        <v>#N/A</v>
      </c>
      <c r="X31" s="642" t="e">
        <f>INDEX('Barge Gauging Data'!$B$26:$V$56,MATCH($C31,'Barge Gauging Data'!$B$26:$B$56,0),$X$18)</f>
        <v>#N/A</v>
      </c>
      <c r="Y31" s="642" t="e">
        <f>INDEX('Barge Gauging Data'!$B$26:$V$56,MATCH($C31,'Barge Gauging Data'!$B$26:$B$56,0),$Y$18)</f>
        <v>#N/A</v>
      </c>
      <c r="Z31" s="642" t="e">
        <f>INDEX('Barge Gauging Data'!$B$26:$V$56,MATCH($C31,'Barge Gauging Data'!$B$26:$B$56,0),$Z$18)</f>
        <v>#N/A</v>
      </c>
      <c r="AB31" s="642" t="e">
        <f>INDEX(API1DENST_2,MATCH($C31,'Barge Gauging Data'!$B$27:$B$56,0),1)</f>
        <v>#N/A</v>
      </c>
      <c r="AC31" s="642" t="e">
        <f t="shared" si="17"/>
        <v>#N/A</v>
      </c>
      <c r="AE31" s="661" t="e">
        <f t="shared" si="18"/>
        <v>#VALUE!</v>
      </c>
      <c r="AF31" s="661" t="e">
        <f t="shared" si="19"/>
        <v>#VALUE!</v>
      </c>
      <c r="AH31" s="662" t="str">
        <f t="shared" si="15"/>
        <v/>
      </c>
      <c r="AI31" s="662" t="str">
        <f t="shared" si="16"/>
        <v/>
      </c>
      <c r="AJ31" s="663">
        <f t="shared" si="20"/>
        <v>192.4571</v>
      </c>
      <c r="AK31" s="660">
        <f t="shared" si="21"/>
        <v>0.24379999999999999</v>
      </c>
      <c r="AL31" s="660" t="e">
        <f t="shared" si="22"/>
        <v>#VALUE!</v>
      </c>
      <c r="AM31" s="664" t="e">
        <f t="shared" si="23"/>
        <v>#VALUE!</v>
      </c>
      <c r="AN31" s="664" t="e">
        <f t="shared" si="24"/>
        <v>#VALUE!</v>
      </c>
      <c r="AO31" s="665" t="e">
        <f t="shared" si="25"/>
        <v>#VALUE!</v>
      </c>
      <c r="AP31" s="666" t="e">
        <f t="shared" si="26"/>
        <v>#VALUE!</v>
      </c>
      <c r="AQ31" s="660" t="e">
        <f t="shared" si="27"/>
        <v>#VALUE!</v>
      </c>
      <c r="AR31" s="667" t="e">
        <f t="shared" si="28"/>
        <v>#VALUE!</v>
      </c>
      <c r="AS31" s="667" t="e">
        <f t="shared" si="29"/>
        <v>#VALUE!</v>
      </c>
      <c r="AT31" s="668" t="e">
        <f t="shared" si="30"/>
        <v>#VALUE!</v>
      </c>
      <c r="AU31" s="667" t="e">
        <f t="shared" si="31"/>
        <v>#VALUE!</v>
      </c>
      <c r="AV31" s="669" t="e">
        <f t="shared" si="32"/>
        <v>#VALUE!</v>
      </c>
      <c r="AW31" s="667" t="e">
        <f t="shared" si="33"/>
        <v>#VALUE!</v>
      </c>
      <c r="AX31" s="667" t="e">
        <f t="shared" si="34"/>
        <v>#VALUE!</v>
      </c>
      <c r="AY31" s="660" t="e">
        <f t="shared" si="35"/>
        <v>#VALUE!</v>
      </c>
      <c r="AZ31" s="670" t="e">
        <f t="shared" si="36"/>
        <v>#VALUE!</v>
      </c>
      <c r="BB31" s="662" t="e">
        <f>INDEX('Barge Gauging Data'!$B$26:$V$56,MATCH($C31,'Barge Gauging Data'!$B$26:$B$56,0),$BB$18)</f>
        <v>#N/A</v>
      </c>
      <c r="BC31" s="662" t="e">
        <f>INDEX('Barge Gauging Data'!$B$26:$V$56,MATCH($C31,'Barge Gauging Data'!$B$26:$B$56,0),$BC$18)</f>
        <v>#N/A</v>
      </c>
      <c r="BD31" s="662" t="e">
        <f>INDEX('Barge Gauging Data'!$B$26:$V$56,MATCH($C31,'Barge Gauging Data'!$B$26:$B$56,0),$BD$18)</f>
        <v>#N/A</v>
      </c>
      <c r="BE31" s="662" t="e">
        <f>INDEX('Barge Gauging Data'!$B$26:$V$56,MATCH($C31,'Barge Gauging Data'!$B$26:$B$56,0),$BE$18)</f>
        <v>#N/A</v>
      </c>
    </row>
    <row r="32" spans="1:57" hidden="1">
      <c r="A32" s="641" t="str">
        <f t="shared" si="0"/>
        <v>N</v>
      </c>
      <c r="C32" s="235" t="str">
        <f t="array" ref="C32">IF(OR($E$21="",SUMPRODUCT(('Barge Gauging Data'!$C$27:$C$56=$E$21)*('Barge Gauging Data'!$D$27:$D$56=NOMY))&lt;ROWS($C$22:$C32)),"",INDEX('Barge Gauging Data'!$B$27:$B$56,SMALL(IF(('Barge Gauging Data'!$C$27:$C$56=$E$21)+('Barge Gauging Data'!$D$27:$D$56=NOMY)=2,ROW('Barge Gauging Data'!$B$27:$B$56)-ROW('Barge Gauging Data'!$C$26)),ROW()-ROW(C$21))))</f>
        <v/>
      </c>
      <c r="D32" s="211" t="str">
        <f>IF(OR($C32="",$C32=0),"",INDEX('Barge Gauging Data'!$B$26:$V$56,MATCH($C32,'Barge Gauging Data'!$B$27:$B$56,0)+1,2))</f>
        <v/>
      </c>
      <c r="E32" s="1016" t="str">
        <f t="shared" si="1"/>
        <v/>
      </c>
      <c r="F32" s="1016" t="str">
        <f t="shared" si="2"/>
        <v/>
      </c>
      <c r="G32" s="1016" t="str">
        <f t="shared" si="3"/>
        <v/>
      </c>
      <c r="H32" s="1016" t="str">
        <f t="shared" si="3"/>
        <v/>
      </c>
      <c r="I32" s="211" t="str">
        <f t="shared" si="4"/>
        <v/>
      </c>
      <c r="J32" s="1016" t="str">
        <f t="shared" si="5"/>
        <v/>
      </c>
      <c r="K32" s="213" t="str">
        <f t="shared" si="6"/>
        <v/>
      </c>
      <c r="L32" s="212" t="str">
        <f t="shared" si="7"/>
        <v/>
      </c>
      <c r="M32" s="1125" t="str">
        <f>IF(OR($C32="",$C32=0),"",INDEX(API1DENST_2,MATCH($C32,'Barge Gauging Data'!$B$27:$B$56,0),$AA$1))</f>
        <v/>
      </c>
      <c r="N32" s="212" t="str">
        <f t="shared" si="8"/>
        <v/>
      </c>
      <c r="O32" s="1016" t="str">
        <f t="shared" si="9"/>
        <v/>
      </c>
      <c r="P32" s="1125" t="str">
        <f t="shared" si="10"/>
        <v/>
      </c>
      <c r="Q32" s="1016" t="str">
        <f t="shared" si="11"/>
        <v/>
      </c>
      <c r="R32" s="214" t="str">
        <f t="shared" si="12"/>
        <v/>
      </c>
      <c r="S32" s="1125" t="str">
        <f t="shared" si="13"/>
        <v/>
      </c>
      <c r="T32" s="236" t="str">
        <f t="shared" si="14"/>
        <v/>
      </c>
      <c r="V32" s="642" t="e">
        <f>INDEX('Barge Gauging Data'!$B$26:$V$56,MATCH($C32,'Barge Gauging Data'!$B$26:$B$56,0),$V$18)</f>
        <v>#N/A</v>
      </c>
      <c r="W32" s="642" t="e">
        <f>INDEX('Barge Gauging Data'!$B$26:$V$56,MATCH($C32,'Barge Gauging Data'!$B$26:$B$56,0),$W$18)</f>
        <v>#N/A</v>
      </c>
      <c r="X32" s="642" t="e">
        <f>INDEX('Barge Gauging Data'!$B$26:$V$56,MATCH($C32,'Barge Gauging Data'!$B$26:$B$56,0),$X$18)</f>
        <v>#N/A</v>
      </c>
      <c r="Y32" s="642" t="e">
        <f>INDEX('Barge Gauging Data'!$B$26:$V$56,MATCH($C32,'Barge Gauging Data'!$B$26:$B$56,0),$Y$18)</f>
        <v>#N/A</v>
      </c>
      <c r="Z32" s="642" t="e">
        <f>INDEX('Barge Gauging Data'!$B$26:$V$56,MATCH($C32,'Barge Gauging Data'!$B$26:$B$56,0),$Z$18)</f>
        <v>#N/A</v>
      </c>
      <c r="AB32" s="642" t="e">
        <f>INDEX(API1DENST_2,MATCH($C32,'Barge Gauging Data'!$B$27:$B$56,0),1)</f>
        <v>#N/A</v>
      </c>
      <c r="AC32" s="642" t="e">
        <f t="shared" si="17"/>
        <v>#N/A</v>
      </c>
      <c r="AE32" s="661" t="e">
        <f t="shared" si="18"/>
        <v>#VALUE!</v>
      </c>
      <c r="AF32" s="661" t="e">
        <f t="shared" si="19"/>
        <v>#VALUE!</v>
      </c>
      <c r="AH32" s="662" t="str">
        <f t="shared" si="15"/>
        <v/>
      </c>
      <c r="AI32" s="662" t="str">
        <f t="shared" si="16"/>
        <v/>
      </c>
      <c r="AJ32" s="663">
        <f t="shared" si="20"/>
        <v>192.4571</v>
      </c>
      <c r="AK32" s="660">
        <f t="shared" si="21"/>
        <v>0.24379999999999999</v>
      </c>
      <c r="AL32" s="660" t="e">
        <f t="shared" si="22"/>
        <v>#VALUE!</v>
      </c>
      <c r="AM32" s="664" t="e">
        <f t="shared" si="23"/>
        <v>#VALUE!</v>
      </c>
      <c r="AN32" s="664" t="e">
        <f t="shared" si="24"/>
        <v>#VALUE!</v>
      </c>
      <c r="AO32" s="665" t="e">
        <f t="shared" si="25"/>
        <v>#VALUE!</v>
      </c>
      <c r="AP32" s="666" t="e">
        <f t="shared" si="26"/>
        <v>#VALUE!</v>
      </c>
      <c r="AQ32" s="660" t="e">
        <f t="shared" si="27"/>
        <v>#VALUE!</v>
      </c>
      <c r="AR32" s="667" t="e">
        <f t="shared" si="28"/>
        <v>#VALUE!</v>
      </c>
      <c r="AS32" s="667" t="e">
        <f t="shared" si="29"/>
        <v>#VALUE!</v>
      </c>
      <c r="AT32" s="668" t="e">
        <f t="shared" si="30"/>
        <v>#VALUE!</v>
      </c>
      <c r="AU32" s="667" t="e">
        <f t="shared" si="31"/>
        <v>#VALUE!</v>
      </c>
      <c r="AV32" s="669" t="e">
        <f t="shared" si="32"/>
        <v>#VALUE!</v>
      </c>
      <c r="AW32" s="667" t="e">
        <f t="shared" si="33"/>
        <v>#VALUE!</v>
      </c>
      <c r="AX32" s="667" t="e">
        <f t="shared" si="34"/>
        <v>#VALUE!</v>
      </c>
      <c r="AY32" s="660" t="e">
        <f t="shared" si="35"/>
        <v>#VALUE!</v>
      </c>
      <c r="AZ32" s="670" t="e">
        <f t="shared" si="36"/>
        <v>#VALUE!</v>
      </c>
      <c r="BB32" s="662" t="e">
        <f>INDEX('Barge Gauging Data'!$B$26:$V$56,MATCH($C32,'Barge Gauging Data'!$B$26:$B$56,0),$BB$18)</f>
        <v>#N/A</v>
      </c>
      <c r="BC32" s="662" t="e">
        <f>INDEX('Barge Gauging Data'!$B$26:$V$56,MATCH($C32,'Barge Gauging Data'!$B$26:$B$56,0),$BC$18)</f>
        <v>#N/A</v>
      </c>
      <c r="BD32" s="662" t="e">
        <f>INDEX('Barge Gauging Data'!$B$26:$V$56,MATCH($C32,'Barge Gauging Data'!$B$26:$B$56,0),$BD$18)</f>
        <v>#N/A</v>
      </c>
      <c r="BE32" s="662" t="e">
        <f>INDEX('Barge Gauging Data'!$B$26:$V$56,MATCH($C32,'Barge Gauging Data'!$B$26:$B$56,0),$BE$18)</f>
        <v>#N/A</v>
      </c>
    </row>
    <row r="33" spans="1:57" hidden="1">
      <c r="A33" s="641" t="str">
        <f t="shared" si="0"/>
        <v>N</v>
      </c>
      <c r="C33" s="235" t="str">
        <f t="array" ref="C33">IF(OR($E$21="",SUMPRODUCT(('Barge Gauging Data'!$C$27:$C$56=$E$21)*('Barge Gauging Data'!$D$27:$D$56=NOMY))&lt;ROWS($C$22:$C33)),"",INDEX('Barge Gauging Data'!$B$27:$B$56,SMALL(IF(('Barge Gauging Data'!$C$27:$C$56=$E$21)+('Barge Gauging Data'!$D$27:$D$56=NOMY)=2,ROW('Barge Gauging Data'!$B$27:$B$56)-ROW('Barge Gauging Data'!$C$26)),ROW()-ROW(C$21))))</f>
        <v/>
      </c>
      <c r="D33" s="211" t="str">
        <f>IF(OR($C33="",$C33=0),"",INDEX('Barge Gauging Data'!$B$26:$V$56,MATCH($C33,'Barge Gauging Data'!$B$27:$B$56,0)+1,2))</f>
        <v/>
      </c>
      <c r="E33" s="1016" t="str">
        <f t="shared" si="1"/>
        <v/>
      </c>
      <c r="F33" s="1016" t="str">
        <f t="shared" si="2"/>
        <v/>
      </c>
      <c r="G33" s="1016" t="str">
        <f t="shared" si="3"/>
        <v/>
      </c>
      <c r="H33" s="1016" t="str">
        <f t="shared" si="3"/>
        <v/>
      </c>
      <c r="I33" s="211" t="str">
        <f t="shared" si="4"/>
        <v/>
      </c>
      <c r="J33" s="1016" t="str">
        <f t="shared" si="5"/>
        <v/>
      </c>
      <c r="K33" s="213" t="str">
        <f t="shared" si="6"/>
        <v/>
      </c>
      <c r="L33" s="212" t="str">
        <f t="shared" si="7"/>
        <v/>
      </c>
      <c r="M33" s="1125" t="str">
        <f>IF(OR($C33="",$C33=0),"",INDEX(API1DENST_2,MATCH($C33,'Barge Gauging Data'!$B$27:$B$56,0),$AA$1))</f>
        <v/>
      </c>
      <c r="N33" s="212" t="str">
        <f t="shared" si="8"/>
        <v/>
      </c>
      <c r="O33" s="1016" t="str">
        <f t="shared" si="9"/>
        <v/>
      </c>
      <c r="P33" s="1125" t="str">
        <f t="shared" si="10"/>
        <v/>
      </c>
      <c r="Q33" s="1016" t="str">
        <f t="shared" si="11"/>
        <v/>
      </c>
      <c r="R33" s="214" t="str">
        <f t="shared" si="12"/>
        <v/>
      </c>
      <c r="S33" s="1125" t="str">
        <f t="shared" si="13"/>
        <v/>
      </c>
      <c r="T33" s="236" t="str">
        <f t="shared" si="14"/>
        <v/>
      </c>
      <c r="V33" s="642" t="e">
        <f>INDEX('Barge Gauging Data'!$B$26:$V$56,MATCH($C33,'Barge Gauging Data'!$B$26:$B$56,0),$V$18)</f>
        <v>#N/A</v>
      </c>
      <c r="W33" s="642" t="e">
        <f>INDEX('Barge Gauging Data'!$B$26:$V$56,MATCH($C33,'Barge Gauging Data'!$B$26:$B$56,0),$W$18)</f>
        <v>#N/A</v>
      </c>
      <c r="X33" s="642" t="e">
        <f>INDEX('Barge Gauging Data'!$B$26:$V$56,MATCH($C33,'Barge Gauging Data'!$B$26:$B$56,0),$X$18)</f>
        <v>#N/A</v>
      </c>
      <c r="Y33" s="642" t="e">
        <f>INDEX('Barge Gauging Data'!$B$26:$V$56,MATCH($C33,'Barge Gauging Data'!$B$26:$B$56,0),$Y$18)</f>
        <v>#N/A</v>
      </c>
      <c r="Z33" s="642" t="e">
        <f>INDEX('Barge Gauging Data'!$B$26:$V$56,MATCH($C33,'Barge Gauging Data'!$B$26:$B$56,0),$Z$18)</f>
        <v>#N/A</v>
      </c>
      <c r="AB33" s="642" t="e">
        <f>INDEX(API1DENST_2,MATCH($C33,'Barge Gauging Data'!$B$27:$B$56,0),1)</f>
        <v>#N/A</v>
      </c>
      <c r="AC33" s="642" t="e">
        <f t="shared" si="17"/>
        <v>#N/A</v>
      </c>
      <c r="AE33" s="661" t="e">
        <f t="shared" si="18"/>
        <v>#VALUE!</v>
      </c>
      <c r="AF33" s="661" t="e">
        <f t="shared" si="19"/>
        <v>#VALUE!</v>
      </c>
      <c r="AH33" s="662" t="str">
        <f t="shared" si="15"/>
        <v/>
      </c>
      <c r="AI33" s="662" t="str">
        <f t="shared" si="16"/>
        <v/>
      </c>
      <c r="AJ33" s="663">
        <f t="shared" si="20"/>
        <v>192.4571</v>
      </c>
      <c r="AK33" s="660">
        <f t="shared" si="21"/>
        <v>0.24379999999999999</v>
      </c>
      <c r="AL33" s="660" t="e">
        <f t="shared" si="22"/>
        <v>#VALUE!</v>
      </c>
      <c r="AM33" s="664" t="e">
        <f t="shared" si="23"/>
        <v>#VALUE!</v>
      </c>
      <c r="AN33" s="664" t="e">
        <f t="shared" si="24"/>
        <v>#VALUE!</v>
      </c>
      <c r="AO33" s="665" t="e">
        <f t="shared" si="25"/>
        <v>#VALUE!</v>
      </c>
      <c r="AP33" s="666" t="e">
        <f t="shared" si="26"/>
        <v>#VALUE!</v>
      </c>
      <c r="AQ33" s="660" t="e">
        <f t="shared" si="27"/>
        <v>#VALUE!</v>
      </c>
      <c r="AR33" s="667" t="e">
        <f t="shared" si="28"/>
        <v>#VALUE!</v>
      </c>
      <c r="AS33" s="667" t="e">
        <f t="shared" si="29"/>
        <v>#VALUE!</v>
      </c>
      <c r="AT33" s="668" t="e">
        <f t="shared" si="30"/>
        <v>#VALUE!</v>
      </c>
      <c r="AU33" s="667" t="e">
        <f t="shared" si="31"/>
        <v>#VALUE!</v>
      </c>
      <c r="AV33" s="669" t="e">
        <f t="shared" si="32"/>
        <v>#VALUE!</v>
      </c>
      <c r="AW33" s="667" t="e">
        <f t="shared" si="33"/>
        <v>#VALUE!</v>
      </c>
      <c r="AX33" s="667" t="e">
        <f t="shared" si="34"/>
        <v>#VALUE!</v>
      </c>
      <c r="AY33" s="660" t="e">
        <f t="shared" si="35"/>
        <v>#VALUE!</v>
      </c>
      <c r="AZ33" s="670" t="e">
        <f t="shared" si="36"/>
        <v>#VALUE!</v>
      </c>
      <c r="BB33" s="662" t="e">
        <f>INDEX('Barge Gauging Data'!$B$26:$V$56,MATCH($C33,'Barge Gauging Data'!$B$26:$B$56,0),$BB$18)</f>
        <v>#N/A</v>
      </c>
      <c r="BC33" s="662" t="e">
        <f>INDEX('Barge Gauging Data'!$B$26:$V$56,MATCH($C33,'Barge Gauging Data'!$B$26:$B$56,0),$BC$18)</f>
        <v>#N/A</v>
      </c>
      <c r="BD33" s="662" t="e">
        <f>INDEX('Barge Gauging Data'!$B$26:$V$56,MATCH($C33,'Barge Gauging Data'!$B$26:$B$56,0),$BD$18)</f>
        <v>#N/A</v>
      </c>
      <c r="BE33" s="662" t="e">
        <f>INDEX('Barge Gauging Data'!$B$26:$V$56,MATCH($C33,'Barge Gauging Data'!$B$26:$B$56,0),$BE$18)</f>
        <v>#N/A</v>
      </c>
    </row>
    <row r="34" spans="1:57" hidden="1">
      <c r="A34" s="641" t="str">
        <f t="shared" si="0"/>
        <v>N</v>
      </c>
      <c r="C34" s="235" t="str">
        <f t="array" ref="C34">IF(OR($E$21="",SUMPRODUCT(('Barge Gauging Data'!$C$27:$C$56=$E$21)*('Barge Gauging Data'!$D$27:$D$56=NOMY))&lt;ROWS($C$22:$C34)),"",INDEX('Barge Gauging Data'!$B$27:$B$56,SMALL(IF(('Barge Gauging Data'!$C$27:$C$56=$E$21)+('Barge Gauging Data'!$D$27:$D$56=NOMY)=2,ROW('Barge Gauging Data'!$B$27:$B$56)-ROW('Barge Gauging Data'!$C$26)),ROW()-ROW(C$21))))</f>
        <v/>
      </c>
      <c r="D34" s="211" t="str">
        <f>IF(OR($C34="",$C34=0),"",INDEX('Barge Gauging Data'!$B$26:$V$56,MATCH($C34,'Barge Gauging Data'!$B$27:$B$56,0)+1,2))</f>
        <v/>
      </c>
      <c r="E34" s="1016" t="str">
        <f t="shared" si="1"/>
        <v/>
      </c>
      <c r="F34" s="1016" t="str">
        <f t="shared" si="2"/>
        <v/>
      </c>
      <c r="G34" s="1016" t="str">
        <f t="shared" si="3"/>
        <v/>
      </c>
      <c r="H34" s="1016" t="str">
        <f t="shared" si="3"/>
        <v/>
      </c>
      <c r="I34" s="211" t="str">
        <f t="shared" si="4"/>
        <v/>
      </c>
      <c r="J34" s="1016" t="str">
        <f t="shared" si="5"/>
        <v/>
      </c>
      <c r="K34" s="213" t="str">
        <f t="shared" si="6"/>
        <v/>
      </c>
      <c r="L34" s="212" t="str">
        <f t="shared" si="7"/>
        <v/>
      </c>
      <c r="M34" s="1125" t="str">
        <f>IF(OR($C34="",$C34=0),"",INDEX(API1DENST_2,MATCH($C34,'Barge Gauging Data'!$B$27:$B$56,0),$AA$1))</f>
        <v/>
      </c>
      <c r="N34" s="212" t="str">
        <f t="shared" si="8"/>
        <v/>
      </c>
      <c r="O34" s="1016" t="str">
        <f t="shared" si="9"/>
        <v/>
      </c>
      <c r="P34" s="1125" t="str">
        <f t="shared" si="10"/>
        <v/>
      </c>
      <c r="Q34" s="1016" t="str">
        <f t="shared" si="11"/>
        <v/>
      </c>
      <c r="R34" s="214" t="str">
        <f t="shared" si="12"/>
        <v/>
      </c>
      <c r="S34" s="1125" t="str">
        <f t="shared" si="13"/>
        <v/>
      </c>
      <c r="T34" s="236" t="str">
        <f t="shared" si="14"/>
        <v/>
      </c>
      <c r="V34" s="642" t="e">
        <f>INDEX('Barge Gauging Data'!$B$26:$V$56,MATCH($C34,'Barge Gauging Data'!$B$26:$B$56,0),$V$18)</f>
        <v>#N/A</v>
      </c>
      <c r="W34" s="642" t="e">
        <f>INDEX('Barge Gauging Data'!$B$26:$V$56,MATCH($C34,'Barge Gauging Data'!$B$26:$B$56,0),$W$18)</f>
        <v>#N/A</v>
      </c>
      <c r="X34" s="642" t="e">
        <f>INDEX('Barge Gauging Data'!$B$26:$V$56,MATCH($C34,'Barge Gauging Data'!$B$26:$B$56,0),$X$18)</f>
        <v>#N/A</v>
      </c>
      <c r="Y34" s="642" t="e">
        <f>INDEX('Barge Gauging Data'!$B$26:$V$56,MATCH($C34,'Barge Gauging Data'!$B$26:$B$56,0),$Y$18)</f>
        <v>#N/A</v>
      </c>
      <c r="Z34" s="642" t="e">
        <f>INDEX('Barge Gauging Data'!$B$26:$V$56,MATCH($C34,'Barge Gauging Data'!$B$26:$B$56,0),$Z$18)</f>
        <v>#N/A</v>
      </c>
      <c r="AB34" s="642" t="e">
        <f>INDEX(API1DENST_2,MATCH($C34,'Barge Gauging Data'!$B$27:$B$56,0),1)</f>
        <v>#N/A</v>
      </c>
      <c r="AC34" s="642" t="e">
        <f t="shared" si="17"/>
        <v>#N/A</v>
      </c>
      <c r="AE34" s="661" t="e">
        <f t="shared" si="18"/>
        <v>#VALUE!</v>
      </c>
      <c r="AF34" s="661" t="e">
        <f t="shared" si="19"/>
        <v>#VALUE!</v>
      </c>
      <c r="AH34" s="662" t="str">
        <f t="shared" si="15"/>
        <v/>
      </c>
      <c r="AI34" s="662" t="str">
        <f t="shared" si="16"/>
        <v/>
      </c>
      <c r="AJ34" s="663">
        <f t="shared" si="20"/>
        <v>192.4571</v>
      </c>
      <c r="AK34" s="660">
        <f t="shared" si="21"/>
        <v>0.24379999999999999</v>
      </c>
      <c r="AL34" s="660" t="e">
        <f t="shared" si="22"/>
        <v>#VALUE!</v>
      </c>
      <c r="AM34" s="664" t="e">
        <f t="shared" si="23"/>
        <v>#VALUE!</v>
      </c>
      <c r="AN34" s="664" t="e">
        <f t="shared" si="24"/>
        <v>#VALUE!</v>
      </c>
      <c r="AO34" s="665" t="e">
        <f t="shared" si="25"/>
        <v>#VALUE!</v>
      </c>
      <c r="AP34" s="666" t="e">
        <f t="shared" si="26"/>
        <v>#VALUE!</v>
      </c>
      <c r="AQ34" s="660" t="e">
        <f t="shared" si="27"/>
        <v>#VALUE!</v>
      </c>
      <c r="AR34" s="667" t="e">
        <f t="shared" si="28"/>
        <v>#VALUE!</v>
      </c>
      <c r="AS34" s="667" t="e">
        <f t="shared" si="29"/>
        <v>#VALUE!</v>
      </c>
      <c r="AT34" s="668" t="e">
        <f t="shared" si="30"/>
        <v>#VALUE!</v>
      </c>
      <c r="AU34" s="667" t="e">
        <f t="shared" si="31"/>
        <v>#VALUE!</v>
      </c>
      <c r="AV34" s="669" t="e">
        <f t="shared" si="32"/>
        <v>#VALUE!</v>
      </c>
      <c r="AW34" s="667" t="e">
        <f t="shared" si="33"/>
        <v>#VALUE!</v>
      </c>
      <c r="AX34" s="667" t="e">
        <f t="shared" si="34"/>
        <v>#VALUE!</v>
      </c>
      <c r="AY34" s="660" t="e">
        <f t="shared" si="35"/>
        <v>#VALUE!</v>
      </c>
      <c r="AZ34" s="670" t="e">
        <f t="shared" si="36"/>
        <v>#VALUE!</v>
      </c>
      <c r="BB34" s="662" t="e">
        <f>INDEX('Barge Gauging Data'!$B$26:$V$56,MATCH($C34,'Barge Gauging Data'!$B$26:$B$56,0),$BB$18)</f>
        <v>#N/A</v>
      </c>
      <c r="BC34" s="662" t="e">
        <f>INDEX('Barge Gauging Data'!$B$26:$V$56,MATCH($C34,'Barge Gauging Data'!$B$26:$B$56,0),$BC$18)</f>
        <v>#N/A</v>
      </c>
      <c r="BD34" s="662" t="e">
        <f>INDEX('Barge Gauging Data'!$B$26:$V$56,MATCH($C34,'Barge Gauging Data'!$B$26:$B$56,0),$BD$18)</f>
        <v>#N/A</v>
      </c>
      <c r="BE34" s="662" t="e">
        <f>INDEX('Barge Gauging Data'!$B$26:$V$56,MATCH($C34,'Barge Gauging Data'!$B$26:$B$56,0),$BE$18)</f>
        <v>#N/A</v>
      </c>
    </row>
    <row r="35" spans="1:57" hidden="1">
      <c r="A35" s="641" t="str">
        <f t="shared" si="0"/>
        <v>N</v>
      </c>
      <c r="C35" s="235" t="str">
        <f t="array" ref="C35">IF(OR($E$21="",SUMPRODUCT(('Barge Gauging Data'!$C$27:$C$56=$E$21)*('Barge Gauging Data'!$D$27:$D$56=NOMY))&lt;ROWS($C$22:$C35)),"",INDEX('Barge Gauging Data'!$B$27:$B$56,SMALL(IF(('Barge Gauging Data'!$C$27:$C$56=$E$21)+('Barge Gauging Data'!$D$27:$D$56=NOMY)=2,ROW('Barge Gauging Data'!$B$27:$B$56)-ROW('Barge Gauging Data'!$C$26)),ROW()-ROW(C$21))))</f>
        <v/>
      </c>
      <c r="D35" s="211" t="str">
        <f>IF(OR($C35="",$C35=0),"",INDEX('Barge Gauging Data'!$B$26:$V$56,MATCH($C35,'Barge Gauging Data'!$B$27:$B$56,0)+1,2))</f>
        <v/>
      </c>
      <c r="E35" s="1016" t="str">
        <f t="shared" si="1"/>
        <v/>
      </c>
      <c r="F35" s="1016" t="str">
        <f t="shared" si="2"/>
        <v/>
      </c>
      <c r="G35" s="1016" t="str">
        <f t="shared" si="3"/>
        <v/>
      </c>
      <c r="H35" s="1016" t="str">
        <f t="shared" si="3"/>
        <v/>
      </c>
      <c r="I35" s="211" t="str">
        <f t="shared" si="4"/>
        <v/>
      </c>
      <c r="J35" s="1016" t="str">
        <f t="shared" si="5"/>
        <v/>
      </c>
      <c r="K35" s="213" t="str">
        <f t="shared" si="6"/>
        <v/>
      </c>
      <c r="L35" s="212" t="str">
        <f t="shared" si="7"/>
        <v/>
      </c>
      <c r="M35" s="1125" t="str">
        <f>IF(OR($C35="",$C35=0),"",INDEX(API1DENST_2,MATCH($C35,'Barge Gauging Data'!$B$27:$B$56,0),$AA$1))</f>
        <v/>
      </c>
      <c r="N35" s="212" t="str">
        <f t="shared" si="8"/>
        <v/>
      </c>
      <c r="O35" s="1016" t="str">
        <f t="shared" si="9"/>
        <v/>
      </c>
      <c r="P35" s="1125" t="str">
        <f t="shared" si="10"/>
        <v/>
      </c>
      <c r="Q35" s="1016" t="str">
        <f t="shared" si="11"/>
        <v/>
      </c>
      <c r="R35" s="214" t="str">
        <f t="shared" si="12"/>
        <v/>
      </c>
      <c r="S35" s="1125" t="str">
        <f t="shared" si="13"/>
        <v/>
      </c>
      <c r="T35" s="236" t="str">
        <f t="shared" si="14"/>
        <v/>
      </c>
      <c r="V35" s="642" t="e">
        <f>INDEX('Barge Gauging Data'!$B$26:$V$56,MATCH($C35,'Barge Gauging Data'!$B$26:$B$56,0),$V$18)</f>
        <v>#N/A</v>
      </c>
      <c r="W35" s="642" t="e">
        <f>INDEX('Barge Gauging Data'!$B$26:$V$56,MATCH($C35,'Barge Gauging Data'!$B$26:$B$56,0),$W$18)</f>
        <v>#N/A</v>
      </c>
      <c r="X35" s="642" t="e">
        <f>INDEX('Barge Gauging Data'!$B$26:$V$56,MATCH($C35,'Barge Gauging Data'!$B$26:$B$56,0),$X$18)</f>
        <v>#N/A</v>
      </c>
      <c r="Y35" s="642" t="e">
        <f>INDEX('Barge Gauging Data'!$B$26:$V$56,MATCH($C35,'Barge Gauging Data'!$B$26:$B$56,0),$Y$18)</f>
        <v>#N/A</v>
      </c>
      <c r="Z35" s="642" t="e">
        <f>INDEX('Barge Gauging Data'!$B$26:$V$56,MATCH($C35,'Barge Gauging Data'!$B$26:$B$56,0),$Z$18)</f>
        <v>#N/A</v>
      </c>
      <c r="AB35" s="642" t="e">
        <f>INDEX(API1DENST_2,MATCH($C35,'Barge Gauging Data'!$B$27:$B$56,0),1)</f>
        <v>#N/A</v>
      </c>
      <c r="AC35" s="642" t="e">
        <f t="shared" si="17"/>
        <v>#N/A</v>
      </c>
      <c r="AE35" s="661" t="e">
        <f t="shared" si="18"/>
        <v>#VALUE!</v>
      </c>
      <c r="AF35" s="661" t="e">
        <f t="shared" si="19"/>
        <v>#VALUE!</v>
      </c>
      <c r="AH35" s="662" t="str">
        <f t="shared" si="15"/>
        <v/>
      </c>
      <c r="AI35" s="662" t="str">
        <f t="shared" si="16"/>
        <v/>
      </c>
      <c r="AJ35" s="663">
        <f t="shared" si="20"/>
        <v>192.4571</v>
      </c>
      <c r="AK35" s="660">
        <f t="shared" si="21"/>
        <v>0.24379999999999999</v>
      </c>
      <c r="AL35" s="660" t="e">
        <f t="shared" si="22"/>
        <v>#VALUE!</v>
      </c>
      <c r="AM35" s="664" t="e">
        <f t="shared" si="23"/>
        <v>#VALUE!</v>
      </c>
      <c r="AN35" s="664" t="e">
        <f t="shared" si="24"/>
        <v>#VALUE!</v>
      </c>
      <c r="AO35" s="665" t="e">
        <f t="shared" si="25"/>
        <v>#VALUE!</v>
      </c>
      <c r="AP35" s="666" t="e">
        <f t="shared" si="26"/>
        <v>#VALUE!</v>
      </c>
      <c r="AQ35" s="660" t="e">
        <f t="shared" si="27"/>
        <v>#VALUE!</v>
      </c>
      <c r="AR35" s="667" t="e">
        <f t="shared" si="28"/>
        <v>#VALUE!</v>
      </c>
      <c r="AS35" s="667" t="e">
        <f t="shared" si="29"/>
        <v>#VALUE!</v>
      </c>
      <c r="AT35" s="668" t="e">
        <f t="shared" si="30"/>
        <v>#VALUE!</v>
      </c>
      <c r="AU35" s="667" t="e">
        <f t="shared" si="31"/>
        <v>#VALUE!</v>
      </c>
      <c r="AV35" s="669" t="e">
        <f t="shared" si="32"/>
        <v>#VALUE!</v>
      </c>
      <c r="AW35" s="667" t="e">
        <f t="shared" si="33"/>
        <v>#VALUE!</v>
      </c>
      <c r="AX35" s="667" t="e">
        <f t="shared" si="34"/>
        <v>#VALUE!</v>
      </c>
      <c r="AY35" s="660" t="e">
        <f t="shared" si="35"/>
        <v>#VALUE!</v>
      </c>
      <c r="AZ35" s="670" t="e">
        <f t="shared" si="36"/>
        <v>#VALUE!</v>
      </c>
      <c r="BB35" s="662" t="e">
        <f>INDEX('Barge Gauging Data'!$B$26:$V$56,MATCH($C35,'Barge Gauging Data'!$B$26:$B$56,0),$BB$18)</f>
        <v>#N/A</v>
      </c>
      <c r="BC35" s="662" t="e">
        <f>INDEX('Barge Gauging Data'!$B$26:$V$56,MATCH($C35,'Barge Gauging Data'!$B$26:$B$56,0),$BC$18)</f>
        <v>#N/A</v>
      </c>
      <c r="BD35" s="662" t="e">
        <f>INDEX('Barge Gauging Data'!$B$26:$V$56,MATCH($C35,'Barge Gauging Data'!$B$26:$B$56,0),$BD$18)</f>
        <v>#N/A</v>
      </c>
      <c r="BE35" s="662" t="e">
        <f>INDEX('Barge Gauging Data'!$B$26:$V$56,MATCH($C35,'Barge Gauging Data'!$B$26:$B$56,0),$BE$18)</f>
        <v>#N/A</v>
      </c>
    </row>
    <row r="36" spans="1:57" hidden="1">
      <c r="A36" s="641" t="str">
        <f t="shared" si="0"/>
        <v>N</v>
      </c>
      <c r="C36" s="235" t="str">
        <f t="array" ref="C36">IF(OR($E$21="",SUMPRODUCT(('Barge Gauging Data'!$C$27:$C$56=$E$21)*('Barge Gauging Data'!$D$27:$D$56=NOMY))&lt;ROWS($C$22:$C36)),"",INDEX('Barge Gauging Data'!$B$27:$B$56,SMALL(IF(('Barge Gauging Data'!$C$27:$C$56=$E$21)+('Barge Gauging Data'!$D$27:$D$56=NOMY)=2,ROW('Barge Gauging Data'!$B$27:$B$56)-ROW('Barge Gauging Data'!$C$26)),ROW()-ROW(C$21))))</f>
        <v/>
      </c>
      <c r="D36" s="211" t="str">
        <f>IF(OR($C36="",$C36=0),"",INDEX('Barge Gauging Data'!$B$26:$V$56,MATCH($C36,'Barge Gauging Data'!$B$27:$B$56,0)+1,2))</f>
        <v/>
      </c>
      <c r="E36" s="1016" t="str">
        <f t="shared" si="1"/>
        <v/>
      </c>
      <c r="F36" s="1016" t="str">
        <f t="shared" si="2"/>
        <v/>
      </c>
      <c r="G36" s="1016" t="str">
        <f t="shared" si="3"/>
        <v/>
      </c>
      <c r="H36" s="1016" t="str">
        <f t="shared" si="3"/>
        <v/>
      </c>
      <c r="I36" s="211" t="str">
        <f t="shared" si="4"/>
        <v/>
      </c>
      <c r="J36" s="1016" t="str">
        <f t="shared" si="5"/>
        <v/>
      </c>
      <c r="K36" s="213" t="str">
        <f t="shared" si="6"/>
        <v/>
      </c>
      <c r="L36" s="212" t="str">
        <f t="shared" si="7"/>
        <v/>
      </c>
      <c r="M36" s="1125" t="str">
        <f>IF(OR($C36="",$C36=0),"",INDEX(API1DENST_2,MATCH($C36,'Barge Gauging Data'!$B$27:$B$56,0),$AA$1))</f>
        <v/>
      </c>
      <c r="N36" s="212" t="str">
        <f t="shared" si="8"/>
        <v/>
      </c>
      <c r="O36" s="1016" t="str">
        <f t="shared" si="9"/>
        <v/>
      </c>
      <c r="P36" s="1125" t="str">
        <f t="shared" si="10"/>
        <v/>
      </c>
      <c r="Q36" s="1016" t="str">
        <f t="shared" si="11"/>
        <v/>
      </c>
      <c r="R36" s="214" t="str">
        <f t="shared" si="12"/>
        <v/>
      </c>
      <c r="S36" s="1125" t="str">
        <f t="shared" si="13"/>
        <v/>
      </c>
      <c r="T36" s="236" t="str">
        <f t="shared" si="14"/>
        <v/>
      </c>
      <c r="V36" s="642" t="e">
        <f>INDEX('Barge Gauging Data'!$B$26:$V$56,MATCH($C36,'Barge Gauging Data'!$B$26:$B$56,0),$V$18)</f>
        <v>#N/A</v>
      </c>
      <c r="W36" s="642" t="e">
        <f>INDEX('Barge Gauging Data'!$B$26:$V$56,MATCH($C36,'Barge Gauging Data'!$B$26:$B$56,0),$W$18)</f>
        <v>#N/A</v>
      </c>
      <c r="X36" s="642" t="e">
        <f>INDEX('Barge Gauging Data'!$B$26:$V$56,MATCH($C36,'Barge Gauging Data'!$B$26:$B$56,0),$X$18)</f>
        <v>#N/A</v>
      </c>
      <c r="Y36" s="642" t="e">
        <f>INDEX('Barge Gauging Data'!$B$26:$V$56,MATCH($C36,'Barge Gauging Data'!$B$26:$B$56,0),$Y$18)</f>
        <v>#N/A</v>
      </c>
      <c r="Z36" s="642" t="e">
        <f>INDEX('Barge Gauging Data'!$B$26:$V$56,MATCH($C36,'Barge Gauging Data'!$B$26:$B$56,0),$Z$18)</f>
        <v>#N/A</v>
      </c>
      <c r="AB36" s="642" t="e">
        <f>INDEX(API1DENST_2,MATCH($C36,'Barge Gauging Data'!$B$27:$B$56,0),1)</f>
        <v>#N/A</v>
      </c>
      <c r="AC36" s="642" t="e">
        <f t="shared" si="17"/>
        <v>#N/A</v>
      </c>
      <c r="AE36" s="661" t="e">
        <f t="shared" si="18"/>
        <v>#VALUE!</v>
      </c>
      <c r="AF36" s="661" t="e">
        <f t="shared" si="19"/>
        <v>#VALUE!</v>
      </c>
      <c r="AH36" s="662" t="str">
        <f t="shared" si="15"/>
        <v/>
      </c>
      <c r="AI36" s="662" t="str">
        <f t="shared" si="16"/>
        <v/>
      </c>
      <c r="AJ36" s="663">
        <f t="shared" si="20"/>
        <v>192.4571</v>
      </c>
      <c r="AK36" s="660">
        <f t="shared" si="21"/>
        <v>0.24379999999999999</v>
      </c>
      <c r="AL36" s="660" t="e">
        <f t="shared" si="22"/>
        <v>#VALUE!</v>
      </c>
      <c r="AM36" s="664" t="e">
        <f t="shared" si="23"/>
        <v>#VALUE!</v>
      </c>
      <c r="AN36" s="664" t="e">
        <f t="shared" si="24"/>
        <v>#VALUE!</v>
      </c>
      <c r="AO36" s="665" t="e">
        <f t="shared" si="25"/>
        <v>#VALUE!</v>
      </c>
      <c r="AP36" s="666" t="e">
        <f t="shared" si="26"/>
        <v>#VALUE!</v>
      </c>
      <c r="AQ36" s="660" t="e">
        <f t="shared" si="27"/>
        <v>#VALUE!</v>
      </c>
      <c r="AR36" s="667" t="e">
        <f t="shared" si="28"/>
        <v>#VALUE!</v>
      </c>
      <c r="AS36" s="667" t="e">
        <f t="shared" si="29"/>
        <v>#VALUE!</v>
      </c>
      <c r="AT36" s="668" t="e">
        <f t="shared" si="30"/>
        <v>#VALUE!</v>
      </c>
      <c r="AU36" s="667" t="e">
        <f t="shared" si="31"/>
        <v>#VALUE!</v>
      </c>
      <c r="AV36" s="669" t="e">
        <f t="shared" si="32"/>
        <v>#VALUE!</v>
      </c>
      <c r="AW36" s="667" t="e">
        <f t="shared" si="33"/>
        <v>#VALUE!</v>
      </c>
      <c r="AX36" s="667" t="e">
        <f t="shared" si="34"/>
        <v>#VALUE!</v>
      </c>
      <c r="AY36" s="660" t="e">
        <f t="shared" si="35"/>
        <v>#VALUE!</v>
      </c>
      <c r="AZ36" s="670" t="e">
        <f t="shared" si="36"/>
        <v>#VALUE!</v>
      </c>
      <c r="BB36" s="662" t="e">
        <f>INDEX('Barge Gauging Data'!$B$26:$V$56,MATCH($C36,'Barge Gauging Data'!$B$26:$B$56,0),$BB$18)</f>
        <v>#N/A</v>
      </c>
      <c r="BC36" s="662" t="e">
        <f>INDEX('Barge Gauging Data'!$B$26:$V$56,MATCH($C36,'Barge Gauging Data'!$B$26:$B$56,0),$BC$18)</f>
        <v>#N/A</v>
      </c>
      <c r="BD36" s="662" t="e">
        <f>INDEX('Barge Gauging Data'!$B$26:$V$56,MATCH($C36,'Barge Gauging Data'!$B$26:$B$56,0),$BD$18)</f>
        <v>#N/A</v>
      </c>
      <c r="BE36" s="662" t="e">
        <f>INDEX('Barge Gauging Data'!$B$26:$V$56,MATCH($C36,'Barge Gauging Data'!$B$26:$B$56,0),$BE$18)</f>
        <v>#N/A</v>
      </c>
    </row>
    <row r="37" spans="1:57" hidden="1">
      <c r="A37" s="641" t="str">
        <f t="shared" si="0"/>
        <v>N</v>
      </c>
      <c r="C37" s="235" t="str">
        <f t="array" ref="C37">IF(OR($E$21="",SUMPRODUCT(('Barge Gauging Data'!$C$27:$C$56=$E$21)*('Barge Gauging Data'!$D$27:$D$56=NOMY))&lt;ROWS($C$22:$C37)),"",INDEX('Barge Gauging Data'!$B$27:$B$56,SMALL(IF(('Barge Gauging Data'!$C$27:$C$56=$E$21)+('Barge Gauging Data'!$D$27:$D$56=NOMY)=2,ROW('Barge Gauging Data'!$B$27:$B$56)-ROW('Barge Gauging Data'!$C$26)),ROW()-ROW(C$21))))</f>
        <v/>
      </c>
      <c r="D37" s="211" t="str">
        <f>IF(OR($C37="",$C37=0),"",INDEX('Barge Gauging Data'!$B$26:$V$56,MATCH($C37,'Barge Gauging Data'!$B$27:$B$56,0)+1,2))</f>
        <v/>
      </c>
      <c r="E37" s="1016" t="str">
        <f t="shared" si="1"/>
        <v/>
      </c>
      <c r="F37" s="1016" t="str">
        <f t="shared" si="2"/>
        <v/>
      </c>
      <c r="G37" s="1016" t="str">
        <f t="shared" si="3"/>
        <v/>
      </c>
      <c r="H37" s="1016" t="str">
        <f t="shared" si="3"/>
        <v/>
      </c>
      <c r="I37" s="211" t="str">
        <f t="shared" si="4"/>
        <v/>
      </c>
      <c r="J37" s="1016" t="str">
        <f t="shared" si="5"/>
        <v/>
      </c>
      <c r="K37" s="213" t="str">
        <f t="shared" si="6"/>
        <v/>
      </c>
      <c r="L37" s="212" t="str">
        <f t="shared" si="7"/>
        <v/>
      </c>
      <c r="M37" s="1125" t="str">
        <f>IF(OR($C37="",$C37=0),"",INDEX(API1DENST_2,MATCH($C37,'Barge Gauging Data'!$B$27:$B$56,0),$AA$1))</f>
        <v/>
      </c>
      <c r="N37" s="212" t="str">
        <f t="shared" si="8"/>
        <v/>
      </c>
      <c r="O37" s="1016" t="str">
        <f t="shared" si="9"/>
        <v/>
      </c>
      <c r="P37" s="1125" t="str">
        <f t="shared" si="10"/>
        <v/>
      </c>
      <c r="Q37" s="1016" t="str">
        <f t="shared" si="11"/>
        <v/>
      </c>
      <c r="R37" s="214" t="str">
        <f t="shared" si="12"/>
        <v/>
      </c>
      <c r="S37" s="1125" t="str">
        <f t="shared" si="13"/>
        <v/>
      </c>
      <c r="T37" s="236" t="str">
        <f t="shared" si="14"/>
        <v/>
      </c>
      <c r="V37" s="642" t="e">
        <f>INDEX('Barge Gauging Data'!$B$26:$V$56,MATCH($C37,'Barge Gauging Data'!$B$26:$B$56,0),$V$18)</f>
        <v>#N/A</v>
      </c>
      <c r="W37" s="642" t="e">
        <f>INDEX('Barge Gauging Data'!$B$26:$V$56,MATCH($C37,'Barge Gauging Data'!$B$26:$B$56,0),$W$18)</f>
        <v>#N/A</v>
      </c>
      <c r="X37" s="642" t="e">
        <f>INDEX('Barge Gauging Data'!$B$26:$V$56,MATCH($C37,'Barge Gauging Data'!$B$26:$B$56,0),$X$18)</f>
        <v>#N/A</v>
      </c>
      <c r="Y37" s="642" t="e">
        <f>INDEX('Barge Gauging Data'!$B$26:$V$56,MATCH($C37,'Barge Gauging Data'!$B$26:$B$56,0),$Y$18)</f>
        <v>#N/A</v>
      </c>
      <c r="Z37" s="642" t="e">
        <f>INDEX('Barge Gauging Data'!$B$26:$V$56,MATCH($C37,'Barge Gauging Data'!$B$26:$B$56,0),$Z$18)</f>
        <v>#N/A</v>
      </c>
      <c r="AB37" s="642" t="e">
        <f>INDEX(API1DENST_2,MATCH($C37,'Barge Gauging Data'!$B$27:$B$56,0),1)</f>
        <v>#N/A</v>
      </c>
      <c r="AC37" s="642" t="e">
        <f t="shared" si="17"/>
        <v>#N/A</v>
      </c>
      <c r="AE37" s="661" t="e">
        <f t="shared" si="18"/>
        <v>#VALUE!</v>
      </c>
      <c r="AF37" s="661" t="e">
        <f t="shared" si="19"/>
        <v>#VALUE!</v>
      </c>
      <c r="AH37" s="662" t="str">
        <f t="shared" si="15"/>
        <v/>
      </c>
      <c r="AI37" s="662" t="str">
        <f t="shared" si="16"/>
        <v/>
      </c>
      <c r="AJ37" s="663">
        <f t="shared" si="20"/>
        <v>192.4571</v>
      </c>
      <c r="AK37" s="660">
        <f t="shared" si="21"/>
        <v>0.24379999999999999</v>
      </c>
      <c r="AL37" s="660" t="e">
        <f t="shared" si="22"/>
        <v>#VALUE!</v>
      </c>
      <c r="AM37" s="664" t="e">
        <f t="shared" si="23"/>
        <v>#VALUE!</v>
      </c>
      <c r="AN37" s="664" t="e">
        <f t="shared" si="24"/>
        <v>#VALUE!</v>
      </c>
      <c r="AO37" s="665" t="e">
        <f t="shared" si="25"/>
        <v>#VALUE!</v>
      </c>
      <c r="AP37" s="666" t="e">
        <f t="shared" si="26"/>
        <v>#VALUE!</v>
      </c>
      <c r="AQ37" s="660" t="e">
        <f t="shared" si="27"/>
        <v>#VALUE!</v>
      </c>
      <c r="AR37" s="667" t="e">
        <f t="shared" si="28"/>
        <v>#VALUE!</v>
      </c>
      <c r="AS37" s="667" t="e">
        <f t="shared" si="29"/>
        <v>#VALUE!</v>
      </c>
      <c r="AT37" s="668" t="e">
        <f t="shared" si="30"/>
        <v>#VALUE!</v>
      </c>
      <c r="AU37" s="667" t="e">
        <f t="shared" si="31"/>
        <v>#VALUE!</v>
      </c>
      <c r="AV37" s="669" t="e">
        <f t="shared" si="32"/>
        <v>#VALUE!</v>
      </c>
      <c r="AW37" s="667" t="e">
        <f t="shared" si="33"/>
        <v>#VALUE!</v>
      </c>
      <c r="AX37" s="667" t="e">
        <f t="shared" si="34"/>
        <v>#VALUE!</v>
      </c>
      <c r="AY37" s="660" t="e">
        <f t="shared" si="35"/>
        <v>#VALUE!</v>
      </c>
      <c r="AZ37" s="670" t="e">
        <f t="shared" si="36"/>
        <v>#VALUE!</v>
      </c>
      <c r="BB37" s="662" t="e">
        <f>INDEX('Barge Gauging Data'!$B$26:$V$56,MATCH($C37,'Barge Gauging Data'!$B$26:$B$56,0),$BB$18)</f>
        <v>#N/A</v>
      </c>
      <c r="BC37" s="662" t="e">
        <f>INDEX('Barge Gauging Data'!$B$26:$V$56,MATCH($C37,'Barge Gauging Data'!$B$26:$B$56,0),$BC$18)</f>
        <v>#N/A</v>
      </c>
      <c r="BD37" s="662" t="e">
        <f>INDEX('Barge Gauging Data'!$B$26:$V$56,MATCH($C37,'Barge Gauging Data'!$B$26:$B$56,0),$BD$18)</f>
        <v>#N/A</v>
      </c>
      <c r="BE37" s="662" t="e">
        <f>INDEX('Barge Gauging Data'!$B$26:$V$56,MATCH($C37,'Barge Gauging Data'!$B$26:$B$56,0),$BE$18)</f>
        <v>#N/A</v>
      </c>
    </row>
    <row r="38" spans="1:57" hidden="1">
      <c r="A38" s="641" t="str">
        <f t="shared" si="0"/>
        <v>N</v>
      </c>
      <c r="C38" s="235" t="str">
        <f t="array" ref="C38">IF(OR($E$21="",SUMPRODUCT(('Barge Gauging Data'!$C$27:$C$56=$E$21)*('Barge Gauging Data'!$D$27:$D$56=NOMY))&lt;ROWS($C$22:$C38)),"",INDEX('Barge Gauging Data'!$B$27:$B$56,SMALL(IF(('Barge Gauging Data'!$C$27:$C$56=$E$21)+('Barge Gauging Data'!$D$27:$D$56=NOMY)=2,ROW('Barge Gauging Data'!$B$27:$B$56)-ROW('Barge Gauging Data'!$C$26)),ROW()-ROW(C$21))))</f>
        <v/>
      </c>
      <c r="D38" s="211" t="str">
        <f>IF(OR($C38="",$C38=0),"",INDEX('Barge Gauging Data'!$B$26:$V$56,MATCH($C38,'Barge Gauging Data'!$B$27:$B$56,0)+1,2))</f>
        <v/>
      </c>
      <c r="E38" s="1016" t="str">
        <f t="shared" si="1"/>
        <v/>
      </c>
      <c r="F38" s="1016" t="str">
        <f t="shared" si="2"/>
        <v/>
      </c>
      <c r="G38" s="1016" t="str">
        <f t="shared" si="3"/>
        <v/>
      </c>
      <c r="H38" s="1016" t="str">
        <f t="shared" si="3"/>
        <v/>
      </c>
      <c r="I38" s="211" t="str">
        <f t="shared" si="4"/>
        <v/>
      </c>
      <c r="J38" s="1016" t="str">
        <f t="shared" si="5"/>
        <v/>
      </c>
      <c r="K38" s="213" t="str">
        <f t="shared" si="6"/>
        <v/>
      </c>
      <c r="L38" s="212" t="str">
        <f t="shared" si="7"/>
        <v/>
      </c>
      <c r="M38" s="1125" t="str">
        <f>IF(OR($C38="",$C38=0),"",INDEX(API1DENST_2,MATCH($C38,'Barge Gauging Data'!$B$27:$B$56,0),$AA$1))</f>
        <v/>
      </c>
      <c r="N38" s="212" t="str">
        <f t="shared" si="8"/>
        <v/>
      </c>
      <c r="O38" s="1016" t="str">
        <f t="shared" si="9"/>
        <v/>
      </c>
      <c r="P38" s="1125" t="str">
        <f t="shared" si="10"/>
        <v/>
      </c>
      <c r="Q38" s="1016" t="str">
        <f t="shared" si="11"/>
        <v/>
      </c>
      <c r="R38" s="214" t="str">
        <f t="shared" si="12"/>
        <v/>
      </c>
      <c r="S38" s="1125" t="str">
        <f t="shared" si="13"/>
        <v/>
      </c>
      <c r="T38" s="236" t="str">
        <f t="shared" si="14"/>
        <v/>
      </c>
      <c r="V38" s="642" t="e">
        <f>INDEX('Barge Gauging Data'!$B$26:$V$56,MATCH($C38,'Barge Gauging Data'!$B$26:$B$56,0),$V$18)</f>
        <v>#N/A</v>
      </c>
      <c r="W38" s="642" t="e">
        <f>INDEX('Barge Gauging Data'!$B$26:$V$56,MATCH($C38,'Barge Gauging Data'!$B$26:$B$56,0),$W$18)</f>
        <v>#N/A</v>
      </c>
      <c r="X38" s="642" t="e">
        <f>INDEX('Barge Gauging Data'!$B$26:$V$56,MATCH($C38,'Barge Gauging Data'!$B$26:$B$56,0),$X$18)</f>
        <v>#N/A</v>
      </c>
      <c r="Y38" s="642" t="e">
        <f>INDEX('Barge Gauging Data'!$B$26:$V$56,MATCH($C38,'Barge Gauging Data'!$B$26:$B$56,0),$Y$18)</f>
        <v>#N/A</v>
      </c>
      <c r="Z38" s="642" t="e">
        <f>INDEX('Barge Gauging Data'!$B$26:$V$56,MATCH($C38,'Barge Gauging Data'!$B$26:$B$56,0),$Z$18)</f>
        <v>#N/A</v>
      </c>
      <c r="AB38" s="642" t="e">
        <f>INDEX(API1DENST_2,MATCH($C38,'Barge Gauging Data'!$B$27:$B$56,0),1)</f>
        <v>#N/A</v>
      </c>
      <c r="AC38" s="642" t="e">
        <f t="shared" si="17"/>
        <v>#N/A</v>
      </c>
      <c r="AE38" s="661" t="e">
        <f t="shared" si="18"/>
        <v>#VALUE!</v>
      </c>
      <c r="AF38" s="661" t="e">
        <f t="shared" si="19"/>
        <v>#VALUE!</v>
      </c>
      <c r="AH38" s="662" t="str">
        <f t="shared" si="15"/>
        <v/>
      </c>
      <c r="AI38" s="662" t="str">
        <f t="shared" si="16"/>
        <v/>
      </c>
      <c r="AJ38" s="663">
        <f t="shared" si="20"/>
        <v>192.4571</v>
      </c>
      <c r="AK38" s="660">
        <f t="shared" si="21"/>
        <v>0.24379999999999999</v>
      </c>
      <c r="AL38" s="660" t="e">
        <f t="shared" si="22"/>
        <v>#VALUE!</v>
      </c>
      <c r="AM38" s="664" t="e">
        <f t="shared" si="23"/>
        <v>#VALUE!</v>
      </c>
      <c r="AN38" s="664" t="e">
        <f t="shared" si="24"/>
        <v>#VALUE!</v>
      </c>
      <c r="AO38" s="665" t="e">
        <f t="shared" si="25"/>
        <v>#VALUE!</v>
      </c>
      <c r="AP38" s="666" t="e">
        <f t="shared" si="26"/>
        <v>#VALUE!</v>
      </c>
      <c r="AQ38" s="660" t="e">
        <f t="shared" si="27"/>
        <v>#VALUE!</v>
      </c>
      <c r="AR38" s="667" t="e">
        <f t="shared" si="28"/>
        <v>#VALUE!</v>
      </c>
      <c r="AS38" s="667" t="e">
        <f t="shared" si="29"/>
        <v>#VALUE!</v>
      </c>
      <c r="AT38" s="668" t="e">
        <f t="shared" si="30"/>
        <v>#VALUE!</v>
      </c>
      <c r="AU38" s="667" t="e">
        <f t="shared" si="31"/>
        <v>#VALUE!</v>
      </c>
      <c r="AV38" s="669" t="e">
        <f t="shared" si="32"/>
        <v>#VALUE!</v>
      </c>
      <c r="AW38" s="667" t="e">
        <f t="shared" si="33"/>
        <v>#VALUE!</v>
      </c>
      <c r="AX38" s="667" t="e">
        <f t="shared" si="34"/>
        <v>#VALUE!</v>
      </c>
      <c r="AY38" s="660" t="e">
        <f t="shared" si="35"/>
        <v>#VALUE!</v>
      </c>
      <c r="AZ38" s="670" t="e">
        <f t="shared" si="36"/>
        <v>#VALUE!</v>
      </c>
      <c r="BB38" s="662" t="e">
        <f>INDEX('Barge Gauging Data'!$B$26:$V$56,MATCH($C38,'Barge Gauging Data'!$B$26:$B$56,0),$BB$18)</f>
        <v>#N/A</v>
      </c>
      <c r="BC38" s="662" t="e">
        <f>INDEX('Barge Gauging Data'!$B$26:$V$56,MATCH($C38,'Barge Gauging Data'!$B$26:$B$56,0),$BC$18)</f>
        <v>#N/A</v>
      </c>
      <c r="BD38" s="662" t="e">
        <f>INDEX('Barge Gauging Data'!$B$26:$V$56,MATCH($C38,'Barge Gauging Data'!$B$26:$B$56,0),$BD$18)</f>
        <v>#N/A</v>
      </c>
      <c r="BE38" s="662" t="e">
        <f>INDEX('Barge Gauging Data'!$B$26:$V$56,MATCH($C38,'Barge Gauging Data'!$B$26:$B$56,0),$BE$18)</f>
        <v>#N/A</v>
      </c>
    </row>
    <row r="39" spans="1:57" hidden="1">
      <c r="A39" s="641" t="str">
        <f t="shared" si="0"/>
        <v>N</v>
      </c>
      <c r="C39" s="235" t="str">
        <f t="array" ref="C39">IF(OR($E$21="",SUMPRODUCT(('Barge Gauging Data'!$C$27:$C$56=$E$21)*('Barge Gauging Data'!$D$27:$D$56=NOMY))&lt;ROWS($C$22:$C39)),"",INDEX('Barge Gauging Data'!$B$27:$B$56,SMALL(IF(('Barge Gauging Data'!$C$27:$C$56=$E$21)+('Barge Gauging Data'!$D$27:$D$56=NOMY)=2,ROW('Barge Gauging Data'!$B$27:$B$56)-ROW('Barge Gauging Data'!$C$26)),ROW()-ROW(C$21))))</f>
        <v/>
      </c>
      <c r="D39" s="211" t="str">
        <f>IF(OR($C39="",$C39=0),"",INDEX('Barge Gauging Data'!$B$26:$V$56,MATCH($C39,'Barge Gauging Data'!$B$27:$B$56,0)+1,2))</f>
        <v/>
      </c>
      <c r="E39" s="1016" t="str">
        <f t="shared" si="1"/>
        <v/>
      </c>
      <c r="F39" s="1016" t="str">
        <f t="shared" si="2"/>
        <v/>
      </c>
      <c r="G39" s="1016" t="str">
        <f t="shared" si="3"/>
        <v/>
      </c>
      <c r="H39" s="1016" t="str">
        <f t="shared" si="3"/>
        <v/>
      </c>
      <c r="I39" s="211" t="str">
        <f t="shared" si="4"/>
        <v/>
      </c>
      <c r="J39" s="1016" t="str">
        <f t="shared" si="5"/>
        <v/>
      </c>
      <c r="K39" s="213" t="str">
        <f t="shared" si="6"/>
        <v/>
      </c>
      <c r="L39" s="212" t="str">
        <f t="shared" si="7"/>
        <v/>
      </c>
      <c r="M39" s="1125" t="str">
        <f>IF(OR($C39="",$C39=0),"",INDEX(API1DENST_2,MATCH($C39,'Barge Gauging Data'!$B$27:$B$56,0),$AA$1))</f>
        <v/>
      </c>
      <c r="N39" s="212" t="str">
        <f t="shared" si="8"/>
        <v/>
      </c>
      <c r="O39" s="1016" t="str">
        <f t="shared" si="9"/>
        <v/>
      </c>
      <c r="P39" s="1125" t="str">
        <f t="shared" si="10"/>
        <v/>
      </c>
      <c r="Q39" s="1016" t="str">
        <f t="shared" si="11"/>
        <v/>
      </c>
      <c r="R39" s="214" t="str">
        <f t="shared" si="12"/>
        <v/>
      </c>
      <c r="S39" s="1125" t="str">
        <f t="shared" si="13"/>
        <v/>
      </c>
      <c r="T39" s="236" t="str">
        <f t="shared" si="14"/>
        <v/>
      </c>
      <c r="V39" s="642" t="e">
        <f>INDEX('Barge Gauging Data'!$B$26:$V$56,MATCH($C39,'Barge Gauging Data'!$B$26:$B$56,0),$V$18)</f>
        <v>#N/A</v>
      </c>
      <c r="W39" s="642" t="e">
        <f>INDEX('Barge Gauging Data'!$B$26:$V$56,MATCH($C39,'Barge Gauging Data'!$B$26:$B$56,0),$W$18)</f>
        <v>#N/A</v>
      </c>
      <c r="X39" s="642" t="e">
        <f>INDEX('Barge Gauging Data'!$B$26:$V$56,MATCH($C39,'Barge Gauging Data'!$B$26:$B$56,0),$X$18)</f>
        <v>#N/A</v>
      </c>
      <c r="Y39" s="642" t="e">
        <f>INDEX('Barge Gauging Data'!$B$26:$V$56,MATCH($C39,'Barge Gauging Data'!$B$26:$B$56,0),$Y$18)</f>
        <v>#N/A</v>
      </c>
      <c r="Z39" s="642" t="e">
        <f>INDEX('Barge Gauging Data'!$B$26:$V$56,MATCH($C39,'Barge Gauging Data'!$B$26:$B$56,0),$Z$18)</f>
        <v>#N/A</v>
      </c>
      <c r="AB39" s="642" t="e">
        <f>INDEX(API1DENST_2,MATCH($C39,'Barge Gauging Data'!$B$27:$B$56,0),1)</f>
        <v>#N/A</v>
      </c>
      <c r="AC39" s="642" t="e">
        <f t="shared" si="17"/>
        <v>#N/A</v>
      </c>
      <c r="AE39" s="661" t="e">
        <f t="shared" si="18"/>
        <v>#VALUE!</v>
      </c>
      <c r="AF39" s="661" t="e">
        <f t="shared" si="19"/>
        <v>#VALUE!</v>
      </c>
      <c r="AH39" s="662" t="str">
        <f t="shared" si="15"/>
        <v/>
      </c>
      <c r="AI39" s="662" t="str">
        <f t="shared" si="16"/>
        <v/>
      </c>
      <c r="AJ39" s="663">
        <f t="shared" si="20"/>
        <v>192.4571</v>
      </c>
      <c r="AK39" s="660">
        <f t="shared" si="21"/>
        <v>0.24379999999999999</v>
      </c>
      <c r="AL39" s="660" t="e">
        <f t="shared" si="22"/>
        <v>#VALUE!</v>
      </c>
      <c r="AM39" s="664" t="e">
        <f t="shared" si="23"/>
        <v>#VALUE!</v>
      </c>
      <c r="AN39" s="664" t="e">
        <f t="shared" si="24"/>
        <v>#VALUE!</v>
      </c>
      <c r="AO39" s="665" t="e">
        <f t="shared" si="25"/>
        <v>#VALUE!</v>
      </c>
      <c r="AP39" s="666" t="e">
        <f t="shared" si="26"/>
        <v>#VALUE!</v>
      </c>
      <c r="AQ39" s="660" t="e">
        <f t="shared" si="27"/>
        <v>#VALUE!</v>
      </c>
      <c r="AR39" s="667" t="e">
        <f t="shared" si="28"/>
        <v>#VALUE!</v>
      </c>
      <c r="AS39" s="667" t="e">
        <f t="shared" si="29"/>
        <v>#VALUE!</v>
      </c>
      <c r="AT39" s="668" t="e">
        <f t="shared" si="30"/>
        <v>#VALUE!</v>
      </c>
      <c r="AU39" s="667" t="e">
        <f t="shared" si="31"/>
        <v>#VALUE!</v>
      </c>
      <c r="AV39" s="669" t="e">
        <f t="shared" si="32"/>
        <v>#VALUE!</v>
      </c>
      <c r="AW39" s="667" t="e">
        <f t="shared" si="33"/>
        <v>#VALUE!</v>
      </c>
      <c r="AX39" s="667" t="e">
        <f t="shared" si="34"/>
        <v>#VALUE!</v>
      </c>
      <c r="AY39" s="660" t="e">
        <f t="shared" si="35"/>
        <v>#VALUE!</v>
      </c>
      <c r="AZ39" s="670" t="e">
        <f t="shared" si="36"/>
        <v>#VALUE!</v>
      </c>
      <c r="BB39" s="662" t="e">
        <f>INDEX('Barge Gauging Data'!$B$26:$V$56,MATCH($C39,'Barge Gauging Data'!$B$26:$B$56,0),$BB$18)</f>
        <v>#N/A</v>
      </c>
      <c r="BC39" s="662" t="e">
        <f>INDEX('Barge Gauging Data'!$B$26:$V$56,MATCH($C39,'Barge Gauging Data'!$B$26:$B$56,0),$BC$18)</f>
        <v>#N/A</v>
      </c>
      <c r="BD39" s="662" t="e">
        <f>INDEX('Barge Gauging Data'!$B$26:$V$56,MATCH($C39,'Barge Gauging Data'!$B$26:$B$56,0),$BD$18)</f>
        <v>#N/A</v>
      </c>
      <c r="BE39" s="662" t="e">
        <f>INDEX('Barge Gauging Data'!$B$26:$V$56,MATCH($C39,'Barge Gauging Data'!$B$26:$B$56,0),$BE$18)</f>
        <v>#N/A</v>
      </c>
    </row>
    <row r="40" spans="1:57" hidden="1">
      <c r="A40" s="641" t="str">
        <f t="shared" si="0"/>
        <v>N</v>
      </c>
      <c r="C40" s="235" t="str">
        <f t="array" ref="C40">IF(OR($E$21="",SUMPRODUCT(('Barge Gauging Data'!$C$27:$C$56=$E$21)*('Barge Gauging Data'!$D$27:$D$56=NOMY))&lt;ROWS($C$22:$C40)),"",INDEX('Barge Gauging Data'!$B$27:$B$56,SMALL(IF(('Barge Gauging Data'!$C$27:$C$56=$E$21)+('Barge Gauging Data'!$D$27:$D$56=NOMY)=2,ROW('Barge Gauging Data'!$B$27:$B$56)-ROW('Barge Gauging Data'!$C$26)),ROW()-ROW(C$21))))</f>
        <v/>
      </c>
      <c r="D40" s="211" t="str">
        <f>IF(OR($C40="",$C40=0),"",INDEX('Barge Gauging Data'!$B$26:$V$56,MATCH($C40,'Barge Gauging Data'!$B$27:$B$56,0)+1,2))</f>
        <v/>
      </c>
      <c r="E40" s="1016" t="str">
        <f t="shared" si="1"/>
        <v/>
      </c>
      <c r="F40" s="1016" t="str">
        <f t="shared" si="2"/>
        <v/>
      </c>
      <c r="G40" s="1016" t="str">
        <f t="shared" si="3"/>
        <v/>
      </c>
      <c r="H40" s="1016" t="str">
        <f t="shared" si="3"/>
        <v/>
      </c>
      <c r="I40" s="211" t="str">
        <f t="shared" si="4"/>
        <v/>
      </c>
      <c r="J40" s="1016" t="str">
        <f t="shared" si="5"/>
        <v/>
      </c>
      <c r="K40" s="213" t="str">
        <f t="shared" si="6"/>
        <v/>
      </c>
      <c r="L40" s="212" t="str">
        <f t="shared" si="7"/>
        <v/>
      </c>
      <c r="M40" s="1125" t="str">
        <f>IF(OR($C40="",$C40=0),"",INDEX(API1DENST_2,MATCH($C40,'Barge Gauging Data'!$B$27:$B$56,0),$AA$1))</f>
        <v/>
      </c>
      <c r="N40" s="212" t="str">
        <f t="shared" si="8"/>
        <v/>
      </c>
      <c r="O40" s="1016" t="str">
        <f t="shared" si="9"/>
        <v/>
      </c>
      <c r="P40" s="1125" t="str">
        <f t="shared" si="10"/>
        <v/>
      </c>
      <c r="Q40" s="1016" t="str">
        <f t="shared" si="11"/>
        <v/>
      </c>
      <c r="R40" s="214" t="str">
        <f t="shared" si="12"/>
        <v/>
      </c>
      <c r="S40" s="1125" t="str">
        <f t="shared" si="13"/>
        <v/>
      </c>
      <c r="T40" s="236" t="str">
        <f t="shared" si="14"/>
        <v/>
      </c>
      <c r="V40" s="642" t="e">
        <f>INDEX('Barge Gauging Data'!$B$26:$V$56,MATCH($C40,'Barge Gauging Data'!$B$26:$B$56,0),$V$18)</f>
        <v>#N/A</v>
      </c>
      <c r="W40" s="642" t="e">
        <f>INDEX('Barge Gauging Data'!$B$26:$V$56,MATCH($C40,'Barge Gauging Data'!$B$26:$B$56,0),$W$18)</f>
        <v>#N/A</v>
      </c>
      <c r="X40" s="642" t="e">
        <f>INDEX('Barge Gauging Data'!$B$26:$V$56,MATCH($C40,'Barge Gauging Data'!$B$26:$B$56,0),$X$18)</f>
        <v>#N/A</v>
      </c>
      <c r="Y40" s="642" t="e">
        <f>INDEX('Barge Gauging Data'!$B$26:$V$56,MATCH($C40,'Barge Gauging Data'!$B$26:$B$56,0),$Y$18)</f>
        <v>#N/A</v>
      </c>
      <c r="Z40" s="642" t="e">
        <f>INDEX('Barge Gauging Data'!$B$26:$V$56,MATCH($C40,'Barge Gauging Data'!$B$26:$B$56,0),$Z$18)</f>
        <v>#N/A</v>
      </c>
      <c r="AB40" s="642" t="e">
        <f>INDEX(API1DENST_2,MATCH($C40,'Barge Gauging Data'!$B$27:$B$56,0),1)</f>
        <v>#N/A</v>
      </c>
      <c r="AC40" s="642" t="e">
        <f t="shared" si="17"/>
        <v>#N/A</v>
      </c>
      <c r="AE40" s="661" t="e">
        <f t="shared" si="18"/>
        <v>#VALUE!</v>
      </c>
      <c r="AF40" s="661" t="e">
        <f t="shared" si="19"/>
        <v>#VALUE!</v>
      </c>
      <c r="AH40" s="662" t="str">
        <f t="shared" si="15"/>
        <v/>
      </c>
      <c r="AI40" s="662" t="str">
        <f t="shared" si="16"/>
        <v/>
      </c>
      <c r="AJ40" s="663">
        <f t="shared" si="20"/>
        <v>192.4571</v>
      </c>
      <c r="AK40" s="660">
        <f t="shared" si="21"/>
        <v>0.24379999999999999</v>
      </c>
      <c r="AL40" s="660" t="e">
        <f t="shared" si="22"/>
        <v>#VALUE!</v>
      </c>
      <c r="AM40" s="664" t="e">
        <f t="shared" si="23"/>
        <v>#VALUE!</v>
      </c>
      <c r="AN40" s="664" t="e">
        <f t="shared" si="24"/>
        <v>#VALUE!</v>
      </c>
      <c r="AO40" s="665" t="e">
        <f t="shared" si="25"/>
        <v>#VALUE!</v>
      </c>
      <c r="AP40" s="666" t="e">
        <f t="shared" si="26"/>
        <v>#VALUE!</v>
      </c>
      <c r="AQ40" s="660" t="e">
        <f t="shared" si="27"/>
        <v>#VALUE!</v>
      </c>
      <c r="AR40" s="667" t="e">
        <f t="shared" si="28"/>
        <v>#VALUE!</v>
      </c>
      <c r="AS40" s="667" t="e">
        <f t="shared" si="29"/>
        <v>#VALUE!</v>
      </c>
      <c r="AT40" s="668" t="e">
        <f t="shared" si="30"/>
        <v>#VALUE!</v>
      </c>
      <c r="AU40" s="667" t="e">
        <f t="shared" si="31"/>
        <v>#VALUE!</v>
      </c>
      <c r="AV40" s="669" t="e">
        <f t="shared" si="32"/>
        <v>#VALUE!</v>
      </c>
      <c r="AW40" s="667" t="e">
        <f t="shared" si="33"/>
        <v>#VALUE!</v>
      </c>
      <c r="AX40" s="667" t="e">
        <f t="shared" si="34"/>
        <v>#VALUE!</v>
      </c>
      <c r="AY40" s="660" t="e">
        <f t="shared" si="35"/>
        <v>#VALUE!</v>
      </c>
      <c r="AZ40" s="670" t="e">
        <f t="shared" si="36"/>
        <v>#VALUE!</v>
      </c>
      <c r="BB40" s="662" t="e">
        <f>INDEX('Barge Gauging Data'!$B$26:$V$56,MATCH($C40,'Barge Gauging Data'!$B$26:$B$56,0),$BB$18)</f>
        <v>#N/A</v>
      </c>
      <c r="BC40" s="662" t="e">
        <f>INDEX('Barge Gauging Data'!$B$26:$V$56,MATCH($C40,'Barge Gauging Data'!$B$26:$B$56,0),$BC$18)</f>
        <v>#N/A</v>
      </c>
      <c r="BD40" s="662" t="e">
        <f>INDEX('Barge Gauging Data'!$B$26:$V$56,MATCH($C40,'Barge Gauging Data'!$B$26:$B$56,0),$BD$18)</f>
        <v>#N/A</v>
      </c>
      <c r="BE40" s="662" t="e">
        <f>INDEX('Barge Gauging Data'!$B$26:$V$56,MATCH($C40,'Barge Gauging Data'!$B$26:$B$56,0),$BE$18)</f>
        <v>#N/A</v>
      </c>
    </row>
    <row r="41" spans="1:57" hidden="1">
      <c r="A41" s="641" t="str">
        <f t="shared" si="0"/>
        <v>N</v>
      </c>
      <c r="C41" s="237" t="str">
        <f t="array" ref="C41">IF(OR($E$21="",SUMPRODUCT(('Barge Gauging Data'!$C$27:$C$56=$E$21)*('Barge Gauging Data'!$D$27:$D$56=NOMY))&lt;ROWS($C$22:$C41)),"",INDEX('Barge Gauging Data'!$B$27:$B$56,SMALL(IF(('Barge Gauging Data'!$C$27:$C$56=$E$21)+('Barge Gauging Data'!$D$27:$D$56=NOMY)=2,ROW('Barge Gauging Data'!$B$27:$B$56)-ROW('Barge Gauging Data'!$C$26)),ROW()-ROW(C$21))))</f>
        <v/>
      </c>
      <c r="D41" s="238" t="str">
        <f>IF(OR($C41="",$C41=0),"",INDEX('Barge Gauging Data'!$B$26:$V$56,MATCH($C41,'Barge Gauging Data'!$B$27:$B$56,0)+1,2))</f>
        <v/>
      </c>
      <c r="E41" s="1017" t="str">
        <f t="shared" si="1"/>
        <v/>
      </c>
      <c r="F41" s="1017" t="str">
        <f t="shared" si="2"/>
        <v/>
      </c>
      <c r="G41" s="1017" t="str">
        <f t="shared" si="3"/>
        <v/>
      </c>
      <c r="H41" s="1017" t="str">
        <f t="shared" si="3"/>
        <v/>
      </c>
      <c r="I41" s="238" t="str">
        <f t="shared" si="4"/>
        <v/>
      </c>
      <c r="J41" s="1017" t="str">
        <f t="shared" si="5"/>
        <v/>
      </c>
      <c r="K41" s="240" t="str">
        <f t="shared" si="6"/>
        <v/>
      </c>
      <c r="L41" s="239" t="str">
        <f t="shared" si="7"/>
        <v/>
      </c>
      <c r="M41" s="1126" t="str">
        <f>IF(OR($C41="",$C41=0),"",INDEX(API1DENST_2,MATCH($C41,'Barge Gauging Data'!$B$27:$B$56,0),$AA$1))</f>
        <v/>
      </c>
      <c r="N41" s="239" t="str">
        <f t="shared" si="8"/>
        <v/>
      </c>
      <c r="O41" s="1017" t="str">
        <f t="shared" si="9"/>
        <v/>
      </c>
      <c r="P41" s="1126" t="str">
        <f t="shared" si="10"/>
        <v/>
      </c>
      <c r="Q41" s="1017" t="str">
        <f t="shared" si="11"/>
        <v/>
      </c>
      <c r="R41" s="241" t="str">
        <f t="shared" si="12"/>
        <v/>
      </c>
      <c r="S41" s="1126" t="str">
        <f t="shared" si="13"/>
        <v/>
      </c>
      <c r="T41" s="242" t="str">
        <f t="shared" si="14"/>
        <v/>
      </c>
      <c r="V41" s="642" t="e">
        <f>INDEX('Barge Gauging Data'!$B$26:$V$56,MATCH($C41,'Barge Gauging Data'!$B$26:$B$56,0),$V$18)</f>
        <v>#N/A</v>
      </c>
      <c r="W41" s="642" t="e">
        <f>INDEX('Barge Gauging Data'!$B$26:$V$56,MATCH($C41,'Barge Gauging Data'!$B$26:$B$56,0),$W$18)</f>
        <v>#N/A</v>
      </c>
      <c r="X41" s="642" t="e">
        <f>INDEX('Barge Gauging Data'!$B$26:$V$56,MATCH($C41,'Barge Gauging Data'!$B$26:$B$56,0),$X$18)</f>
        <v>#N/A</v>
      </c>
      <c r="Y41" s="642" t="e">
        <f>INDEX('Barge Gauging Data'!$B$26:$V$56,MATCH($C41,'Barge Gauging Data'!$B$26:$B$56,0),$Y$18)</f>
        <v>#N/A</v>
      </c>
      <c r="Z41" s="642" t="e">
        <f>INDEX('Barge Gauging Data'!$B$26:$V$56,MATCH($C41,'Barge Gauging Data'!$B$26:$B$56,0),$Z$18)</f>
        <v>#N/A</v>
      </c>
      <c r="AB41" s="642" t="e">
        <f>INDEX(API1DENST_2,MATCH($C41,'Barge Gauging Data'!$B$27:$B$56,0),1)</f>
        <v>#N/A</v>
      </c>
      <c r="AC41" s="642" t="e">
        <f t="shared" si="17"/>
        <v>#N/A</v>
      </c>
      <c r="AE41" s="661" t="e">
        <f t="shared" si="18"/>
        <v>#VALUE!</v>
      </c>
      <c r="AF41" s="661" t="e">
        <f t="shared" si="19"/>
        <v>#VALUE!</v>
      </c>
      <c r="AH41" s="662" t="str">
        <f t="shared" si="15"/>
        <v/>
      </c>
      <c r="AI41" s="662" t="str">
        <f t="shared" si="16"/>
        <v/>
      </c>
      <c r="AJ41" s="663">
        <f t="shared" si="20"/>
        <v>192.4571</v>
      </c>
      <c r="AK41" s="660">
        <f t="shared" si="21"/>
        <v>0.24379999999999999</v>
      </c>
      <c r="AL41" s="660" t="e">
        <f t="shared" si="22"/>
        <v>#VALUE!</v>
      </c>
      <c r="AM41" s="664" t="e">
        <f t="shared" si="23"/>
        <v>#VALUE!</v>
      </c>
      <c r="AN41" s="664" t="e">
        <f t="shared" si="24"/>
        <v>#VALUE!</v>
      </c>
      <c r="AO41" s="665" t="e">
        <f t="shared" si="25"/>
        <v>#VALUE!</v>
      </c>
      <c r="AP41" s="666" t="e">
        <f t="shared" si="26"/>
        <v>#VALUE!</v>
      </c>
      <c r="AQ41" s="660" t="e">
        <f t="shared" si="27"/>
        <v>#VALUE!</v>
      </c>
      <c r="AR41" s="667" t="e">
        <f t="shared" si="28"/>
        <v>#VALUE!</v>
      </c>
      <c r="AS41" s="667" t="e">
        <f t="shared" si="29"/>
        <v>#VALUE!</v>
      </c>
      <c r="AT41" s="668" t="e">
        <f t="shared" si="30"/>
        <v>#VALUE!</v>
      </c>
      <c r="AU41" s="667" t="e">
        <f t="shared" si="31"/>
        <v>#VALUE!</v>
      </c>
      <c r="AV41" s="669" t="e">
        <f t="shared" si="32"/>
        <v>#VALUE!</v>
      </c>
      <c r="AW41" s="667" t="e">
        <f t="shared" si="33"/>
        <v>#VALUE!</v>
      </c>
      <c r="AX41" s="667" t="e">
        <f t="shared" si="34"/>
        <v>#VALUE!</v>
      </c>
      <c r="AY41" s="660" t="e">
        <f t="shared" si="35"/>
        <v>#VALUE!</v>
      </c>
      <c r="AZ41" s="670" t="e">
        <f t="shared" si="36"/>
        <v>#VALUE!</v>
      </c>
      <c r="BB41" s="662" t="e">
        <f>INDEX('Barge Gauging Data'!$B$26:$V$56,MATCH($C41,'Barge Gauging Data'!$B$26:$B$56,0),$BB$18)</f>
        <v>#N/A</v>
      </c>
      <c r="BC41" s="662" t="e">
        <f>INDEX('Barge Gauging Data'!$B$26:$V$56,MATCH($C41,'Barge Gauging Data'!$B$26:$B$56,0),$BC$18)</f>
        <v>#N/A</v>
      </c>
      <c r="BD41" s="662" t="e">
        <f>INDEX('Barge Gauging Data'!$B$26:$V$56,MATCH($C41,'Barge Gauging Data'!$B$26:$B$56,0),$BD$18)</f>
        <v>#N/A</v>
      </c>
      <c r="BE41" s="662" t="e">
        <f>INDEX('Barge Gauging Data'!$B$26:$V$56,MATCH($C41,'Barge Gauging Data'!$B$26:$B$56,0),$BE$18)</f>
        <v>#N/A</v>
      </c>
    </row>
    <row r="42" spans="1:57" hidden="1">
      <c r="A42" s="641" t="str">
        <f>A21</f>
        <v>N</v>
      </c>
      <c r="C42" s="671"/>
      <c r="D42" s="671"/>
      <c r="E42" s="672"/>
      <c r="F42" s="672"/>
      <c r="G42" s="672"/>
      <c r="H42" s="1501"/>
      <c r="I42" s="671"/>
      <c r="J42" s="672"/>
      <c r="K42" s="673"/>
      <c r="L42" s="672"/>
      <c r="M42" s="674"/>
      <c r="N42" s="672"/>
      <c r="O42" s="672"/>
      <c r="P42" s="1127"/>
      <c r="Q42" s="1167"/>
      <c r="R42" s="675"/>
      <c r="S42" s="1137" t="s">
        <v>401</v>
      </c>
      <c r="T42" s="619">
        <f>SUM(T22:T41)</f>
        <v>0</v>
      </c>
      <c r="V42" s="619">
        <f>SUM(Q22:Q41)</f>
        <v>0</v>
      </c>
      <c r="W42" s="619">
        <f>SUM(R22:R41)</f>
        <v>0</v>
      </c>
      <c r="X42" s="719"/>
      <c r="Y42" s="719"/>
      <c r="Z42" s="719"/>
      <c r="AA42" s="676"/>
      <c r="AB42" s="719"/>
      <c r="AC42" s="719"/>
      <c r="AD42" s="676"/>
      <c r="AE42" s="720"/>
      <c r="AF42" s="720"/>
      <c r="AG42" s="676"/>
      <c r="AH42" s="721"/>
      <c r="AI42" s="721"/>
      <c r="AJ42" s="722"/>
      <c r="AK42" s="723"/>
      <c r="AL42" s="723"/>
      <c r="AM42" s="724"/>
      <c r="AN42" s="724"/>
      <c r="AO42" s="725"/>
      <c r="AP42" s="726"/>
      <c r="AQ42" s="723"/>
      <c r="AR42" s="727"/>
      <c r="AS42" s="727"/>
      <c r="AT42" s="728"/>
      <c r="AU42" s="727"/>
      <c r="AV42" s="729"/>
      <c r="AW42" s="727"/>
      <c r="AX42" s="727"/>
      <c r="AY42" s="723"/>
      <c r="AZ42" s="730"/>
      <c r="BA42" s="676"/>
      <c r="BB42" s="721"/>
      <c r="BC42" s="721"/>
      <c r="BD42" s="721"/>
      <c r="BE42" s="721"/>
    </row>
    <row r="43" spans="1:57" s="702" customFormat="1" ht="5.25" hidden="1">
      <c r="A43" s="702" t="str">
        <f>IF(A44="N",A44,IF(COUNTIF($A$21:$A41,"Y")&gt;0,A44,"N"))</f>
        <v>N</v>
      </c>
      <c r="C43" s="704"/>
      <c r="D43" s="704"/>
      <c r="E43" s="704"/>
      <c r="F43" s="704"/>
      <c r="G43" s="704"/>
      <c r="H43" s="704"/>
      <c r="I43" s="704"/>
      <c r="J43" s="705"/>
      <c r="K43" s="705"/>
      <c r="L43" s="705"/>
      <c r="M43" s="705"/>
      <c r="N43" s="705"/>
      <c r="O43" s="705"/>
      <c r="P43" s="1128"/>
      <c r="Q43" s="705"/>
      <c r="R43" s="705"/>
      <c r="S43" s="1136"/>
      <c r="T43" s="706"/>
      <c r="V43" s="707"/>
      <c r="W43" s="707"/>
      <c r="X43" s="707"/>
      <c r="Y43" s="707"/>
      <c r="Z43" s="707"/>
      <c r="AA43" s="707"/>
      <c r="AB43" s="707"/>
      <c r="AC43" s="707"/>
      <c r="AD43" s="707"/>
      <c r="AE43" s="708"/>
      <c r="AF43" s="708"/>
      <c r="AG43" s="707"/>
      <c r="AH43" s="709"/>
      <c r="AI43" s="709"/>
      <c r="AJ43" s="710"/>
      <c r="AK43" s="711"/>
      <c r="AL43" s="711"/>
      <c r="AM43" s="712"/>
      <c r="AN43" s="712"/>
      <c r="AO43" s="713"/>
      <c r="AP43" s="714"/>
      <c r="AQ43" s="711"/>
      <c r="AR43" s="715"/>
      <c r="AS43" s="715"/>
      <c r="AT43" s="716"/>
      <c r="AU43" s="715"/>
      <c r="AV43" s="717"/>
      <c r="AW43" s="715"/>
      <c r="AX43" s="715"/>
      <c r="AY43" s="711"/>
      <c r="AZ43" s="718"/>
      <c r="BA43" s="707"/>
      <c r="BB43" s="709"/>
      <c r="BC43" s="709"/>
      <c r="BD43" s="709"/>
      <c r="BE43" s="709"/>
    </row>
    <row r="44" spans="1:57" ht="15.75" hidden="1">
      <c r="A44" s="641" t="str">
        <f>A45</f>
        <v>N</v>
      </c>
      <c r="B44" s="641">
        <v>2</v>
      </c>
      <c r="C44" s="2797" t="s">
        <v>163</v>
      </c>
      <c r="D44" s="2798"/>
      <c r="E44" s="2799" t="str">
        <f>'Preliminary Report'!F1</f>
        <v>LSFO</v>
      </c>
      <c r="F44" s="2800"/>
      <c r="G44" s="2800"/>
      <c r="H44" s="2824"/>
      <c r="I44" s="2801"/>
      <c r="J44" s="698"/>
      <c r="K44" s="699"/>
      <c r="L44" s="700"/>
      <c r="M44" s="699"/>
      <c r="N44" s="699"/>
      <c r="O44" s="700"/>
      <c r="P44" s="1129"/>
      <c r="Q44" s="700"/>
      <c r="R44" s="701"/>
      <c r="S44" s="1129"/>
      <c r="T44" s="701"/>
      <c r="V44" s="731"/>
      <c r="W44" s="731"/>
      <c r="X44" s="731"/>
      <c r="Y44" s="731"/>
      <c r="Z44" s="731"/>
      <c r="AA44" s="676"/>
      <c r="AB44" s="731"/>
      <c r="AC44" s="731"/>
      <c r="AD44" s="676"/>
      <c r="AE44" s="732"/>
      <c r="AF44" s="732"/>
      <c r="AG44" s="676"/>
      <c r="AH44" s="733"/>
      <c r="AI44" s="733"/>
      <c r="AJ44" s="734"/>
      <c r="AK44" s="735"/>
      <c r="AL44" s="735"/>
      <c r="AM44" s="736"/>
      <c r="AN44" s="736"/>
      <c r="AO44" s="737"/>
      <c r="AP44" s="738"/>
      <c r="AQ44" s="735"/>
      <c r="AR44" s="739"/>
      <c r="AS44" s="739"/>
      <c r="AT44" s="740"/>
      <c r="AU44" s="739"/>
      <c r="AV44" s="741"/>
      <c r="AW44" s="739"/>
      <c r="AX44" s="739"/>
      <c r="AY44" s="735"/>
      <c r="AZ44" s="742"/>
      <c r="BA44" s="676"/>
      <c r="BB44" s="733"/>
      <c r="BC44" s="733"/>
      <c r="BD44" s="733"/>
      <c r="BE44" s="733"/>
    </row>
    <row r="45" spans="1:57" hidden="1">
      <c r="A45" s="641" t="str">
        <f t="shared" ref="A45:A64" si="37">IF(C45="","N",IF(ISERROR(MATCH($E$44,IF($Z$1=1,GRADESLIST,IF($Z$1=2,RESIDUALS,DISTILLATES)),0)),"N","Y"))</f>
        <v>N</v>
      </c>
      <c r="C45" s="622" t="str">
        <f t="array" ref="C45">IF(OR($E$44="",SUMPRODUCT(('Barge Gauging Data'!$C$27:$C$56=$E$44)*('Barge Gauging Data'!$D$27:$D$56=NOMY))&lt;ROWS($C$45:$C45)),"",INDEX('Barge Gauging Data'!$B$27:$B$56,SMALL(IF(('Barge Gauging Data'!$C$27:$C$56=$E$44)+('Barge Gauging Data'!$D$27:$D$56=NOMY)=2,ROW('Barge Gauging Data'!$B$27:$B$56)-ROW('Barge Gauging Data'!$C$26)),ROW()-ROW(C$44))))</f>
        <v>2P</v>
      </c>
      <c r="D45" s="623" t="str">
        <f>IF(OR($C45="",$C45=0),"",INDEX('Barge Gauging Data'!$B$26:$V$56,MATCH($C45,'Barge Gauging Data'!$B$27:$B$56,0)+1,2))</f>
        <v>LSFO</v>
      </c>
      <c r="E45" s="1018">
        <f t="shared" ref="E45:E64" si="38">IF(ISERROR(V45),"",IF(OR($C45="",$C45=0),"",IF(ISTEXT(V45),V45,IF($AB$1=1,V45*UNITOR_2,INT(V45*UNITOR_2)&amp;"'-"&amp;TRIM(TEXT(ROUND(MOD(V45*UNITOR_2,1)*12,1),"# ???/???"))&amp;""""))))</f>
        <v>4.8150000000000004</v>
      </c>
      <c r="F45" s="1018">
        <f t="shared" ref="F45:F64" si="39">IF(ISERROR(W45),"",IF(OR($C45="",$C45=0),"",IF(ISTEXT(W45),W45,IF($AB$1=1,W45*UNITOR_2,INT(W45*UNITOR_2)&amp;"'-"&amp;TRIM(TEXT(ROUND(MOD(W45*UNITOR_2,1)*12,1),"# ???/???"))&amp;""""))))</f>
        <v>4.8150000000000004</v>
      </c>
      <c r="G45" s="1018">
        <f t="shared" ref="G45:H64" si="40">IF(ISERROR(X45),"",IF(OR($C45="",$C45=0),"",IF(ISTEXT(X45),X45,IF($AB$1=1,X45*UNITOR_2,INT(X45*UNITOR_2)&amp;"'-"&amp;TRIM(TEXT(ROUND(MOD(X45*UNITOR_2,1)*12,1),"# ???/???"))&amp;""""))))</f>
        <v>0.83</v>
      </c>
      <c r="H45" s="1018">
        <f t="shared" si="40"/>
        <v>0.9</v>
      </c>
      <c r="I45" s="623" t="str">
        <f t="shared" ref="I45:I64" si="41">IF(ISERROR($BB45),"",IF(OR($C45="",$C45=0,$BB45=0),"",$BB45))</f>
        <v>U</v>
      </c>
      <c r="J45" s="1016">
        <f t="shared" ref="J45:J64" si="42">IF(ISERROR($BC45),"",IF(OR($C45="",$C45=0,$BC45=""),"",IF(ISTEXT($BC45),$BC45,$BC45*IF($AA$1=B1SEL_2,1,IF($AA$1=2,FBBLS,1/FBBLS)))))</f>
        <v>69.423000000000002</v>
      </c>
      <c r="K45" s="213">
        <f t="shared" ref="K45:K64" si="43">IF(ISERROR($BD45),"",IF(OR($C45="",$C45=0,$BD45=""),0,IF(ISTEXT($BD45),$BD45,$BD45*IF($AB$1=W1SEL_2,1,IF($AB$1=2,FINCH,1/FINCH)))))</f>
        <v>0</v>
      </c>
      <c r="L45" s="212">
        <f t="shared" ref="L45:L64" si="44">IF(ISERROR($BE45),"",IF(OR($C45="",$C45=0,$BE45=""),0,IF(ISTEXT($BE45),$BE45,$BE45*IF($AA$1=B1SEL_2,1,IF($AA$1=2,FBBLS,1/FBBLS)))))</f>
        <v>0</v>
      </c>
      <c r="M45" s="1125">
        <f>IF(OR($C45="",$C45=0),"",INDEX(API1DENST_2,MATCH($C45,'Barge Gauging Data'!$B$27:$B$56,0),$AA$1))</f>
        <v>0.92059999999999997</v>
      </c>
      <c r="N45" s="212">
        <f t="shared" ref="N45:N64" si="45">IF(ISERROR(Z45),"",IF(OR($C45="",$C45=0,Z45=""),"",IF(ISTEXT(Z45),Z45,IF($AA$1=T1SEL_2,Z45,IF($AA$1=2,(Z45*9/5)+32,(Z45-32)*5/9)))))</f>
        <v>36</v>
      </c>
      <c r="O45" s="1016">
        <f t="shared" ref="O45:O64" si="46">IF(OR(J45="",L45=""),"",IF(ISTEXT(J45),"N/A",IF(ISTEXT(L45),J45,J45-L45)))</f>
        <v>69.423000000000002</v>
      </c>
      <c r="P45" s="1125">
        <f t="shared" ref="P45:P64" si="47">IF(OR(M45="",N45=""),"",IF(OR(ISTEXT(M45),ISTEXT(N45)),"N/A",IF($AA$1=1,ROUND(EXP(-AF45*(N45-15)*(1+0.8*AF45*(N45-15))),5),AZ45)))</f>
        <v>0.98419000000000001</v>
      </c>
      <c r="Q45" s="1016">
        <f t="shared" ref="Q45:Q64" si="48">IF(OR(M45="",N45=""),"",IF(OR(ISTEXT(M45),ISTEXT(N45)),"N/A",ROUND(O45*P45,3)))</f>
        <v>68.325000000000003</v>
      </c>
      <c r="R45" s="214">
        <f t="shared" ref="R45:R64" si="49">IF(M45="","",IF($AA$1=1,IF(ISTEXT(Q45),"N/A",ROUND(Q45*M45,3)),IF(ISTEXT(T45),"N/A",ROUND(T45*AC45,3))))</f>
        <v>62.9</v>
      </c>
      <c r="S45" s="1125">
        <f t="shared" ref="S45:S64" si="50">IF(M45="","",IF($AA$1=1,ROUND(M45-0.0011,5),ROUND((1.00122697*(141.5/(M45+131.5))-1.22269727*10^-3)*8.32823*42/2204.62,5+2)))</f>
        <v>0.91949999999999998</v>
      </c>
      <c r="T45" s="236">
        <f t="shared" ref="T45:T64" si="51">IF(OR(M45="",N45=""),"",IF(ISTEXT(Q45),"N/A",IF($AA$1=1,ROUND((Q45*(M45-0.0011)),3),ROUND(Q45*S45,3))))</f>
        <v>62.825000000000003</v>
      </c>
      <c r="V45" s="642">
        <f>INDEX('Barge Gauging Data'!$B$26:$V$56,MATCH($C45,'Barge Gauging Data'!$B$26:$B$56,0),$V$18)</f>
        <v>4.8150000000000004</v>
      </c>
      <c r="W45" s="642">
        <f>INDEX('Barge Gauging Data'!$B$26:$V$56,MATCH($C45,'Barge Gauging Data'!$B$26:$B$56,0),$W$18)</f>
        <v>4.8150000000000004</v>
      </c>
      <c r="X45" s="642">
        <f>INDEX('Barge Gauging Data'!$B$26:$V$56,MATCH($C45,'Barge Gauging Data'!$B$26:$B$56,0),$X$18)</f>
        <v>0.83</v>
      </c>
      <c r="Y45" s="642">
        <f>INDEX('Barge Gauging Data'!$B$26:$V$56,MATCH($C45,'Barge Gauging Data'!$B$26:$B$56,0),$Y$18)</f>
        <v>0.9</v>
      </c>
      <c r="Z45" s="642">
        <f>INDEX('Barge Gauging Data'!$B$26:$V$56,MATCH($C45,'Barge Gauging Data'!$B$26:$B$56,0),$Z$18)</f>
        <v>36</v>
      </c>
      <c r="AB45" s="642">
        <f>INDEX(API1DENST_2,MATCH($C45,'Barge Gauging Data'!$B$27:$B$56,0),1)</f>
        <v>0.92059999999999997</v>
      </c>
      <c r="AC45" s="642">
        <f t="shared" si="17"/>
        <v>1.00115</v>
      </c>
      <c r="AE45" s="661">
        <f t="shared" si="18"/>
        <v>920</v>
      </c>
      <c r="AF45" s="661">
        <f t="shared" si="19"/>
        <v>7.4938000000000001E-4</v>
      </c>
      <c r="AH45" s="662">
        <f t="shared" si="15"/>
        <v>36</v>
      </c>
      <c r="AI45" s="662">
        <f t="shared" si="16"/>
        <v>0.92059999999999997</v>
      </c>
      <c r="AJ45" s="663">
        <f t="shared" si="20"/>
        <v>103.872</v>
      </c>
      <c r="AK45" s="660">
        <f t="shared" si="21"/>
        <v>0.27010000000000001</v>
      </c>
      <c r="AL45" s="660">
        <f t="shared" si="22"/>
        <v>1067.51</v>
      </c>
      <c r="AM45" s="664">
        <f t="shared" si="23"/>
        <v>9.7303059999999997E-2</v>
      </c>
      <c r="AN45" s="664">
        <f t="shared" si="24"/>
        <v>9.1149499999999999E-5</v>
      </c>
      <c r="AO45" s="665">
        <f t="shared" si="25"/>
        <v>2.530187E-4</v>
      </c>
      <c r="AP45" s="666">
        <f t="shared" si="26"/>
        <v>3.4420000000000002E-4</v>
      </c>
      <c r="AQ45" s="660">
        <f t="shared" si="27"/>
        <v>-24</v>
      </c>
      <c r="AR45" s="667">
        <f t="shared" si="28"/>
        <v>-8.2608000000000004E-3</v>
      </c>
      <c r="AS45" s="667">
        <f t="shared" si="29"/>
        <v>-6.6086399999999998E-3</v>
      </c>
      <c r="AT45" s="668">
        <f t="shared" si="30"/>
        <v>5.4589999999999997E-5</v>
      </c>
      <c r="AU45" s="667">
        <f t="shared" si="31"/>
        <v>8.2062100000000002E-3</v>
      </c>
      <c r="AV45" s="669">
        <f t="shared" si="32"/>
        <v>2.5000000000000001E-4</v>
      </c>
      <c r="AW45" s="667">
        <f t="shared" si="33"/>
        <v>2.2999999999999999E-7</v>
      </c>
      <c r="AX45" s="667">
        <f t="shared" si="34"/>
        <v>103.87200023</v>
      </c>
      <c r="AY45" s="660">
        <f t="shared" si="35"/>
        <v>3.4420000000000002E-4</v>
      </c>
      <c r="AZ45" s="670">
        <f t="shared" si="36"/>
        <v>1.00824</v>
      </c>
      <c r="BB45" s="662" t="str">
        <f>INDEX('Barge Gauging Data'!$B$26:$V$56,MATCH($C45,'Barge Gauging Data'!$B$26:$B$56,0),$BB$18)</f>
        <v>U</v>
      </c>
      <c r="BC45" s="662">
        <f>INDEX('Barge Gauging Data'!$B$26:$V$56,MATCH($C45,'Barge Gauging Data'!$B$26:$B$56,0),$BC$18)</f>
        <v>69.423000000000002</v>
      </c>
      <c r="BD45" s="662">
        <f>INDEX('Barge Gauging Data'!$B$26:$V$56,MATCH($C45,'Barge Gauging Data'!$B$26:$B$56,0),$BD$18)</f>
        <v>0</v>
      </c>
      <c r="BE45" s="662">
        <f>INDEX('Barge Gauging Data'!$B$26:$V$56,MATCH($C45,'Barge Gauging Data'!$B$26:$B$56,0),$BE$18)</f>
        <v>0</v>
      </c>
    </row>
    <row r="46" spans="1:57" hidden="1">
      <c r="A46" s="641" t="str">
        <f t="shared" si="37"/>
        <v>N</v>
      </c>
      <c r="C46" s="235" t="str">
        <f t="array" ref="C46">IF(OR($E$44="",SUMPRODUCT(('Barge Gauging Data'!$C$27:$C$56=$E$44)*('Barge Gauging Data'!$D$27:$D$56=NOMY))&lt;ROWS($C$45:$C46)),"",INDEX('Barge Gauging Data'!$B$27:$B$56,SMALL(IF(('Barge Gauging Data'!$C$27:$C$56=$E$44)+('Barge Gauging Data'!$D$27:$D$56=NOMY)=2,ROW('Barge Gauging Data'!$B$27:$B$56)-ROW('Barge Gauging Data'!$C$26)),ROW()-ROW(C$44))))</f>
        <v>5P</v>
      </c>
      <c r="D46" s="211" t="str">
        <f>IF(OR($C46="",$C46=0),"",INDEX('Barge Gauging Data'!$B$26:$V$56,MATCH($C46,'Barge Gauging Data'!$B$27:$B$56,0)+1,2))</f>
        <v>LSFO</v>
      </c>
      <c r="E46" s="1016">
        <f t="shared" si="38"/>
        <v>4.8150000000000004</v>
      </c>
      <c r="F46" s="1016">
        <f t="shared" si="39"/>
        <v>4.8150000000000004</v>
      </c>
      <c r="G46" s="1016">
        <f t="shared" si="40"/>
        <v>0.83</v>
      </c>
      <c r="H46" s="1016">
        <f t="shared" si="40"/>
        <v>0.9</v>
      </c>
      <c r="I46" s="211" t="str">
        <f t="shared" si="41"/>
        <v>U</v>
      </c>
      <c r="J46" s="1016">
        <f t="shared" si="42"/>
        <v>69.659000000000006</v>
      </c>
      <c r="K46" s="213">
        <f t="shared" si="43"/>
        <v>0</v>
      </c>
      <c r="L46" s="212">
        <f t="shared" si="44"/>
        <v>0</v>
      </c>
      <c r="M46" s="1125">
        <f>IF(OR($C46="",$C46=0),"",INDEX(API1DENST_2,MATCH($C46,'Barge Gauging Data'!$B$27:$B$56,0),$AA$1))</f>
        <v>0.92059999999999997</v>
      </c>
      <c r="N46" s="212">
        <f t="shared" si="45"/>
        <v>36</v>
      </c>
      <c r="O46" s="1016">
        <f t="shared" si="46"/>
        <v>69.659000000000006</v>
      </c>
      <c r="P46" s="1125">
        <f t="shared" si="47"/>
        <v>0.98419000000000001</v>
      </c>
      <c r="Q46" s="1016">
        <f t="shared" si="48"/>
        <v>68.558000000000007</v>
      </c>
      <c r="R46" s="214">
        <f t="shared" si="49"/>
        <v>63.113999999999997</v>
      </c>
      <c r="S46" s="1125">
        <f t="shared" si="50"/>
        <v>0.91949999999999998</v>
      </c>
      <c r="T46" s="236">
        <f t="shared" si="51"/>
        <v>63.039000000000001</v>
      </c>
      <c r="V46" s="642">
        <f>INDEX('Barge Gauging Data'!$B$26:$V$56,MATCH($C46,'Barge Gauging Data'!$B$26:$B$56,0),$V$18)</f>
        <v>4.8150000000000004</v>
      </c>
      <c r="W46" s="642">
        <f>INDEX('Barge Gauging Data'!$B$26:$V$56,MATCH($C46,'Barge Gauging Data'!$B$26:$B$56,0),$W$18)</f>
        <v>4.8150000000000004</v>
      </c>
      <c r="X46" s="642">
        <f>INDEX('Barge Gauging Data'!$B$26:$V$56,MATCH($C46,'Barge Gauging Data'!$B$26:$B$56,0),$X$18)</f>
        <v>0.83</v>
      </c>
      <c r="Y46" s="642">
        <f>INDEX('Barge Gauging Data'!$B$26:$V$56,MATCH($C46,'Barge Gauging Data'!$B$26:$B$56,0),$Y$18)</f>
        <v>0.9</v>
      </c>
      <c r="Z46" s="642">
        <f>INDEX('Barge Gauging Data'!$B$26:$V$56,MATCH($C46,'Barge Gauging Data'!$B$26:$B$56,0),$Z$18)</f>
        <v>36</v>
      </c>
      <c r="AB46" s="642">
        <f>INDEX(API1DENST_2,MATCH($C46,'Barge Gauging Data'!$B$27:$B$56,0),1)</f>
        <v>0.92059999999999997</v>
      </c>
      <c r="AC46" s="642">
        <f t="shared" si="17"/>
        <v>1.00115</v>
      </c>
      <c r="AE46" s="661">
        <f t="shared" si="18"/>
        <v>920</v>
      </c>
      <c r="AF46" s="661">
        <f t="shared" si="19"/>
        <v>7.4938000000000001E-4</v>
      </c>
      <c r="AH46" s="662">
        <f t="shared" si="15"/>
        <v>36</v>
      </c>
      <c r="AI46" s="662">
        <f t="shared" si="16"/>
        <v>0.92059999999999997</v>
      </c>
      <c r="AJ46" s="663">
        <f t="shared" si="20"/>
        <v>103.872</v>
      </c>
      <c r="AK46" s="660">
        <f t="shared" si="21"/>
        <v>0.27010000000000001</v>
      </c>
      <c r="AL46" s="660">
        <f t="shared" si="22"/>
        <v>1067.51</v>
      </c>
      <c r="AM46" s="664">
        <f t="shared" si="23"/>
        <v>9.7303059999999997E-2</v>
      </c>
      <c r="AN46" s="664">
        <f t="shared" si="24"/>
        <v>9.1149499999999999E-5</v>
      </c>
      <c r="AO46" s="665">
        <f t="shared" si="25"/>
        <v>2.530187E-4</v>
      </c>
      <c r="AP46" s="666">
        <f t="shared" si="26"/>
        <v>3.4420000000000002E-4</v>
      </c>
      <c r="AQ46" s="660">
        <f t="shared" si="27"/>
        <v>-24</v>
      </c>
      <c r="AR46" s="667">
        <f t="shared" si="28"/>
        <v>-8.2608000000000004E-3</v>
      </c>
      <c r="AS46" s="667">
        <f t="shared" si="29"/>
        <v>-6.6086399999999998E-3</v>
      </c>
      <c r="AT46" s="668">
        <f t="shared" si="30"/>
        <v>5.4589999999999997E-5</v>
      </c>
      <c r="AU46" s="667">
        <f t="shared" si="31"/>
        <v>8.2062100000000002E-3</v>
      </c>
      <c r="AV46" s="669">
        <f t="shared" si="32"/>
        <v>2.5000000000000001E-4</v>
      </c>
      <c r="AW46" s="667">
        <f t="shared" si="33"/>
        <v>2.2999999999999999E-7</v>
      </c>
      <c r="AX46" s="667">
        <f t="shared" si="34"/>
        <v>103.87200023</v>
      </c>
      <c r="AY46" s="660">
        <f t="shared" si="35"/>
        <v>3.4420000000000002E-4</v>
      </c>
      <c r="AZ46" s="670">
        <f t="shared" si="36"/>
        <v>1.00824</v>
      </c>
      <c r="BB46" s="662" t="str">
        <f>INDEX('Barge Gauging Data'!$B$26:$V$56,MATCH($C46,'Barge Gauging Data'!$B$26:$B$56,0),$BB$18)</f>
        <v>U</v>
      </c>
      <c r="BC46" s="662">
        <f>INDEX('Barge Gauging Data'!$B$26:$V$56,MATCH($C46,'Barge Gauging Data'!$B$26:$B$56,0),$BC$18)</f>
        <v>69.659000000000006</v>
      </c>
      <c r="BD46" s="662">
        <f>INDEX('Barge Gauging Data'!$B$26:$V$56,MATCH($C46,'Barge Gauging Data'!$B$26:$B$56,0),$BD$18)</f>
        <v>0</v>
      </c>
      <c r="BE46" s="662">
        <f>INDEX('Barge Gauging Data'!$B$26:$V$56,MATCH($C46,'Barge Gauging Data'!$B$26:$B$56,0),$BE$18)</f>
        <v>0</v>
      </c>
    </row>
    <row r="47" spans="1:57" hidden="1">
      <c r="A47" s="641" t="str">
        <f t="shared" si="37"/>
        <v>N</v>
      </c>
      <c r="C47" s="235" t="str">
        <f t="array" ref="C47">IF(OR($E$44="",SUMPRODUCT(('Barge Gauging Data'!$C$27:$C$56=$E$44)*('Barge Gauging Data'!$D$27:$D$56=NOMY))&lt;ROWS($C$45:$C47)),"",INDEX('Barge Gauging Data'!$B$27:$B$56,SMALL(IF(('Barge Gauging Data'!$C$27:$C$56=$E$44)+('Barge Gauging Data'!$D$27:$D$56=NOMY)=2,ROW('Barge Gauging Data'!$B$27:$B$56)-ROW('Barge Gauging Data'!$C$26)),ROW()-ROW(C$44))))</f>
        <v>5S</v>
      </c>
      <c r="D47" s="211" t="str">
        <f>IF(OR($C47="",$C47=0),"",INDEX('Barge Gauging Data'!$B$26:$V$56,MATCH($C47,'Barge Gauging Data'!$B$27:$B$56,0)+1,2))</f>
        <v>LSFO</v>
      </c>
      <c r="E47" s="1016">
        <f t="shared" si="38"/>
        <v>4.84</v>
      </c>
      <c r="F47" s="1016">
        <f t="shared" si="39"/>
        <v>4.84</v>
      </c>
      <c r="G47" s="1016">
        <f t="shared" si="40"/>
        <v>0.83</v>
      </c>
      <c r="H47" s="1016">
        <f t="shared" si="40"/>
        <v>0.9</v>
      </c>
      <c r="I47" s="211" t="str">
        <f t="shared" si="41"/>
        <v>U</v>
      </c>
      <c r="J47" s="1016">
        <f t="shared" si="42"/>
        <v>69.659000000000006</v>
      </c>
      <c r="K47" s="213">
        <f t="shared" si="43"/>
        <v>0</v>
      </c>
      <c r="L47" s="212">
        <f t="shared" si="44"/>
        <v>0</v>
      </c>
      <c r="M47" s="1125">
        <f>IF(OR($C47="",$C47=0),"",INDEX(API1DENST_2,MATCH($C47,'Barge Gauging Data'!$B$27:$B$56,0),$AA$1))</f>
        <v>0.92059999999999997</v>
      </c>
      <c r="N47" s="212">
        <f t="shared" si="45"/>
        <v>36</v>
      </c>
      <c r="O47" s="1016">
        <f t="shared" si="46"/>
        <v>69.659000000000006</v>
      </c>
      <c r="P47" s="1125">
        <f t="shared" si="47"/>
        <v>0.98419000000000001</v>
      </c>
      <c r="Q47" s="1016">
        <f t="shared" si="48"/>
        <v>68.558000000000007</v>
      </c>
      <c r="R47" s="214">
        <f t="shared" si="49"/>
        <v>63.113999999999997</v>
      </c>
      <c r="S47" s="1125">
        <f t="shared" si="50"/>
        <v>0.91949999999999998</v>
      </c>
      <c r="T47" s="236">
        <f t="shared" si="51"/>
        <v>63.039000000000001</v>
      </c>
      <c r="V47" s="642">
        <f>INDEX('Barge Gauging Data'!$B$26:$V$56,MATCH($C47,'Barge Gauging Data'!$B$26:$B$56,0),$V$18)</f>
        <v>4.84</v>
      </c>
      <c r="W47" s="642">
        <f>INDEX('Barge Gauging Data'!$B$26:$V$56,MATCH($C47,'Barge Gauging Data'!$B$26:$B$56,0),$W$18)</f>
        <v>4.84</v>
      </c>
      <c r="X47" s="642">
        <f>INDEX('Barge Gauging Data'!$B$26:$V$56,MATCH($C47,'Barge Gauging Data'!$B$26:$B$56,0),$X$18)</f>
        <v>0.83</v>
      </c>
      <c r="Y47" s="642">
        <f>INDEX('Barge Gauging Data'!$B$26:$V$56,MATCH($C47,'Barge Gauging Data'!$B$26:$B$56,0),$Y$18)</f>
        <v>0.9</v>
      </c>
      <c r="Z47" s="642">
        <f>INDEX('Barge Gauging Data'!$B$26:$V$56,MATCH($C47,'Barge Gauging Data'!$B$26:$B$56,0),$Z$18)</f>
        <v>36</v>
      </c>
      <c r="AB47" s="642">
        <f>INDEX(API1DENST_2,MATCH($C47,'Barge Gauging Data'!$B$27:$B$56,0),1)</f>
        <v>0.92059999999999997</v>
      </c>
      <c r="AC47" s="642">
        <f t="shared" si="17"/>
        <v>1.00115</v>
      </c>
      <c r="AE47" s="661">
        <f t="shared" si="18"/>
        <v>920</v>
      </c>
      <c r="AF47" s="661">
        <f t="shared" si="19"/>
        <v>7.4938000000000001E-4</v>
      </c>
      <c r="AH47" s="662">
        <f t="shared" si="15"/>
        <v>36</v>
      </c>
      <c r="AI47" s="662">
        <f t="shared" si="16"/>
        <v>0.92059999999999997</v>
      </c>
      <c r="AJ47" s="663">
        <f t="shared" si="20"/>
        <v>103.872</v>
      </c>
      <c r="AK47" s="660">
        <f t="shared" si="21"/>
        <v>0.27010000000000001</v>
      </c>
      <c r="AL47" s="660">
        <f t="shared" si="22"/>
        <v>1067.51</v>
      </c>
      <c r="AM47" s="664">
        <f t="shared" si="23"/>
        <v>9.7303059999999997E-2</v>
      </c>
      <c r="AN47" s="664">
        <f t="shared" si="24"/>
        <v>9.1149499999999999E-5</v>
      </c>
      <c r="AO47" s="665">
        <f t="shared" si="25"/>
        <v>2.530187E-4</v>
      </c>
      <c r="AP47" s="666">
        <f t="shared" si="26"/>
        <v>3.4420000000000002E-4</v>
      </c>
      <c r="AQ47" s="660">
        <f t="shared" si="27"/>
        <v>-24</v>
      </c>
      <c r="AR47" s="667">
        <f t="shared" si="28"/>
        <v>-8.2608000000000004E-3</v>
      </c>
      <c r="AS47" s="667">
        <f t="shared" si="29"/>
        <v>-6.6086399999999998E-3</v>
      </c>
      <c r="AT47" s="668">
        <f t="shared" si="30"/>
        <v>5.4589999999999997E-5</v>
      </c>
      <c r="AU47" s="667">
        <f t="shared" si="31"/>
        <v>8.2062100000000002E-3</v>
      </c>
      <c r="AV47" s="669">
        <f t="shared" si="32"/>
        <v>2.5000000000000001E-4</v>
      </c>
      <c r="AW47" s="667">
        <f t="shared" si="33"/>
        <v>2.2999999999999999E-7</v>
      </c>
      <c r="AX47" s="667">
        <f t="shared" si="34"/>
        <v>103.87200023</v>
      </c>
      <c r="AY47" s="660">
        <f t="shared" si="35"/>
        <v>3.4420000000000002E-4</v>
      </c>
      <c r="AZ47" s="670">
        <f t="shared" si="36"/>
        <v>1.00824</v>
      </c>
      <c r="BB47" s="662" t="str">
        <f>INDEX('Barge Gauging Data'!$B$26:$V$56,MATCH($C47,'Barge Gauging Data'!$B$26:$B$56,0),$BB$18)</f>
        <v>U</v>
      </c>
      <c r="BC47" s="662">
        <f>INDEX('Barge Gauging Data'!$B$26:$V$56,MATCH($C47,'Barge Gauging Data'!$B$26:$B$56,0),$BC$18)</f>
        <v>69.659000000000006</v>
      </c>
      <c r="BD47" s="662">
        <f>INDEX('Barge Gauging Data'!$B$26:$V$56,MATCH($C47,'Barge Gauging Data'!$B$26:$B$56,0),$BD$18)</f>
        <v>0</v>
      </c>
      <c r="BE47" s="662">
        <f>INDEX('Barge Gauging Data'!$B$26:$V$56,MATCH($C47,'Barge Gauging Data'!$B$26:$B$56,0),$BE$18)</f>
        <v>0</v>
      </c>
    </row>
    <row r="48" spans="1:57" hidden="1">
      <c r="A48" s="641" t="str">
        <f t="shared" si="37"/>
        <v>N</v>
      </c>
      <c r="C48" s="235" t="str">
        <f t="array" ref="C48">IF(OR($E$44="",SUMPRODUCT(('Barge Gauging Data'!$C$27:$C$56=$E$44)*('Barge Gauging Data'!$D$27:$D$56=NOMY))&lt;ROWS($C$45:$C48)),"",INDEX('Barge Gauging Data'!$B$27:$B$56,SMALL(IF(('Barge Gauging Data'!$C$27:$C$56=$E$44)+('Barge Gauging Data'!$D$27:$D$56=NOMY)=2,ROW('Barge Gauging Data'!$B$27:$B$56)-ROW('Barge Gauging Data'!$C$26)),ROW()-ROW(C$44))))</f>
        <v>6S</v>
      </c>
      <c r="D48" s="211" t="str">
        <f>IF(OR($C48="",$C48=0),"",INDEX('Barge Gauging Data'!$B$26:$V$56,MATCH($C48,'Barge Gauging Data'!$B$27:$B$56,0)+1,2))</f>
        <v>LSFO</v>
      </c>
      <c r="E48" s="1016">
        <f t="shared" si="38"/>
        <v>4.05</v>
      </c>
      <c r="F48" s="1016">
        <f t="shared" si="39"/>
        <v>4.05</v>
      </c>
      <c r="G48" s="1016">
        <f t="shared" si="40"/>
        <v>0.84</v>
      </c>
      <c r="H48" s="1016">
        <f t="shared" si="40"/>
        <v>0.9</v>
      </c>
      <c r="I48" s="211" t="str">
        <f t="shared" si="41"/>
        <v>U</v>
      </c>
      <c r="J48" s="1016">
        <f t="shared" si="42"/>
        <v>67.808999999999997</v>
      </c>
      <c r="K48" s="213">
        <f t="shared" si="43"/>
        <v>0</v>
      </c>
      <c r="L48" s="212">
        <f t="shared" si="44"/>
        <v>0</v>
      </c>
      <c r="M48" s="1125">
        <f>IF(OR($C48="",$C48=0),"",INDEX(API1DENST_2,MATCH($C48,'Barge Gauging Data'!$B$27:$B$56,0),$AA$1))</f>
        <v>0.92059999999999997</v>
      </c>
      <c r="N48" s="212">
        <f t="shared" si="45"/>
        <v>36</v>
      </c>
      <c r="O48" s="1016">
        <f t="shared" si="46"/>
        <v>67.808999999999997</v>
      </c>
      <c r="P48" s="1125">
        <f t="shared" si="47"/>
        <v>0.98419000000000001</v>
      </c>
      <c r="Q48" s="1016">
        <f t="shared" si="48"/>
        <v>66.736999999999995</v>
      </c>
      <c r="R48" s="214">
        <f t="shared" si="49"/>
        <v>61.438000000000002</v>
      </c>
      <c r="S48" s="1125">
        <f t="shared" si="50"/>
        <v>0.91949999999999998</v>
      </c>
      <c r="T48" s="236">
        <f t="shared" si="51"/>
        <v>61.365000000000002</v>
      </c>
      <c r="V48" s="642">
        <f>INDEX('Barge Gauging Data'!$B$26:$V$56,MATCH($C48,'Barge Gauging Data'!$B$26:$B$56,0),$V$18)</f>
        <v>4.05</v>
      </c>
      <c r="W48" s="642">
        <f>INDEX('Barge Gauging Data'!$B$26:$V$56,MATCH($C48,'Barge Gauging Data'!$B$26:$B$56,0),$W$18)</f>
        <v>4.05</v>
      </c>
      <c r="X48" s="642">
        <f>INDEX('Barge Gauging Data'!$B$26:$V$56,MATCH($C48,'Barge Gauging Data'!$B$26:$B$56,0),$X$18)</f>
        <v>0.84</v>
      </c>
      <c r="Y48" s="642">
        <f>INDEX('Barge Gauging Data'!$B$26:$V$56,MATCH($C48,'Barge Gauging Data'!$B$26:$B$56,0),$Y$18)</f>
        <v>0.9</v>
      </c>
      <c r="Z48" s="642">
        <f>INDEX('Barge Gauging Data'!$B$26:$V$56,MATCH($C48,'Barge Gauging Data'!$B$26:$B$56,0),$Z$18)</f>
        <v>36</v>
      </c>
      <c r="AB48" s="642">
        <f>INDEX(API1DENST_2,MATCH($C48,'Barge Gauging Data'!$B$27:$B$56,0),1)</f>
        <v>0.92059999999999997</v>
      </c>
      <c r="AC48" s="642">
        <f t="shared" si="17"/>
        <v>1.00115</v>
      </c>
      <c r="AE48" s="661">
        <f t="shared" si="18"/>
        <v>920</v>
      </c>
      <c r="AF48" s="661">
        <f t="shared" si="19"/>
        <v>7.4938000000000001E-4</v>
      </c>
      <c r="AH48" s="662">
        <f t="shared" si="15"/>
        <v>36</v>
      </c>
      <c r="AI48" s="662">
        <f t="shared" si="16"/>
        <v>0.92059999999999997</v>
      </c>
      <c r="AJ48" s="663">
        <f t="shared" si="20"/>
        <v>103.872</v>
      </c>
      <c r="AK48" s="660">
        <f t="shared" si="21"/>
        <v>0.27010000000000001</v>
      </c>
      <c r="AL48" s="660">
        <f t="shared" si="22"/>
        <v>1067.51</v>
      </c>
      <c r="AM48" s="664">
        <f t="shared" si="23"/>
        <v>9.7303059999999997E-2</v>
      </c>
      <c r="AN48" s="664">
        <f t="shared" si="24"/>
        <v>9.1149499999999999E-5</v>
      </c>
      <c r="AO48" s="665">
        <f t="shared" si="25"/>
        <v>2.530187E-4</v>
      </c>
      <c r="AP48" s="666">
        <f t="shared" si="26"/>
        <v>3.4420000000000002E-4</v>
      </c>
      <c r="AQ48" s="660">
        <f t="shared" si="27"/>
        <v>-24</v>
      </c>
      <c r="AR48" s="667">
        <f t="shared" si="28"/>
        <v>-8.2608000000000004E-3</v>
      </c>
      <c r="AS48" s="667">
        <f t="shared" si="29"/>
        <v>-6.6086399999999998E-3</v>
      </c>
      <c r="AT48" s="668">
        <f t="shared" si="30"/>
        <v>5.4589999999999997E-5</v>
      </c>
      <c r="AU48" s="667">
        <f t="shared" si="31"/>
        <v>8.2062100000000002E-3</v>
      </c>
      <c r="AV48" s="669">
        <f t="shared" si="32"/>
        <v>2.5000000000000001E-4</v>
      </c>
      <c r="AW48" s="667">
        <f t="shared" si="33"/>
        <v>2.2999999999999999E-7</v>
      </c>
      <c r="AX48" s="667">
        <f t="shared" si="34"/>
        <v>103.87200023</v>
      </c>
      <c r="AY48" s="660">
        <f t="shared" si="35"/>
        <v>3.4420000000000002E-4</v>
      </c>
      <c r="AZ48" s="670">
        <f t="shared" si="36"/>
        <v>1.00824</v>
      </c>
      <c r="BB48" s="662" t="str">
        <f>INDEX('Barge Gauging Data'!$B$26:$V$56,MATCH($C48,'Barge Gauging Data'!$B$26:$B$56,0),$BB$18)</f>
        <v>U</v>
      </c>
      <c r="BC48" s="662">
        <f>INDEX('Barge Gauging Data'!$B$26:$V$56,MATCH($C48,'Barge Gauging Data'!$B$26:$B$56,0),$BC$18)</f>
        <v>67.808999999999997</v>
      </c>
      <c r="BD48" s="662">
        <f>INDEX('Barge Gauging Data'!$B$26:$V$56,MATCH($C48,'Barge Gauging Data'!$B$26:$B$56,0),$BD$18)</f>
        <v>0</v>
      </c>
      <c r="BE48" s="662">
        <f>INDEX('Barge Gauging Data'!$B$26:$V$56,MATCH($C48,'Barge Gauging Data'!$B$26:$B$56,0),$BE$18)</f>
        <v>0</v>
      </c>
    </row>
    <row r="49" spans="1:57" hidden="1">
      <c r="A49" s="641" t="str">
        <f t="shared" si="37"/>
        <v>N</v>
      </c>
      <c r="C49" s="235" t="str">
        <f t="array" ref="C49">IF(OR($E$44="",SUMPRODUCT(('Barge Gauging Data'!$C$27:$C$56=$E$44)*('Barge Gauging Data'!$D$27:$D$56=NOMY))&lt;ROWS($C$45:$C49)),"",INDEX('Barge Gauging Data'!$B$27:$B$56,SMALL(IF(('Barge Gauging Data'!$C$27:$C$56=$E$44)+('Barge Gauging Data'!$D$27:$D$56=NOMY)=2,ROW('Barge Gauging Data'!$B$27:$B$56)-ROW('Barge Gauging Data'!$C$26)),ROW()-ROW(C$44))))</f>
        <v/>
      </c>
      <c r="D49" s="211" t="str">
        <f>IF(OR($C49="",$C49=0),"",INDEX('Barge Gauging Data'!$B$26:$V$56,MATCH($C49,'Barge Gauging Data'!$B$27:$B$56,0)+1,2))</f>
        <v/>
      </c>
      <c r="E49" s="1016" t="str">
        <f t="shared" si="38"/>
        <v/>
      </c>
      <c r="F49" s="1016" t="str">
        <f t="shared" si="39"/>
        <v/>
      </c>
      <c r="G49" s="1016" t="str">
        <f t="shared" si="40"/>
        <v/>
      </c>
      <c r="H49" s="1016" t="str">
        <f t="shared" si="40"/>
        <v/>
      </c>
      <c r="I49" s="211" t="str">
        <f t="shared" si="41"/>
        <v/>
      </c>
      <c r="J49" s="1016" t="str">
        <f t="shared" si="42"/>
        <v/>
      </c>
      <c r="K49" s="213" t="str">
        <f t="shared" si="43"/>
        <v/>
      </c>
      <c r="L49" s="212" t="str">
        <f t="shared" si="44"/>
        <v/>
      </c>
      <c r="M49" s="1125" t="str">
        <f>IF(OR($C49="",$C49=0),"",INDEX(API1DENST_2,MATCH($C49,'Barge Gauging Data'!$B$27:$B$56,0),$AA$1))</f>
        <v/>
      </c>
      <c r="N49" s="212" t="str">
        <f t="shared" si="45"/>
        <v/>
      </c>
      <c r="O49" s="1016" t="str">
        <f t="shared" si="46"/>
        <v/>
      </c>
      <c r="P49" s="1125" t="str">
        <f t="shared" si="47"/>
        <v/>
      </c>
      <c r="Q49" s="1016" t="str">
        <f t="shared" si="48"/>
        <v/>
      </c>
      <c r="R49" s="214" t="str">
        <f t="shared" si="49"/>
        <v/>
      </c>
      <c r="S49" s="1125" t="str">
        <f t="shared" si="50"/>
        <v/>
      </c>
      <c r="T49" s="236" t="str">
        <f t="shared" si="51"/>
        <v/>
      </c>
      <c r="V49" s="642" t="e">
        <f>INDEX('Barge Gauging Data'!$B$26:$V$56,MATCH($C49,'Barge Gauging Data'!$B$26:$B$56,0),$V$18)</f>
        <v>#N/A</v>
      </c>
      <c r="W49" s="642" t="e">
        <f>INDEX('Barge Gauging Data'!$B$26:$V$56,MATCH($C49,'Barge Gauging Data'!$B$26:$B$56,0),$W$18)</f>
        <v>#N/A</v>
      </c>
      <c r="X49" s="642" t="e">
        <f>INDEX('Barge Gauging Data'!$B$26:$V$56,MATCH($C49,'Barge Gauging Data'!$B$26:$B$56,0),$X$18)</f>
        <v>#N/A</v>
      </c>
      <c r="Y49" s="642" t="e">
        <f>INDEX('Barge Gauging Data'!$B$26:$V$56,MATCH($C49,'Barge Gauging Data'!$B$26:$B$56,0),$Y$18)</f>
        <v>#N/A</v>
      </c>
      <c r="Z49" s="642" t="e">
        <f>INDEX('Barge Gauging Data'!$B$26:$V$56,MATCH($C49,'Barge Gauging Data'!$B$26:$B$56,0),$Z$18)</f>
        <v>#N/A</v>
      </c>
      <c r="AB49" s="642" t="e">
        <f>INDEX(API1DENST_2,MATCH($C49,'Barge Gauging Data'!$B$27:$B$56,0),1)</f>
        <v>#N/A</v>
      </c>
      <c r="AC49" s="642" t="e">
        <f t="shared" si="17"/>
        <v>#N/A</v>
      </c>
      <c r="AE49" s="661" t="e">
        <f t="shared" si="18"/>
        <v>#VALUE!</v>
      </c>
      <c r="AF49" s="661" t="e">
        <f t="shared" si="19"/>
        <v>#VALUE!</v>
      </c>
      <c r="AH49" s="662" t="str">
        <f t="shared" si="15"/>
        <v/>
      </c>
      <c r="AI49" s="662" t="str">
        <f t="shared" si="16"/>
        <v/>
      </c>
      <c r="AJ49" s="663">
        <f t="shared" si="20"/>
        <v>192.4571</v>
      </c>
      <c r="AK49" s="660">
        <f t="shared" si="21"/>
        <v>0.24379999999999999</v>
      </c>
      <c r="AL49" s="660" t="e">
        <f t="shared" si="22"/>
        <v>#VALUE!</v>
      </c>
      <c r="AM49" s="664" t="e">
        <f t="shared" si="23"/>
        <v>#VALUE!</v>
      </c>
      <c r="AN49" s="664" t="e">
        <f t="shared" si="24"/>
        <v>#VALUE!</v>
      </c>
      <c r="AO49" s="665" t="e">
        <f t="shared" si="25"/>
        <v>#VALUE!</v>
      </c>
      <c r="AP49" s="666" t="e">
        <f t="shared" si="26"/>
        <v>#VALUE!</v>
      </c>
      <c r="AQ49" s="660" t="e">
        <f t="shared" si="27"/>
        <v>#VALUE!</v>
      </c>
      <c r="AR49" s="667" t="e">
        <f t="shared" si="28"/>
        <v>#VALUE!</v>
      </c>
      <c r="AS49" s="667" t="e">
        <f t="shared" si="29"/>
        <v>#VALUE!</v>
      </c>
      <c r="AT49" s="668" t="e">
        <f t="shared" si="30"/>
        <v>#VALUE!</v>
      </c>
      <c r="AU49" s="667" t="e">
        <f t="shared" si="31"/>
        <v>#VALUE!</v>
      </c>
      <c r="AV49" s="669" t="e">
        <f t="shared" si="32"/>
        <v>#VALUE!</v>
      </c>
      <c r="AW49" s="667" t="e">
        <f t="shared" si="33"/>
        <v>#VALUE!</v>
      </c>
      <c r="AX49" s="667" t="e">
        <f t="shared" si="34"/>
        <v>#VALUE!</v>
      </c>
      <c r="AY49" s="660" t="e">
        <f t="shared" si="35"/>
        <v>#VALUE!</v>
      </c>
      <c r="AZ49" s="670" t="e">
        <f t="shared" si="36"/>
        <v>#VALUE!</v>
      </c>
      <c r="BB49" s="662" t="e">
        <f>INDEX('Barge Gauging Data'!$B$26:$V$56,MATCH($C49,'Barge Gauging Data'!$B$26:$B$56,0),$BB$18)</f>
        <v>#N/A</v>
      </c>
      <c r="BC49" s="662" t="e">
        <f>INDEX('Barge Gauging Data'!$B$26:$V$56,MATCH($C49,'Barge Gauging Data'!$B$26:$B$56,0),$BC$18)</f>
        <v>#N/A</v>
      </c>
      <c r="BD49" s="662" t="e">
        <f>INDEX('Barge Gauging Data'!$B$26:$V$56,MATCH($C49,'Barge Gauging Data'!$B$26:$B$56,0),$BD$18)</f>
        <v>#N/A</v>
      </c>
      <c r="BE49" s="662" t="e">
        <f>INDEX('Barge Gauging Data'!$B$26:$V$56,MATCH($C49,'Barge Gauging Data'!$B$26:$B$56,0),$BE$18)</f>
        <v>#N/A</v>
      </c>
    </row>
    <row r="50" spans="1:57" hidden="1">
      <c r="A50" s="641" t="str">
        <f t="shared" si="37"/>
        <v>N</v>
      </c>
      <c r="C50" s="235" t="str">
        <f t="array" ref="C50">IF(OR($E$44="",SUMPRODUCT(('Barge Gauging Data'!$C$27:$C$56=$E$44)*('Barge Gauging Data'!$D$27:$D$56=NOMY))&lt;ROWS($C$45:$C50)),"",INDEX('Barge Gauging Data'!$B$27:$B$56,SMALL(IF(('Barge Gauging Data'!$C$27:$C$56=$E$44)+('Barge Gauging Data'!$D$27:$D$56=NOMY)=2,ROW('Barge Gauging Data'!$B$27:$B$56)-ROW('Barge Gauging Data'!$C$26)),ROW()-ROW(C$44))))</f>
        <v/>
      </c>
      <c r="D50" s="211" t="str">
        <f>IF(OR($C50="",$C50=0),"",INDEX('Barge Gauging Data'!$B$26:$V$56,MATCH($C50,'Barge Gauging Data'!$B$27:$B$56,0)+1,2))</f>
        <v/>
      </c>
      <c r="E50" s="1016" t="str">
        <f t="shared" si="38"/>
        <v/>
      </c>
      <c r="F50" s="1016" t="str">
        <f t="shared" si="39"/>
        <v/>
      </c>
      <c r="G50" s="1016" t="str">
        <f t="shared" si="40"/>
        <v/>
      </c>
      <c r="H50" s="1016" t="str">
        <f t="shared" si="40"/>
        <v/>
      </c>
      <c r="I50" s="211" t="str">
        <f t="shared" si="41"/>
        <v/>
      </c>
      <c r="J50" s="1016" t="str">
        <f t="shared" si="42"/>
        <v/>
      </c>
      <c r="K50" s="213" t="str">
        <f t="shared" si="43"/>
        <v/>
      </c>
      <c r="L50" s="212" t="str">
        <f t="shared" si="44"/>
        <v/>
      </c>
      <c r="M50" s="1125" t="str">
        <f>IF(OR($C50="",$C50=0),"",INDEX(API1DENST_2,MATCH($C50,'Barge Gauging Data'!$B$27:$B$56,0),$AA$1))</f>
        <v/>
      </c>
      <c r="N50" s="212" t="str">
        <f t="shared" si="45"/>
        <v/>
      </c>
      <c r="O50" s="1016" t="str">
        <f t="shared" si="46"/>
        <v/>
      </c>
      <c r="P50" s="1125" t="str">
        <f t="shared" si="47"/>
        <v/>
      </c>
      <c r="Q50" s="1016" t="str">
        <f t="shared" si="48"/>
        <v/>
      </c>
      <c r="R50" s="214" t="str">
        <f t="shared" si="49"/>
        <v/>
      </c>
      <c r="S50" s="1125" t="str">
        <f t="shared" si="50"/>
        <v/>
      </c>
      <c r="T50" s="236" t="str">
        <f t="shared" si="51"/>
        <v/>
      </c>
      <c r="V50" s="642" t="e">
        <f>INDEX('Barge Gauging Data'!$B$26:$V$56,MATCH($C50,'Barge Gauging Data'!$B$26:$B$56,0),$V$18)</f>
        <v>#N/A</v>
      </c>
      <c r="W50" s="642" t="e">
        <f>INDEX('Barge Gauging Data'!$B$26:$V$56,MATCH($C50,'Barge Gauging Data'!$B$26:$B$56,0),$W$18)</f>
        <v>#N/A</v>
      </c>
      <c r="X50" s="642" t="e">
        <f>INDEX('Barge Gauging Data'!$B$26:$V$56,MATCH($C50,'Barge Gauging Data'!$B$26:$B$56,0),$X$18)</f>
        <v>#N/A</v>
      </c>
      <c r="Y50" s="642" t="e">
        <f>INDEX('Barge Gauging Data'!$B$26:$V$56,MATCH($C50,'Barge Gauging Data'!$B$26:$B$56,0),$Y$18)</f>
        <v>#N/A</v>
      </c>
      <c r="Z50" s="642" t="e">
        <f>INDEX('Barge Gauging Data'!$B$26:$V$56,MATCH($C50,'Barge Gauging Data'!$B$26:$B$56,0),$Z$18)</f>
        <v>#N/A</v>
      </c>
      <c r="AB50" s="642" t="e">
        <f>INDEX(API1DENST_2,MATCH($C50,'Barge Gauging Data'!$B$27:$B$56,0),1)</f>
        <v>#N/A</v>
      </c>
      <c r="AC50" s="642" t="e">
        <f t="shared" si="17"/>
        <v>#N/A</v>
      </c>
      <c r="AE50" s="661" t="e">
        <f t="shared" si="18"/>
        <v>#VALUE!</v>
      </c>
      <c r="AF50" s="661" t="e">
        <f t="shared" si="19"/>
        <v>#VALUE!</v>
      </c>
      <c r="AH50" s="662" t="str">
        <f t="shared" si="15"/>
        <v/>
      </c>
      <c r="AI50" s="662" t="str">
        <f t="shared" si="16"/>
        <v/>
      </c>
      <c r="AJ50" s="663">
        <f t="shared" si="20"/>
        <v>192.4571</v>
      </c>
      <c r="AK50" s="660">
        <f t="shared" si="21"/>
        <v>0.24379999999999999</v>
      </c>
      <c r="AL50" s="660" t="e">
        <f t="shared" si="22"/>
        <v>#VALUE!</v>
      </c>
      <c r="AM50" s="664" t="e">
        <f t="shared" si="23"/>
        <v>#VALUE!</v>
      </c>
      <c r="AN50" s="664" t="e">
        <f t="shared" si="24"/>
        <v>#VALUE!</v>
      </c>
      <c r="AO50" s="665" t="e">
        <f t="shared" si="25"/>
        <v>#VALUE!</v>
      </c>
      <c r="AP50" s="666" t="e">
        <f t="shared" si="26"/>
        <v>#VALUE!</v>
      </c>
      <c r="AQ50" s="660" t="e">
        <f t="shared" si="27"/>
        <v>#VALUE!</v>
      </c>
      <c r="AR50" s="667" t="e">
        <f t="shared" si="28"/>
        <v>#VALUE!</v>
      </c>
      <c r="AS50" s="667" t="e">
        <f t="shared" si="29"/>
        <v>#VALUE!</v>
      </c>
      <c r="AT50" s="668" t="e">
        <f t="shared" si="30"/>
        <v>#VALUE!</v>
      </c>
      <c r="AU50" s="667" t="e">
        <f t="shared" si="31"/>
        <v>#VALUE!</v>
      </c>
      <c r="AV50" s="669" t="e">
        <f t="shared" si="32"/>
        <v>#VALUE!</v>
      </c>
      <c r="AW50" s="667" t="e">
        <f t="shared" si="33"/>
        <v>#VALUE!</v>
      </c>
      <c r="AX50" s="667" t="e">
        <f t="shared" si="34"/>
        <v>#VALUE!</v>
      </c>
      <c r="AY50" s="660" t="e">
        <f t="shared" si="35"/>
        <v>#VALUE!</v>
      </c>
      <c r="AZ50" s="670" t="e">
        <f t="shared" si="36"/>
        <v>#VALUE!</v>
      </c>
      <c r="BB50" s="662" t="e">
        <f>INDEX('Barge Gauging Data'!$B$26:$V$56,MATCH($C50,'Barge Gauging Data'!$B$26:$B$56,0),$BB$18)</f>
        <v>#N/A</v>
      </c>
      <c r="BC50" s="662" t="e">
        <f>INDEX('Barge Gauging Data'!$B$26:$V$56,MATCH($C50,'Barge Gauging Data'!$B$26:$B$56,0),$BC$18)</f>
        <v>#N/A</v>
      </c>
      <c r="BD50" s="662" t="e">
        <f>INDEX('Barge Gauging Data'!$B$26:$V$56,MATCH($C50,'Barge Gauging Data'!$B$26:$B$56,0),$BD$18)</f>
        <v>#N/A</v>
      </c>
      <c r="BE50" s="662" t="e">
        <f>INDEX('Barge Gauging Data'!$B$26:$V$56,MATCH($C50,'Barge Gauging Data'!$B$26:$B$56,0),$BE$18)</f>
        <v>#N/A</v>
      </c>
    </row>
    <row r="51" spans="1:57" hidden="1">
      <c r="A51" s="641" t="str">
        <f t="shared" si="37"/>
        <v>N</v>
      </c>
      <c r="C51" s="235" t="str">
        <f t="array" ref="C51">IF(OR($E$44="",SUMPRODUCT(('Barge Gauging Data'!$C$27:$C$56=$E$44)*('Barge Gauging Data'!$D$27:$D$56=NOMY))&lt;ROWS($C$45:$C51)),"",INDEX('Barge Gauging Data'!$B$27:$B$56,SMALL(IF(('Barge Gauging Data'!$C$27:$C$56=$E$44)+('Barge Gauging Data'!$D$27:$D$56=NOMY)=2,ROW('Barge Gauging Data'!$B$27:$B$56)-ROW('Barge Gauging Data'!$C$26)),ROW()-ROW(C$44))))</f>
        <v/>
      </c>
      <c r="D51" s="211" t="str">
        <f>IF(OR($C51="",$C51=0),"",INDEX('Barge Gauging Data'!$B$26:$V$56,MATCH($C51,'Barge Gauging Data'!$B$27:$B$56,0)+1,2))</f>
        <v/>
      </c>
      <c r="E51" s="1016" t="str">
        <f t="shared" si="38"/>
        <v/>
      </c>
      <c r="F51" s="1016" t="str">
        <f t="shared" si="39"/>
        <v/>
      </c>
      <c r="G51" s="1016" t="str">
        <f t="shared" si="40"/>
        <v/>
      </c>
      <c r="H51" s="1016" t="str">
        <f t="shared" si="40"/>
        <v/>
      </c>
      <c r="I51" s="211" t="str">
        <f t="shared" si="41"/>
        <v/>
      </c>
      <c r="J51" s="1016" t="str">
        <f t="shared" si="42"/>
        <v/>
      </c>
      <c r="K51" s="213" t="str">
        <f t="shared" si="43"/>
        <v/>
      </c>
      <c r="L51" s="212" t="str">
        <f t="shared" si="44"/>
        <v/>
      </c>
      <c r="M51" s="1125" t="str">
        <f>IF(OR($C51="",$C51=0),"",INDEX(API1DENST_2,MATCH($C51,'Barge Gauging Data'!$B$27:$B$56,0),$AA$1))</f>
        <v/>
      </c>
      <c r="N51" s="212" t="str">
        <f t="shared" si="45"/>
        <v/>
      </c>
      <c r="O51" s="1016" t="str">
        <f t="shared" si="46"/>
        <v/>
      </c>
      <c r="P51" s="1125" t="str">
        <f t="shared" si="47"/>
        <v/>
      </c>
      <c r="Q51" s="1016" t="str">
        <f t="shared" si="48"/>
        <v/>
      </c>
      <c r="R51" s="214" t="str">
        <f t="shared" si="49"/>
        <v/>
      </c>
      <c r="S51" s="1125" t="str">
        <f t="shared" si="50"/>
        <v/>
      </c>
      <c r="T51" s="236" t="str">
        <f t="shared" si="51"/>
        <v/>
      </c>
      <c r="V51" s="642" t="e">
        <f>INDEX('Barge Gauging Data'!$B$26:$V$56,MATCH($C51,'Barge Gauging Data'!$B$26:$B$56,0),$V$18)</f>
        <v>#N/A</v>
      </c>
      <c r="W51" s="642" t="e">
        <f>INDEX('Barge Gauging Data'!$B$26:$V$56,MATCH($C51,'Barge Gauging Data'!$B$26:$B$56,0),$W$18)</f>
        <v>#N/A</v>
      </c>
      <c r="X51" s="642" t="e">
        <f>INDEX('Barge Gauging Data'!$B$26:$V$56,MATCH($C51,'Barge Gauging Data'!$B$26:$B$56,0),$X$18)</f>
        <v>#N/A</v>
      </c>
      <c r="Y51" s="642" t="e">
        <f>INDEX('Barge Gauging Data'!$B$26:$V$56,MATCH($C51,'Barge Gauging Data'!$B$26:$B$56,0),$Y$18)</f>
        <v>#N/A</v>
      </c>
      <c r="Z51" s="642" t="e">
        <f>INDEX('Barge Gauging Data'!$B$26:$V$56,MATCH($C51,'Barge Gauging Data'!$B$26:$B$56,0),$Z$18)</f>
        <v>#N/A</v>
      </c>
      <c r="AB51" s="642" t="e">
        <f>INDEX(API1DENST_2,MATCH($C51,'Barge Gauging Data'!$B$27:$B$56,0),1)</f>
        <v>#N/A</v>
      </c>
      <c r="AC51" s="642" t="e">
        <f t="shared" si="17"/>
        <v>#N/A</v>
      </c>
      <c r="AE51" s="661" t="e">
        <f t="shared" si="18"/>
        <v>#VALUE!</v>
      </c>
      <c r="AF51" s="661" t="e">
        <f t="shared" si="19"/>
        <v>#VALUE!</v>
      </c>
      <c r="AH51" s="662" t="str">
        <f t="shared" si="15"/>
        <v/>
      </c>
      <c r="AI51" s="662" t="str">
        <f t="shared" si="16"/>
        <v/>
      </c>
      <c r="AJ51" s="663">
        <f t="shared" si="20"/>
        <v>192.4571</v>
      </c>
      <c r="AK51" s="660">
        <f t="shared" si="21"/>
        <v>0.24379999999999999</v>
      </c>
      <c r="AL51" s="660" t="e">
        <f t="shared" si="22"/>
        <v>#VALUE!</v>
      </c>
      <c r="AM51" s="664" t="e">
        <f t="shared" si="23"/>
        <v>#VALUE!</v>
      </c>
      <c r="AN51" s="664" t="e">
        <f t="shared" si="24"/>
        <v>#VALUE!</v>
      </c>
      <c r="AO51" s="665" t="e">
        <f t="shared" si="25"/>
        <v>#VALUE!</v>
      </c>
      <c r="AP51" s="666" t="e">
        <f t="shared" si="26"/>
        <v>#VALUE!</v>
      </c>
      <c r="AQ51" s="660" t="e">
        <f t="shared" si="27"/>
        <v>#VALUE!</v>
      </c>
      <c r="AR51" s="667" t="e">
        <f t="shared" si="28"/>
        <v>#VALUE!</v>
      </c>
      <c r="AS51" s="667" t="e">
        <f t="shared" si="29"/>
        <v>#VALUE!</v>
      </c>
      <c r="AT51" s="668" t="e">
        <f t="shared" si="30"/>
        <v>#VALUE!</v>
      </c>
      <c r="AU51" s="667" t="e">
        <f t="shared" si="31"/>
        <v>#VALUE!</v>
      </c>
      <c r="AV51" s="669" t="e">
        <f t="shared" si="32"/>
        <v>#VALUE!</v>
      </c>
      <c r="AW51" s="667" t="e">
        <f t="shared" si="33"/>
        <v>#VALUE!</v>
      </c>
      <c r="AX51" s="667" t="e">
        <f t="shared" si="34"/>
        <v>#VALUE!</v>
      </c>
      <c r="AY51" s="660" t="e">
        <f t="shared" si="35"/>
        <v>#VALUE!</v>
      </c>
      <c r="AZ51" s="670" t="e">
        <f t="shared" si="36"/>
        <v>#VALUE!</v>
      </c>
      <c r="BB51" s="662" t="e">
        <f>INDEX('Barge Gauging Data'!$B$26:$V$56,MATCH($C51,'Barge Gauging Data'!$B$26:$B$56,0),$BB$18)</f>
        <v>#N/A</v>
      </c>
      <c r="BC51" s="662" t="e">
        <f>INDEX('Barge Gauging Data'!$B$26:$V$56,MATCH($C51,'Barge Gauging Data'!$B$26:$B$56,0),$BC$18)</f>
        <v>#N/A</v>
      </c>
      <c r="BD51" s="662" t="e">
        <f>INDEX('Barge Gauging Data'!$B$26:$V$56,MATCH($C51,'Barge Gauging Data'!$B$26:$B$56,0),$BD$18)</f>
        <v>#N/A</v>
      </c>
      <c r="BE51" s="662" t="e">
        <f>INDEX('Barge Gauging Data'!$B$26:$V$56,MATCH($C51,'Barge Gauging Data'!$B$26:$B$56,0),$BE$18)</f>
        <v>#N/A</v>
      </c>
    </row>
    <row r="52" spans="1:57" hidden="1">
      <c r="A52" s="641" t="str">
        <f t="shared" si="37"/>
        <v>N</v>
      </c>
      <c r="C52" s="235" t="str">
        <f t="array" ref="C52">IF(OR($E$44="",SUMPRODUCT(('Barge Gauging Data'!$C$27:$C$56=$E$44)*('Barge Gauging Data'!$D$27:$D$56=NOMY))&lt;ROWS($C$45:$C52)),"",INDEX('Barge Gauging Data'!$B$27:$B$56,SMALL(IF(('Barge Gauging Data'!$C$27:$C$56=$E$44)+('Barge Gauging Data'!$D$27:$D$56=NOMY)=2,ROW('Barge Gauging Data'!$B$27:$B$56)-ROW('Barge Gauging Data'!$C$26)),ROW()-ROW(C$44))))</f>
        <v/>
      </c>
      <c r="D52" s="211" t="str">
        <f>IF(OR($C52="",$C52=0),"",INDEX('Barge Gauging Data'!$B$26:$V$56,MATCH($C52,'Barge Gauging Data'!$B$27:$B$56,0)+1,2))</f>
        <v/>
      </c>
      <c r="E52" s="1016" t="str">
        <f t="shared" si="38"/>
        <v/>
      </c>
      <c r="F52" s="1016" t="str">
        <f t="shared" si="39"/>
        <v/>
      </c>
      <c r="G52" s="1016" t="str">
        <f t="shared" si="40"/>
        <v/>
      </c>
      <c r="H52" s="1016" t="str">
        <f t="shared" si="40"/>
        <v/>
      </c>
      <c r="I52" s="211" t="str">
        <f t="shared" si="41"/>
        <v/>
      </c>
      <c r="J52" s="1016" t="str">
        <f t="shared" si="42"/>
        <v/>
      </c>
      <c r="K52" s="213" t="str">
        <f t="shared" si="43"/>
        <v/>
      </c>
      <c r="L52" s="212" t="str">
        <f t="shared" si="44"/>
        <v/>
      </c>
      <c r="M52" s="1125" t="str">
        <f>IF(OR($C52="",$C52=0),"",INDEX(API1DENST_2,MATCH($C52,'Barge Gauging Data'!$B$27:$B$56,0),$AA$1))</f>
        <v/>
      </c>
      <c r="N52" s="212" t="str">
        <f t="shared" si="45"/>
        <v/>
      </c>
      <c r="O52" s="1016" t="str">
        <f t="shared" si="46"/>
        <v/>
      </c>
      <c r="P52" s="1125" t="str">
        <f t="shared" si="47"/>
        <v/>
      </c>
      <c r="Q52" s="1016" t="str">
        <f t="shared" si="48"/>
        <v/>
      </c>
      <c r="R52" s="214" t="str">
        <f t="shared" si="49"/>
        <v/>
      </c>
      <c r="S52" s="1125" t="str">
        <f t="shared" si="50"/>
        <v/>
      </c>
      <c r="T52" s="236" t="str">
        <f t="shared" si="51"/>
        <v/>
      </c>
      <c r="V52" s="642" t="e">
        <f>INDEX('Barge Gauging Data'!$B$26:$V$56,MATCH($C52,'Barge Gauging Data'!$B$26:$B$56,0),$V$18)</f>
        <v>#N/A</v>
      </c>
      <c r="W52" s="642" t="e">
        <f>INDEX('Barge Gauging Data'!$B$26:$V$56,MATCH($C52,'Barge Gauging Data'!$B$26:$B$56,0),$W$18)</f>
        <v>#N/A</v>
      </c>
      <c r="X52" s="642" t="e">
        <f>INDEX('Barge Gauging Data'!$B$26:$V$56,MATCH($C52,'Barge Gauging Data'!$B$26:$B$56,0),$X$18)</f>
        <v>#N/A</v>
      </c>
      <c r="Y52" s="642" t="e">
        <f>INDEX('Barge Gauging Data'!$B$26:$V$56,MATCH($C52,'Barge Gauging Data'!$B$26:$B$56,0),$Y$18)</f>
        <v>#N/A</v>
      </c>
      <c r="Z52" s="642" t="e">
        <f>INDEX('Barge Gauging Data'!$B$26:$V$56,MATCH($C52,'Barge Gauging Data'!$B$26:$B$56,0),$Z$18)</f>
        <v>#N/A</v>
      </c>
      <c r="AB52" s="642" t="e">
        <f>INDEX(API1DENST_2,MATCH($C52,'Barge Gauging Data'!$B$27:$B$56,0),1)</f>
        <v>#N/A</v>
      </c>
      <c r="AC52" s="642" t="e">
        <f t="shared" si="17"/>
        <v>#N/A</v>
      </c>
      <c r="AE52" s="661" t="e">
        <f t="shared" si="18"/>
        <v>#VALUE!</v>
      </c>
      <c r="AF52" s="661" t="e">
        <f t="shared" si="19"/>
        <v>#VALUE!</v>
      </c>
      <c r="AH52" s="662" t="str">
        <f t="shared" si="15"/>
        <v/>
      </c>
      <c r="AI52" s="662" t="str">
        <f t="shared" si="16"/>
        <v/>
      </c>
      <c r="AJ52" s="663">
        <f t="shared" si="20"/>
        <v>192.4571</v>
      </c>
      <c r="AK52" s="660">
        <f t="shared" si="21"/>
        <v>0.24379999999999999</v>
      </c>
      <c r="AL52" s="660" t="e">
        <f t="shared" si="22"/>
        <v>#VALUE!</v>
      </c>
      <c r="AM52" s="664" t="e">
        <f t="shared" si="23"/>
        <v>#VALUE!</v>
      </c>
      <c r="AN52" s="664" t="e">
        <f t="shared" si="24"/>
        <v>#VALUE!</v>
      </c>
      <c r="AO52" s="665" t="e">
        <f t="shared" si="25"/>
        <v>#VALUE!</v>
      </c>
      <c r="AP52" s="666" t="e">
        <f t="shared" si="26"/>
        <v>#VALUE!</v>
      </c>
      <c r="AQ52" s="660" t="e">
        <f t="shared" si="27"/>
        <v>#VALUE!</v>
      </c>
      <c r="AR52" s="667" t="e">
        <f t="shared" si="28"/>
        <v>#VALUE!</v>
      </c>
      <c r="AS52" s="667" t="e">
        <f t="shared" si="29"/>
        <v>#VALUE!</v>
      </c>
      <c r="AT52" s="668" t="e">
        <f t="shared" si="30"/>
        <v>#VALUE!</v>
      </c>
      <c r="AU52" s="667" t="e">
        <f t="shared" si="31"/>
        <v>#VALUE!</v>
      </c>
      <c r="AV52" s="669" t="e">
        <f t="shared" si="32"/>
        <v>#VALUE!</v>
      </c>
      <c r="AW52" s="667" t="e">
        <f t="shared" si="33"/>
        <v>#VALUE!</v>
      </c>
      <c r="AX52" s="667" t="e">
        <f t="shared" si="34"/>
        <v>#VALUE!</v>
      </c>
      <c r="AY52" s="660" t="e">
        <f t="shared" si="35"/>
        <v>#VALUE!</v>
      </c>
      <c r="AZ52" s="670" t="e">
        <f t="shared" si="36"/>
        <v>#VALUE!</v>
      </c>
      <c r="BB52" s="662" t="e">
        <f>INDEX('Barge Gauging Data'!$B$26:$V$56,MATCH($C52,'Barge Gauging Data'!$B$26:$B$56,0),$BB$18)</f>
        <v>#N/A</v>
      </c>
      <c r="BC52" s="662" t="e">
        <f>INDEX('Barge Gauging Data'!$B$26:$V$56,MATCH($C52,'Barge Gauging Data'!$B$26:$B$56,0),$BC$18)</f>
        <v>#N/A</v>
      </c>
      <c r="BD52" s="662" t="e">
        <f>INDEX('Barge Gauging Data'!$B$26:$V$56,MATCH($C52,'Barge Gauging Data'!$B$26:$B$56,0),$BD$18)</f>
        <v>#N/A</v>
      </c>
      <c r="BE52" s="662" t="e">
        <f>INDEX('Barge Gauging Data'!$B$26:$V$56,MATCH($C52,'Barge Gauging Data'!$B$26:$B$56,0),$BE$18)</f>
        <v>#N/A</v>
      </c>
    </row>
    <row r="53" spans="1:57" hidden="1">
      <c r="A53" s="641" t="str">
        <f t="shared" si="37"/>
        <v>N</v>
      </c>
      <c r="C53" s="235" t="str">
        <f t="array" ref="C53">IF(OR($E$44="",SUMPRODUCT(('Barge Gauging Data'!$C$27:$C$56=$E$44)*('Barge Gauging Data'!$D$27:$D$56=NOMY))&lt;ROWS($C$45:$C53)),"",INDEX('Barge Gauging Data'!$B$27:$B$56,SMALL(IF(('Barge Gauging Data'!$C$27:$C$56=$E$44)+('Barge Gauging Data'!$D$27:$D$56=NOMY)=2,ROW('Barge Gauging Data'!$B$27:$B$56)-ROW('Barge Gauging Data'!$C$26)),ROW()-ROW(C$44))))</f>
        <v/>
      </c>
      <c r="D53" s="211" t="str">
        <f>IF(OR($C53="",$C53=0),"",INDEX('Barge Gauging Data'!$B$26:$V$56,MATCH($C53,'Barge Gauging Data'!$B$27:$B$56,0)+1,2))</f>
        <v/>
      </c>
      <c r="E53" s="1016" t="str">
        <f t="shared" si="38"/>
        <v/>
      </c>
      <c r="F53" s="1016" t="str">
        <f t="shared" si="39"/>
        <v/>
      </c>
      <c r="G53" s="1016" t="str">
        <f t="shared" si="40"/>
        <v/>
      </c>
      <c r="H53" s="1016" t="str">
        <f t="shared" si="40"/>
        <v/>
      </c>
      <c r="I53" s="211" t="str">
        <f t="shared" si="41"/>
        <v/>
      </c>
      <c r="J53" s="1016" t="str">
        <f t="shared" si="42"/>
        <v/>
      </c>
      <c r="K53" s="213" t="str">
        <f t="shared" si="43"/>
        <v/>
      </c>
      <c r="L53" s="212" t="str">
        <f t="shared" si="44"/>
        <v/>
      </c>
      <c r="M53" s="1125" t="str">
        <f>IF(OR($C53="",$C53=0),"",INDEX(API1DENST_2,MATCH($C53,'Barge Gauging Data'!$B$27:$B$56,0),$AA$1))</f>
        <v/>
      </c>
      <c r="N53" s="212" t="str">
        <f t="shared" si="45"/>
        <v/>
      </c>
      <c r="O53" s="1016" t="str">
        <f t="shared" si="46"/>
        <v/>
      </c>
      <c r="P53" s="1125" t="str">
        <f t="shared" si="47"/>
        <v/>
      </c>
      <c r="Q53" s="1016" t="str">
        <f t="shared" si="48"/>
        <v/>
      </c>
      <c r="R53" s="214" t="str">
        <f t="shared" si="49"/>
        <v/>
      </c>
      <c r="S53" s="1125" t="str">
        <f t="shared" si="50"/>
        <v/>
      </c>
      <c r="T53" s="236" t="str">
        <f t="shared" si="51"/>
        <v/>
      </c>
      <c r="V53" s="642" t="e">
        <f>INDEX('Barge Gauging Data'!$B$26:$V$56,MATCH($C53,'Barge Gauging Data'!$B$26:$B$56,0),$V$18)</f>
        <v>#N/A</v>
      </c>
      <c r="W53" s="642" t="e">
        <f>INDEX('Barge Gauging Data'!$B$26:$V$56,MATCH($C53,'Barge Gauging Data'!$B$26:$B$56,0),$W$18)</f>
        <v>#N/A</v>
      </c>
      <c r="X53" s="642" t="e">
        <f>INDEX('Barge Gauging Data'!$B$26:$V$56,MATCH($C53,'Barge Gauging Data'!$B$26:$B$56,0),$X$18)</f>
        <v>#N/A</v>
      </c>
      <c r="Y53" s="642" t="e">
        <f>INDEX('Barge Gauging Data'!$B$26:$V$56,MATCH($C53,'Barge Gauging Data'!$B$26:$B$56,0),$Y$18)</f>
        <v>#N/A</v>
      </c>
      <c r="Z53" s="642" t="e">
        <f>INDEX('Barge Gauging Data'!$B$26:$V$56,MATCH($C53,'Barge Gauging Data'!$B$26:$B$56,0),$Z$18)</f>
        <v>#N/A</v>
      </c>
      <c r="AB53" s="642" t="e">
        <f>INDEX(API1DENST_2,MATCH($C53,'Barge Gauging Data'!$B$27:$B$56,0),1)</f>
        <v>#N/A</v>
      </c>
      <c r="AC53" s="642" t="e">
        <f t="shared" si="17"/>
        <v>#N/A</v>
      </c>
      <c r="AE53" s="661" t="e">
        <f t="shared" si="18"/>
        <v>#VALUE!</v>
      </c>
      <c r="AF53" s="661" t="e">
        <f t="shared" si="19"/>
        <v>#VALUE!</v>
      </c>
      <c r="AH53" s="662" t="str">
        <f t="shared" si="15"/>
        <v/>
      </c>
      <c r="AI53" s="662" t="str">
        <f t="shared" si="16"/>
        <v/>
      </c>
      <c r="AJ53" s="663">
        <f t="shared" si="20"/>
        <v>192.4571</v>
      </c>
      <c r="AK53" s="660">
        <f t="shared" si="21"/>
        <v>0.24379999999999999</v>
      </c>
      <c r="AL53" s="660" t="e">
        <f t="shared" si="22"/>
        <v>#VALUE!</v>
      </c>
      <c r="AM53" s="664" t="e">
        <f t="shared" si="23"/>
        <v>#VALUE!</v>
      </c>
      <c r="AN53" s="664" t="e">
        <f t="shared" si="24"/>
        <v>#VALUE!</v>
      </c>
      <c r="AO53" s="665" t="e">
        <f t="shared" si="25"/>
        <v>#VALUE!</v>
      </c>
      <c r="AP53" s="666" t="e">
        <f t="shared" si="26"/>
        <v>#VALUE!</v>
      </c>
      <c r="AQ53" s="660" t="e">
        <f t="shared" si="27"/>
        <v>#VALUE!</v>
      </c>
      <c r="AR53" s="667" t="e">
        <f t="shared" si="28"/>
        <v>#VALUE!</v>
      </c>
      <c r="AS53" s="667" t="e">
        <f t="shared" si="29"/>
        <v>#VALUE!</v>
      </c>
      <c r="AT53" s="668" t="e">
        <f t="shared" si="30"/>
        <v>#VALUE!</v>
      </c>
      <c r="AU53" s="667" t="e">
        <f t="shared" si="31"/>
        <v>#VALUE!</v>
      </c>
      <c r="AV53" s="669" t="e">
        <f t="shared" si="32"/>
        <v>#VALUE!</v>
      </c>
      <c r="AW53" s="667" t="e">
        <f t="shared" si="33"/>
        <v>#VALUE!</v>
      </c>
      <c r="AX53" s="667" t="e">
        <f t="shared" si="34"/>
        <v>#VALUE!</v>
      </c>
      <c r="AY53" s="660" t="e">
        <f t="shared" si="35"/>
        <v>#VALUE!</v>
      </c>
      <c r="AZ53" s="670" t="e">
        <f t="shared" si="36"/>
        <v>#VALUE!</v>
      </c>
      <c r="BB53" s="662" t="e">
        <f>INDEX('Barge Gauging Data'!$B$26:$V$56,MATCH($C53,'Barge Gauging Data'!$B$26:$B$56,0),$BB$18)</f>
        <v>#N/A</v>
      </c>
      <c r="BC53" s="662" t="e">
        <f>INDEX('Barge Gauging Data'!$B$26:$V$56,MATCH($C53,'Barge Gauging Data'!$B$26:$B$56,0),$BC$18)</f>
        <v>#N/A</v>
      </c>
      <c r="BD53" s="662" t="e">
        <f>INDEX('Barge Gauging Data'!$B$26:$V$56,MATCH($C53,'Barge Gauging Data'!$B$26:$B$56,0),$BD$18)</f>
        <v>#N/A</v>
      </c>
      <c r="BE53" s="662" t="e">
        <f>INDEX('Barge Gauging Data'!$B$26:$V$56,MATCH($C53,'Barge Gauging Data'!$B$26:$B$56,0),$BE$18)</f>
        <v>#N/A</v>
      </c>
    </row>
    <row r="54" spans="1:57" hidden="1">
      <c r="A54" s="641" t="str">
        <f t="shared" si="37"/>
        <v>N</v>
      </c>
      <c r="C54" s="235" t="str">
        <f t="array" ref="C54">IF(OR($E$44="",SUMPRODUCT(('Barge Gauging Data'!$C$27:$C$56=$E$44)*('Barge Gauging Data'!$D$27:$D$56=NOMY))&lt;ROWS($C$45:$C54)),"",INDEX('Barge Gauging Data'!$B$27:$B$56,SMALL(IF(('Barge Gauging Data'!$C$27:$C$56=$E$44)+('Barge Gauging Data'!$D$27:$D$56=NOMY)=2,ROW('Barge Gauging Data'!$B$27:$B$56)-ROW('Barge Gauging Data'!$C$26)),ROW()-ROW(C$44))))</f>
        <v/>
      </c>
      <c r="D54" s="211" t="str">
        <f>IF(OR($C54="",$C54=0),"",INDEX('Barge Gauging Data'!$B$26:$V$56,MATCH($C54,'Barge Gauging Data'!$B$27:$B$56,0)+1,2))</f>
        <v/>
      </c>
      <c r="E54" s="1016" t="str">
        <f t="shared" si="38"/>
        <v/>
      </c>
      <c r="F54" s="1016" t="str">
        <f t="shared" si="39"/>
        <v/>
      </c>
      <c r="G54" s="1016" t="str">
        <f t="shared" si="40"/>
        <v/>
      </c>
      <c r="H54" s="1016" t="str">
        <f t="shared" si="40"/>
        <v/>
      </c>
      <c r="I54" s="211" t="str">
        <f t="shared" si="41"/>
        <v/>
      </c>
      <c r="J54" s="1016" t="str">
        <f t="shared" si="42"/>
        <v/>
      </c>
      <c r="K54" s="213" t="str">
        <f t="shared" si="43"/>
        <v/>
      </c>
      <c r="L54" s="212" t="str">
        <f t="shared" si="44"/>
        <v/>
      </c>
      <c r="M54" s="1125" t="str">
        <f>IF(OR($C54="",$C54=0),"",INDEX(API1DENST_2,MATCH($C54,'Barge Gauging Data'!$B$27:$B$56,0),$AA$1))</f>
        <v/>
      </c>
      <c r="N54" s="212" t="str">
        <f t="shared" si="45"/>
        <v/>
      </c>
      <c r="O54" s="1016" t="str">
        <f t="shared" si="46"/>
        <v/>
      </c>
      <c r="P54" s="1125" t="str">
        <f t="shared" si="47"/>
        <v/>
      </c>
      <c r="Q54" s="1016" t="str">
        <f t="shared" si="48"/>
        <v/>
      </c>
      <c r="R54" s="214" t="str">
        <f t="shared" si="49"/>
        <v/>
      </c>
      <c r="S54" s="1125" t="str">
        <f t="shared" si="50"/>
        <v/>
      </c>
      <c r="T54" s="236" t="str">
        <f t="shared" si="51"/>
        <v/>
      </c>
      <c r="V54" s="642" t="e">
        <f>INDEX('Barge Gauging Data'!$B$26:$V$56,MATCH($C54,'Barge Gauging Data'!$B$26:$B$56,0),$V$18)</f>
        <v>#N/A</v>
      </c>
      <c r="W54" s="642" t="e">
        <f>INDEX('Barge Gauging Data'!$B$26:$V$56,MATCH($C54,'Barge Gauging Data'!$B$26:$B$56,0),$W$18)</f>
        <v>#N/A</v>
      </c>
      <c r="X54" s="642" t="e">
        <f>INDEX('Barge Gauging Data'!$B$26:$V$56,MATCH($C54,'Barge Gauging Data'!$B$26:$B$56,0),$X$18)</f>
        <v>#N/A</v>
      </c>
      <c r="Y54" s="642" t="e">
        <f>INDEX('Barge Gauging Data'!$B$26:$V$56,MATCH($C54,'Barge Gauging Data'!$B$26:$B$56,0),$Y$18)</f>
        <v>#N/A</v>
      </c>
      <c r="Z54" s="642" t="e">
        <f>INDEX('Barge Gauging Data'!$B$26:$V$56,MATCH($C54,'Barge Gauging Data'!$B$26:$B$56,0),$Z$18)</f>
        <v>#N/A</v>
      </c>
      <c r="AB54" s="642" t="e">
        <f>INDEX(API1DENST_2,MATCH($C54,'Barge Gauging Data'!$B$27:$B$56,0),1)</f>
        <v>#N/A</v>
      </c>
      <c r="AC54" s="642" t="e">
        <f t="shared" si="17"/>
        <v>#N/A</v>
      </c>
      <c r="AE54" s="661" t="e">
        <f t="shared" si="18"/>
        <v>#VALUE!</v>
      </c>
      <c r="AF54" s="661" t="e">
        <f t="shared" si="19"/>
        <v>#VALUE!</v>
      </c>
      <c r="AH54" s="662" t="str">
        <f t="shared" si="15"/>
        <v/>
      </c>
      <c r="AI54" s="662" t="str">
        <f t="shared" si="16"/>
        <v/>
      </c>
      <c r="AJ54" s="663">
        <f t="shared" si="20"/>
        <v>192.4571</v>
      </c>
      <c r="AK54" s="660">
        <f t="shared" si="21"/>
        <v>0.24379999999999999</v>
      </c>
      <c r="AL54" s="660" t="e">
        <f t="shared" si="22"/>
        <v>#VALUE!</v>
      </c>
      <c r="AM54" s="664" t="e">
        <f t="shared" si="23"/>
        <v>#VALUE!</v>
      </c>
      <c r="AN54" s="664" t="e">
        <f t="shared" si="24"/>
        <v>#VALUE!</v>
      </c>
      <c r="AO54" s="665" t="e">
        <f t="shared" si="25"/>
        <v>#VALUE!</v>
      </c>
      <c r="AP54" s="666" t="e">
        <f t="shared" si="26"/>
        <v>#VALUE!</v>
      </c>
      <c r="AQ54" s="660" t="e">
        <f t="shared" si="27"/>
        <v>#VALUE!</v>
      </c>
      <c r="AR54" s="667" t="e">
        <f t="shared" si="28"/>
        <v>#VALUE!</v>
      </c>
      <c r="AS54" s="667" t="e">
        <f t="shared" si="29"/>
        <v>#VALUE!</v>
      </c>
      <c r="AT54" s="668" t="e">
        <f t="shared" si="30"/>
        <v>#VALUE!</v>
      </c>
      <c r="AU54" s="667" t="e">
        <f t="shared" si="31"/>
        <v>#VALUE!</v>
      </c>
      <c r="AV54" s="669" t="e">
        <f t="shared" si="32"/>
        <v>#VALUE!</v>
      </c>
      <c r="AW54" s="667" t="e">
        <f t="shared" si="33"/>
        <v>#VALUE!</v>
      </c>
      <c r="AX54" s="667" t="e">
        <f t="shared" si="34"/>
        <v>#VALUE!</v>
      </c>
      <c r="AY54" s="660" t="e">
        <f t="shared" si="35"/>
        <v>#VALUE!</v>
      </c>
      <c r="AZ54" s="670" t="e">
        <f t="shared" si="36"/>
        <v>#VALUE!</v>
      </c>
      <c r="BB54" s="662" t="e">
        <f>INDEX('Barge Gauging Data'!$B$26:$V$56,MATCH($C54,'Barge Gauging Data'!$B$26:$B$56,0),$BB$18)</f>
        <v>#N/A</v>
      </c>
      <c r="BC54" s="662" t="e">
        <f>INDEX('Barge Gauging Data'!$B$26:$V$56,MATCH($C54,'Barge Gauging Data'!$B$26:$B$56,0),$BC$18)</f>
        <v>#N/A</v>
      </c>
      <c r="BD54" s="662" t="e">
        <f>INDEX('Barge Gauging Data'!$B$26:$V$56,MATCH($C54,'Barge Gauging Data'!$B$26:$B$56,0),$BD$18)</f>
        <v>#N/A</v>
      </c>
      <c r="BE54" s="662" t="e">
        <f>INDEX('Barge Gauging Data'!$B$26:$V$56,MATCH($C54,'Barge Gauging Data'!$B$26:$B$56,0),$BE$18)</f>
        <v>#N/A</v>
      </c>
    </row>
    <row r="55" spans="1:57" hidden="1">
      <c r="A55" s="641" t="str">
        <f t="shared" si="37"/>
        <v>N</v>
      </c>
      <c r="C55" s="235" t="str">
        <f t="array" ref="C55">IF(OR($E$44="",SUMPRODUCT(('Barge Gauging Data'!$C$27:$C$56=$E$44)*('Barge Gauging Data'!$D$27:$D$56=NOMY))&lt;ROWS($C$45:$C55)),"",INDEX('Barge Gauging Data'!$B$27:$B$56,SMALL(IF(('Barge Gauging Data'!$C$27:$C$56=$E$44)+('Barge Gauging Data'!$D$27:$D$56=NOMY)=2,ROW('Barge Gauging Data'!$B$27:$B$56)-ROW('Barge Gauging Data'!$C$26)),ROW()-ROW(C$44))))</f>
        <v/>
      </c>
      <c r="D55" s="211" t="str">
        <f>IF(OR($C55="",$C55=0),"",INDEX('Barge Gauging Data'!$B$26:$V$56,MATCH($C55,'Barge Gauging Data'!$B$27:$B$56,0)+1,2))</f>
        <v/>
      </c>
      <c r="E55" s="1016" t="str">
        <f t="shared" si="38"/>
        <v/>
      </c>
      <c r="F55" s="1016" t="str">
        <f t="shared" si="39"/>
        <v/>
      </c>
      <c r="G55" s="1016" t="str">
        <f t="shared" si="40"/>
        <v/>
      </c>
      <c r="H55" s="1016" t="str">
        <f t="shared" si="40"/>
        <v/>
      </c>
      <c r="I55" s="211" t="str">
        <f t="shared" si="41"/>
        <v/>
      </c>
      <c r="J55" s="1016" t="str">
        <f t="shared" si="42"/>
        <v/>
      </c>
      <c r="K55" s="213" t="str">
        <f t="shared" si="43"/>
        <v/>
      </c>
      <c r="L55" s="212" t="str">
        <f t="shared" si="44"/>
        <v/>
      </c>
      <c r="M55" s="1125" t="str">
        <f>IF(OR($C55="",$C55=0),"",INDEX(API1DENST_2,MATCH($C55,'Barge Gauging Data'!$B$27:$B$56,0),$AA$1))</f>
        <v/>
      </c>
      <c r="N55" s="212" t="str">
        <f t="shared" si="45"/>
        <v/>
      </c>
      <c r="O55" s="1016" t="str">
        <f t="shared" si="46"/>
        <v/>
      </c>
      <c r="P55" s="1125" t="str">
        <f t="shared" si="47"/>
        <v/>
      </c>
      <c r="Q55" s="1016" t="str">
        <f t="shared" si="48"/>
        <v/>
      </c>
      <c r="R55" s="214" t="str">
        <f t="shared" si="49"/>
        <v/>
      </c>
      <c r="S55" s="1125" t="str">
        <f t="shared" si="50"/>
        <v/>
      </c>
      <c r="T55" s="236" t="str">
        <f t="shared" si="51"/>
        <v/>
      </c>
      <c r="V55" s="642" t="e">
        <f>INDEX('Barge Gauging Data'!$B$26:$V$56,MATCH($C55,'Barge Gauging Data'!$B$26:$B$56,0),$V$18)</f>
        <v>#N/A</v>
      </c>
      <c r="W55" s="642" t="e">
        <f>INDEX('Barge Gauging Data'!$B$26:$V$56,MATCH($C55,'Barge Gauging Data'!$B$26:$B$56,0),$W$18)</f>
        <v>#N/A</v>
      </c>
      <c r="X55" s="642" t="e">
        <f>INDEX('Barge Gauging Data'!$B$26:$V$56,MATCH($C55,'Barge Gauging Data'!$B$26:$B$56,0),$X$18)</f>
        <v>#N/A</v>
      </c>
      <c r="Y55" s="642" t="e">
        <f>INDEX('Barge Gauging Data'!$B$26:$V$56,MATCH($C55,'Barge Gauging Data'!$B$26:$B$56,0),$Y$18)</f>
        <v>#N/A</v>
      </c>
      <c r="Z55" s="642" t="e">
        <f>INDEX('Barge Gauging Data'!$B$26:$V$56,MATCH($C55,'Barge Gauging Data'!$B$26:$B$56,0),$Z$18)</f>
        <v>#N/A</v>
      </c>
      <c r="AB55" s="642" t="e">
        <f>INDEX(API1DENST_2,MATCH($C55,'Barge Gauging Data'!$B$27:$B$56,0),1)</f>
        <v>#N/A</v>
      </c>
      <c r="AC55" s="642" t="e">
        <f t="shared" si="17"/>
        <v>#N/A</v>
      </c>
      <c r="AE55" s="661" t="e">
        <f t="shared" si="18"/>
        <v>#VALUE!</v>
      </c>
      <c r="AF55" s="661" t="e">
        <f t="shared" si="19"/>
        <v>#VALUE!</v>
      </c>
      <c r="AH55" s="662" t="str">
        <f t="shared" si="15"/>
        <v/>
      </c>
      <c r="AI55" s="662" t="str">
        <f t="shared" si="16"/>
        <v/>
      </c>
      <c r="AJ55" s="663">
        <f t="shared" si="20"/>
        <v>192.4571</v>
      </c>
      <c r="AK55" s="660">
        <f t="shared" si="21"/>
        <v>0.24379999999999999</v>
      </c>
      <c r="AL55" s="660" t="e">
        <f t="shared" si="22"/>
        <v>#VALUE!</v>
      </c>
      <c r="AM55" s="664" t="e">
        <f t="shared" si="23"/>
        <v>#VALUE!</v>
      </c>
      <c r="AN55" s="664" t="e">
        <f t="shared" si="24"/>
        <v>#VALUE!</v>
      </c>
      <c r="AO55" s="665" t="e">
        <f t="shared" si="25"/>
        <v>#VALUE!</v>
      </c>
      <c r="AP55" s="666" t="e">
        <f t="shared" si="26"/>
        <v>#VALUE!</v>
      </c>
      <c r="AQ55" s="660" t="e">
        <f t="shared" si="27"/>
        <v>#VALUE!</v>
      </c>
      <c r="AR55" s="667" t="e">
        <f t="shared" si="28"/>
        <v>#VALUE!</v>
      </c>
      <c r="AS55" s="667" t="e">
        <f t="shared" si="29"/>
        <v>#VALUE!</v>
      </c>
      <c r="AT55" s="668" t="e">
        <f t="shared" si="30"/>
        <v>#VALUE!</v>
      </c>
      <c r="AU55" s="667" t="e">
        <f t="shared" si="31"/>
        <v>#VALUE!</v>
      </c>
      <c r="AV55" s="669" t="e">
        <f t="shared" si="32"/>
        <v>#VALUE!</v>
      </c>
      <c r="AW55" s="667" t="e">
        <f t="shared" si="33"/>
        <v>#VALUE!</v>
      </c>
      <c r="AX55" s="667" t="e">
        <f t="shared" si="34"/>
        <v>#VALUE!</v>
      </c>
      <c r="AY55" s="660" t="e">
        <f t="shared" si="35"/>
        <v>#VALUE!</v>
      </c>
      <c r="AZ55" s="670" t="e">
        <f t="shared" si="36"/>
        <v>#VALUE!</v>
      </c>
      <c r="BB55" s="662" t="e">
        <f>INDEX('Barge Gauging Data'!$B$26:$V$56,MATCH($C55,'Barge Gauging Data'!$B$26:$B$56,0),$BB$18)</f>
        <v>#N/A</v>
      </c>
      <c r="BC55" s="662" t="e">
        <f>INDEX('Barge Gauging Data'!$B$26:$V$56,MATCH($C55,'Barge Gauging Data'!$B$26:$B$56,0),$BC$18)</f>
        <v>#N/A</v>
      </c>
      <c r="BD55" s="662" t="e">
        <f>INDEX('Barge Gauging Data'!$B$26:$V$56,MATCH($C55,'Barge Gauging Data'!$B$26:$B$56,0),$BD$18)</f>
        <v>#N/A</v>
      </c>
      <c r="BE55" s="662" t="e">
        <f>INDEX('Barge Gauging Data'!$B$26:$V$56,MATCH($C55,'Barge Gauging Data'!$B$26:$B$56,0),$BE$18)</f>
        <v>#N/A</v>
      </c>
    </row>
    <row r="56" spans="1:57" hidden="1">
      <c r="A56" s="641" t="str">
        <f t="shared" si="37"/>
        <v>N</v>
      </c>
      <c r="C56" s="235" t="str">
        <f t="array" ref="C56">IF(OR($E$44="",SUMPRODUCT(('Barge Gauging Data'!$C$27:$C$56=$E$44)*('Barge Gauging Data'!$D$27:$D$56=NOMY))&lt;ROWS($C$45:$C56)),"",INDEX('Barge Gauging Data'!$B$27:$B$56,SMALL(IF(('Barge Gauging Data'!$C$27:$C$56=$E$44)+('Barge Gauging Data'!$D$27:$D$56=NOMY)=2,ROW('Barge Gauging Data'!$B$27:$B$56)-ROW('Barge Gauging Data'!$C$26)),ROW()-ROW(C$44))))</f>
        <v/>
      </c>
      <c r="D56" s="211" t="str">
        <f>IF(OR($C56="",$C56=0),"",INDEX('Barge Gauging Data'!$B$26:$V$56,MATCH($C56,'Barge Gauging Data'!$B$27:$B$56,0)+1,2))</f>
        <v/>
      </c>
      <c r="E56" s="1016" t="str">
        <f t="shared" si="38"/>
        <v/>
      </c>
      <c r="F56" s="1016" t="str">
        <f t="shared" si="39"/>
        <v/>
      </c>
      <c r="G56" s="1016" t="str">
        <f t="shared" si="40"/>
        <v/>
      </c>
      <c r="H56" s="1016" t="str">
        <f t="shared" si="40"/>
        <v/>
      </c>
      <c r="I56" s="211" t="str">
        <f t="shared" si="41"/>
        <v/>
      </c>
      <c r="J56" s="1016" t="str">
        <f t="shared" si="42"/>
        <v/>
      </c>
      <c r="K56" s="213" t="str">
        <f t="shared" si="43"/>
        <v/>
      </c>
      <c r="L56" s="212" t="str">
        <f t="shared" si="44"/>
        <v/>
      </c>
      <c r="M56" s="1125" t="str">
        <f>IF(OR($C56="",$C56=0),"",INDEX(API1DENST_2,MATCH($C56,'Barge Gauging Data'!$B$27:$B$56,0),$AA$1))</f>
        <v/>
      </c>
      <c r="N56" s="212" t="str">
        <f t="shared" si="45"/>
        <v/>
      </c>
      <c r="O56" s="1016" t="str">
        <f t="shared" si="46"/>
        <v/>
      </c>
      <c r="P56" s="1125" t="str">
        <f t="shared" si="47"/>
        <v/>
      </c>
      <c r="Q56" s="1016" t="str">
        <f t="shared" si="48"/>
        <v/>
      </c>
      <c r="R56" s="214" t="str">
        <f t="shared" si="49"/>
        <v/>
      </c>
      <c r="S56" s="1125" t="str">
        <f t="shared" si="50"/>
        <v/>
      </c>
      <c r="T56" s="236" t="str">
        <f t="shared" si="51"/>
        <v/>
      </c>
      <c r="V56" s="642" t="e">
        <f>INDEX('Barge Gauging Data'!$B$26:$V$56,MATCH($C56,'Barge Gauging Data'!$B$26:$B$56,0),$V$18)</f>
        <v>#N/A</v>
      </c>
      <c r="W56" s="642" t="e">
        <f>INDEX('Barge Gauging Data'!$B$26:$V$56,MATCH($C56,'Barge Gauging Data'!$B$26:$B$56,0),$W$18)</f>
        <v>#N/A</v>
      </c>
      <c r="X56" s="642" t="e">
        <f>INDEX('Barge Gauging Data'!$B$26:$V$56,MATCH($C56,'Barge Gauging Data'!$B$26:$B$56,0),$X$18)</f>
        <v>#N/A</v>
      </c>
      <c r="Y56" s="642" t="e">
        <f>INDEX('Barge Gauging Data'!$B$26:$V$56,MATCH($C56,'Barge Gauging Data'!$B$26:$B$56,0),$Y$18)</f>
        <v>#N/A</v>
      </c>
      <c r="Z56" s="642" t="e">
        <f>INDEX('Barge Gauging Data'!$B$26:$V$56,MATCH($C56,'Barge Gauging Data'!$B$26:$B$56,0),$Z$18)</f>
        <v>#N/A</v>
      </c>
      <c r="AB56" s="642" t="e">
        <f>INDEX(API1DENST_2,MATCH($C56,'Barge Gauging Data'!$B$27:$B$56,0),1)</f>
        <v>#N/A</v>
      </c>
      <c r="AC56" s="642" t="e">
        <f t="shared" si="17"/>
        <v>#N/A</v>
      </c>
      <c r="AE56" s="661" t="e">
        <f t="shared" si="18"/>
        <v>#VALUE!</v>
      </c>
      <c r="AF56" s="661" t="e">
        <f t="shared" si="19"/>
        <v>#VALUE!</v>
      </c>
      <c r="AH56" s="662" t="str">
        <f t="shared" si="15"/>
        <v/>
      </c>
      <c r="AI56" s="662" t="str">
        <f t="shared" si="16"/>
        <v/>
      </c>
      <c r="AJ56" s="663">
        <f t="shared" si="20"/>
        <v>192.4571</v>
      </c>
      <c r="AK56" s="660">
        <f t="shared" si="21"/>
        <v>0.24379999999999999</v>
      </c>
      <c r="AL56" s="660" t="e">
        <f t="shared" si="22"/>
        <v>#VALUE!</v>
      </c>
      <c r="AM56" s="664" t="e">
        <f t="shared" si="23"/>
        <v>#VALUE!</v>
      </c>
      <c r="AN56" s="664" t="e">
        <f t="shared" si="24"/>
        <v>#VALUE!</v>
      </c>
      <c r="AO56" s="665" t="e">
        <f t="shared" si="25"/>
        <v>#VALUE!</v>
      </c>
      <c r="AP56" s="666" t="e">
        <f t="shared" si="26"/>
        <v>#VALUE!</v>
      </c>
      <c r="AQ56" s="660" t="e">
        <f t="shared" si="27"/>
        <v>#VALUE!</v>
      </c>
      <c r="AR56" s="667" t="e">
        <f t="shared" si="28"/>
        <v>#VALUE!</v>
      </c>
      <c r="AS56" s="667" t="e">
        <f t="shared" si="29"/>
        <v>#VALUE!</v>
      </c>
      <c r="AT56" s="668" t="e">
        <f t="shared" si="30"/>
        <v>#VALUE!</v>
      </c>
      <c r="AU56" s="667" t="e">
        <f t="shared" si="31"/>
        <v>#VALUE!</v>
      </c>
      <c r="AV56" s="669" t="e">
        <f t="shared" si="32"/>
        <v>#VALUE!</v>
      </c>
      <c r="AW56" s="667" t="e">
        <f t="shared" si="33"/>
        <v>#VALUE!</v>
      </c>
      <c r="AX56" s="667" t="e">
        <f t="shared" si="34"/>
        <v>#VALUE!</v>
      </c>
      <c r="AY56" s="660" t="e">
        <f t="shared" si="35"/>
        <v>#VALUE!</v>
      </c>
      <c r="AZ56" s="670" t="e">
        <f t="shared" si="36"/>
        <v>#VALUE!</v>
      </c>
      <c r="BB56" s="662" t="e">
        <f>INDEX('Barge Gauging Data'!$B$26:$V$56,MATCH($C56,'Barge Gauging Data'!$B$26:$B$56,0),$BB$18)</f>
        <v>#N/A</v>
      </c>
      <c r="BC56" s="662" t="e">
        <f>INDEX('Barge Gauging Data'!$B$26:$V$56,MATCH($C56,'Barge Gauging Data'!$B$26:$B$56,0),$BC$18)</f>
        <v>#N/A</v>
      </c>
      <c r="BD56" s="662" t="e">
        <f>INDEX('Barge Gauging Data'!$B$26:$V$56,MATCH($C56,'Barge Gauging Data'!$B$26:$B$56,0),$BD$18)</f>
        <v>#N/A</v>
      </c>
      <c r="BE56" s="662" t="e">
        <f>INDEX('Barge Gauging Data'!$B$26:$V$56,MATCH($C56,'Barge Gauging Data'!$B$26:$B$56,0),$BE$18)</f>
        <v>#N/A</v>
      </c>
    </row>
    <row r="57" spans="1:57" hidden="1">
      <c r="A57" s="641" t="str">
        <f t="shared" si="37"/>
        <v>N</v>
      </c>
      <c r="C57" s="235" t="str">
        <f t="array" ref="C57">IF(OR($E$44="",SUMPRODUCT(('Barge Gauging Data'!$C$27:$C$56=$E$44)*('Barge Gauging Data'!$D$27:$D$56=NOMY))&lt;ROWS($C$45:$C57)),"",INDEX('Barge Gauging Data'!$B$27:$B$56,SMALL(IF(('Barge Gauging Data'!$C$27:$C$56=$E$44)+('Barge Gauging Data'!$D$27:$D$56=NOMY)=2,ROW('Barge Gauging Data'!$B$27:$B$56)-ROW('Barge Gauging Data'!$C$26)),ROW()-ROW(C$44))))</f>
        <v/>
      </c>
      <c r="D57" s="211" t="str">
        <f>IF(OR($C57="",$C57=0),"",INDEX('Barge Gauging Data'!$B$26:$V$56,MATCH($C57,'Barge Gauging Data'!$B$27:$B$56,0)+1,2))</f>
        <v/>
      </c>
      <c r="E57" s="1016" t="str">
        <f t="shared" si="38"/>
        <v/>
      </c>
      <c r="F57" s="1016" t="str">
        <f t="shared" si="39"/>
        <v/>
      </c>
      <c r="G57" s="1016" t="str">
        <f t="shared" si="40"/>
        <v/>
      </c>
      <c r="H57" s="1016" t="str">
        <f t="shared" si="40"/>
        <v/>
      </c>
      <c r="I57" s="211" t="str">
        <f t="shared" si="41"/>
        <v/>
      </c>
      <c r="J57" s="1016" t="str">
        <f t="shared" si="42"/>
        <v/>
      </c>
      <c r="K57" s="213" t="str">
        <f t="shared" si="43"/>
        <v/>
      </c>
      <c r="L57" s="212" t="str">
        <f t="shared" si="44"/>
        <v/>
      </c>
      <c r="M57" s="1125" t="str">
        <f>IF(OR($C57="",$C57=0),"",INDEX(API1DENST_2,MATCH($C57,'Barge Gauging Data'!$B$27:$B$56,0),$AA$1))</f>
        <v/>
      </c>
      <c r="N57" s="212" t="str">
        <f t="shared" si="45"/>
        <v/>
      </c>
      <c r="O57" s="1016" t="str">
        <f t="shared" si="46"/>
        <v/>
      </c>
      <c r="P57" s="1125" t="str">
        <f t="shared" si="47"/>
        <v/>
      </c>
      <c r="Q57" s="1016" t="str">
        <f t="shared" si="48"/>
        <v/>
      </c>
      <c r="R57" s="214" t="str">
        <f t="shared" si="49"/>
        <v/>
      </c>
      <c r="S57" s="1125" t="str">
        <f t="shared" si="50"/>
        <v/>
      </c>
      <c r="T57" s="236" t="str">
        <f t="shared" si="51"/>
        <v/>
      </c>
      <c r="V57" s="642" t="e">
        <f>INDEX('Barge Gauging Data'!$B$26:$V$56,MATCH($C57,'Barge Gauging Data'!$B$26:$B$56,0),$V$18)</f>
        <v>#N/A</v>
      </c>
      <c r="W57" s="642" t="e">
        <f>INDEX('Barge Gauging Data'!$B$26:$V$56,MATCH($C57,'Barge Gauging Data'!$B$26:$B$56,0),$W$18)</f>
        <v>#N/A</v>
      </c>
      <c r="X57" s="642" t="e">
        <f>INDEX('Barge Gauging Data'!$B$26:$V$56,MATCH($C57,'Barge Gauging Data'!$B$26:$B$56,0),$X$18)</f>
        <v>#N/A</v>
      </c>
      <c r="Y57" s="642" t="e">
        <f>INDEX('Barge Gauging Data'!$B$26:$V$56,MATCH($C57,'Barge Gauging Data'!$B$26:$B$56,0),$Y$18)</f>
        <v>#N/A</v>
      </c>
      <c r="Z57" s="642" t="e">
        <f>INDEX('Barge Gauging Data'!$B$26:$V$56,MATCH($C57,'Barge Gauging Data'!$B$26:$B$56,0),$Z$18)</f>
        <v>#N/A</v>
      </c>
      <c r="AB57" s="642" t="e">
        <f>INDEX(API1DENST_2,MATCH($C57,'Barge Gauging Data'!$B$27:$B$56,0),1)</f>
        <v>#N/A</v>
      </c>
      <c r="AC57" s="642" t="e">
        <f t="shared" si="17"/>
        <v>#N/A</v>
      </c>
      <c r="AE57" s="661" t="e">
        <f t="shared" si="18"/>
        <v>#VALUE!</v>
      </c>
      <c r="AF57" s="661" t="e">
        <f t="shared" si="19"/>
        <v>#VALUE!</v>
      </c>
      <c r="AH57" s="662" t="str">
        <f t="shared" si="15"/>
        <v/>
      </c>
      <c r="AI57" s="662" t="str">
        <f t="shared" si="16"/>
        <v/>
      </c>
      <c r="AJ57" s="663">
        <f t="shared" si="20"/>
        <v>192.4571</v>
      </c>
      <c r="AK57" s="660">
        <f t="shared" si="21"/>
        <v>0.24379999999999999</v>
      </c>
      <c r="AL57" s="660" t="e">
        <f t="shared" si="22"/>
        <v>#VALUE!</v>
      </c>
      <c r="AM57" s="664" t="e">
        <f t="shared" si="23"/>
        <v>#VALUE!</v>
      </c>
      <c r="AN57" s="664" t="e">
        <f t="shared" si="24"/>
        <v>#VALUE!</v>
      </c>
      <c r="AO57" s="665" t="e">
        <f t="shared" si="25"/>
        <v>#VALUE!</v>
      </c>
      <c r="AP57" s="666" t="e">
        <f t="shared" si="26"/>
        <v>#VALUE!</v>
      </c>
      <c r="AQ57" s="660" t="e">
        <f t="shared" si="27"/>
        <v>#VALUE!</v>
      </c>
      <c r="AR57" s="667" t="e">
        <f t="shared" si="28"/>
        <v>#VALUE!</v>
      </c>
      <c r="AS57" s="667" t="e">
        <f t="shared" si="29"/>
        <v>#VALUE!</v>
      </c>
      <c r="AT57" s="668" t="e">
        <f t="shared" si="30"/>
        <v>#VALUE!</v>
      </c>
      <c r="AU57" s="667" t="e">
        <f t="shared" si="31"/>
        <v>#VALUE!</v>
      </c>
      <c r="AV57" s="669" t="e">
        <f t="shared" si="32"/>
        <v>#VALUE!</v>
      </c>
      <c r="AW57" s="667" t="e">
        <f t="shared" si="33"/>
        <v>#VALUE!</v>
      </c>
      <c r="AX57" s="667" t="e">
        <f t="shared" si="34"/>
        <v>#VALUE!</v>
      </c>
      <c r="AY57" s="660" t="e">
        <f t="shared" si="35"/>
        <v>#VALUE!</v>
      </c>
      <c r="AZ57" s="670" t="e">
        <f t="shared" si="36"/>
        <v>#VALUE!</v>
      </c>
      <c r="BB57" s="662" t="e">
        <f>INDEX('Barge Gauging Data'!$B$26:$V$56,MATCH($C57,'Barge Gauging Data'!$B$26:$B$56,0),$BB$18)</f>
        <v>#N/A</v>
      </c>
      <c r="BC57" s="662" t="e">
        <f>INDEX('Barge Gauging Data'!$B$26:$V$56,MATCH($C57,'Barge Gauging Data'!$B$26:$B$56,0),$BC$18)</f>
        <v>#N/A</v>
      </c>
      <c r="BD57" s="662" t="e">
        <f>INDEX('Barge Gauging Data'!$B$26:$V$56,MATCH($C57,'Barge Gauging Data'!$B$26:$B$56,0),$BD$18)</f>
        <v>#N/A</v>
      </c>
      <c r="BE57" s="662" t="e">
        <f>INDEX('Barge Gauging Data'!$B$26:$V$56,MATCH($C57,'Barge Gauging Data'!$B$26:$B$56,0),$BE$18)</f>
        <v>#N/A</v>
      </c>
    </row>
    <row r="58" spans="1:57" hidden="1">
      <c r="A58" s="641" t="str">
        <f t="shared" si="37"/>
        <v>N</v>
      </c>
      <c r="C58" s="235" t="str">
        <f t="array" ref="C58">IF(OR($E$44="",SUMPRODUCT(('Barge Gauging Data'!$C$27:$C$56=$E$44)*('Barge Gauging Data'!$D$27:$D$56=NOMY))&lt;ROWS($C$45:$C58)),"",INDEX('Barge Gauging Data'!$B$27:$B$56,SMALL(IF(('Barge Gauging Data'!$C$27:$C$56=$E$44)+('Barge Gauging Data'!$D$27:$D$56=NOMY)=2,ROW('Barge Gauging Data'!$B$27:$B$56)-ROW('Barge Gauging Data'!$C$26)),ROW()-ROW(C$44))))</f>
        <v/>
      </c>
      <c r="D58" s="211" t="str">
        <f>IF(OR($C58="",$C58=0),"",INDEX('Barge Gauging Data'!$B$26:$V$56,MATCH($C58,'Barge Gauging Data'!$B$27:$B$56,0)+1,2))</f>
        <v/>
      </c>
      <c r="E58" s="1016" t="str">
        <f t="shared" si="38"/>
        <v/>
      </c>
      <c r="F58" s="1016" t="str">
        <f t="shared" si="39"/>
        <v/>
      </c>
      <c r="G58" s="1016" t="str">
        <f t="shared" si="40"/>
        <v/>
      </c>
      <c r="H58" s="1016" t="str">
        <f t="shared" si="40"/>
        <v/>
      </c>
      <c r="I58" s="211" t="str">
        <f t="shared" si="41"/>
        <v/>
      </c>
      <c r="J58" s="1016" t="str">
        <f t="shared" si="42"/>
        <v/>
      </c>
      <c r="K58" s="213" t="str">
        <f t="shared" si="43"/>
        <v/>
      </c>
      <c r="L58" s="212" t="str">
        <f t="shared" si="44"/>
        <v/>
      </c>
      <c r="M58" s="1125" t="str">
        <f>IF(OR($C58="",$C58=0),"",INDEX(API1DENST_2,MATCH($C58,'Barge Gauging Data'!$B$27:$B$56,0),$AA$1))</f>
        <v/>
      </c>
      <c r="N58" s="212" t="str">
        <f t="shared" si="45"/>
        <v/>
      </c>
      <c r="O58" s="1016" t="str">
        <f t="shared" si="46"/>
        <v/>
      </c>
      <c r="P58" s="1125" t="str">
        <f t="shared" si="47"/>
        <v/>
      </c>
      <c r="Q58" s="1016" t="str">
        <f t="shared" si="48"/>
        <v/>
      </c>
      <c r="R58" s="214" t="str">
        <f t="shared" si="49"/>
        <v/>
      </c>
      <c r="S58" s="1125" t="str">
        <f t="shared" si="50"/>
        <v/>
      </c>
      <c r="T58" s="236" t="str">
        <f t="shared" si="51"/>
        <v/>
      </c>
      <c r="V58" s="642" t="e">
        <f>INDEX('Barge Gauging Data'!$B$26:$V$56,MATCH($C58,'Barge Gauging Data'!$B$26:$B$56,0),$V$18)</f>
        <v>#N/A</v>
      </c>
      <c r="W58" s="642" t="e">
        <f>INDEX('Barge Gauging Data'!$B$26:$V$56,MATCH($C58,'Barge Gauging Data'!$B$26:$B$56,0),$W$18)</f>
        <v>#N/A</v>
      </c>
      <c r="X58" s="642" t="e">
        <f>INDEX('Barge Gauging Data'!$B$26:$V$56,MATCH($C58,'Barge Gauging Data'!$B$26:$B$56,0),$X$18)</f>
        <v>#N/A</v>
      </c>
      <c r="Y58" s="642" t="e">
        <f>INDEX('Barge Gauging Data'!$B$26:$V$56,MATCH($C58,'Barge Gauging Data'!$B$26:$B$56,0),$Y$18)</f>
        <v>#N/A</v>
      </c>
      <c r="Z58" s="642" t="e">
        <f>INDEX('Barge Gauging Data'!$B$26:$V$56,MATCH($C58,'Barge Gauging Data'!$B$26:$B$56,0),$Z$18)</f>
        <v>#N/A</v>
      </c>
      <c r="AB58" s="642" t="e">
        <f>INDEX(API1DENST_2,MATCH($C58,'Barge Gauging Data'!$B$27:$B$56,0),1)</f>
        <v>#N/A</v>
      </c>
      <c r="AC58" s="642" t="e">
        <f t="shared" si="17"/>
        <v>#N/A</v>
      </c>
      <c r="AE58" s="661" t="e">
        <f t="shared" si="18"/>
        <v>#VALUE!</v>
      </c>
      <c r="AF58" s="661" t="e">
        <f t="shared" si="19"/>
        <v>#VALUE!</v>
      </c>
      <c r="AH58" s="662" t="str">
        <f t="shared" si="15"/>
        <v/>
      </c>
      <c r="AI58" s="662" t="str">
        <f t="shared" si="16"/>
        <v/>
      </c>
      <c r="AJ58" s="663">
        <f t="shared" si="20"/>
        <v>192.4571</v>
      </c>
      <c r="AK58" s="660">
        <f t="shared" si="21"/>
        <v>0.24379999999999999</v>
      </c>
      <c r="AL58" s="660" t="e">
        <f t="shared" si="22"/>
        <v>#VALUE!</v>
      </c>
      <c r="AM58" s="664" t="e">
        <f t="shared" si="23"/>
        <v>#VALUE!</v>
      </c>
      <c r="AN58" s="664" t="e">
        <f t="shared" si="24"/>
        <v>#VALUE!</v>
      </c>
      <c r="AO58" s="665" t="e">
        <f t="shared" si="25"/>
        <v>#VALUE!</v>
      </c>
      <c r="AP58" s="666" t="e">
        <f t="shared" si="26"/>
        <v>#VALUE!</v>
      </c>
      <c r="AQ58" s="660" t="e">
        <f t="shared" si="27"/>
        <v>#VALUE!</v>
      </c>
      <c r="AR58" s="667" t="e">
        <f t="shared" si="28"/>
        <v>#VALUE!</v>
      </c>
      <c r="AS58" s="667" t="e">
        <f t="shared" si="29"/>
        <v>#VALUE!</v>
      </c>
      <c r="AT58" s="668" t="e">
        <f t="shared" si="30"/>
        <v>#VALUE!</v>
      </c>
      <c r="AU58" s="667" t="e">
        <f t="shared" si="31"/>
        <v>#VALUE!</v>
      </c>
      <c r="AV58" s="669" t="e">
        <f t="shared" si="32"/>
        <v>#VALUE!</v>
      </c>
      <c r="AW58" s="667" t="e">
        <f t="shared" si="33"/>
        <v>#VALUE!</v>
      </c>
      <c r="AX58" s="667" t="e">
        <f t="shared" si="34"/>
        <v>#VALUE!</v>
      </c>
      <c r="AY58" s="660" t="e">
        <f t="shared" si="35"/>
        <v>#VALUE!</v>
      </c>
      <c r="AZ58" s="670" t="e">
        <f t="shared" si="36"/>
        <v>#VALUE!</v>
      </c>
      <c r="BB58" s="662" t="e">
        <f>INDEX('Barge Gauging Data'!$B$26:$V$56,MATCH($C58,'Barge Gauging Data'!$B$26:$B$56,0),$BB$18)</f>
        <v>#N/A</v>
      </c>
      <c r="BC58" s="662" t="e">
        <f>INDEX('Barge Gauging Data'!$B$26:$V$56,MATCH($C58,'Barge Gauging Data'!$B$26:$B$56,0),$BC$18)</f>
        <v>#N/A</v>
      </c>
      <c r="BD58" s="662" t="e">
        <f>INDEX('Barge Gauging Data'!$B$26:$V$56,MATCH($C58,'Barge Gauging Data'!$B$26:$B$56,0),$BD$18)</f>
        <v>#N/A</v>
      </c>
      <c r="BE58" s="662" t="e">
        <f>INDEX('Barge Gauging Data'!$B$26:$V$56,MATCH($C58,'Barge Gauging Data'!$B$26:$B$56,0),$BE$18)</f>
        <v>#N/A</v>
      </c>
    </row>
    <row r="59" spans="1:57" hidden="1">
      <c r="A59" s="641" t="str">
        <f t="shared" si="37"/>
        <v>N</v>
      </c>
      <c r="C59" s="235" t="str">
        <f t="array" ref="C59">IF(OR($E$44="",SUMPRODUCT(('Barge Gauging Data'!$C$27:$C$56=$E$44)*('Barge Gauging Data'!$D$27:$D$56=NOMY))&lt;ROWS($C$45:$C59)),"",INDEX('Barge Gauging Data'!$B$27:$B$56,SMALL(IF(('Barge Gauging Data'!$C$27:$C$56=$E$44)+('Barge Gauging Data'!$D$27:$D$56=NOMY)=2,ROW('Barge Gauging Data'!$B$27:$B$56)-ROW('Barge Gauging Data'!$C$26)),ROW()-ROW(C$44))))</f>
        <v/>
      </c>
      <c r="D59" s="211" t="str">
        <f>IF(OR($C59="",$C59=0),"",INDEX('Barge Gauging Data'!$B$26:$V$56,MATCH($C59,'Barge Gauging Data'!$B$27:$B$56,0)+1,2))</f>
        <v/>
      </c>
      <c r="E59" s="1016" t="str">
        <f t="shared" si="38"/>
        <v/>
      </c>
      <c r="F59" s="1016" t="str">
        <f t="shared" si="39"/>
        <v/>
      </c>
      <c r="G59" s="1016" t="str">
        <f t="shared" si="40"/>
        <v/>
      </c>
      <c r="H59" s="1016" t="str">
        <f t="shared" si="40"/>
        <v/>
      </c>
      <c r="I59" s="211" t="str">
        <f t="shared" si="41"/>
        <v/>
      </c>
      <c r="J59" s="1016" t="str">
        <f t="shared" si="42"/>
        <v/>
      </c>
      <c r="K59" s="213" t="str">
        <f t="shared" si="43"/>
        <v/>
      </c>
      <c r="L59" s="212" t="str">
        <f t="shared" si="44"/>
        <v/>
      </c>
      <c r="M59" s="1125" t="str">
        <f>IF(OR($C59="",$C59=0),"",INDEX(API1DENST_2,MATCH($C59,'Barge Gauging Data'!$B$27:$B$56,0),$AA$1))</f>
        <v/>
      </c>
      <c r="N59" s="212" t="str">
        <f t="shared" si="45"/>
        <v/>
      </c>
      <c r="O59" s="1016" t="str">
        <f t="shared" si="46"/>
        <v/>
      </c>
      <c r="P59" s="1125" t="str">
        <f t="shared" si="47"/>
        <v/>
      </c>
      <c r="Q59" s="1016" t="str">
        <f t="shared" si="48"/>
        <v/>
      </c>
      <c r="R59" s="214" t="str">
        <f t="shared" si="49"/>
        <v/>
      </c>
      <c r="S59" s="1125" t="str">
        <f t="shared" si="50"/>
        <v/>
      </c>
      <c r="T59" s="236" t="str">
        <f t="shared" si="51"/>
        <v/>
      </c>
      <c r="V59" s="642" t="e">
        <f>INDEX('Barge Gauging Data'!$B$26:$V$56,MATCH($C59,'Barge Gauging Data'!$B$26:$B$56,0),$V$18)</f>
        <v>#N/A</v>
      </c>
      <c r="W59" s="642" t="e">
        <f>INDEX('Barge Gauging Data'!$B$26:$V$56,MATCH($C59,'Barge Gauging Data'!$B$26:$B$56,0),$W$18)</f>
        <v>#N/A</v>
      </c>
      <c r="X59" s="642" t="e">
        <f>INDEX('Barge Gauging Data'!$B$26:$V$56,MATCH($C59,'Barge Gauging Data'!$B$26:$B$56,0),$X$18)</f>
        <v>#N/A</v>
      </c>
      <c r="Y59" s="642" t="e">
        <f>INDEX('Barge Gauging Data'!$B$26:$V$56,MATCH($C59,'Barge Gauging Data'!$B$26:$B$56,0),$Y$18)</f>
        <v>#N/A</v>
      </c>
      <c r="Z59" s="642" t="e">
        <f>INDEX('Barge Gauging Data'!$B$26:$V$56,MATCH($C59,'Barge Gauging Data'!$B$26:$B$56,0),$Z$18)</f>
        <v>#N/A</v>
      </c>
      <c r="AB59" s="642" t="e">
        <f>INDEX(API1DENST_2,MATCH($C59,'Barge Gauging Data'!$B$27:$B$56,0),1)</f>
        <v>#N/A</v>
      </c>
      <c r="AC59" s="642" t="e">
        <f t="shared" si="17"/>
        <v>#N/A</v>
      </c>
      <c r="AE59" s="661" t="e">
        <f t="shared" si="18"/>
        <v>#VALUE!</v>
      </c>
      <c r="AF59" s="661" t="e">
        <f t="shared" si="19"/>
        <v>#VALUE!</v>
      </c>
      <c r="AH59" s="662" t="str">
        <f t="shared" si="15"/>
        <v/>
      </c>
      <c r="AI59" s="662" t="str">
        <f t="shared" si="16"/>
        <v/>
      </c>
      <c r="AJ59" s="663">
        <f t="shared" si="20"/>
        <v>192.4571</v>
      </c>
      <c r="AK59" s="660">
        <f t="shared" si="21"/>
        <v>0.24379999999999999</v>
      </c>
      <c r="AL59" s="660" t="e">
        <f t="shared" si="22"/>
        <v>#VALUE!</v>
      </c>
      <c r="AM59" s="664" t="e">
        <f t="shared" si="23"/>
        <v>#VALUE!</v>
      </c>
      <c r="AN59" s="664" t="e">
        <f t="shared" si="24"/>
        <v>#VALUE!</v>
      </c>
      <c r="AO59" s="665" t="e">
        <f t="shared" si="25"/>
        <v>#VALUE!</v>
      </c>
      <c r="AP59" s="666" t="e">
        <f t="shared" si="26"/>
        <v>#VALUE!</v>
      </c>
      <c r="AQ59" s="660" t="e">
        <f t="shared" si="27"/>
        <v>#VALUE!</v>
      </c>
      <c r="AR59" s="667" t="e">
        <f t="shared" si="28"/>
        <v>#VALUE!</v>
      </c>
      <c r="AS59" s="667" t="e">
        <f t="shared" si="29"/>
        <v>#VALUE!</v>
      </c>
      <c r="AT59" s="668" t="e">
        <f t="shared" si="30"/>
        <v>#VALUE!</v>
      </c>
      <c r="AU59" s="667" t="e">
        <f t="shared" si="31"/>
        <v>#VALUE!</v>
      </c>
      <c r="AV59" s="669" t="e">
        <f t="shared" si="32"/>
        <v>#VALUE!</v>
      </c>
      <c r="AW59" s="667" t="e">
        <f t="shared" si="33"/>
        <v>#VALUE!</v>
      </c>
      <c r="AX59" s="667" t="e">
        <f t="shared" si="34"/>
        <v>#VALUE!</v>
      </c>
      <c r="AY59" s="660" t="e">
        <f t="shared" si="35"/>
        <v>#VALUE!</v>
      </c>
      <c r="AZ59" s="670" t="e">
        <f t="shared" si="36"/>
        <v>#VALUE!</v>
      </c>
      <c r="BB59" s="662" t="e">
        <f>INDEX('Barge Gauging Data'!$B$26:$V$56,MATCH($C59,'Barge Gauging Data'!$B$26:$B$56,0),$BB$18)</f>
        <v>#N/A</v>
      </c>
      <c r="BC59" s="662" t="e">
        <f>INDEX('Barge Gauging Data'!$B$26:$V$56,MATCH($C59,'Barge Gauging Data'!$B$26:$B$56,0),$BC$18)</f>
        <v>#N/A</v>
      </c>
      <c r="BD59" s="662" t="e">
        <f>INDEX('Barge Gauging Data'!$B$26:$V$56,MATCH($C59,'Barge Gauging Data'!$B$26:$B$56,0),$BD$18)</f>
        <v>#N/A</v>
      </c>
      <c r="BE59" s="662" t="e">
        <f>INDEX('Barge Gauging Data'!$B$26:$V$56,MATCH($C59,'Barge Gauging Data'!$B$26:$B$56,0),$BE$18)</f>
        <v>#N/A</v>
      </c>
    </row>
    <row r="60" spans="1:57" hidden="1">
      <c r="A60" s="641" t="str">
        <f t="shared" si="37"/>
        <v>N</v>
      </c>
      <c r="C60" s="235" t="str">
        <f t="array" ref="C60">IF(OR($E$44="",SUMPRODUCT(('Barge Gauging Data'!$C$27:$C$56=$E$44)*('Barge Gauging Data'!$D$27:$D$56=NOMY))&lt;ROWS($C$45:$C60)),"",INDEX('Barge Gauging Data'!$B$27:$B$56,SMALL(IF(('Barge Gauging Data'!$C$27:$C$56=$E$44)+('Barge Gauging Data'!$D$27:$D$56=NOMY)=2,ROW('Barge Gauging Data'!$B$27:$B$56)-ROW('Barge Gauging Data'!$C$26)),ROW()-ROW(C$44))))</f>
        <v/>
      </c>
      <c r="D60" s="211" t="str">
        <f>IF(OR($C60="",$C60=0),"",INDEX('Barge Gauging Data'!$B$26:$V$56,MATCH($C60,'Barge Gauging Data'!$B$27:$B$56,0)+1,2))</f>
        <v/>
      </c>
      <c r="E60" s="1016" t="str">
        <f t="shared" si="38"/>
        <v/>
      </c>
      <c r="F60" s="1016" t="str">
        <f t="shared" si="39"/>
        <v/>
      </c>
      <c r="G60" s="1016" t="str">
        <f t="shared" si="40"/>
        <v/>
      </c>
      <c r="H60" s="1016" t="str">
        <f t="shared" si="40"/>
        <v/>
      </c>
      <c r="I60" s="211" t="str">
        <f t="shared" si="41"/>
        <v/>
      </c>
      <c r="J60" s="1016" t="str">
        <f t="shared" si="42"/>
        <v/>
      </c>
      <c r="K60" s="213" t="str">
        <f t="shared" si="43"/>
        <v/>
      </c>
      <c r="L60" s="212" t="str">
        <f t="shared" si="44"/>
        <v/>
      </c>
      <c r="M60" s="1125" t="str">
        <f>IF(OR($C60="",$C60=0),"",INDEX(API1DENST_2,MATCH($C60,'Barge Gauging Data'!$B$27:$B$56,0),$AA$1))</f>
        <v/>
      </c>
      <c r="N60" s="212" t="str">
        <f t="shared" si="45"/>
        <v/>
      </c>
      <c r="O60" s="1016" t="str">
        <f t="shared" si="46"/>
        <v/>
      </c>
      <c r="P60" s="1125" t="str">
        <f t="shared" si="47"/>
        <v/>
      </c>
      <c r="Q60" s="1016" t="str">
        <f t="shared" si="48"/>
        <v/>
      </c>
      <c r="R60" s="214" t="str">
        <f t="shared" si="49"/>
        <v/>
      </c>
      <c r="S60" s="1125" t="str">
        <f t="shared" si="50"/>
        <v/>
      </c>
      <c r="T60" s="236" t="str">
        <f t="shared" si="51"/>
        <v/>
      </c>
      <c r="V60" s="642" t="e">
        <f>INDEX('Barge Gauging Data'!$B$26:$V$56,MATCH($C60,'Barge Gauging Data'!$B$26:$B$56,0),$V$18)</f>
        <v>#N/A</v>
      </c>
      <c r="W60" s="642" t="e">
        <f>INDEX('Barge Gauging Data'!$B$26:$V$56,MATCH($C60,'Barge Gauging Data'!$B$26:$B$56,0),$W$18)</f>
        <v>#N/A</v>
      </c>
      <c r="X60" s="642" t="e">
        <f>INDEX('Barge Gauging Data'!$B$26:$V$56,MATCH($C60,'Barge Gauging Data'!$B$26:$B$56,0),$X$18)</f>
        <v>#N/A</v>
      </c>
      <c r="Y60" s="642" t="e">
        <f>INDEX('Barge Gauging Data'!$B$26:$V$56,MATCH($C60,'Barge Gauging Data'!$B$26:$B$56,0),$Y$18)</f>
        <v>#N/A</v>
      </c>
      <c r="Z60" s="642" t="e">
        <f>INDEX('Barge Gauging Data'!$B$26:$V$56,MATCH($C60,'Barge Gauging Data'!$B$26:$B$56,0),$Z$18)</f>
        <v>#N/A</v>
      </c>
      <c r="AB60" s="642" t="e">
        <f>INDEX(API1DENST_2,MATCH($C60,'Barge Gauging Data'!$B$27:$B$56,0),1)</f>
        <v>#N/A</v>
      </c>
      <c r="AC60" s="642" t="e">
        <f t="shared" si="17"/>
        <v>#N/A</v>
      </c>
      <c r="AE60" s="661" t="e">
        <f t="shared" si="18"/>
        <v>#VALUE!</v>
      </c>
      <c r="AF60" s="661" t="e">
        <f t="shared" si="19"/>
        <v>#VALUE!</v>
      </c>
      <c r="AH60" s="662" t="str">
        <f t="shared" si="15"/>
        <v/>
      </c>
      <c r="AI60" s="662" t="str">
        <f t="shared" si="16"/>
        <v/>
      </c>
      <c r="AJ60" s="663">
        <f t="shared" si="20"/>
        <v>192.4571</v>
      </c>
      <c r="AK60" s="660">
        <f t="shared" si="21"/>
        <v>0.24379999999999999</v>
      </c>
      <c r="AL60" s="660" t="e">
        <f t="shared" si="22"/>
        <v>#VALUE!</v>
      </c>
      <c r="AM60" s="664" t="e">
        <f t="shared" si="23"/>
        <v>#VALUE!</v>
      </c>
      <c r="AN60" s="664" t="e">
        <f t="shared" si="24"/>
        <v>#VALUE!</v>
      </c>
      <c r="AO60" s="665" t="e">
        <f t="shared" si="25"/>
        <v>#VALUE!</v>
      </c>
      <c r="AP60" s="666" t="e">
        <f t="shared" si="26"/>
        <v>#VALUE!</v>
      </c>
      <c r="AQ60" s="660" t="e">
        <f t="shared" si="27"/>
        <v>#VALUE!</v>
      </c>
      <c r="AR60" s="667" t="e">
        <f t="shared" si="28"/>
        <v>#VALUE!</v>
      </c>
      <c r="AS60" s="667" t="e">
        <f t="shared" si="29"/>
        <v>#VALUE!</v>
      </c>
      <c r="AT60" s="668" t="e">
        <f t="shared" si="30"/>
        <v>#VALUE!</v>
      </c>
      <c r="AU60" s="667" t="e">
        <f t="shared" si="31"/>
        <v>#VALUE!</v>
      </c>
      <c r="AV60" s="669" t="e">
        <f t="shared" si="32"/>
        <v>#VALUE!</v>
      </c>
      <c r="AW60" s="667" t="e">
        <f t="shared" si="33"/>
        <v>#VALUE!</v>
      </c>
      <c r="AX60" s="667" t="e">
        <f t="shared" si="34"/>
        <v>#VALUE!</v>
      </c>
      <c r="AY60" s="660" t="e">
        <f t="shared" si="35"/>
        <v>#VALUE!</v>
      </c>
      <c r="AZ60" s="670" t="e">
        <f t="shared" si="36"/>
        <v>#VALUE!</v>
      </c>
      <c r="BB60" s="662" t="e">
        <f>INDEX('Barge Gauging Data'!$B$26:$V$56,MATCH($C60,'Barge Gauging Data'!$B$26:$B$56,0),$BB$18)</f>
        <v>#N/A</v>
      </c>
      <c r="BC60" s="662" t="e">
        <f>INDEX('Barge Gauging Data'!$B$26:$V$56,MATCH($C60,'Barge Gauging Data'!$B$26:$B$56,0),$BC$18)</f>
        <v>#N/A</v>
      </c>
      <c r="BD60" s="662" t="e">
        <f>INDEX('Barge Gauging Data'!$B$26:$V$56,MATCH($C60,'Barge Gauging Data'!$B$26:$B$56,0),$BD$18)</f>
        <v>#N/A</v>
      </c>
      <c r="BE60" s="662" t="e">
        <f>INDEX('Barge Gauging Data'!$B$26:$V$56,MATCH($C60,'Barge Gauging Data'!$B$26:$B$56,0),$BE$18)</f>
        <v>#N/A</v>
      </c>
    </row>
    <row r="61" spans="1:57" hidden="1">
      <c r="A61" s="641" t="str">
        <f t="shared" si="37"/>
        <v>N</v>
      </c>
      <c r="C61" s="235" t="str">
        <f t="array" ref="C61">IF(OR($E$44="",SUMPRODUCT(('Barge Gauging Data'!$C$27:$C$56=$E$44)*('Barge Gauging Data'!$D$27:$D$56=NOMY))&lt;ROWS($C$45:$C61)),"",INDEX('Barge Gauging Data'!$B$27:$B$56,SMALL(IF(('Barge Gauging Data'!$C$27:$C$56=$E$44)+('Barge Gauging Data'!$D$27:$D$56=NOMY)=2,ROW('Barge Gauging Data'!$B$27:$B$56)-ROW('Barge Gauging Data'!$C$26)),ROW()-ROW(C$44))))</f>
        <v/>
      </c>
      <c r="D61" s="211" t="str">
        <f>IF(OR($C61="",$C61=0),"",INDEX('Barge Gauging Data'!$B$26:$V$56,MATCH($C61,'Barge Gauging Data'!$B$27:$B$56,0)+1,2))</f>
        <v/>
      </c>
      <c r="E61" s="1016" t="str">
        <f t="shared" si="38"/>
        <v/>
      </c>
      <c r="F61" s="1016" t="str">
        <f t="shared" si="39"/>
        <v/>
      </c>
      <c r="G61" s="1016" t="str">
        <f t="shared" si="40"/>
        <v/>
      </c>
      <c r="H61" s="1016" t="str">
        <f t="shared" si="40"/>
        <v/>
      </c>
      <c r="I61" s="211" t="str">
        <f t="shared" si="41"/>
        <v/>
      </c>
      <c r="J61" s="1016" t="str">
        <f t="shared" si="42"/>
        <v/>
      </c>
      <c r="K61" s="213" t="str">
        <f t="shared" si="43"/>
        <v/>
      </c>
      <c r="L61" s="212" t="str">
        <f t="shared" si="44"/>
        <v/>
      </c>
      <c r="M61" s="1125" t="str">
        <f>IF(OR($C61="",$C61=0),"",INDEX(API1DENST_2,MATCH($C61,'Barge Gauging Data'!$B$27:$B$56,0),$AA$1))</f>
        <v/>
      </c>
      <c r="N61" s="212" t="str">
        <f t="shared" si="45"/>
        <v/>
      </c>
      <c r="O61" s="1016" t="str">
        <f t="shared" si="46"/>
        <v/>
      </c>
      <c r="P61" s="1125" t="str">
        <f t="shared" si="47"/>
        <v/>
      </c>
      <c r="Q61" s="1016" t="str">
        <f t="shared" si="48"/>
        <v/>
      </c>
      <c r="R61" s="214" t="str">
        <f t="shared" si="49"/>
        <v/>
      </c>
      <c r="S61" s="1125" t="str">
        <f t="shared" si="50"/>
        <v/>
      </c>
      <c r="T61" s="236" t="str">
        <f t="shared" si="51"/>
        <v/>
      </c>
      <c r="V61" s="642" t="e">
        <f>INDEX('Barge Gauging Data'!$B$26:$V$56,MATCH($C61,'Barge Gauging Data'!$B$26:$B$56,0),$V$18)</f>
        <v>#N/A</v>
      </c>
      <c r="W61" s="642" t="e">
        <f>INDEX('Barge Gauging Data'!$B$26:$V$56,MATCH($C61,'Barge Gauging Data'!$B$26:$B$56,0),$W$18)</f>
        <v>#N/A</v>
      </c>
      <c r="X61" s="642" t="e">
        <f>INDEX('Barge Gauging Data'!$B$26:$V$56,MATCH($C61,'Barge Gauging Data'!$B$26:$B$56,0),$X$18)</f>
        <v>#N/A</v>
      </c>
      <c r="Y61" s="642" t="e">
        <f>INDEX('Barge Gauging Data'!$B$26:$V$56,MATCH($C61,'Barge Gauging Data'!$B$26:$B$56,0),$Y$18)</f>
        <v>#N/A</v>
      </c>
      <c r="Z61" s="642" t="e">
        <f>INDEX('Barge Gauging Data'!$B$26:$V$56,MATCH($C61,'Barge Gauging Data'!$B$26:$B$56,0),$Z$18)</f>
        <v>#N/A</v>
      </c>
      <c r="AB61" s="642" t="e">
        <f>INDEX(API1DENST_2,MATCH($C61,'Barge Gauging Data'!$B$27:$B$56,0),1)</f>
        <v>#N/A</v>
      </c>
      <c r="AC61" s="642" t="e">
        <f t="shared" si="17"/>
        <v>#N/A</v>
      </c>
      <c r="AE61" s="661" t="e">
        <f t="shared" si="18"/>
        <v>#VALUE!</v>
      </c>
      <c r="AF61" s="661" t="e">
        <f t="shared" si="19"/>
        <v>#VALUE!</v>
      </c>
      <c r="AH61" s="662" t="str">
        <f t="shared" si="15"/>
        <v/>
      </c>
      <c r="AI61" s="662" t="str">
        <f t="shared" si="16"/>
        <v/>
      </c>
      <c r="AJ61" s="663">
        <f t="shared" si="20"/>
        <v>192.4571</v>
      </c>
      <c r="AK61" s="660">
        <f t="shared" si="21"/>
        <v>0.24379999999999999</v>
      </c>
      <c r="AL61" s="660" t="e">
        <f t="shared" si="22"/>
        <v>#VALUE!</v>
      </c>
      <c r="AM61" s="664" t="e">
        <f t="shared" si="23"/>
        <v>#VALUE!</v>
      </c>
      <c r="AN61" s="664" t="e">
        <f t="shared" si="24"/>
        <v>#VALUE!</v>
      </c>
      <c r="AO61" s="665" t="e">
        <f t="shared" si="25"/>
        <v>#VALUE!</v>
      </c>
      <c r="AP61" s="666" t="e">
        <f t="shared" si="26"/>
        <v>#VALUE!</v>
      </c>
      <c r="AQ61" s="660" t="e">
        <f t="shared" si="27"/>
        <v>#VALUE!</v>
      </c>
      <c r="AR61" s="667" t="e">
        <f t="shared" si="28"/>
        <v>#VALUE!</v>
      </c>
      <c r="AS61" s="667" t="e">
        <f t="shared" si="29"/>
        <v>#VALUE!</v>
      </c>
      <c r="AT61" s="668" t="e">
        <f t="shared" si="30"/>
        <v>#VALUE!</v>
      </c>
      <c r="AU61" s="667" t="e">
        <f t="shared" si="31"/>
        <v>#VALUE!</v>
      </c>
      <c r="AV61" s="669" t="e">
        <f t="shared" si="32"/>
        <v>#VALUE!</v>
      </c>
      <c r="AW61" s="667" t="e">
        <f t="shared" si="33"/>
        <v>#VALUE!</v>
      </c>
      <c r="AX61" s="667" t="e">
        <f t="shared" si="34"/>
        <v>#VALUE!</v>
      </c>
      <c r="AY61" s="660" t="e">
        <f t="shared" si="35"/>
        <v>#VALUE!</v>
      </c>
      <c r="AZ61" s="670" t="e">
        <f t="shared" si="36"/>
        <v>#VALUE!</v>
      </c>
      <c r="BB61" s="662" t="e">
        <f>INDEX('Barge Gauging Data'!$B$26:$V$56,MATCH($C61,'Barge Gauging Data'!$B$26:$B$56,0),$BB$18)</f>
        <v>#N/A</v>
      </c>
      <c r="BC61" s="662" t="e">
        <f>INDEX('Barge Gauging Data'!$B$26:$V$56,MATCH($C61,'Barge Gauging Data'!$B$26:$B$56,0),$BC$18)</f>
        <v>#N/A</v>
      </c>
      <c r="BD61" s="662" t="e">
        <f>INDEX('Barge Gauging Data'!$B$26:$V$56,MATCH($C61,'Barge Gauging Data'!$B$26:$B$56,0),$BD$18)</f>
        <v>#N/A</v>
      </c>
      <c r="BE61" s="662" t="e">
        <f>INDEX('Barge Gauging Data'!$B$26:$V$56,MATCH($C61,'Barge Gauging Data'!$B$26:$B$56,0),$BE$18)</f>
        <v>#N/A</v>
      </c>
    </row>
    <row r="62" spans="1:57" hidden="1">
      <c r="A62" s="641" t="str">
        <f t="shared" si="37"/>
        <v>N</v>
      </c>
      <c r="C62" s="235" t="str">
        <f t="array" ref="C62">IF(OR($E$44="",SUMPRODUCT(('Barge Gauging Data'!$C$27:$C$56=$E$44)*('Barge Gauging Data'!$D$27:$D$56=NOMY))&lt;ROWS($C$45:$C62)),"",INDEX('Barge Gauging Data'!$B$27:$B$56,SMALL(IF(('Barge Gauging Data'!$C$27:$C$56=$E$44)+('Barge Gauging Data'!$D$27:$D$56=NOMY)=2,ROW('Barge Gauging Data'!$B$27:$B$56)-ROW('Barge Gauging Data'!$C$26)),ROW()-ROW(C$44))))</f>
        <v/>
      </c>
      <c r="D62" s="211" t="str">
        <f>IF(OR($C62="",$C62=0),"",INDEX('Barge Gauging Data'!$B$26:$V$56,MATCH($C62,'Barge Gauging Data'!$B$27:$B$56,0)+1,2))</f>
        <v/>
      </c>
      <c r="E62" s="1016" t="str">
        <f t="shared" si="38"/>
        <v/>
      </c>
      <c r="F62" s="1016" t="str">
        <f t="shared" si="39"/>
        <v/>
      </c>
      <c r="G62" s="1016" t="str">
        <f t="shared" si="40"/>
        <v/>
      </c>
      <c r="H62" s="1016" t="str">
        <f t="shared" si="40"/>
        <v/>
      </c>
      <c r="I62" s="211" t="str">
        <f t="shared" si="41"/>
        <v/>
      </c>
      <c r="J62" s="1016" t="str">
        <f t="shared" si="42"/>
        <v/>
      </c>
      <c r="K62" s="213" t="str">
        <f t="shared" si="43"/>
        <v/>
      </c>
      <c r="L62" s="212" t="str">
        <f t="shared" si="44"/>
        <v/>
      </c>
      <c r="M62" s="1125" t="str">
        <f>IF(OR($C62="",$C62=0),"",INDEX(API1DENST_2,MATCH($C62,'Barge Gauging Data'!$B$27:$B$56,0),$AA$1))</f>
        <v/>
      </c>
      <c r="N62" s="212" t="str">
        <f t="shared" si="45"/>
        <v/>
      </c>
      <c r="O62" s="1016" t="str">
        <f t="shared" si="46"/>
        <v/>
      </c>
      <c r="P62" s="1125" t="str">
        <f t="shared" si="47"/>
        <v/>
      </c>
      <c r="Q62" s="1016" t="str">
        <f t="shared" si="48"/>
        <v/>
      </c>
      <c r="R62" s="214" t="str">
        <f t="shared" si="49"/>
        <v/>
      </c>
      <c r="S62" s="1125" t="str">
        <f t="shared" si="50"/>
        <v/>
      </c>
      <c r="T62" s="236" t="str">
        <f t="shared" si="51"/>
        <v/>
      </c>
      <c r="V62" s="642" t="e">
        <f>INDEX('Barge Gauging Data'!$B$26:$V$56,MATCH($C62,'Barge Gauging Data'!$B$26:$B$56,0),$V$18)</f>
        <v>#N/A</v>
      </c>
      <c r="W62" s="642" t="e">
        <f>INDEX('Barge Gauging Data'!$B$26:$V$56,MATCH($C62,'Barge Gauging Data'!$B$26:$B$56,0),$W$18)</f>
        <v>#N/A</v>
      </c>
      <c r="X62" s="642" t="e">
        <f>INDEX('Barge Gauging Data'!$B$26:$V$56,MATCH($C62,'Barge Gauging Data'!$B$26:$B$56,0),$X$18)</f>
        <v>#N/A</v>
      </c>
      <c r="Y62" s="642" t="e">
        <f>INDEX('Barge Gauging Data'!$B$26:$V$56,MATCH($C62,'Barge Gauging Data'!$B$26:$B$56,0),$Y$18)</f>
        <v>#N/A</v>
      </c>
      <c r="Z62" s="642" t="e">
        <f>INDEX('Barge Gauging Data'!$B$26:$V$56,MATCH($C62,'Barge Gauging Data'!$B$26:$B$56,0),$Z$18)</f>
        <v>#N/A</v>
      </c>
      <c r="AB62" s="642" t="e">
        <f>INDEX(API1DENST_2,MATCH($C62,'Barge Gauging Data'!$B$27:$B$56,0),1)</f>
        <v>#N/A</v>
      </c>
      <c r="AC62" s="642" t="e">
        <f t="shared" si="17"/>
        <v>#N/A</v>
      </c>
      <c r="AE62" s="661" t="e">
        <f t="shared" si="18"/>
        <v>#VALUE!</v>
      </c>
      <c r="AF62" s="661" t="e">
        <f t="shared" si="19"/>
        <v>#VALUE!</v>
      </c>
      <c r="AH62" s="662" t="str">
        <f t="shared" si="15"/>
        <v/>
      </c>
      <c r="AI62" s="662" t="str">
        <f t="shared" si="16"/>
        <v/>
      </c>
      <c r="AJ62" s="663">
        <f t="shared" si="20"/>
        <v>192.4571</v>
      </c>
      <c r="AK62" s="660">
        <f t="shared" si="21"/>
        <v>0.24379999999999999</v>
      </c>
      <c r="AL62" s="660" t="e">
        <f t="shared" si="22"/>
        <v>#VALUE!</v>
      </c>
      <c r="AM62" s="664" t="e">
        <f t="shared" si="23"/>
        <v>#VALUE!</v>
      </c>
      <c r="AN62" s="664" t="e">
        <f t="shared" si="24"/>
        <v>#VALUE!</v>
      </c>
      <c r="AO62" s="665" t="e">
        <f t="shared" si="25"/>
        <v>#VALUE!</v>
      </c>
      <c r="AP62" s="666" t="e">
        <f t="shared" si="26"/>
        <v>#VALUE!</v>
      </c>
      <c r="AQ62" s="660" t="e">
        <f t="shared" si="27"/>
        <v>#VALUE!</v>
      </c>
      <c r="AR62" s="667" t="e">
        <f t="shared" si="28"/>
        <v>#VALUE!</v>
      </c>
      <c r="AS62" s="667" t="e">
        <f t="shared" si="29"/>
        <v>#VALUE!</v>
      </c>
      <c r="AT62" s="668" t="e">
        <f t="shared" si="30"/>
        <v>#VALUE!</v>
      </c>
      <c r="AU62" s="667" t="e">
        <f t="shared" si="31"/>
        <v>#VALUE!</v>
      </c>
      <c r="AV62" s="669" t="e">
        <f t="shared" si="32"/>
        <v>#VALUE!</v>
      </c>
      <c r="AW62" s="667" t="e">
        <f t="shared" si="33"/>
        <v>#VALUE!</v>
      </c>
      <c r="AX62" s="667" t="e">
        <f t="shared" si="34"/>
        <v>#VALUE!</v>
      </c>
      <c r="AY62" s="660" t="e">
        <f t="shared" si="35"/>
        <v>#VALUE!</v>
      </c>
      <c r="AZ62" s="670" t="e">
        <f t="shared" si="36"/>
        <v>#VALUE!</v>
      </c>
      <c r="BB62" s="662" t="e">
        <f>INDEX('Barge Gauging Data'!$B$26:$V$56,MATCH($C62,'Barge Gauging Data'!$B$26:$B$56,0),$BB$18)</f>
        <v>#N/A</v>
      </c>
      <c r="BC62" s="662" t="e">
        <f>INDEX('Barge Gauging Data'!$B$26:$V$56,MATCH($C62,'Barge Gauging Data'!$B$26:$B$56,0),$BC$18)</f>
        <v>#N/A</v>
      </c>
      <c r="BD62" s="662" t="e">
        <f>INDEX('Barge Gauging Data'!$B$26:$V$56,MATCH($C62,'Barge Gauging Data'!$B$26:$B$56,0),$BD$18)</f>
        <v>#N/A</v>
      </c>
      <c r="BE62" s="662" t="e">
        <f>INDEX('Barge Gauging Data'!$B$26:$V$56,MATCH($C62,'Barge Gauging Data'!$B$26:$B$56,0),$BE$18)</f>
        <v>#N/A</v>
      </c>
    </row>
    <row r="63" spans="1:57" hidden="1">
      <c r="A63" s="641" t="str">
        <f t="shared" si="37"/>
        <v>N</v>
      </c>
      <c r="C63" s="235" t="str">
        <f t="array" ref="C63">IF(OR($E$44="",SUMPRODUCT(('Barge Gauging Data'!$C$27:$C$56=$E$44)*('Barge Gauging Data'!$D$27:$D$56=NOMY))&lt;ROWS($C$45:$C63)),"",INDEX('Barge Gauging Data'!$B$27:$B$56,SMALL(IF(('Barge Gauging Data'!$C$27:$C$56=$E$44)+('Barge Gauging Data'!$D$27:$D$56=NOMY)=2,ROW('Barge Gauging Data'!$B$27:$B$56)-ROW('Barge Gauging Data'!$C$26)),ROW()-ROW(C$44))))</f>
        <v/>
      </c>
      <c r="D63" s="211" t="str">
        <f>IF(OR($C63="",$C63=0),"",INDEX('Barge Gauging Data'!$B$26:$V$56,MATCH($C63,'Barge Gauging Data'!$B$27:$B$56,0)+1,2))</f>
        <v/>
      </c>
      <c r="E63" s="1016" t="str">
        <f t="shared" si="38"/>
        <v/>
      </c>
      <c r="F63" s="1016" t="str">
        <f t="shared" si="39"/>
        <v/>
      </c>
      <c r="G63" s="1016" t="str">
        <f t="shared" si="40"/>
        <v/>
      </c>
      <c r="H63" s="1016" t="str">
        <f t="shared" si="40"/>
        <v/>
      </c>
      <c r="I63" s="211" t="str">
        <f t="shared" si="41"/>
        <v/>
      </c>
      <c r="J63" s="1016" t="str">
        <f t="shared" si="42"/>
        <v/>
      </c>
      <c r="K63" s="213" t="str">
        <f t="shared" si="43"/>
        <v/>
      </c>
      <c r="L63" s="212" t="str">
        <f t="shared" si="44"/>
        <v/>
      </c>
      <c r="M63" s="1125" t="str">
        <f>IF(OR($C63="",$C63=0),"",INDEX(API1DENST_2,MATCH($C63,'Barge Gauging Data'!$B$27:$B$56,0),$AA$1))</f>
        <v/>
      </c>
      <c r="N63" s="212" t="str">
        <f t="shared" si="45"/>
        <v/>
      </c>
      <c r="O63" s="1016" t="str">
        <f t="shared" si="46"/>
        <v/>
      </c>
      <c r="P63" s="1125" t="str">
        <f t="shared" si="47"/>
        <v/>
      </c>
      <c r="Q63" s="1016" t="str">
        <f t="shared" si="48"/>
        <v/>
      </c>
      <c r="R63" s="214" t="str">
        <f t="shared" si="49"/>
        <v/>
      </c>
      <c r="S63" s="1125" t="str">
        <f t="shared" si="50"/>
        <v/>
      </c>
      <c r="T63" s="236" t="str">
        <f t="shared" si="51"/>
        <v/>
      </c>
      <c r="V63" s="642" t="e">
        <f>INDEX('Barge Gauging Data'!$B$26:$V$56,MATCH($C63,'Barge Gauging Data'!$B$26:$B$56,0),$V$18)</f>
        <v>#N/A</v>
      </c>
      <c r="W63" s="642" t="e">
        <f>INDEX('Barge Gauging Data'!$B$26:$V$56,MATCH($C63,'Barge Gauging Data'!$B$26:$B$56,0),$W$18)</f>
        <v>#N/A</v>
      </c>
      <c r="X63" s="642" t="e">
        <f>INDEX('Barge Gauging Data'!$B$26:$V$56,MATCH($C63,'Barge Gauging Data'!$B$26:$B$56,0),$X$18)</f>
        <v>#N/A</v>
      </c>
      <c r="Y63" s="642" t="e">
        <f>INDEX('Barge Gauging Data'!$B$26:$V$56,MATCH($C63,'Barge Gauging Data'!$B$26:$B$56,0),$Y$18)</f>
        <v>#N/A</v>
      </c>
      <c r="Z63" s="642" t="e">
        <f>INDEX('Barge Gauging Data'!$B$26:$V$56,MATCH($C63,'Barge Gauging Data'!$B$26:$B$56,0),$Z$18)</f>
        <v>#N/A</v>
      </c>
      <c r="AB63" s="642" t="e">
        <f>INDEX(API1DENST_2,MATCH($C63,'Barge Gauging Data'!$B$27:$B$56,0),1)</f>
        <v>#N/A</v>
      </c>
      <c r="AC63" s="642" t="e">
        <f t="shared" si="17"/>
        <v>#N/A</v>
      </c>
      <c r="AE63" s="661" t="e">
        <f t="shared" si="18"/>
        <v>#VALUE!</v>
      </c>
      <c r="AF63" s="661" t="e">
        <f t="shared" si="19"/>
        <v>#VALUE!</v>
      </c>
      <c r="AH63" s="662" t="str">
        <f t="shared" si="15"/>
        <v/>
      </c>
      <c r="AI63" s="662" t="str">
        <f t="shared" si="16"/>
        <v/>
      </c>
      <c r="AJ63" s="663">
        <f t="shared" si="20"/>
        <v>192.4571</v>
      </c>
      <c r="AK63" s="660">
        <f t="shared" si="21"/>
        <v>0.24379999999999999</v>
      </c>
      <c r="AL63" s="660" t="e">
        <f t="shared" si="22"/>
        <v>#VALUE!</v>
      </c>
      <c r="AM63" s="664" t="e">
        <f t="shared" si="23"/>
        <v>#VALUE!</v>
      </c>
      <c r="AN63" s="664" t="e">
        <f t="shared" si="24"/>
        <v>#VALUE!</v>
      </c>
      <c r="AO63" s="665" t="e">
        <f t="shared" si="25"/>
        <v>#VALUE!</v>
      </c>
      <c r="AP63" s="666" t="e">
        <f t="shared" si="26"/>
        <v>#VALUE!</v>
      </c>
      <c r="AQ63" s="660" t="e">
        <f t="shared" si="27"/>
        <v>#VALUE!</v>
      </c>
      <c r="AR63" s="667" t="e">
        <f t="shared" si="28"/>
        <v>#VALUE!</v>
      </c>
      <c r="AS63" s="667" t="e">
        <f t="shared" si="29"/>
        <v>#VALUE!</v>
      </c>
      <c r="AT63" s="668" t="e">
        <f t="shared" si="30"/>
        <v>#VALUE!</v>
      </c>
      <c r="AU63" s="667" t="e">
        <f t="shared" si="31"/>
        <v>#VALUE!</v>
      </c>
      <c r="AV63" s="669" t="e">
        <f t="shared" si="32"/>
        <v>#VALUE!</v>
      </c>
      <c r="AW63" s="667" t="e">
        <f t="shared" si="33"/>
        <v>#VALUE!</v>
      </c>
      <c r="AX63" s="667" t="e">
        <f t="shared" si="34"/>
        <v>#VALUE!</v>
      </c>
      <c r="AY63" s="660" t="e">
        <f t="shared" si="35"/>
        <v>#VALUE!</v>
      </c>
      <c r="AZ63" s="670" t="e">
        <f t="shared" si="36"/>
        <v>#VALUE!</v>
      </c>
      <c r="BB63" s="662" t="e">
        <f>INDEX('Barge Gauging Data'!$B$26:$V$56,MATCH($C63,'Barge Gauging Data'!$B$26:$B$56,0),$BB$18)</f>
        <v>#N/A</v>
      </c>
      <c r="BC63" s="662" t="e">
        <f>INDEX('Barge Gauging Data'!$B$26:$V$56,MATCH($C63,'Barge Gauging Data'!$B$26:$B$56,0),$BC$18)</f>
        <v>#N/A</v>
      </c>
      <c r="BD63" s="662" t="e">
        <f>INDEX('Barge Gauging Data'!$B$26:$V$56,MATCH($C63,'Barge Gauging Data'!$B$26:$B$56,0),$BD$18)</f>
        <v>#N/A</v>
      </c>
      <c r="BE63" s="662" t="e">
        <f>INDEX('Barge Gauging Data'!$B$26:$V$56,MATCH($C63,'Barge Gauging Data'!$B$26:$B$56,0),$BE$18)</f>
        <v>#N/A</v>
      </c>
    </row>
    <row r="64" spans="1:57" hidden="1">
      <c r="A64" s="641" t="str">
        <f t="shared" si="37"/>
        <v>N</v>
      </c>
      <c r="C64" s="237" t="str">
        <f t="array" ref="C64">IF(OR($E$44="",SUMPRODUCT(('Barge Gauging Data'!$C$27:$C$56=$E$44)*('Barge Gauging Data'!$D$27:$D$56=NOMY))&lt;ROWS($C$45:$C64)),"",INDEX('Barge Gauging Data'!$B$27:$B$56,SMALL(IF(('Barge Gauging Data'!$C$27:$C$56=$E$44)+('Barge Gauging Data'!$D$27:$D$56=NOMY)=2,ROW('Barge Gauging Data'!$B$27:$B$56)-ROW('Barge Gauging Data'!$C$26)),ROW()-ROW(C$44))))</f>
        <v/>
      </c>
      <c r="D64" s="238" t="str">
        <f>IF(OR($C64="",$C64=0),"",INDEX('Barge Gauging Data'!$B$26:$V$56,MATCH($C64,'Barge Gauging Data'!$B$27:$B$56,0)+1,2))</f>
        <v/>
      </c>
      <c r="E64" s="1017" t="str">
        <f t="shared" si="38"/>
        <v/>
      </c>
      <c r="F64" s="1017" t="str">
        <f t="shared" si="39"/>
        <v/>
      </c>
      <c r="G64" s="1017" t="str">
        <f t="shared" si="40"/>
        <v/>
      </c>
      <c r="H64" s="1017" t="str">
        <f t="shared" si="40"/>
        <v/>
      </c>
      <c r="I64" s="238" t="str">
        <f t="shared" si="41"/>
        <v/>
      </c>
      <c r="J64" s="1017" t="str">
        <f t="shared" si="42"/>
        <v/>
      </c>
      <c r="K64" s="240" t="str">
        <f t="shared" si="43"/>
        <v/>
      </c>
      <c r="L64" s="239" t="str">
        <f t="shared" si="44"/>
        <v/>
      </c>
      <c r="M64" s="1126" t="str">
        <f>IF(OR($C64="",$C64=0),"",INDEX(API1DENST_2,MATCH($C64,'Barge Gauging Data'!$B$27:$B$56,0),$AA$1))</f>
        <v/>
      </c>
      <c r="N64" s="239" t="str">
        <f t="shared" si="45"/>
        <v/>
      </c>
      <c r="O64" s="1017" t="str">
        <f t="shared" si="46"/>
        <v/>
      </c>
      <c r="P64" s="1126" t="str">
        <f t="shared" si="47"/>
        <v/>
      </c>
      <c r="Q64" s="1017" t="str">
        <f t="shared" si="48"/>
        <v/>
      </c>
      <c r="R64" s="241" t="str">
        <f t="shared" si="49"/>
        <v/>
      </c>
      <c r="S64" s="1126" t="str">
        <f t="shared" si="50"/>
        <v/>
      </c>
      <c r="T64" s="242" t="str">
        <f t="shared" si="51"/>
        <v/>
      </c>
      <c r="V64" s="642" t="e">
        <f>INDEX('Barge Gauging Data'!$B$26:$V$56,MATCH($C64,'Barge Gauging Data'!$B$26:$B$56,0),$V$18)</f>
        <v>#N/A</v>
      </c>
      <c r="W64" s="642" t="e">
        <f>INDEX('Barge Gauging Data'!$B$26:$V$56,MATCH($C64,'Barge Gauging Data'!$B$26:$B$56,0),$W$18)</f>
        <v>#N/A</v>
      </c>
      <c r="X64" s="642" t="e">
        <f>INDEX('Barge Gauging Data'!$B$26:$V$56,MATCH($C64,'Barge Gauging Data'!$B$26:$B$56,0),$X$18)</f>
        <v>#N/A</v>
      </c>
      <c r="Y64" s="642" t="e">
        <f>INDEX('Barge Gauging Data'!$B$26:$V$56,MATCH($C64,'Barge Gauging Data'!$B$26:$B$56,0),$Y$18)</f>
        <v>#N/A</v>
      </c>
      <c r="Z64" s="642" t="e">
        <f>INDEX('Barge Gauging Data'!$B$26:$V$56,MATCH($C64,'Barge Gauging Data'!$B$26:$B$56,0),$Z$18)</f>
        <v>#N/A</v>
      </c>
      <c r="AB64" s="642" t="e">
        <f>INDEX(API1DENST_2,MATCH($C64,'Barge Gauging Data'!$B$27:$B$56,0),1)</f>
        <v>#N/A</v>
      </c>
      <c r="AC64" s="642" t="e">
        <f t="shared" si="17"/>
        <v>#N/A</v>
      </c>
      <c r="AE64" s="661" t="e">
        <f t="shared" si="18"/>
        <v>#VALUE!</v>
      </c>
      <c r="AF64" s="661" t="e">
        <f t="shared" si="19"/>
        <v>#VALUE!</v>
      </c>
      <c r="AH64" s="662" t="str">
        <f t="shared" si="15"/>
        <v/>
      </c>
      <c r="AI64" s="662" t="str">
        <f t="shared" si="16"/>
        <v/>
      </c>
      <c r="AJ64" s="663">
        <f t="shared" si="20"/>
        <v>192.4571</v>
      </c>
      <c r="AK64" s="660">
        <f t="shared" si="21"/>
        <v>0.24379999999999999</v>
      </c>
      <c r="AL64" s="660" t="e">
        <f t="shared" si="22"/>
        <v>#VALUE!</v>
      </c>
      <c r="AM64" s="664" t="e">
        <f t="shared" si="23"/>
        <v>#VALUE!</v>
      </c>
      <c r="AN64" s="664" t="e">
        <f t="shared" si="24"/>
        <v>#VALUE!</v>
      </c>
      <c r="AO64" s="665" t="e">
        <f t="shared" si="25"/>
        <v>#VALUE!</v>
      </c>
      <c r="AP64" s="666" t="e">
        <f t="shared" si="26"/>
        <v>#VALUE!</v>
      </c>
      <c r="AQ64" s="660" t="e">
        <f t="shared" si="27"/>
        <v>#VALUE!</v>
      </c>
      <c r="AR64" s="667" t="e">
        <f t="shared" si="28"/>
        <v>#VALUE!</v>
      </c>
      <c r="AS64" s="667" t="e">
        <f t="shared" si="29"/>
        <v>#VALUE!</v>
      </c>
      <c r="AT64" s="668" t="e">
        <f t="shared" si="30"/>
        <v>#VALUE!</v>
      </c>
      <c r="AU64" s="667" t="e">
        <f t="shared" si="31"/>
        <v>#VALUE!</v>
      </c>
      <c r="AV64" s="669" t="e">
        <f t="shared" si="32"/>
        <v>#VALUE!</v>
      </c>
      <c r="AW64" s="667" t="e">
        <f t="shared" si="33"/>
        <v>#VALUE!</v>
      </c>
      <c r="AX64" s="667" t="e">
        <f t="shared" si="34"/>
        <v>#VALUE!</v>
      </c>
      <c r="AY64" s="660" t="e">
        <f t="shared" si="35"/>
        <v>#VALUE!</v>
      </c>
      <c r="AZ64" s="670" t="e">
        <f t="shared" si="36"/>
        <v>#VALUE!</v>
      </c>
      <c r="BB64" s="662" t="e">
        <f>INDEX('Barge Gauging Data'!$B$26:$V$56,MATCH($C64,'Barge Gauging Data'!$B$26:$B$56,0),$BB$18)</f>
        <v>#N/A</v>
      </c>
      <c r="BC64" s="662" t="e">
        <f>INDEX('Barge Gauging Data'!$B$26:$V$56,MATCH($C64,'Barge Gauging Data'!$B$26:$B$56,0),$BC$18)</f>
        <v>#N/A</v>
      </c>
      <c r="BD64" s="662" t="e">
        <f>INDEX('Barge Gauging Data'!$B$26:$V$56,MATCH($C64,'Barge Gauging Data'!$B$26:$B$56,0),$BD$18)</f>
        <v>#N/A</v>
      </c>
      <c r="BE64" s="662" t="e">
        <f>INDEX('Barge Gauging Data'!$B$26:$V$56,MATCH($C64,'Barge Gauging Data'!$B$26:$B$56,0),$BE$18)</f>
        <v>#N/A</v>
      </c>
    </row>
    <row r="65" spans="1:57" hidden="1">
      <c r="A65" s="641" t="str">
        <f>A44</f>
        <v>N</v>
      </c>
      <c r="C65" s="671"/>
      <c r="D65" s="671"/>
      <c r="E65" s="672"/>
      <c r="F65" s="672"/>
      <c r="G65" s="672"/>
      <c r="H65" s="1501"/>
      <c r="I65" s="671"/>
      <c r="J65" s="672"/>
      <c r="K65" s="673"/>
      <c r="L65" s="672"/>
      <c r="M65" s="674"/>
      <c r="N65" s="672"/>
      <c r="O65" s="672"/>
      <c r="P65" s="1127"/>
      <c r="Q65" s="672"/>
      <c r="R65" s="675"/>
      <c r="S65" s="1137" t="s">
        <v>401</v>
      </c>
      <c r="T65" s="619">
        <f>SUM(T45:T64)</f>
        <v>250.26800000000003</v>
      </c>
      <c r="V65" s="619">
        <f>SUM(Q45:Q64)</f>
        <v>272.178</v>
      </c>
      <c r="W65" s="619">
        <f>SUM(R45:R64)</f>
        <v>250.56599999999997</v>
      </c>
      <c r="X65" s="719"/>
      <c r="Y65" s="719"/>
      <c r="Z65" s="719"/>
      <c r="AA65" s="676"/>
      <c r="AB65" s="719"/>
      <c r="AC65" s="719"/>
      <c r="AD65" s="676"/>
      <c r="AE65" s="720"/>
      <c r="AF65" s="720"/>
      <c r="AG65" s="676"/>
      <c r="AH65" s="721"/>
      <c r="AI65" s="721"/>
      <c r="AJ65" s="722"/>
      <c r="AK65" s="723"/>
      <c r="AL65" s="723"/>
      <c r="AM65" s="724"/>
      <c r="AN65" s="724"/>
      <c r="AO65" s="725"/>
      <c r="AP65" s="726"/>
      <c r="AQ65" s="723"/>
      <c r="AR65" s="727"/>
      <c r="AS65" s="727"/>
      <c r="AT65" s="728"/>
      <c r="AU65" s="727"/>
      <c r="AV65" s="729"/>
      <c r="AW65" s="727"/>
      <c r="AX65" s="727"/>
      <c r="AY65" s="723"/>
      <c r="AZ65" s="730"/>
      <c r="BA65" s="676"/>
      <c r="BB65" s="721"/>
      <c r="BC65" s="721"/>
      <c r="BD65" s="721"/>
      <c r="BE65" s="721"/>
    </row>
    <row r="66" spans="1:57" s="702" customFormat="1" ht="5.25" hidden="1">
      <c r="A66" s="702" t="str">
        <f>IF(A67="N",A67,IF(COUNTIF($A$21:$A64,"Y")&gt;0,A67,"N"))</f>
        <v>N</v>
      </c>
      <c r="C66" s="704"/>
      <c r="D66" s="704"/>
      <c r="E66" s="704"/>
      <c r="F66" s="704"/>
      <c r="G66" s="704"/>
      <c r="H66" s="704"/>
      <c r="I66" s="704"/>
      <c r="J66" s="705"/>
      <c r="K66" s="705"/>
      <c r="L66" s="705"/>
      <c r="M66" s="705"/>
      <c r="N66" s="705"/>
      <c r="O66" s="705"/>
      <c r="P66" s="1128"/>
      <c r="Q66" s="705"/>
      <c r="R66" s="705"/>
      <c r="S66" s="1136"/>
      <c r="T66" s="706"/>
      <c r="V66" s="707"/>
      <c r="W66" s="707"/>
      <c r="X66" s="707"/>
      <c r="Y66" s="707"/>
      <c r="Z66" s="707"/>
      <c r="AA66" s="707"/>
      <c r="AB66" s="707"/>
      <c r="AC66" s="707"/>
      <c r="AD66" s="707"/>
      <c r="AE66" s="708"/>
      <c r="AF66" s="708"/>
      <c r="AG66" s="707"/>
      <c r="AH66" s="709"/>
      <c r="AI66" s="709"/>
      <c r="AJ66" s="710"/>
      <c r="AK66" s="711"/>
      <c r="AL66" s="711"/>
      <c r="AM66" s="712"/>
      <c r="AN66" s="712"/>
      <c r="AO66" s="713"/>
      <c r="AP66" s="714"/>
      <c r="AQ66" s="711"/>
      <c r="AR66" s="715"/>
      <c r="AS66" s="715"/>
      <c r="AT66" s="716"/>
      <c r="AU66" s="715"/>
      <c r="AV66" s="717"/>
      <c r="AW66" s="715"/>
      <c r="AX66" s="715"/>
      <c r="AY66" s="711"/>
      <c r="AZ66" s="718"/>
      <c r="BA66" s="707"/>
      <c r="BB66" s="709"/>
      <c r="BC66" s="709"/>
      <c r="BD66" s="709"/>
      <c r="BE66" s="709"/>
    </row>
    <row r="67" spans="1:57" ht="15.75" hidden="1">
      <c r="A67" s="641" t="str">
        <f>A68</f>
        <v>N</v>
      </c>
      <c r="B67" s="641">
        <v>3</v>
      </c>
      <c r="C67" s="2797" t="s">
        <v>163</v>
      </c>
      <c r="D67" s="2798"/>
      <c r="E67" s="2799" t="str">
        <f>'Preliminary Report'!G1</f>
        <v>MDO</v>
      </c>
      <c r="F67" s="2800"/>
      <c r="G67" s="2800"/>
      <c r="H67" s="2824"/>
      <c r="I67" s="2801"/>
      <c r="J67" s="698"/>
      <c r="K67" s="699"/>
      <c r="L67" s="700"/>
      <c r="M67" s="699"/>
      <c r="N67" s="699"/>
      <c r="O67" s="700"/>
      <c r="P67" s="1129"/>
      <c r="Q67" s="700"/>
      <c r="R67" s="701"/>
      <c r="S67" s="1129"/>
      <c r="T67" s="701"/>
      <c r="V67" s="731"/>
      <c r="W67" s="731"/>
      <c r="X67" s="731"/>
      <c r="Y67" s="731"/>
      <c r="Z67" s="731"/>
      <c r="AA67" s="676"/>
      <c r="AB67" s="731"/>
      <c r="AC67" s="731"/>
      <c r="AD67" s="676"/>
      <c r="AE67" s="732"/>
      <c r="AF67" s="732"/>
      <c r="AG67" s="676"/>
      <c r="AH67" s="733"/>
      <c r="AI67" s="733"/>
      <c r="AJ67" s="734"/>
      <c r="AK67" s="735"/>
      <c r="AL67" s="735"/>
      <c r="AM67" s="736"/>
      <c r="AN67" s="736"/>
      <c r="AO67" s="737"/>
      <c r="AP67" s="738"/>
      <c r="AQ67" s="735"/>
      <c r="AR67" s="739"/>
      <c r="AS67" s="739"/>
      <c r="AT67" s="740"/>
      <c r="AU67" s="739"/>
      <c r="AV67" s="741"/>
      <c r="AW67" s="739"/>
      <c r="AX67" s="739"/>
      <c r="AY67" s="735"/>
      <c r="AZ67" s="742"/>
      <c r="BA67" s="676"/>
      <c r="BB67" s="733"/>
      <c r="BC67" s="733"/>
      <c r="BD67" s="733"/>
      <c r="BE67" s="733"/>
    </row>
    <row r="68" spans="1:57" hidden="1">
      <c r="A68" s="641" t="str">
        <f t="shared" ref="A68:A87" si="52">IF(C68="","N",IF(ISERROR(MATCH($E$67,IF($Z$1=1,GRADESLIST,IF($Z$1=2,RESIDUALS,DISTILLATES)),0)),"N","Y"))</f>
        <v>N</v>
      </c>
      <c r="C68" s="622" t="str">
        <f t="array" ref="C68">IF(OR($E$67="",SUMPRODUCT(('Barge Gauging Data'!$C$27:$C$56=$E$67)*('Barge Gauging Data'!$D$27:$D$56=NOMY))&lt;ROWS($C$68:$C68)),"",INDEX('Barge Gauging Data'!$B$27:$B$56,SMALL(IF(('Barge Gauging Data'!$C$27:$C$56=$E$67)+('Barge Gauging Data'!$D$27:$D$56=NOMY)=2,ROW('Barge Gauging Data'!$B$27:$B$56)-ROW('Barge Gauging Data'!$C$26)),ROW()-ROW(C$67))))</f>
        <v/>
      </c>
      <c r="D68" s="623" t="str">
        <f>IF(OR($C68="",$C68=0),"",INDEX('Barge Gauging Data'!$B$26:$V$56,MATCH($C68,'Barge Gauging Data'!$B$27:$B$56,0)+1,2))</f>
        <v/>
      </c>
      <c r="E68" s="1018" t="str">
        <f t="shared" ref="E68:E87" si="53">IF(ISERROR(V68),"",IF(OR($C68="",$C68=0),"",IF(ISTEXT(V68),V68,IF($AB$1=1,V68*UNITOR_2,INT(V68*UNITOR_2)&amp;"'-"&amp;TRIM(TEXT(ROUND(MOD(V68*UNITOR_2,1)*12,1),"# ???/???"))&amp;""""))))</f>
        <v/>
      </c>
      <c r="F68" s="1018" t="str">
        <f t="shared" ref="F68:F87" si="54">IF(ISERROR(W68),"",IF(OR($C68="",$C68=0),"",IF(ISTEXT(W68),W68,IF($AB$1=1,W68*UNITOR_2,INT(W68*UNITOR_2)&amp;"'-"&amp;TRIM(TEXT(ROUND(MOD(W68*UNITOR_2,1)*12,1),"# ???/???"))&amp;""""))))</f>
        <v/>
      </c>
      <c r="G68" s="1018" t="str">
        <f t="shared" ref="G68:H87" si="55">IF(ISERROR(X68),"",IF(OR($C68="",$C68=0),"",IF(ISTEXT(X68),X68,IF($AB$1=1,X68*UNITOR_2,INT(X68*UNITOR_2)&amp;"'-"&amp;TRIM(TEXT(ROUND(MOD(X68*UNITOR_2,1)*12,1),"# ???/???"))&amp;""""))))</f>
        <v/>
      </c>
      <c r="H68" s="1018" t="str">
        <f t="shared" si="55"/>
        <v/>
      </c>
      <c r="I68" s="623" t="str">
        <f t="shared" ref="I68:I87" si="56">IF(ISERROR($BB68),"",IF(OR($C68="",$C68=0,$BB68=0),"",$BB68))</f>
        <v/>
      </c>
      <c r="J68" s="1016" t="str">
        <f t="shared" ref="J68:J87" si="57">IF(ISERROR($BC68),"",IF(OR($C68="",$C68=0,$BC68=""),"",IF(ISTEXT($BC68),$BC68,$BC68*IF($AA$1=B1SEL_2,1,IF($AA$1=2,FBBLS,1/FBBLS)))))</f>
        <v/>
      </c>
      <c r="K68" s="213" t="str">
        <f t="shared" ref="K68:K87" si="58">IF(ISERROR($BD68),"",IF(OR($C68="",$C68=0,$BD68=""),0,IF(ISTEXT($BD68),$BD68,$BD68*IF($AB$1=W1SEL_2,1,IF($AB$1=2,FINCH,1/FINCH)))))</f>
        <v/>
      </c>
      <c r="L68" s="212" t="str">
        <f t="shared" ref="L68:L87" si="59">IF(ISERROR($BE68),"",IF(OR($C68="",$C68=0,$BE68=""),0,IF(ISTEXT($BE68),$BE68,$BE68*IF($AA$1=B1SEL_2,1,IF($AA$1=2,FBBLS,1/FBBLS)))))</f>
        <v/>
      </c>
      <c r="M68" s="1125" t="str">
        <f>IF(OR($C68="",$C68=0),"",INDEX(API1DENST_2,MATCH($C68,'Barge Gauging Data'!$B$27:$B$56,0),$AA$1))</f>
        <v/>
      </c>
      <c r="N68" s="212" t="str">
        <f t="shared" ref="N68:N87" si="60">IF(ISERROR(Z68),"",IF(OR($C68="",$C68=0,Z68=""),"",IF(ISTEXT(Z68),Z68,IF($AA$1=T1SEL_2,Z68,IF($AA$1=2,(Z68*9/5)+32,(Z68-32)*5/9)))))</f>
        <v/>
      </c>
      <c r="O68" s="1016" t="str">
        <f t="shared" ref="O68:O87" si="61">IF(OR(J68="",L68=""),"",IF(ISTEXT(J68),"N/A",IF(ISTEXT(L68),J68,J68-L68)))</f>
        <v/>
      </c>
      <c r="P68" s="1125" t="str">
        <f t="shared" ref="P68:P87" si="62">IF(OR(M68="",N68=""),"",IF(OR(ISTEXT(M68),ISTEXT(N68)),"N/A",IF($AA$1=1,ROUND(EXP(-AF68*(N68-15)*(1+0.8*AF68*(N68-15))),5),AZ68)))</f>
        <v/>
      </c>
      <c r="Q68" s="1016" t="str">
        <f t="shared" ref="Q68:Q87" si="63">IF(OR(M68="",N68=""),"",IF(OR(ISTEXT(M68),ISTEXT(N68)),"N/A",ROUND(O68*P68,3)))</f>
        <v/>
      </c>
      <c r="R68" s="214" t="str">
        <f t="shared" ref="R68:R87" si="64">IF(M68="","",IF($AA$1=1,IF(ISTEXT(Q68),"N/A",ROUND(Q68*M68,3)),IF(ISTEXT(T68),"N/A",ROUND(T68*AC68,3))))</f>
        <v/>
      </c>
      <c r="S68" s="1125" t="str">
        <f t="shared" ref="S68:S87" si="65">IF(M68="","",IF($AA$1=1,ROUND(M68-0.0011,5),ROUND((1.00122697*(141.5/(M68+131.5))-1.22269727*10^-3)*8.32823*42/2204.62,5+2)))</f>
        <v/>
      </c>
      <c r="T68" s="236" t="str">
        <f t="shared" ref="T68:T87" si="66">IF(OR(M68="",N68=""),"",IF(ISTEXT(Q68),"N/A",IF($AA$1=1,ROUND((Q68*(M68-0.0011)),3),ROUND(Q68*S68,3))))</f>
        <v/>
      </c>
      <c r="V68" s="642" t="e">
        <f>INDEX('Barge Gauging Data'!$B$26:$V$56,MATCH($C68,'Barge Gauging Data'!$B$26:$B$56,0),$V$18)</f>
        <v>#N/A</v>
      </c>
      <c r="W68" s="642" t="e">
        <f>INDEX('Barge Gauging Data'!$B$26:$V$56,MATCH($C68,'Barge Gauging Data'!$B$26:$B$56,0),$W$18)</f>
        <v>#N/A</v>
      </c>
      <c r="X68" s="642" t="e">
        <f>INDEX('Barge Gauging Data'!$B$26:$V$56,MATCH($C68,'Barge Gauging Data'!$B$26:$B$56,0),$X$18)</f>
        <v>#N/A</v>
      </c>
      <c r="Y68" s="642" t="e">
        <f>INDEX('Barge Gauging Data'!$B$26:$V$56,MATCH($C68,'Barge Gauging Data'!$B$26:$B$56,0),$Y$18)</f>
        <v>#N/A</v>
      </c>
      <c r="Z68" s="642" t="e">
        <f>INDEX('Barge Gauging Data'!$B$26:$V$56,MATCH($C68,'Barge Gauging Data'!$B$26:$B$56,0),$Z$18)</f>
        <v>#N/A</v>
      </c>
      <c r="AB68" s="642" t="e">
        <f>INDEX(API1DENST_2,MATCH($C68,'Barge Gauging Data'!$B$27:$B$56,0),1)</f>
        <v>#N/A</v>
      </c>
      <c r="AC68" s="642" t="e">
        <f t="shared" si="17"/>
        <v>#N/A</v>
      </c>
      <c r="AE68" s="661" t="e">
        <f t="shared" si="18"/>
        <v>#VALUE!</v>
      </c>
      <c r="AF68" s="661" t="e">
        <f t="shared" si="19"/>
        <v>#VALUE!</v>
      </c>
      <c r="AH68" s="662" t="str">
        <f t="shared" si="15"/>
        <v/>
      </c>
      <c r="AI68" s="662" t="str">
        <f t="shared" si="16"/>
        <v/>
      </c>
      <c r="AJ68" s="663">
        <f t="shared" si="20"/>
        <v>192.4571</v>
      </c>
      <c r="AK68" s="660">
        <f t="shared" si="21"/>
        <v>0.24379999999999999</v>
      </c>
      <c r="AL68" s="660" t="e">
        <f t="shared" si="22"/>
        <v>#VALUE!</v>
      </c>
      <c r="AM68" s="664" t="e">
        <f t="shared" si="23"/>
        <v>#VALUE!</v>
      </c>
      <c r="AN68" s="664" t="e">
        <f t="shared" si="24"/>
        <v>#VALUE!</v>
      </c>
      <c r="AO68" s="665" t="e">
        <f t="shared" si="25"/>
        <v>#VALUE!</v>
      </c>
      <c r="AP68" s="666" t="e">
        <f t="shared" si="26"/>
        <v>#VALUE!</v>
      </c>
      <c r="AQ68" s="660" t="e">
        <f t="shared" si="27"/>
        <v>#VALUE!</v>
      </c>
      <c r="AR68" s="667" t="e">
        <f t="shared" si="28"/>
        <v>#VALUE!</v>
      </c>
      <c r="AS68" s="667" t="e">
        <f t="shared" si="29"/>
        <v>#VALUE!</v>
      </c>
      <c r="AT68" s="668" t="e">
        <f t="shared" si="30"/>
        <v>#VALUE!</v>
      </c>
      <c r="AU68" s="667" t="e">
        <f t="shared" si="31"/>
        <v>#VALUE!</v>
      </c>
      <c r="AV68" s="669" t="e">
        <f t="shared" si="32"/>
        <v>#VALUE!</v>
      </c>
      <c r="AW68" s="667" t="e">
        <f t="shared" si="33"/>
        <v>#VALUE!</v>
      </c>
      <c r="AX68" s="667" t="e">
        <f t="shared" si="34"/>
        <v>#VALUE!</v>
      </c>
      <c r="AY68" s="660" t="e">
        <f t="shared" si="35"/>
        <v>#VALUE!</v>
      </c>
      <c r="AZ68" s="670" t="e">
        <f t="shared" si="36"/>
        <v>#VALUE!</v>
      </c>
      <c r="BB68" s="662" t="e">
        <f>INDEX('Barge Gauging Data'!$B$26:$V$56,MATCH($C68,'Barge Gauging Data'!$B$26:$B$56,0),$BB$18)</f>
        <v>#N/A</v>
      </c>
      <c r="BC68" s="662" t="e">
        <f>INDEX('Barge Gauging Data'!$B$26:$V$56,MATCH($C68,'Barge Gauging Data'!$B$26:$B$56,0),$BC$18)</f>
        <v>#N/A</v>
      </c>
      <c r="BD68" s="662" t="e">
        <f>INDEX('Barge Gauging Data'!$B$26:$V$56,MATCH($C68,'Barge Gauging Data'!$B$26:$B$56,0),$BD$18)</f>
        <v>#N/A</v>
      </c>
      <c r="BE68" s="662" t="e">
        <f>INDEX('Barge Gauging Data'!$B$26:$V$56,MATCH($C68,'Barge Gauging Data'!$B$26:$B$56,0),$BE$18)</f>
        <v>#N/A</v>
      </c>
    </row>
    <row r="69" spans="1:57" hidden="1">
      <c r="A69" s="641" t="str">
        <f t="shared" si="52"/>
        <v>N</v>
      </c>
      <c r="C69" s="235" t="str">
        <f t="array" ref="C69">IF(OR($E$67="",SUMPRODUCT(('Barge Gauging Data'!$C$27:$C$56=$E$67)*('Barge Gauging Data'!$D$27:$D$56=NOMY))&lt;ROWS($C$68:$C69)),"",INDEX('Barge Gauging Data'!$B$27:$B$56,SMALL(IF(('Barge Gauging Data'!$C$27:$C$56=$E$67)+('Barge Gauging Data'!$D$27:$D$56=NOMY)=2,ROW('Barge Gauging Data'!$B$27:$B$56)-ROW('Barge Gauging Data'!$C$26)),ROW()-ROW(C$67))))</f>
        <v/>
      </c>
      <c r="D69" s="211" t="str">
        <f>IF(OR($C69="",$C69=0),"",INDEX('Barge Gauging Data'!$B$26:$V$56,MATCH($C69,'Barge Gauging Data'!$B$27:$B$56,0)+1,2))</f>
        <v/>
      </c>
      <c r="E69" s="1016" t="str">
        <f t="shared" si="53"/>
        <v/>
      </c>
      <c r="F69" s="1016" t="str">
        <f t="shared" si="54"/>
        <v/>
      </c>
      <c r="G69" s="1016" t="str">
        <f t="shared" si="55"/>
        <v/>
      </c>
      <c r="H69" s="1016" t="str">
        <f t="shared" si="55"/>
        <v/>
      </c>
      <c r="I69" s="211" t="str">
        <f t="shared" si="56"/>
        <v/>
      </c>
      <c r="J69" s="1016" t="str">
        <f t="shared" si="57"/>
        <v/>
      </c>
      <c r="K69" s="213" t="str">
        <f t="shared" si="58"/>
        <v/>
      </c>
      <c r="L69" s="212" t="str">
        <f t="shared" si="59"/>
        <v/>
      </c>
      <c r="M69" s="1125" t="str">
        <f>IF(OR($C69="",$C69=0),"",INDEX(API1DENST_2,MATCH($C69,'Barge Gauging Data'!$B$27:$B$56,0),$AA$1))</f>
        <v/>
      </c>
      <c r="N69" s="212" t="str">
        <f t="shared" si="60"/>
        <v/>
      </c>
      <c r="O69" s="1016" t="str">
        <f t="shared" si="61"/>
        <v/>
      </c>
      <c r="P69" s="1125" t="str">
        <f t="shared" si="62"/>
        <v/>
      </c>
      <c r="Q69" s="1016" t="str">
        <f t="shared" si="63"/>
        <v/>
      </c>
      <c r="R69" s="214" t="str">
        <f t="shared" si="64"/>
        <v/>
      </c>
      <c r="S69" s="1125" t="str">
        <f t="shared" si="65"/>
        <v/>
      </c>
      <c r="T69" s="236" t="str">
        <f t="shared" si="66"/>
        <v/>
      </c>
      <c r="V69" s="642" t="e">
        <f>INDEX('Barge Gauging Data'!$B$26:$V$56,MATCH($C69,'Barge Gauging Data'!$B$26:$B$56,0),$V$18)</f>
        <v>#N/A</v>
      </c>
      <c r="W69" s="642" t="e">
        <f>INDEX('Barge Gauging Data'!$B$26:$V$56,MATCH($C69,'Barge Gauging Data'!$B$26:$B$56,0),$W$18)</f>
        <v>#N/A</v>
      </c>
      <c r="X69" s="642" t="e">
        <f>INDEX('Barge Gauging Data'!$B$26:$V$56,MATCH($C69,'Barge Gauging Data'!$B$26:$B$56,0),$X$18)</f>
        <v>#N/A</v>
      </c>
      <c r="Y69" s="642" t="e">
        <f>INDEX('Barge Gauging Data'!$B$26:$V$56,MATCH($C69,'Barge Gauging Data'!$B$26:$B$56,0),$Y$18)</f>
        <v>#N/A</v>
      </c>
      <c r="Z69" s="642" t="e">
        <f>INDEX('Barge Gauging Data'!$B$26:$V$56,MATCH($C69,'Barge Gauging Data'!$B$26:$B$56,0),$Z$18)</f>
        <v>#N/A</v>
      </c>
      <c r="AB69" s="642" t="e">
        <f>INDEX(API1DENST_2,MATCH($C69,'Barge Gauging Data'!$B$27:$B$56,0),1)</f>
        <v>#N/A</v>
      </c>
      <c r="AC69" s="642" t="e">
        <f t="shared" si="17"/>
        <v>#N/A</v>
      </c>
      <c r="AE69" s="661" t="e">
        <f t="shared" si="18"/>
        <v>#VALUE!</v>
      </c>
      <c r="AF69" s="661" t="e">
        <f t="shared" si="19"/>
        <v>#VALUE!</v>
      </c>
      <c r="AH69" s="662" t="str">
        <f t="shared" si="15"/>
        <v/>
      </c>
      <c r="AI69" s="662" t="str">
        <f t="shared" si="16"/>
        <v/>
      </c>
      <c r="AJ69" s="663">
        <f t="shared" si="20"/>
        <v>192.4571</v>
      </c>
      <c r="AK69" s="660">
        <f t="shared" si="21"/>
        <v>0.24379999999999999</v>
      </c>
      <c r="AL69" s="660" t="e">
        <f t="shared" si="22"/>
        <v>#VALUE!</v>
      </c>
      <c r="AM69" s="664" t="e">
        <f t="shared" si="23"/>
        <v>#VALUE!</v>
      </c>
      <c r="AN69" s="664" t="e">
        <f t="shared" si="24"/>
        <v>#VALUE!</v>
      </c>
      <c r="AO69" s="665" t="e">
        <f t="shared" si="25"/>
        <v>#VALUE!</v>
      </c>
      <c r="AP69" s="666" t="e">
        <f t="shared" si="26"/>
        <v>#VALUE!</v>
      </c>
      <c r="AQ69" s="660" t="e">
        <f t="shared" si="27"/>
        <v>#VALUE!</v>
      </c>
      <c r="AR69" s="667" t="e">
        <f t="shared" si="28"/>
        <v>#VALUE!</v>
      </c>
      <c r="AS69" s="667" t="e">
        <f t="shared" si="29"/>
        <v>#VALUE!</v>
      </c>
      <c r="AT69" s="668" t="e">
        <f t="shared" si="30"/>
        <v>#VALUE!</v>
      </c>
      <c r="AU69" s="667" t="e">
        <f t="shared" si="31"/>
        <v>#VALUE!</v>
      </c>
      <c r="AV69" s="669" t="e">
        <f t="shared" si="32"/>
        <v>#VALUE!</v>
      </c>
      <c r="AW69" s="667" t="e">
        <f t="shared" si="33"/>
        <v>#VALUE!</v>
      </c>
      <c r="AX69" s="667" t="e">
        <f t="shared" si="34"/>
        <v>#VALUE!</v>
      </c>
      <c r="AY69" s="660" t="e">
        <f t="shared" si="35"/>
        <v>#VALUE!</v>
      </c>
      <c r="AZ69" s="670" t="e">
        <f t="shared" si="36"/>
        <v>#VALUE!</v>
      </c>
      <c r="BB69" s="662" t="e">
        <f>INDEX('Barge Gauging Data'!$B$26:$V$56,MATCH($C69,'Barge Gauging Data'!$B$26:$B$56,0),$BB$18)</f>
        <v>#N/A</v>
      </c>
      <c r="BC69" s="662" t="e">
        <f>INDEX('Barge Gauging Data'!$B$26:$V$56,MATCH($C69,'Barge Gauging Data'!$B$26:$B$56,0),$BC$18)</f>
        <v>#N/A</v>
      </c>
      <c r="BD69" s="662" t="e">
        <f>INDEX('Barge Gauging Data'!$B$26:$V$56,MATCH($C69,'Barge Gauging Data'!$B$26:$B$56,0),$BD$18)</f>
        <v>#N/A</v>
      </c>
      <c r="BE69" s="662" t="e">
        <f>INDEX('Barge Gauging Data'!$B$26:$V$56,MATCH($C69,'Barge Gauging Data'!$B$26:$B$56,0),$BE$18)</f>
        <v>#N/A</v>
      </c>
    </row>
    <row r="70" spans="1:57" hidden="1">
      <c r="A70" s="641" t="str">
        <f t="shared" si="52"/>
        <v>N</v>
      </c>
      <c r="C70" s="235" t="str">
        <f t="array" ref="C70">IF(OR($E$67="",SUMPRODUCT(('Barge Gauging Data'!$C$27:$C$56=$E$67)*('Barge Gauging Data'!$D$27:$D$56=NOMY))&lt;ROWS($C$68:$C70)),"",INDEX('Barge Gauging Data'!$B$27:$B$56,SMALL(IF(('Barge Gauging Data'!$C$27:$C$56=$E$67)+('Barge Gauging Data'!$D$27:$D$56=NOMY)=2,ROW('Barge Gauging Data'!$B$27:$B$56)-ROW('Barge Gauging Data'!$C$26)),ROW()-ROW(C$67))))</f>
        <v/>
      </c>
      <c r="D70" s="211" t="str">
        <f>IF(OR($C70="",$C70=0),"",INDEX('Barge Gauging Data'!$B$26:$V$56,MATCH($C70,'Barge Gauging Data'!$B$27:$B$56,0)+1,2))</f>
        <v/>
      </c>
      <c r="E70" s="1016" t="str">
        <f t="shared" si="53"/>
        <v/>
      </c>
      <c r="F70" s="1016" t="str">
        <f t="shared" si="54"/>
        <v/>
      </c>
      <c r="G70" s="1016" t="str">
        <f t="shared" si="55"/>
        <v/>
      </c>
      <c r="H70" s="1016" t="str">
        <f t="shared" si="55"/>
        <v/>
      </c>
      <c r="I70" s="211" t="str">
        <f t="shared" si="56"/>
        <v/>
      </c>
      <c r="J70" s="1016" t="str">
        <f t="shared" si="57"/>
        <v/>
      </c>
      <c r="K70" s="213" t="str">
        <f t="shared" si="58"/>
        <v/>
      </c>
      <c r="L70" s="212" t="str">
        <f t="shared" si="59"/>
        <v/>
      </c>
      <c r="M70" s="1125" t="str">
        <f>IF(OR($C70="",$C70=0),"",INDEX(API1DENST_2,MATCH($C70,'Barge Gauging Data'!$B$27:$B$56,0),$AA$1))</f>
        <v/>
      </c>
      <c r="N70" s="212" t="str">
        <f t="shared" si="60"/>
        <v/>
      </c>
      <c r="O70" s="1016" t="str">
        <f t="shared" si="61"/>
        <v/>
      </c>
      <c r="P70" s="1125" t="str">
        <f t="shared" si="62"/>
        <v/>
      </c>
      <c r="Q70" s="1016" t="str">
        <f t="shared" si="63"/>
        <v/>
      </c>
      <c r="R70" s="214" t="str">
        <f t="shared" si="64"/>
        <v/>
      </c>
      <c r="S70" s="1125" t="str">
        <f t="shared" si="65"/>
        <v/>
      </c>
      <c r="T70" s="236" t="str">
        <f t="shared" si="66"/>
        <v/>
      </c>
      <c r="V70" s="642" t="e">
        <f>INDEX('Barge Gauging Data'!$B$26:$V$56,MATCH($C70,'Barge Gauging Data'!$B$26:$B$56,0),$V$18)</f>
        <v>#N/A</v>
      </c>
      <c r="W70" s="642" t="e">
        <f>INDEX('Barge Gauging Data'!$B$26:$V$56,MATCH($C70,'Barge Gauging Data'!$B$26:$B$56,0),$W$18)</f>
        <v>#N/A</v>
      </c>
      <c r="X70" s="642" t="e">
        <f>INDEX('Barge Gauging Data'!$B$26:$V$56,MATCH($C70,'Barge Gauging Data'!$B$26:$B$56,0),$X$18)</f>
        <v>#N/A</v>
      </c>
      <c r="Y70" s="642" t="e">
        <f>INDEX('Barge Gauging Data'!$B$26:$V$56,MATCH($C70,'Barge Gauging Data'!$B$26:$B$56,0),$Y$18)</f>
        <v>#N/A</v>
      </c>
      <c r="Z70" s="642" t="e">
        <f>INDEX('Barge Gauging Data'!$B$26:$V$56,MATCH($C70,'Barge Gauging Data'!$B$26:$B$56,0),$Z$18)</f>
        <v>#N/A</v>
      </c>
      <c r="AB70" s="642" t="e">
        <f>INDEX(API1DENST_2,MATCH($C70,'Barge Gauging Data'!$B$27:$B$56,0),1)</f>
        <v>#N/A</v>
      </c>
      <c r="AC70" s="642" t="e">
        <f t="shared" si="17"/>
        <v>#N/A</v>
      </c>
      <c r="AE70" s="661" t="e">
        <f t="shared" si="18"/>
        <v>#VALUE!</v>
      </c>
      <c r="AF70" s="661" t="e">
        <f t="shared" si="19"/>
        <v>#VALUE!</v>
      </c>
      <c r="AH70" s="662" t="str">
        <f t="shared" si="15"/>
        <v/>
      </c>
      <c r="AI70" s="662" t="str">
        <f t="shared" si="16"/>
        <v/>
      </c>
      <c r="AJ70" s="663">
        <f t="shared" si="20"/>
        <v>192.4571</v>
      </c>
      <c r="AK70" s="660">
        <f t="shared" si="21"/>
        <v>0.24379999999999999</v>
      </c>
      <c r="AL70" s="660" t="e">
        <f t="shared" si="22"/>
        <v>#VALUE!</v>
      </c>
      <c r="AM70" s="664" t="e">
        <f t="shared" si="23"/>
        <v>#VALUE!</v>
      </c>
      <c r="AN70" s="664" t="e">
        <f t="shared" si="24"/>
        <v>#VALUE!</v>
      </c>
      <c r="AO70" s="665" t="e">
        <f t="shared" si="25"/>
        <v>#VALUE!</v>
      </c>
      <c r="AP70" s="666" t="e">
        <f t="shared" si="26"/>
        <v>#VALUE!</v>
      </c>
      <c r="AQ70" s="660" t="e">
        <f t="shared" si="27"/>
        <v>#VALUE!</v>
      </c>
      <c r="AR70" s="667" t="e">
        <f t="shared" si="28"/>
        <v>#VALUE!</v>
      </c>
      <c r="AS70" s="667" t="e">
        <f t="shared" si="29"/>
        <v>#VALUE!</v>
      </c>
      <c r="AT70" s="668" t="e">
        <f t="shared" si="30"/>
        <v>#VALUE!</v>
      </c>
      <c r="AU70" s="667" t="e">
        <f t="shared" si="31"/>
        <v>#VALUE!</v>
      </c>
      <c r="AV70" s="669" t="e">
        <f t="shared" si="32"/>
        <v>#VALUE!</v>
      </c>
      <c r="AW70" s="667" t="e">
        <f t="shared" si="33"/>
        <v>#VALUE!</v>
      </c>
      <c r="AX70" s="667" t="e">
        <f t="shared" si="34"/>
        <v>#VALUE!</v>
      </c>
      <c r="AY70" s="660" t="e">
        <f t="shared" si="35"/>
        <v>#VALUE!</v>
      </c>
      <c r="AZ70" s="670" t="e">
        <f t="shared" si="36"/>
        <v>#VALUE!</v>
      </c>
      <c r="BB70" s="662" t="e">
        <f>INDEX('Barge Gauging Data'!$B$26:$V$56,MATCH($C70,'Barge Gauging Data'!$B$26:$B$56,0),$BB$18)</f>
        <v>#N/A</v>
      </c>
      <c r="BC70" s="662" t="e">
        <f>INDEX('Barge Gauging Data'!$B$26:$V$56,MATCH($C70,'Barge Gauging Data'!$B$26:$B$56,0),$BC$18)</f>
        <v>#N/A</v>
      </c>
      <c r="BD70" s="662" t="e">
        <f>INDEX('Barge Gauging Data'!$B$26:$V$56,MATCH($C70,'Barge Gauging Data'!$B$26:$B$56,0),$BD$18)</f>
        <v>#N/A</v>
      </c>
      <c r="BE70" s="662" t="e">
        <f>INDEX('Barge Gauging Data'!$B$26:$V$56,MATCH($C70,'Barge Gauging Data'!$B$26:$B$56,0),$BE$18)</f>
        <v>#N/A</v>
      </c>
    </row>
    <row r="71" spans="1:57" hidden="1">
      <c r="A71" s="641" t="str">
        <f t="shared" si="52"/>
        <v>N</v>
      </c>
      <c r="C71" s="235" t="str">
        <f t="array" ref="C71">IF(OR($E$67="",SUMPRODUCT(('Barge Gauging Data'!$C$27:$C$56=$E$67)*('Barge Gauging Data'!$D$27:$D$56=NOMY))&lt;ROWS($C$68:$C71)),"",INDEX('Barge Gauging Data'!$B$27:$B$56,SMALL(IF(('Barge Gauging Data'!$C$27:$C$56=$E$67)+('Barge Gauging Data'!$D$27:$D$56=NOMY)=2,ROW('Barge Gauging Data'!$B$27:$B$56)-ROW('Barge Gauging Data'!$C$26)),ROW()-ROW(C$67))))</f>
        <v/>
      </c>
      <c r="D71" s="211" t="str">
        <f>IF(OR($C71="",$C71=0),"",INDEX('Barge Gauging Data'!$B$26:$V$56,MATCH($C71,'Barge Gauging Data'!$B$27:$B$56,0)+1,2))</f>
        <v/>
      </c>
      <c r="E71" s="1016" t="str">
        <f t="shared" si="53"/>
        <v/>
      </c>
      <c r="F71" s="1016" t="str">
        <f t="shared" si="54"/>
        <v/>
      </c>
      <c r="G71" s="1016" t="str">
        <f t="shared" si="55"/>
        <v/>
      </c>
      <c r="H71" s="1016" t="str">
        <f t="shared" si="55"/>
        <v/>
      </c>
      <c r="I71" s="211" t="str">
        <f t="shared" si="56"/>
        <v/>
      </c>
      <c r="J71" s="1016" t="str">
        <f t="shared" si="57"/>
        <v/>
      </c>
      <c r="K71" s="213" t="str">
        <f t="shared" si="58"/>
        <v/>
      </c>
      <c r="L71" s="212" t="str">
        <f t="shared" si="59"/>
        <v/>
      </c>
      <c r="M71" s="1125" t="str">
        <f>IF(OR($C71="",$C71=0),"",INDEX(API1DENST_2,MATCH($C71,'Barge Gauging Data'!$B$27:$B$56,0),$AA$1))</f>
        <v/>
      </c>
      <c r="N71" s="212" t="str">
        <f t="shared" si="60"/>
        <v/>
      </c>
      <c r="O71" s="1016" t="str">
        <f t="shared" si="61"/>
        <v/>
      </c>
      <c r="P71" s="1125" t="str">
        <f t="shared" si="62"/>
        <v/>
      </c>
      <c r="Q71" s="1016" t="str">
        <f t="shared" si="63"/>
        <v/>
      </c>
      <c r="R71" s="214" t="str">
        <f t="shared" si="64"/>
        <v/>
      </c>
      <c r="S71" s="1125" t="str">
        <f t="shared" si="65"/>
        <v/>
      </c>
      <c r="T71" s="236" t="str">
        <f t="shared" si="66"/>
        <v/>
      </c>
      <c r="V71" s="642" t="e">
        <f>INDEX('Barge Gauging Data'!$B$26:$V$56,MATCH($C71,'Barge Gauging Data'!$B$26:$B$56,0),$V$18)</f>
        <v>#N/A</v>
      </c>
      <c r="W71" s="642" t="e">
        <f>INDEX('Barge Gauging Data'!$B$26:$V$56,MATCH($C71,'Barge Gauging Data'!$B$26:$B$56,0),$W$18)</f>
        <v>#N/A</v>
      </c>
      <c r="X71" s="642" t="e">
        <f>INDEX('Barge Gauging Data'!$B$26:$V$56,MATCH($C71,'Barge Gauging Data'!$B$26:$B$56,0),$X$18)</f>
        <v>#N/A</v>
      </c>
      <c r="Y71" s="642" t="e">
        <f>INDEX('Barge Gauging Data'!$B$26:$V$56,MATCH($C71,'Barge Gauging Data'!$B$26:$B$56,0),$Y$18)</f>
        <v>#N/A</v>
      </c>
      <c r="Z71" s="642" t="e">
        <f>INDEX('Barge Gauging Data'!$B$26:$V$56,MATCH($C71,'Barge Gauging Data'!$B$26:$B$56,0),$Z$18)</f>
        <v>#N/A</v>
      </c>
      <c r="AB71" s="642" t="e">
        <f>INDEX(API1DENST_2,MATCH($C71,'Barge Gauging Data'!$B$27:$B$56,0),1)</f>
        <v>#N/A</v>
      </c>
      <c r="AC71" s="642" t="e">
        <f t="shared" si="17"/>
        <v>#N/A</v>
      </c>
      <c r="AE71" s="661" t="e">
        <f t="shared" si="18"/>
        <v>#VALUE!</v>
      </c>
      <c r="AF71" s="661" t="e">
        <f t="shared" si="19"/>
        <v>#VALUE!</v>
      </c>
      <c r="AH71" s="662" t="str">
        <f t="shared" si="15"/>
        <v/>
      </c>
      <c r="AI71" s="662" t="str">
        <f t="shared" si="16"/>
        <v/>
      </c>
      <c r="AJ71" s="663">
        <f t="shared" si="20"/>
        <v>192.4571</v>
      </c>
      <c r="AK71" s="660">
        <f t="shared" si="21"/>
        <v>0.24379999999999999</v>
      </c>
      <c r="AL71" s="660" t="e">
        <f t="shared" si="22"/>
        <v>#VALUE!</v>
      </c>
      <c r="AM71" s="664" t="e">
        <f t="shared" si="23"/>
        <v>#VALUE!</v>
      </c>
      <c r="AN71" s="664" t="e">
        <f t="shared" si="24"/>
        <v>#VALUE!</v>
      </c>
      <c r="AO71" s="665" t="e">
        <f t="shared" si="25"/>
        <v>#VALUE!</v>
      </c>
      <c r="AP71" s="666" t="e">
        <f t="shared" si="26"/>
        <v>#VALUE!</v>
      </c>
      <c r="AQ71" s="660" t="e">
        <f t="shared" si="27"/>
        <v>#VALUE!</v>
      </c>
      <c r="AR71" s="667" t="e">
        <f t="shared" si="28"/>
        <v>#VALUE!</v>
      </c>
      <c r="AS71" s="667" t="e">
        <f t="shared" si="29"/>
        <v>#VALUE!</v>
      </c>
      <c r="AT71" s="668" t="e">
        <f t="shared" si="30"/>
        <v>#VALUE!</v>
      </c>
      <c r="AU71" s="667" t="e">
        <f t="shared" si="31"/>
        <v>#VALUE!</v>
      </c>
      <c r="AV71" s="669" t="e">
        <f t="shared" si="32"/>
        <v>#VALUE!</v>
      </c>
      <c r="AW71" s="667" t="e">
        <f t="shared" si="33"/>
        <v>#VALUE!</v>
      </c>
      <c r="AX71" s="667" t="e">
        <f t="shared" si="34"/>
        <v>#VALUE!</v>
      </c>
      <c r="AY71" s="660" t="e">
        <f t="shared" si="35"/>
        <v>#VALUE!</v>
      </c>
      <c r="AZ71" s="670" t="e">
        <f t="shared" si="36"/>
        <v>#VALUE!</v>
      </c>
      <c r="BB71" s="662" t="e">
        <f>INDEX('Barge Gauging Data'!$B$26:$V$56,MATCH($C71,'Barge Gauging Data'!$B$26:$B$56,0),$BB$18)</f>
        <v>#N/A</v>
      </c>
      <c r="BC71" s="662" t="e">
        <f>INDEX('Barge Gauging Data'!$B$26:$V$56,MATCH($C71,'Barge Gauging Data'!$B$26:$B$56,0),$BC$18)</f>
        <v>#N/A</v>
      </c>
      <c r="BD71" s="662" t="e">
        <f>INDEX('Barge Gauging Data'!$B$26:$V$56,MATCH($C71,'Barge Gauging Data'!$B$26:$B$56,0),$BD$18)</f>
        <v>#N/A</v>
      </c>
      <c r="BE71" s="662" t="e">
        <f>INDEX('Barge Gauging Data'!$B$26:$V$56,MATCH($C71,'Barge Gauging Data'!$B$26:$B$56,0),$BE$18)</f>
        <v>#N/A</v>
      </c>
    </row>
    <row r="72" spans="1:57" hidden="1">
      <c r="A72" s="641" t="str">
        <f t="shared" si="52"/>
        <v>N</v>
      </c>
      <c r="C72" s="235" t="str">
        <f t="array" ref="C72">IF(OR($E$67="",SUMPRODUCT(('Barge Gauging Data'!$C$27:$C$56=$E$67)*('Barge Gauging Data'!$D$27:$D$56=NOMY))&lt;ROWS($C$68:$C72)),"",INDEX('Barge Gauging Data'!$B$27:$B$56,SMALL(IF(('Barge Gauging Data'!$C$27:$C$56=$E$67)+('Barge Gauging Data'!$D$27:$D$56=NOMY)=2,ROW('Barge Gauging Data'!$B$27:$B$56)-ROW('Barge Gauging Data'!$C$26)),ROW()-ROW(C$67))))</f>
        <v/>
      </c>
      <c r="D72" s="211" t="str">
        <f>IF(OR($C72="",$C72=0),"",INDEX('Barge Gauging Data'!$B$26:$V$56,MATCH($C72,'Barge Gauging Data'!$B$27:$B$56,0)+1,2))</f>
        <v/>
      </c>
      <c r="E72" s="1016" t="str">
        <f t="shared" si="53"/>
        <v/>
      </c>
      <c r="F72" s="1016" t="str">
        <f t="shared" si="54"/>
        <v/>
      </c>
      <c r="G72" s="1016" t="str">
        <f t="shared" si="55"/>
        <v/>
      </c>
      <c r="H72" s="1016" t="str">
        <f t="shared" si="55"/>
        <v/>
      </c>
      <c r="I72" s="211" t="str">
        <f t="shared" si="56"/>
        <v/>
      </c>
      <c r="J72" s="1016" t="str">
        <f t="shared" si="57"/>
        <v/>
      </c>
      <c r="K72" s="213" t="str">
        <f t="shared" si="58"/>
        <v/>
      </c>
      <c r="L72" s="212" t="str">
        <f t="shared" si="59"/>
        <v/>
      </c>
      <c r="M72" s="1125" t="str">
        <f>IF(OR($C72="",$C72=0),"",INDEX(API1DENST_2,MATCH($C72,'Barge Gauging Data'!$B$27:$B$56,0),$AA$1))</f>
        <v/>
      </c>
      <c r="N72" s="212" t="str">
        <f t="shared" si="60"/>
        <v/>
      </c>
      <c r="O72" s="1016" t="str">
        <f t="shared" si="61"/>
        <v/>
      </c>
      <c r="P72" s="1125" t="str">
        <f t="shared" si="62"/>
        <v/>
      </c>
      <c r="Q72" s="1016" t="str">
        <f t="shared" si="63"/>
        <v/>
      </c>
      <c r="R72" s="214" t="str">
        <f t="shared" si="64"/>
        <v/>
      </c>
      <c r="S72" s="1125" t="str">
        <f t="shared" si="65"/>
        <v/>
      </c>
      <c r="T72" s="236" t="str">
        <f t="shared" si="66"/>
        <v/>
      </c>
      <c r="V72" s="642" t="e">
        <f>INDEX('Barge Gauging Data'!$B$26:$V$56,MATCH($C72,'Barge Gauging Data'!$B$26:$B$56,0),$V$18)</f>
        <v>#N/A</v>
      </c>
      <c r="W72" s="642" t="e">
        <f>INDEX('Barge Gauging Data'!$B$26:$V$56,MATCH($C72,'Barge Gauging Data'!$B$26:$B$56,0),$W$18)</f>
        <v>#N/A</v>
      </c>
      <c r="X72" s="642" t="e">
        <f>INDEX('Barge Gauging Data'!$B$26:$V$56,MATCH($C72,'Barge Gauging Data'!$B$26:$B$56,0),$X$18)</f>
        <v>#N/A</v>
      </c>
      <c r="Y72" s="642" t="e">
        <f>INDEX('Barge Gauging Data'!$B$26:$V$56,MATCH($C72,'Barge Gauging Data'!$B$26:$B$56,0),$Y$18)</f>
        <v>#N/A</v>
      </c>
      <c r="Z72" s="642" t="e">
        <f>INDEX('Barge Gauging Data'!$B$26:$V$56,MATCH($C72,'Barge Gauging Data'!$B$26:$B$56,0),$Z$18)</f>
        <v>#N/A</v>
      </c>
      <c r="AB72" s="642" t="e">
        <f>INDEX(API1DENST_2,MATCH($C72,'Barge Gauging Data'!$B$27:$B$56,0),1)</f>
        <v>#N/A</v>
      </c>
      <c r="AC72" s="642" t="e">
        <f t="shared" si="17"/>
        <v>#N/A</v>
      </c>
      <c r="AE72" s="661" t="e">
        <f t="shared" si="18"/>
        <v>#VALUE!</v>
      </c>
      <c r="AF72" s="661" t="e">
        <f t="shared" si="19"/>
        <v>#VALUE!</v>
      </c>
      <c r="AH72" s="662" t="str">
        <f t="shared" si="15"/>
        <v/>
      </c>
      <c r="AI72" s="662" t="str">
        <f t="shared" si="16"/>
        <v/>
      </c>
      <c r="AJ72" s="663">
        <f t="shared" si="20"/>
        <v>192.4571</v>
      </c>
      <c r="AK72" s="660">
        <f t="shared" si="21"/>
        <v>0.24379999999999999</v>
      </c>
      <c r="AL72" s="660" t="e">
        <f t="shared" si="22"/>
        <v>#VALUE!</v>
      </c>
      <c r="AM72" s="664" t="e">
        <f t="shared" si="23"/>
        <v>#VALUE!</v>
      </c>
      <c r="AN72" s="664" t="e">
        <f t="shared" si="24"/>
        <v>#VALUE!</v>
      </c>
      <c r="AO72" s="665" t="e">
        <f t="shared" si="25"/>
        <v>#VALUE!</v>
      </c>
      <c r="AP72" s="666" t="e">
        <f t="shared" si="26"/>
        <v>#VALUE!</v>
      </c>
      <c r="AQ72" s="660" t="e">
        <f t="shared" si="27"/>
        <v>#VALUE!</v>
      </c>
      <c r="AR72" s="667" t="e">
        <f t="shared" si="28"/>
        <v>#VALUE!</v>
      </c>
      <c r="AS72" s="667" t="e">
        <f t="shared" si="29"/>
        <v>#VALUE!</v>
      </c>
      <c r="AT72" s="668" t="e">
        <f t="shared" si="30"/>
        <v>#VALUE!</v>
      </c>
      <c r="AU72" s="667" t="e">
        <f t="shared" si="31"/>
        <v>#VALUE!</v>
      </c>
      <c r="AV72" s="669" t="e">
        <f t="shared" si="32"/>
        <v>#VALUE!</v>
      </c>
      <c r="AW72" s="667" t="e">
        <f t="shared" si="33"/>
        <v>#VALUE!</v>
      </c>
      <c r="AX72" s="667" t="e">
        <f t="shared" si="34"/>
        <v>#VALUE!</v>
      </c>
      <c r="AY72" s="660" t="e">
        <f t="shared" si="35"/>
        <v>#VALUE!</v>
      </c>
      <c r="AZ72" s="670" t="e">
        <f t="shared" si="36"/>
        <v>#VALUE!</v>
      </c>
      <c r="BB72" s="662" t="e">
        <f>INDEX('Barge Gauging Data'!$B$26:$V$56,MATCH($C72,'Barge Gauging Data'!$B$26:$B$56,0),$BB$18)</f>
        <v>#N/A</v>
      </c>
      <c r="BC72" s="662" t="e">
        <f>INDEX('Barge Gauging Data'!$B$26:$V$56,MATCH($C72,'Barge Gauging Data'!$B$26:$B$56,0),$BC$18)</f>
        <v>#N/A</v>
      </c>
      <c r="BD72" s="662" t="e">
        <f>INDEX('Barge Gauging Data'!$B$26:$V$56,MATCH($C72,'Barge Gauging Data'!$B$26:$B$56,0),$BD$18)</f>
        <v>#N/A</v>
      </c>
      <c r="BE72" s="662" t="e">
        <f>INDEX('Barge Gauging Data'!$B$26:$V$56,MATCH($C72,'Barge Gauging Data'!$B$26:$B$56,0),$BE$18)</f>
        <v>#N/A</v>
      </c>
    </row>
    <row r="73" spans="1:57" hidden="1">
      <c r="A73" s="641" t="str">
        <f t="shared" si="52"/>
        <v>N</v>
      </c>
      <c r="C73" s="235" t="str">
        <f t="array" ref="C73">IF(OR($E$67="",SUMPRODUCT(('Barge Gauging Data'!$C$27:$C$56=$E$67)*('Barge Gauging Data'!$D$27:$D$56=NOMY))&lt;ROWS($C$68:$C73)),"",INDEX('Barge Gauging Data'!$B$27:$B$56,SMALL(IF(('Barge Gauging Data'!$C$27:$C$56=$E$67)+('Barge Gauging Data'!$D$27:$D$56=NOMY)=2,ROW('Barge Gauging Data'!$B$27:$B$56)-ROW('Barge Gauging Data'!$C$26)),ROW()-ROW(C$67))))</f>
        <v/>
      </c>
      <c r="D73" s="211" t="str">
        <f>IF(OR($C73="",$C73=0),"",INDEX('Barge Gauging Data'!$B$26:$V$56,MATCH($C73,'Barge Gauging Data'!$B$27:$B$56,0)+1,2))</f>
        <v/>
      </c>
      <c r="E73" s="1016" t="str">
        <f t="shared" si="53"/>
        <v/>
      </c>
      <c r="F73" s="1016" t="str">
        <f t="shared" si="54"/>
        <v/>
      </c>
      <c r="G73" s="1016" t="str">
        <f t="shared" si="55"/>
        <v/>
      </c>
      <c r="H73" s="1016" t="str">
        <f t="shared" si="55"/>
        <v/>
      </c>
      <c r="I73" s="211" t="str">
        <f t="shared" si="56"/>
        <v/>
      </c>
      <c r="J73" s="1016" t="str">
        <f t="shared" si="57"/>
        <v/>
      </c>
      <c r="K73" s="213" t="str">
        <f t="shared" si="58"/>
        <v/>
      </c>
      <c r="L73" s="212" t="str">
        <f t="shared" si="59"/>
        <v/>
      </c>
      <c r="M73" s="1125" t="str">
        <f>IF(OR($C73="",$C73=0),"",INDEX(API1DENST_2,MATCH($C73,'Barge Gauging Data'!$B$27:$B$56,0),$AA$1))</f>
        <v/>
      </c>
      <c r="N73" s="212" t="str">
        <f t="shared" si="60"/>
        <v/>
      </c>
      <c r="O73" s="1016" t="str">
        <f t="shared" si="61"/>
        <v/>
      </c>
      <c r="P73" s="1125" t="str">
        <f t="shared" si="62"/>
        <v/>
      </c>
      <c r="Q73" s="1016" t="str">
        <f t="shared" si="63"/>
        <v/>
      </c>
      <c r="R73" s="214" t="str">
        <f t="shared" si="64"/>
        <v/>
      </c>
      <c r="S73" s="1125" t="str">
        <f t="shared" si="65"/>
        <v/>
      </c>
      <c r="T73" s="236" t="str">
        <f t="shared" si="66"/>
        <v/>
      </c>
      <c r="V73" s="642" t="e">
        <f>INDEX('Barge Gauging Data'!$B$26:$V$56,MATCH($C73,'Barge Gauging Data'!$B$26:$B$56,0),$V$18)</f>
        <v>#N/A</v>
      </c>
      <c r="W73" s="642" t="e">
        <f>INDEX('Barge Gauging Data'!$B$26:$V$56,MATCH($C73,'Barge Gauging Data'!$B$26:$B$56,0),$W$18)</f>
        <v>#N/A</v>
      </c>
      <c r="X73" s="642" t="e">
        <f>INDEX('Barge Gauging Data'!$B$26:$V$56,MATCH($C73,'Barge Gauging Data'!$B$26:$B$56,0),$X$18)</f>
        <v>#N/A</v>
      </c>
      <c r="Y73" s="642" t="e">
        <f>INDEX('Barge Gauging Data'!$B$26:$V$56,MATCH($C73,'Barge Gauging Data'!$B$26:$B$56,0),$Y$18)</f>
        <v>#N/A</v>
      </c>
      <c r="Z73" s="642" t="e">
        <f>INDEX('Barge Gauging Data'!$B$26:$V$56,MATCH($C73,'Barge Gauging Data'!$B$26:$B$56,0),$Z$18)</f>
        <v>#N/A</v>
      </c>
      <c r="AB73" s="642" t="e">
        <f>INDEX(API1DENST_2,MATCH($C73,'Barge Gauging Data'!$B$27:$B$56,0),1)</f>
        <v>#N/A</v>
      </c>
      <c r="AC73" s="642" t="e">
        <f t="shared" si="17"/>
        <v>#N/A</v>
      </c>
      <c r="AE73" s="661" t="e">
        <f t="shared" si="18"/>
        <v>#VALUE!</v>
      </c>
      <c r="AF73" s="661" t="e">
        <f t="shared" si="19"/>
        <v>#VALUE!</v>
      </c>
      <c r="AH73" s="662" t="str">
        <f t="shared" si="15"/>
        <v/>
      </c>
      <c r="AI73" s="662" t="str">
        <f t="shared" si="16"/>
        <v/>
      </c>
      <c r="AJ73" s="663">
        <f t="shared" si="20"/>
        <v>192.4571</v>
      </c>
      <c r="AK73" s="660">
        <f t="shared" si="21"/>
        <v>0.24379999999999999</v>
      </c>
      <c r="AL73" s="660" t="e">
        <f t="shared" si="22"/>
        <v>#VALUE!</v>
      </c>
      <c r="AM73" s="664" t="e">
        <f t="shared" si="23"/>
        <v>#VALUE!</v>
      </c>
      <c r="AN73" s="664" t="e">
        <f t="shared" si="24"/>
        <v>#VALUE!</v>
      </c>
      <c r="AO73" s="665" t="e">
        <f t="shared" si="25"/>
        <v>#VALUE!</v>
      </c>
      <c r="AP73" s="666" t="e">
        <f t="shared" si="26"/>
        <v>#VALUE!</v>
      </c>
      <c r="AQ73" s="660" t="e">
        <f t="shared" si="27"/>
        <v>#VALUE!</v>
      </c>
      <c r="AR73" s="667" t="e">
        <f t="shared" si="28"/>
        <v>#VALUE!</v>
      </c>
      <c r="AS73" s="667" t="e">
        <f t="shared" si="29"/>
        <v>#VALUE!</v>
      </c>
      <c r="AT73" s="668" t="e">
        <f t="shared" si="30"/>
        <v>#VALUE!</v>
      </c>
      <c r="AU73" s="667" t="e">
        <f t="shared" si="31"/>
        <v>#VALUE!</v>
      </c>
      <c r="AV73" s="669" t="e">
        <f t="shared" si="32"/>
        <v>#VALUE!</v>
      </c>
      <c r="AW73" s="667" t="e">
        <f t="shared" si="33"/>
        <v>#VALUE!</v>
      </c>
      <c r="AX73" s="667" t="e">
        <f t="shared" si="34"/>
        <v>#VALUE!</v>
      </c>
      <c r="AY73" s="660" t="e">
        <f t="shared" si="35"/>
        <v>#VALUE!</v>
      </c>
      <c r="AZ73" s="670" t="e">
        <f t="shared" si="36"/>
        <v>#VALUE!</v>
      </c>
      <c r="BB73" s="662" t="e">
        <f>INDEX('Barge Gauging Data'!$B$26:$V$56,MATCH($C73,'Barge Gauging Data'!$B$26:$B$56,0),$BB$18)</f>
        <v>#N/A</v>
      </c>
      <c r="BC73" s="662" t="e">
        <f>INDEX('Barge Gauging Data'!$B$26:$V$56,MATCH($C73,'Barge Gauging Data'!$B$26:$B$56,0),$BC$18)</f>
        <v>#N/A</v>
      </c>
      <c r="BD73" s="662" t="e">
        <f>INDEX('Barge Gauging Data'!$B$26:$V$56,MATCH($C73,'Barge Gauging Data'!$B$26:$B$56,0),$BD$18)</f>
        <v>#N/A</v>
      </c>
      <c r="BE73" s="662" t="e">
        <f>INDEX('Barge Gauging Data'!$B$26:$V$56,MATCH($C73,'Barge Gauging Data'!$B$26:$B$56,0),$BE$18)</f>
        <v>#N/A</v>
      </c>
    </row>
    <row r="74" spans="1:57" hidden="1">
      <c r="A74" s="641" t="str">
        <f t="shared" si="52"/>
        <v>N</v>
      </c>
      <c r="C74" s="235" t="str">
        <f t="array" ref="C74">IF(OR($E$67="",SUMPRODUCT(('Barge Gauging Data'!$C$27:$C$56=$E$67)*('Barge Gauging Data'!$D$27:$D$56=NOMY))&lt;ROWS($C$68:$C74)),"",INDEX('Barge Gauging Data'!$B$27:$B$56,SMALL(IF(('Barge Gauging Data'!$C$27:$C$56=$E$67)+('Barge Gauging Data'!$D$27:$D$56=NOMY)=2,ROW('Barge Gauging Data'!$B$27:$B$56)-ROW('Barge Gauging Data'!$C$26)),ROW()-ROW(C$67))))</f>
        <v/>
      </c>
      <c r="D74" s="211" t="str">
        <f>IF(OR($C74="",$C74=0),"",INDEX('Barge Gauging Data'!$B$26:$V$56,MATCH($C74,'Barge Gauging Data'!$B$27:$B$56,0)+1,2))</f>
        <v/>
      </c>
      <c r="E74" s="1016" t="str">
        <f t="shared" si="53"/>
        <v/>
      </c>
      <c r="F74" s="1016" t="str">
        <f t="shared" si="54"/>
        <v/>
      </c>
      <c r="G74" s="1016" t="str">
        <f t="shared" si="55"/>
        <v/>
      </c>
      <c r="H74" s="1016" t="str">
        <f t="shared" si="55"/>
        <v/>
      </c>
      <c r="I74" s="211" t="str">
        <f t="shared" si="56"/>
        <v/>
      </c>
      <c r="J74" s="1016" t="str">
        <f t="shared" si="57"/>
        <v/>
      </c>
      <c r="K74" s="213" t="str">
        <f t="shared" si="58"/>
        <v/>
      </c>
      <c r="L74" s="212" t="str">
        <f t="shared" si="59"/>
        <v/>
      </c>
      <c r="M74" s="1125" t="str">
        <f>IF(OR($C74="",$C74=0),"",INDEX(API1DENST_2,MATCH($C74,'Barge Gauging Data'!$B$27:$B$56,0),$AA$1))</f>
        <v/>
      </c>
      <c r="N74" s="212" t="str">
        <f t="shared" si="60"/>
        <v/>
      </c>
      <c r="O74" s="1016" t="str">
        <f t="shared" si="61"/>
        <v/>
      </c>
      <c r="P74" s="1125" t="str">
        <f t="shared" si="62"/>
        <v/>
      </c>
      <c r="Q74" s="1016" t="str">
        <f t="shared" si="63"/>
        <v/>
      </c>
      <c r="R74" s="214" t="str">
        <f t="shared" si="64"/>
        <v/>
      </c>
      <c r="S74" s="1125" t="str">
        <f t="shared" si="65"/>
        <v/>
      </c>
      <c r="T74" s="236" t="str">
        <f t="shared" si="66"/>
        <v/>
      </c>
      <c r="V74" s="642" t="e">
        <f>INDEX('Barge Gauging Data'!$B$26:$V$56,MATCH($C74,'Barge Gauging Data'!$B$26:$B$56,0),$V$18)</f>
        <v>#N/A</v>
      </c>
      <c r="W74" s="642" t="e">
        <f>INDEX('Barge Gauging Data'!$B$26:$V$56,MATCH($C74,'Barge Gauging Data'!$B$26:$B$56,0),$W$18)</f>
        <v>#N/A</v>
      </c>
      <c r="X74" s="642" t="e">
        <f>INDEX('Barge Gauging Data'!$B$26:$V$56,MATCH($C74,'Barge Gauging Data'!$B$26:$B$56,0),$X$18)</f>
        <v>#N/A</v>
      </c>
      <c r="Y74" s="642" t="e">
        <f>INDEX('Barge Gauging Data'!$B$26:$V$56,MATCH($C74,'Barge Gauging Data'!$B$26:$B$56,0),$Y$18)</f>
        <v>#N/A</v>
      </c>
      <c r="Z74" s="642" t="e">
        <f>INDEX('Barge Gauging Data'!$B$26:$V$56,MATCH($C74,'Barge Gauging Data'!$B$26:$B$56,0),$Z$18)</f>
        <v>#N/A</v>
      </c>
      <c r="AB74" s="642" t="e">
        <f>INDEX(API1DENST_2,MATCH($C74,'Barge Gauging Data'!$B$27:$B$56,0),1)</f>
        <v>#N/A</v>
      </c>
      <c r="AC74" s="642" t="e">
        <f t="shared" si="17"/>
        <v>#N/A</v>
      </c>
      <c r="AE74" s="661" t="e">
        <f t="shared" si="18"/>
        <v>#VALUE!</v>
      </c>
      <c r="AF74" s="661" t="e">
        <f t="shared" si="19"/>
        <v>#VALUE!</v>
      </c>
      <c r="AH74" s="662" t="str">
        <f t="shared" si="15"/>
        <v/>
      </c>
      <c r="AI74" s="662" t="str">
        <f t="shared" si="16"/>
        <v/>
      </c>
      <c r="AJ74" s="663">
        <f t="shared" si="20"/>
        <v>192.4571</v>
      </c>
      <c r="AK74" s="660">
        <f t="shared" si="21"/>
        <v>0.24379999999999999</v>
      </c>
      <c r="AL74" s="660" t="e">
        <f t="shared" si="22"/>
        <v>#VALUE!</v>
      </c>
      <c r="AM74" s="664" t="e">
        <f t="shared" si="23"/>
        <v>#VALUE!</v>
      </c>
      <c r="AN74" s="664" t="e">
        <f t="shared" si="24"/>
        <v>#VALUE!</v>
      </c>
      <c r="AO74" s="665" t="e">
        <f t="shared" si="25"/>
        <v>#VALUE!</v>
      </c>
      <c r="AP74" s="666" t="e">
        <f t="shared" si="26"/>
        <v>#VALUE!</v>
      </c>
      <c r="AQ74" s="660" t="e">
        <f t="shared" si="27"/>
        <v>#VALUE!</v>
      </c>
      <c r="AR74" s="667" t="e">
        <f t="shared" si="28"/>
        <v>#VALUE!</v>
      </c>
      <c r="AS74" s="667" t="e">
        <f t="shared" si="29"/>
        <v>#VALUE!</v>
      </c>
      <c r="AT74" s="668" t="e">
        <f t="shared" si="30"/>
        <v>#VALUE!</v>
      </c>
      <c r="AU74" s="667" t="e">
        <f t="shared" si="31"/>
        <v>#VALUE!</v>
      </c>
      <c r="AV74" s="669" t="e">
        <f t="shared" si="32"/>
        <v>#VALUE!</v>
      </c>
      <c r="AW74" s="667" t="e">
        <f t="shared" si="33"/>
        <v>#VALUE!</v>
      </c>
      <c r="AX74" s="667" t="e">
        <f t="shared" si="34"/>
        <v>#VALUE!</v>
      </c>
      <c r="AY74" s="660" t="e">
        <f t="shared" si="35"/>
        <v>#VALUE!</v>
      </c>
      <c r="AZ74" s="670" t="e">
        <f t="shared" si="36"/>
        <v>#VALUE!</v>
      </c>
      <c r="BB74" s="662" t="e">
        <f>INDEX('Barge Gauging Data'!$B$26:$V$56,MATCH($C74,'Barge Gauging Data'!$B$26:$B$56,0),$BB$18)</f>
        <v>#N/A</v>
      </c>
      <c r="BC74" s="662" t="e">
        <f>INDEX('Barge Gauging Data'!$B$26:$V$56,MATCH($C74,'Barge Gauging Data'!$B$26:$B$56,0),$BC$18)</f>
        <v>#N/A</v>
      </c>
      <c r="BD74" s="662" t="e">
        <f>INDEX('Barge Gauging Data'!$B$26:$V$56,MATCH($C74,'Barge Gauging Data'!$B$26:$B$56,0),$BD$18)</f>
        <v>#N/A</v>
      </c>
      <c r="BE74" s="662" t="e">
        <f>INDEX('Barge Gauging Data'!$B$26:$V$56,MATCH($C74,'Barge Gauging Data'!$B$26:$B$56,0),$BE$18)</f>
        <v>#N/A</v>
      </c>
    </row>
    <row r="75" spans="1:57" hidden="1">
      <c r="A75" s="641" t="str">
        <f t="shared" si="52"/>
        <v>N</v>
      </c>
      <c r="C75" s="235" t="str">
        <f t="array" ref="C75">IF(OR($E$67="",SUMPRODUCT(('Barge Gauging Data'!$C$27:$C$56=$E$67)*('Barge Gauging Data'!$D$27:$D$56=NOMY))&lt;ROWS($C$68:$C75)),"",INDEX('Barge Gauging Data'!$B$27:$B$56,SMALL(IF(('Barge Gauging Data'!$C$27:$C$56=$E$67)+('Barge Gauging Data'!$D$27:$D$56=NOMY)=2,ROW('Barge Gauging Data'!$B$27:$B$56)-ROW('Barge Gauging Data'!$C$26)),ROW()-ROW(C$67))))</f>
        <v/>
      </c>
      <c r="D75" s="211" t="str">
        <f>IF(OR($C75="",$C75=0),"",INDEX('Barge Gauging Data'!$B$26:$V$56,MATCH($C75,'Barge Gauging Data'!$B$27:$B$56,0)+1,2))</f>
        <v/>
      </c>
      <c r="E75" s="1016" t="str">
        <f t="shared" si="53"/>
        <v/>
      </c>
      <c r="F75" s="1016" t="str">
        <f t="shared" si="54"/>
        <v/>
      </c>
      <c r="G75" s="1016" t="str">
        <f t="shared" si="55"/>
        <v/>
      </c>
      <c r="H75" s="1016" t="str">
        <f t="shared" si="55"/>
        <v/>
      </c>
      <c r="I75" s="211" t="str">
        <f t="shared" si="56"/>
        <v/>
      </c>
      <c r="J75" s="1016" t="str">
        <f t="shared" si="57"/>
        <v/>
      </c>
      <c r="K75" s="213" t="str">
        <f t="shared" si="58"/>
        <v/>
      </c>
      <c r="L75" s="212" t="str">
        <f t="shared" si="59"/>
        <v/>
      </c>
      <c r="M75" s="1125" t="str">
        <f>IF(OR($C75="",$C75=0),"",INDEX(API1DENST_2,MATCH($C75,'Barge Gauging Data'!$B$27:$B$56,0),$AA$1))</f>
        <v/>
      </c>
      <c r="N75" s="212" t="str">
        <f t="shared" si="60"/>
        <v/>
      </c>
      <c r="O75" s="1016" t="str">
        <f t="shared" si="61"/>
        <v/>
      </c>
      <c r="P75" s="1125" t="str">
        <f t="shared" si="62"/>
        <v/>
      </c>
      <c r="Q75" s="1016" t="str">
        <f t="shared" si="63"/>
        <v/>
      </c>
      <c r="R75" s="214" t="str">
        <f t="shared" si="64"/>
        <v/>
      </c>
      <c r="S75" s="1125" t="str">
        <f t="shared" si="65"/>
        <v/>
      </c>
      <c r="T75" s="236" t="str">
        <f t="shared" si="66"/>
        <v/>
      </c>
      <c r="V75" s="642" t="e">
        <f>INDEX('Barge Gauging Data'!$B$26:$V$56,MATCH($C75,'Barge Gauging Data'!$B$26:$B$56,0),$V$18)</f>
        <v>#N/A</v>
      </c>
      <c r="W75" s="642" t="e">
        <f>INDEX('Barge Gauging Data'!$B$26:$V$56,MATCH($C75,'Barge Gauging Data'!$B$26:$B$56,0),$W$18)</f>
        <v>#N/A</v>
      </c>
      <c r="X75" s="642" t="e">
        <f>INDEX('Barge Gauging Data'!$B$26:$V$56,MATCH($C75,'Barge Gauging Data'!$B$26:$B$56,0),$X$18)</f>
        <v>#N/A</v>
      </c>
      <c r="Y75" s="642" t="e">
        <f>INDEX('Barge Gauging Data'!$B$26:$V$56,MATCH($C75,'Barge Gauging Data'!$B$26:$B$56,0),$Y$18)</f>
        <v>#N/A</v>
      </c>
      <c r="Z75" s="642" t="e">
        <f>INDEX('Barge Gauging Data'!$B$26:$V$56,MATCH($C75,'Barge Gauging Data'!$B$26:$B$56,0),$Z$18)</f>
        <v>#N/A</v>
      </c>
      <c r="AB75" s="642" t="e">
        <f>INDEX(API1DENST_2,MATCH($C75,'Barge Gauging Data'!$B$27:$B$56,0),1)</f>
        <v>#N/A</v>
      </c>
      <c r="AC75" s="642" t="e">
        <f t="shared" si="17"/>
        <v>#N/A</v>
      </c>
      <c r="AE75" s="661" t="e">
        <f t="shared" si="18"/>
        <v>#VALUE!</v>
      </c>
      <c r="AF75" s="661" t="e">
        <f t="shared" si="19"/>
        <v>#VALUE!</v>
      </c>
      <c r="AH75" s="662" t="str">
        <f t="shared" si="15"/>
        <v/>
      </c>
      <c r="AI75" s="662" t="str">
        <f t="shared" si="16"/>
        <v/>
      </c>
      <c r="AJ75" s="663">
        <f t="shared" si="20"/>
        <v>192.4571</v>
      </c>
      <c r="AK75" s="660">
        <f t="shared" si="21"/>
        <v>0.24379999999999999</v>
      </c>
      <c r="AL75" s="660" t="e">
        <f t="shared" si="22"/>
        <v>#VALUE!</v>
      </c>
      <c r="AM75" s="664" t="e">
        <f t="shared" si="23"/>
        <v>#VALUE!</v>
      </c>
      <c r="AN75" s="664" t="e">
        <f t="shared" si="24"/>
        <v>#VALUE!</v>
      </c>
      <c r="AO75" s="665" t="e">
        <f t="shared" si="25"/>
        <v>#VALUE!</v>
      </c>
      <c r="AP75" s="666" t="e">
        <f t="shared" si="26"/>
        <v>#VALUE!</v>
      </c>
      <c r="AQ75" s="660" t="e">
        <f t="shared" si="27"/>
        <v>#VALUE!</v>
      </c>
      <c r="AR75" s="667" t="e">
        <f t="shared" si="28"/>
        <v>#VALUE!</v>
      </c>
      <c r="AS75" s="667" t="e">
        <f t="shared" si="29"/>
        <v>#VALUE!</v>
      </c>
      <c r="AT75" s="668" t="e">
        <f t="shared" si="30"/>
        <v>#VALUE!</v>
      </c>
      <c r="AU75" s="667" t="e">
        <f t="shared" si="31"/>
        <v>#VALUE!</v>
      </c>
      <c r="AV75" s="669" t="e">
        <f t="shared" si="32"/>
        <v>#VALUE!</v>
      </c>
      <c r="AW75" s="667" t="e">
        <f t="shared" si="33"/>
        <v>#VALUE!</v>
      </c>
      <c r="AX75" s="667" t="e">
        <f t="shared" si="34"/>
        <v>#VALUE!</v>
      </c>
      <c r="AY75" s="660" t="e">
        <f t="shared" si="35"/>
        <v>#VALUE!</v>
      </c>
      <c r="AZ75" s="670" t="e">
        <f t="shared" si="36"/>
        <v>#VALUE!</v>
      </c>
      <c r="BB75" s="662" t="e">
        <f>INDEX('Barge Gauging Data'!$B$26:$V$56,MATCH($C75,'Barge Gauging Data'!$B$26:$B$56,0),$BB$18)</f>
        <v>#N/A</v>
      </c>
      <c r="BC75" s="662" t="e">
        <f>INDEX('Barge Gauging Data'!$B$26:$V$56,MATCH($C75,'Barge Gauging Data'!$B$26:$B$56,0),$BC$18)</f>
        <v>#N/A</v>
      </c>
      <c r="BD75" s="662" t="e">
        <f>INDEX('Barge Gauging Data'!$B$26:$V$56,MATCH($C75,'Barge Gauging Data'!$B$26:$B$56,0),$BD$18)</f>
        <v>#N/A</v>
      </c>
      <c r="BE75" s="662" t="e">
        <f>INDEX('Barge Gauging Data'!$B$26:$V$56,MATCH($C75,'Barge Gauging Data'!$B$26:$B$56,0),$BE$18)</f>
        <v>#N/A</v>
      </c>
    </row>
    <row r="76" spans="1:57" hidden="1">
      <c r="A76" s="641" t="str">
        <f t="shared" si="52"/>
        <v>N</v>
      </c>
      <c r="C76" s="235" t="str">
        <f t="array" ref="C76">IF(OR($E$67="",SUMPRODUCT(('Barge Gauging Data'!$C$27:$C$56=$E$67)*('Barge Gauging Data'!$D$27:$D$56=NOMY))&lt;ROWS($C$68:$C76)),"",INDEX('Barge Gauging Data'!$B$27:$B$56,SMALL(IF(('Barge Gauging Data'!$C$27:$C$56=$E$67)+('Barge Gauging Data'!$D$27:$D$56=NOMY)=2,ROW('Barge Gauging Data'!$B$27:$B$56)-ROW('Barge Gauging Data'!$C$26)),ROW()-ROW(C$67))))</f>
        <v/>
      </c>
      <c r="D76" s="211" t="str">
        <f>IF(OR($C76="",$C76=0),"",INDEX('Barge Gauging Data'!$B$26:$V$56,MATCH($C76,'Barge Gauging Data'!$B$27:$B$56,0)+1,2))</f>
        <v/>
      </c>
      <c r="E76" s="1016" t="str">
        <f t="shared" si="53"/>
        <v/>
      </c>
      <c r="F76" s="1016" t="str">
        <f t="shared" si="54"/>
        <v/>
      </c>
      <c r="G76" s="1016" t="str">
        <f t="shared" si="55"/>
        <v/>
      </c>
      <c r="H76" s="1016" t="str">
        <f t="shared" si="55"/>
        <v/>
      </c>
      <c r="I76" s="211" t="str">
        <f t="shared" si="56"/>
        <v/>
      </c>
      <c r="J76" s="1016" t="str">
        <f t="shared" si="57"/>
        <v/>
      </c>
      <c r="K76" s="213" t="str">
        <f t="shared" si="58"/>
        <v/>
      </c>
      <c r="L76" s="212" t="str">
        <f t="shared" si="59"/>
        <v/>
      </c>
      <c r="M76" s="1125" t="str">
        <f>IF(OR($C76="",$C76=0),"",INDEX(API1DENST_2,MATCH($C76,'Barge Gauging Data'!$B$27:$B$56,0),$AA$1))</f>
        <v/>
      </c>
      <c r="N76" s="212" t="str">
        <f t="shared" si="60"/>
        <v/>
      </c>
      <c r="O76" s="1016" t="str">
        <f t="shared" si="61"/>
        <v/>
      </c>
      <c r="P76" s="1125" t="str">
        <f t="shared" si="62"/>
        <v/>
      </c>
      <c r="Q76" s="1016" t="str">
        <f t="shared" si="63"/>
        <v/>
      </c>
      <c r="R76" s="214" t="str">
        <f t="shared" si="64"/>
        <v/>
      </c>
      <c r="S76" s="1125" t="str">
        <f t="shared" si="65"/>
        <v/>
      </c>
      <c r="T76" s="236" t="str">
        <f t="shared" si="66"/>
        <v/>
      </c>
      <c r="V76" s="642" t="e">
        <f>INDEX('Barge Gauging Data'!$B$26:$V$56,MATCH($C76,'Barge Gauging Data'!$B$26:$B$56,0),$V$18)</f>
        <v>#N/A</v>
      </c>
      <c r="W76" s="642" t="e">
        <f>INDEX('Barge Gauging Data'!$B$26:$V$56,MATCH($C76,'Barge Gauging Data'!$B$26:$B$56,0),$W$18)</f>
        <v>#N/A</v>
      </c>
      <c r="X76" s="642" t="e">
        <f>INDEX('Barge Gauging Data'!$B$26:$V$56,MATCH($C76,'Barge Gauging Data'!$B$26:$B$56,0),$X$18)</f>
        <v>#N/A</v>
      </c>
      <c r="Y76" s="642" t="e">
        <f>INDEX('Barge Gauging Data'!$B$26:$V$56,MATCH($C76,'Barge Gauging Data'!$B$26:$B$56,0),$Y$18)</f>
        <v>#N/A</v>
      </c>
      <c r="Z76" s="642" t="e">
        <f>INDEX('Barge Gauging Data'!$B$26:$V$56,MATCH($C76,'Barge Gauging Data'!$B$26:$B$56,0),$Z$18)</f>
        <v>#N/A</v>
      </c>
      <c r="AB76" s="642" t="e">
        <f>INDEX(API1DENST_2,MATCH($C76,'Barge Gauging Data'!$B$27:$B$56,0),1)</f>
        <v>#N/A</v>
      </c>
      <c r="AC76" s="642" t="e">
        <f t="shared" si="17"/>
        <v>#N/A</v>
      </c>
      <c r="AE76" s="661" t="e">
        <f t="shared" si="18"/>
        <v>#VALUE!</v>
      </c>
      <c r="AF76" s="661" t="e">
        <f t="shared" si="19"/>
        <v>#VALUE!</v>
      </c>
      <c r="AH76" s="662" t="str">
        <f t="shared" si="15"/>
        <v/>
      </c>
      <c r="AI76" s="662" t="str">
        <f t="shared" si="16"/>
        <v/>
      </c>
      <c r="AJ76" s="663">
        <f t="shared" si="20"/>
        <v>192.4571</v>
      </c>
      <c r="AK76" s="660">
        <f t="shared" si="21"/>
        <v>0.24379999999999999</v>
      </c>
      <c r="AL76" s="660" t="e">
        <f t="shared" si="22"/>
        <v>#VALUE!</v>
      </c>
      <c r="AM76" s="664" t="e">
        <f t="shared" si="23"/>
        <v>#VALUE!</v>
      </c>
      <c r="AN76" s="664" t="e">
        <f t="shared" si="24"/>
        <v>#VALUE!</v>
      </c>
      <c r="AO76" s="665" t="e">
        <f t="shared" si="25"/>
        <v>#VALUE!</v>
      </c>
      <c r="AP76" s="666" t="e">
        <f t="shared" si="26"/>
        <v>#VALUE!</v>
      </c>
      <c r="AQ76" s="660" t="e">
        <f t="shared" si="27"/>
        <v>#VALUE!</v>
      </c>
      <c r="AR76" s="667" t="e">
        <f t="shared" si="28"/>
        <v>#VALUE!</v>
      </c>
      <c r="AS76" s="667" t="e">
        <f t="shared" si="29"/>
        <v>#VALUE!</v>
      </c>
      <c r="AT76" s="668" t="e">
        <f t="shared" si="30"/>
        <v>#VALUE!</v>
      </c>
      <c r="AU76" s="667" t="e">
        <f t="shared" si="31"/>
        <v>#VALUE!</v>
      </c>
      <c r="AV76" s="669" t="e">
        <f t="shared" si="32"/>
        <v>#VALUE!</v>
      </c>
      <c r="AW76" s="667" t="e">
        <f t="shared" si="33"/>
        <v>#VALUE!</v>
      </c>
      <c r="AX76" s="667" t="e">
        <f t="shared" si="34"/>
        <v>#VALUE!</v>
      </c>
      <c r="AY76" s="660" t="e">
        <f t="shared" si="35"/>
        <v>#VALUE!</v>
      </c>
      <c r="AZ76" s="670" t="e">
        <f t="shared" si="36"/>
        <v>#VALUE!</v>
      </c>
      <c r="BB76" s="662" t="e">
        <f>INDEX('Barge Gauging Data'!$B$26:$V$56,MATCH($C76,'Barge Gauging Data'!$B$26:$B$56,0),$BB$18)</f>
        <v>#N/A</v>
      </c>
      <c r="BC76" s="662" t="e">
        <f>INDEX('Barge Gauging Data'!$B$26:$V$56,MATCH($C76,'Barge Gauging Data'!$B$26:$B$56,0),$BC$18)</f>
        <v>#N/A</v>
      </c>
      <c r="BD76" s="662" t="e">
        <f>INDEX('Barge Gauging Data'!$B$26:$V$56,MATCH($C76,'Barge Gauging Data'!$B$26:$B$56,0),$BD$18)</f>
        <v>#N/A</v>
      </c>
      <c r="BE76" s="662" t="e">
        <f>INDEX('Barge Gauging Data'!$B$26:$V$56,MATCH($C76,'Barge Gauging Data'!$B$26:$B$56,0),$BE$18)</f>
        <v>#N/A</v>
      </c>
    </row>
    <row r="77" spans="1:57" hidden="1">
      <c r="A77" s="641" t="str">
        <f t="shared" si="52"/>
        <v>N</v>
      </c>
      <c r="C77" s="235" t="str">
        <f t="array" ref="C77">IF(OR($E$67="",SUMPRODUCT(('Barge Gauging Data'!$C$27:$C$56=$E$67)*('Barge Gauging Data'!$D$27:$D$56=NOMY))&lt;ROWS($C$68:$C77)),"",INDEX('Barge Gauging Data'!$B$27:$B$56,SMALL(IF(('Barge Gauging Data'!$C$27:$C$56=$E$67)+('Barge Gauging Data'!$D$27:$D$56=NOMY)=2,ROW('Barge Gauging Data'!$B$27:$B$56)-ROW('Barge Gauging Data'!$C$26)),ROW()-ROW(C$67))))</f>
        <v/>
      </c>
      <c r="D77" s="211" t="str">
        <f>IF(OR($C77="",$C77=0),"",INDEX('Barge Gauging Data'!$B$26:$V$56,MATCH($C77,'Barge Gauging Data'!$B$27:$B$56,0)+1,2))</f>
        <v/>
      </c>
      <c r="E77" s="1016" t="str">
        <f t="shared" si="53"/>
        <v/>
      </c>
      <c r="F77" s="1016" t="str">
        <f t="shared" si="54"/>
        <v/>
      </c>
      <c r="G77" s="1016" t="str">
        <f t="shared" si="55"/>
        <v/>
      </c>
      <c r="H77" s="1016" t="str">
        <f t="shared" si="55"/>
        <v/>
      </c>
      <c r="I77" s="211" t="str">
        <f t="shared" si="56"/>
        <v/>
      </c>
      <c r="J77" s="1016" t="str">
        <f t="shared" si="57"/>
        <v/>
      </c>
      <c r="K77" s="213" t="str">
        <f t="shared" si="58"/>
        <v/>
      </c>
      <c r="L77" s="212" t="str">
        <f t="shared" si="59"/>
        <v/>
      </c>
      <c r="M77" s="1125" t="str">
        <f>IF(OR($C77="",$C77=0),"",INDEX(API1DENST_2,MATCH($C77,'Barge Gauging Data'!$B$27:$B$56,0),$AA$1))</f>
        <v/>
      </c>
      <c r="N77" s="212" t="str">
        <f t="shared" si="60"/>
        <v/>
      </c>
      <c r="O77" s="1016" t="str">
        <f t="shared" si="61"/>
        <v/>
      </c>
      <c r="P77" s="1125" t="str">
        <f t="shared" si="62"/>
        <v/>
      </c>
      <c r="Q77" s="1016" t="str">
        <f t="shared" si="63"/>
        <v/>
      </c>
      <c r="R77" s="214" t="str">
        <f t="shared" si="64"/>
        <v/>
      </c>
      <c r="S77" s="1125" t="str">
        <f t="shared" si="65"/>
        <v/>
      </c>
      <c r="T77" s="236" t="str">
        <f t="shared" si="66"/>
        <v/>
      </c>
      <c r="V77" s="642" t="e">
        <f>INDEX('Barge Gauging Data'!$B$26:$V$56,MATCH($C77,'Barge Gauging Data'!$B$26:$B$56,0),$V$18)</f>
        <v>#N/A</v>
      </c>
      <c r="W77" s="642" t="e">
        <f>INDEX('Barge Gauging Data'!$B$26:$V$56,MATCH($C77,'Barge Gauging Data'!$B$26:$B$56,0),$W$18)</f>
        <v>#N/A</v>
      </c>
      <c r="X77" s="642" t="e">
        <f>INDEX('Barge Gauging Data'!$B$26:$V$56,MATCH($C77,'Barge Gauging Data'!$B$26:$B$56,0),$X$18)</f>
        <v>#N/A</v>
      </c>
      <c r="Y77" s="642" t="e">
        <f>INDEX('Barge Gauging Data'!$B$26:$V$56,MATCH($C77,'Barge Gauging Data'!$B$26:$B$56,0),$Y$18)</f>
        <v>#N/A</v>
      </c>
      <c r="Z77" s="642" t="e">
        <f>INDEX('Barge Gauging Data'!$B$26:$V$56,MATCH($C77,'Barge Gauging Data'!$B$26:$B$56,0),$Z$18)</f>
        <v>#N/A</v>
      </c>
      <c r="AB77" s="642" t="e">
        <f>INDEX(API1DENST_2,MATCH($C77,'Barge Gauging Data'!$B$27:$B$56,0),1)</f>
        <v>#N/A</v>
      </c>
      <c r="AC77" s="642" t="e">
        <f t="shared" si="17"/>
        <v>#N/A</v>
      </c>
      <c r="AE77" s="661" t="e">
        <f t="shared" si="18"/>
        <v>#VALUE!</v>
      </c>
      <c r="AF77" s="661" t="e">
        <f t="shared" si="19"/>
        <v>#VALUE!</v>
      </c>
      <c r="AH77" s="662" t="str">
        <f t="shared" si="15"/>
        <v/>
      </c>
      <c r="AI77" s="662" t="str">
        <f t="shared" si="16"/>
        <v/>
      </c>
      <c r="AJ77" s="663">
        <f t="shared" si="20"/>
        <v>192.4571</v>
      </c>
      <c r="AK77" s="660">
        <f t="shared" si="21"/>
        <v>0.24379999999999999</v>
      </c>
      <c r="AL77" s="660" t="e">
        <f t="shared" si="22"/>
        <v>#VALUE!</v>
      </c>
      <c r="AM77" s="664" t="e">
        <f t="shared" si="23"/>
        <v>#VALUE!</v>
      </c>
      <c r="AN77" s="664" t="e">
        <f t="shared" si="24"/>
        <v>#VALUE!</v>
      </c>
      <c r="AO77" s="665" t="e">
        <f t="shared" si="25"/>
        <v>#VALUE!</v>
      </c>
      <c r="AP77" s="666" t="e">
        <f t="shared" si="26"/>
        <v>#VALUE!</v>
      </c>
      <c r="AQ77" s="660" t="e">
        <f t="shared" si="27"/>
        <v>#VALUE!</v>
      </c>
      <c r="AR77" s="667" t="e">
        <f t="shared" si="28"/>
        <v>#VALUE!</v>
      </c>
      <c r="AS77" s="667" t="e">
        <f t="shared" si="29"/>
        <v>#VALUE!</v>
      </c>
      <c r="AT77" s="668" t="e">
        <f t="shared" si="30"/>
        <v>#VALUE!</v>
      </c>
      <c r="AU77" s="667" t="e">
        <f t="shared" si="31"/>
        <v>#VALUE!</v>
      </c>
      <c r="AV77" s="669" t="e">
        <f t="shared" si="32"/>
        <v>#VALUE!</v>
      </c>
      <c r="AW77" s="667" t="e">
        <f t="shared" si="33"/>
        <v>#VALUE!</v>
      </c>
      <c r="AX77" s="667" t="e">
        <f t="shared" si="34"/>
        <v>#VALUE!</v>
      </c>
      <c r="AY77" s="660" t="e">
        <f t="shared" si="35"/>
        <v>#VALUE!</v>
      </c>
      <c r="AZ77" s="670" t="e">
        <f t="shared" si="36"/>
        <v>#VALUE!</v>
      </c>
      <c r="BB77" s="662" t="e">
        <f>INDEX('Barge Gauging Data'!$B$26:$V$56,MATCH($C77,'Barge Gauging Data'!$B$26:$B$56,0),$BB$18)</f>
        <v>#N/A</v>
      </c>
      <c r="BC77" s="662" t="e">
        <f>INDEX('Barge Gauging Data'!$B$26:$V$56,MATCH($C77,'Barge Gauging Data'!$B$26:$B$56,0),$BC$18)</f>
        <v>#N/A</v>
      </c>
      <c r="BD77" s="662" t="e">
        <f>INDEX('Barge Gauging Data'!$B$26:$V$56,MATCH($C77,'Barge Gauging Data'!$B$26:$B$56,0),$BD$18)</f>
        <v>#N/A</v>
      </c>
      <c r="BE77" s="662" t="e">
        <f>INDEX('Barge Gauging Data'!$B$26:$V$56,MATCH($C77,'Barge Gauging Data'!$B$26:$B$56,0),$BE$18)</f>
        <v>#N/A</v>
      </c>
    </row>
    <row r="78" spans="1:57" hidden="1">
      <c r="A78" s="641" t="str">
        <f t="shared" si="52"/>
        <v>N</v>
      </c>
      <c r="C78" s="235" t="str">
        <f t="array" ref="C78">IF(OR($E$67="",SUMPRODUCT(('Barge Gauging Data'!$C$27:$C$56=$E$67)*('Barge Gauging Data'!$D$27:$D$56=NOMY))&lt;ROWS($C$68:$C78)),"",INDEX('Barge Gauging Data'!$B$27:$B$56,SMALL(IF(('Barge Gauging Data'!$C$27:$C$56=$E$67)+('Barge Gauging Data'!$D$27:$D$56=NOMY)=2,ROW('Barge Gauging Data'!$B$27:$B$56)-ROW('Barge Gauging Data'!$C$26)),ROW()-ROW(C$67))))</f>
        <v/>
      </c>
      <c r="D78" s="211" t="str">
        <f>IF(OR($C78="",$C78=0),"",INDEX('Barge Gauging Data'!$B$26:$V$56,MATCH($C78,'Barge Gauging Data'!$B$27:$B$56,0)+1,2))</f>
        <v/>
      </c>
      <c r="E78" s="1016" t="str">
        <f t="shared" si="53"/>
        <v/>
      </c>
      <c r="F78" s="1016" t="str">
        <f t="shared" si="54"/>
        <v/>
      </c>
      <c r="G78" s="1016" t="str">
        <f t="shared" si="55"/>
        <v/>
      </c>
      <c r="H78" s="1016" t="str">
        <f t="shared" si="55"/>
        <v/>
      </c>
      <c r="I78" s="211" t="str">
        <f t="shared" si="56"/>
        <v/>
      </c>
      <c r="J78" s="1016" t="str">
        <f t="shared" si="57"/>
        <v/>
      </c>
      <c r="K78" s="213" t="str">
        <f t="shared" si="58"/>
        <v/>
      </c>
      <c r="L78" s="212" t="str">
        <f t="shared" si="59"/>
        <v/>
      </c>
      <c r="M78" s="1125" t="str">
        <f>IF(OR($C78="",$C78=0),"",INDEX(API1DENST_2,MATCH($C78,'Barge Gauging Data'!$B$27:$B$56,0),$AA$1))</f>
        <v/>
      </c>
      <c r="N78" s="212" t="str">
        <f t="shared" si="60"/>
        <v/>
      </c>
      <c r="O78" s="1016" t="str">
        <f t="shared" si="61"/>
        <v/>
      </c>
      <c r="P78" s="1125" t="str">
        <f t="shared" si="62"/>
        <v/>
      </c>
      <c r="Q78" s="1016" t="str">
        <f t="shared" si="63"/>
        <v/>
      </c>
      <c r="R78" s="214" t="str">
        <f t="shared" si="64"/>
        <v/>
      </c>
      <c r="S78" s="1125" t="str">
        <f t="shared" si="65"/>
        <v/>
      </c>
      <c r="T78" s="236" t="str">
        <f t="shared" si="66"/>
        <v/>
      </c>
      <c r="V78" s="642" t="e">
        <f>INDEX('Barge Gauging Data'!$B$26:$V$56,MATCH($C78,'Barge Gauging Data'!$B$26:$B$56,0),$V$18)</f>
        <v>#N/A</v>
      </c>
      <c r="W78" s="642" t="e">
        <f>INDEX('Barge Gauging Data'!$B$26:$V$56,MATCH($C78,'Barge Gauging Data'!$B$26:$B$56,0),$W$18)</f>
        <v>#N/A</v>
      </c>
      <c r="X78" s="642" t="e">
        <f>INDEX('Barge Gauging Data'!$B$26:$V$56,MATCH($C78,'Barge Gauging Data'!$B$26:$B$56,0),$X$18)</f>
        <v>#N/A</v>
      </c>
      <c r="Y78" s="642" t="e">
        <f>INDEX('Barge Gauging Data'!$B$26:$V$56,MATCH($C78,'Barge Gauging Data'!$B$26:$B$56,0),$Y$18)</f>
        <v>#N/A</v>
      </c>
      <c r="Z78" s="642" t="e">
        <f>INDEX('Barge Gauging Data'!$B$26:$V$56,MATCH($C78,'Barge Gauging Data'!$B$26:$B$56,0),$Z$18)</f>
        <v>#N/A</v>
      </c>
      <c r="AB78" s="642" t="e">
        <f>INDEX(API1DENST_2,MATCH($C78,'Barge Gauging Data'!$B$27:$B$56,0),1)</f>
        <v>#N/A</v>
      </c>
      <c r="AC78" s="642" t="e">
        <f t="shared" si="17"/>
        <v>#N/A</v>
      </c>
      <c r="AE78" s="661" t="e">
        <f t="shared" si="18"/>
        <v>#VALUE!</v>
      </c>
      <c r="AF78" s="661" t="e">
        <f t="shared" si="19"/>
        <v>#VALUE!</v>
      </c>
      <c r="AH78" s="662" t="str">
        <f t="shared" si="15"/>
        <v/>
      </c>
      <c r="AI78" s="662" t="str">
        <f t="shared" si="16"/>
        <v/>
      </c>
      <c r="AJ78" s="663">
        <f t="shared" si="20"/>
        <v>192.4571</v>
      </c>
      <c r="AK78" s="660">
        <f t="shared" si="21"/>
        <v>0.24379999999999999</v>
      </c>
      <c r="AL78" s="660" t="e">
        <f t="shared" si="22"/>
        <v>#VALUE!</v>
      </c>
      <c r="AM78" s="664" t="e">
        <f t="shared" si="23"/>
        <v>#VALUE!</v>
      </c>
      <c r="AN78" s="664" t="e">
        <f t="shared" si="24"/>
        <v>#VALUE!</v>
      </c>
      <c r="AO78" s="665" t="e">
        <f t="shared" si="25"/>
        <v>#VALUE!</v>
      </c>
      <c r="AP78" s="666" t="e">
        <f t="shared" si="26"/>
        <v>#VALUE!</v>
      </c>
      <c r="AQ78" s="660" t="e">
        <f t="shared" si="27"/>
        <v>#VALUE!</v>
      </c>
      <c r="AR78" s="667" t="e">
        <f t="shared" si="28"/>
        <v>#VALUE!</v>
      </c>
      <c r="AS78" s="667" t="e">
        <f t="shared" si="29"/>
        <v>#VALUE!</v>
      </c>
      <c r="AT78" s="668" t="e">
        <f t="shared" si="30"/>
        <v>#VALUE!</v>
      </c>
      <c r="AU78" s="667" t="e">
        <f t="shared" si="31"/>
        <v>#VALUE!</v>
      </c>
      <c r="AV78" s="669" t="e">
        <f t="shared" si="32"/>
        <v>#VALUE!</v>
      </c>
      <c r="AW78" s="667" t="e">
        <f t="shared" si="33"/>
        <v>#VALUE!</v>
      </c>
      <c r="AX78" s="667" t="e">
        <f t="shared" si="34"/>
        <v>#VALUE!</v>
      </c>
      <c r="AY78" s="660" t="e">
        <f t="shared" si="35"/>
        <v>#VALUE!</v>
      </c>
      <c r="AZ78" s="670" t="e">
        <f t="shared" si="36"/>
        <v>#VALUE!</v>
      </c>
      <c r="BB78" s="662" t="e">
        <f>INDEX('Barge Gauging Data'!$B$26:$V$56,MATCH($C78,'Barge Gauging Data'!$B$26:$B$56,0),$BB$18)</f>
        <v>#N/A</v>
      </c>
      <c r="BC78" s="662" t="e">
        <f>INDEX('Barge Gauging Data'!$B$26:$V$56,MATCH($C78,'Barge Gauging Data'!$B$26:$B$56,0),$BC$18)</f>
        <v>#N/A</v>
      </c>
      <c r="BD78" s="662" t="e">
        <f>INDEX('Barge Gauging Data'!$B$26:$V$56,MATCH($C78,'Barge Gauging Data'!$B$26:$B$56,0),$BD$18)</f>
        <v>#N/A</v>
      </c>
      <c r="BE78" s="662" t="e">
        <f>INDEX('Barge Gauging Data'!$B$26:$V$56,MATCH($C78,'Barge Gauging Data'!$B$26:$B$56,0),$BE$18)</f>
        <v>#N/A</v>
      </c>
    </row>
    <row r="79" spans="1:57" hidden="1">
      <c r="A79" s="641" t="str">
        <f t="shared" si="52"/>
        <v>N</v>
      </c>
      <c r="C79" s="235" t="str">
        <f t="array" ref="C79">IF(OR($E$67="",SUMPRODUCT(('Barge Gauging Data'!$C$27:$C$56=$E$67)*('Barge Gauging Data'!$D$27:$D$56=NOMY))&lt;ROWS($C$68:$C79)),"",INDEX('Barge Gauging Data'!$B$27:$B$56,SMALL(IF(('Barge Gauging Data'!$C$27:$C$56=$E$67)+('Barge Gauging Data'!$D$27:$D$56=NOMY)=2,ROW('Barge Gauging Data'!$B$27:$B$56)-ROW('Barge Gauging Data'!$C$26)),ROW()-ROW(C$67))))</f>
        <v/>
      </c>
      <c r="D79" s="211" t="str">
        <f>IF(OR($C79="",$C79=0),"",INDEX('Barge Gauging Data'!$B$26:$V$56,MATCH($C79,'Barge Gauging Data'!$B$27:$B$56,0)+1,2))</f>
        <v/>
      </c>
      <c r="E79" s="1016" t="str">
        <f t="shared" si="53"/>
        <v/>
      </c>
      <c r="F79" s="1016" t="str">
        <f t="shared" si="54"/>
        <v/>
      </c>
      <c r="G79" s="1016" t="str">
        <f t="shared" si="55"/>
        <v/>
      </c>
      <c r="H79" s="1016" t="str">
        <f t="shared" si="55"/>
        <v/>
      </c>
      <c r="I79" s="211" t="str">
        <f t="shared" si="56"/>
        <v/>
      </c>
      <c r="J79" s="1016" t="str">
        <f t="shared" si="57"/>
        <v/>
      </c>
      <c r="K79" s="213" t="str">
        <f t="shared" si="58"/>
        <v/>
      </c>
      <c r="L79" s="212" t="str">
        <f t="shared" si="59"/>
        <v/>
      </c>
      <c r="M79" s="1125" t="str">
        <f>IF(OR($C79="",$C79=0),"",INDEX(API1DENST_2,MATCH($C79,'Barge Gauging Data'!$B$27:$B$56,0),$AA$1))</f>
        <v/>
      </c>
      <c r="N79" s="212" t="str">
        <f t="shared" si="60"/>
        <v/>
      </c>
      <c r="O79" s="1016" t="str">
        <f t="shared" si="61"/>
        <v/>
      </c>
      <c r="P79" s="1125" t="str">
        <f t="shared" si="62"/>
        <v/>
      </c>
      <c r="Q79" s="1016" t="str">
        <f t="shared" si="63"/>
        <v/>
      </c>
      <c r="R79" s="214" t="str">
        <f t="shared" si="64"/>
        <v/>
      </c>
      <c r="S79" s="1125" t="str">
        <f t="shared" si="65"/>
        <v/>
      </c>
      <c r="T79" s="236" t="str">
        <f t="shared" si="66"/>
        <v/>
      </c>
      <c r="V79" s="642" t="e">
        <f>INDEX('Barge Gauging Data'!$B$26:$V$56,MATCH($C79,'Barge Gauging Data'!$B$26:$B$56,0),$V$18)</f>
        <v>#N/A</v>
      </c>
      <c r="W79" s="642" t="e">
        <f>INDEX('Barge Gauging Data'!$B$26:$V$56,MATCH($C79,'Barge Gauging Data'!$B$26:$B$56,0),$W$18)</f>
        <v>#N/A</v>
      </c>
      <c r="X79" s="642" t="e">
        <f>INDEX('Barge Gauging Data'!$B$26:$V$56,MATCH($C79,'Barge Gauging Data'!$B$26:$B$56,0),$X$18)</f>
        <v>#N/A</v>
      </c>
      <c r="Y79" s="642" t="e">
        <f>INDEX('Barge Gauging Data'!$B$26:$V$56,MATCH($C79,'Barge Gauging Data'!$B$26:$B$56,0),$Y$18)</f>
        <v>#N/A</v>
      </c>
      <c r="Z79" s="642" t="e">
        <f>INDEX('Barge Gauging Data'!$B$26:$V$56,MATCH($C79,'Barge Gauging Data'!$B$26:$B$56,0),$Z$18)</f>
        <v>#N/A</v>
      </c>
      <c r="AB79" s="642" t="e">
        <f>INDEX(API1DENST_2,MATCH($C79,'Barge Gauging Data'!$B$27:$B$56,0),1)</f>
        <v>#N/A</v>
      </c>
      <c r="AC79" s="642" t="e">
        <f t="shared" si="17"/>
        <v>#N/A</v>
      </c>
      <c r="AE79" s="661" t="e">
        <f t="shared" si="18"/>
        <v>#VALUE!</v>
      </c>
      <c r="AF79" s="661" t="e">
        <f t="shared" si="19"/>
        <v>#VALUE!</v>
      </c>
      <c r="AH79" s="662" t="str">
        <f t="shared" si="15"/>
        <v/>
      </c>
      <c r="AI79" s="662" t="str">
        <f t="shared" si="16"/>
        <v/>
      </c>
      <c r="AJ79" s="663">
        <f t="shared" si="20"/>
        <v>192.4571</v>
      </c>
      <c r="AK79" s="660">
        <f t="shared" si="21"/>
        <v>0.24379999999999999</v>
      </c>
      <c r="AL79" s="660" t="e">
        <f t="shared" si="22"/>
        <v>#VALUE!</v>
      </c>
      <c r="AM79" s="664" t="e">
        <f t="shared" si="23"/>
        <v>#VALUE!</v>
      </c>
      <c r="AN79" s="664" t="e">
        <f t="shared" si="24"/>
        <v>#VALUE!</v>
      </c>
      <c r="AO79" s="665" t="e">
        <f t="shared" si="25"/>
        <v>#VALUE!</v>
      </c>
      <c r="AP79" s="666" t="e">
        <f t="shared" si="26"/>
        <v>#VALUE!</v>
      </c>
      <c r="AQ79" s="660" t="e">
        <f t="shared" si="27"/>
        <v>#VALUE!</v>
      </c>
      <c r="AR79" s="667" t="e">
        <f t="shared" si="28"/>
        <v>#VALUE!</v>
      </c>
      <c r="AS79" s="667" t="e">
        <f t="shared" si="29"/>
        <v>#VALUE!</v>
      </c>
      <c r="AT79" s="668" t="e">
        <f t="shared" si="30"/>
        <v>#VALUE!</v>
      </c>
      <c r="AU79" s="667" t="e">
        <f t="shared" si="31"/>
        <v>#VALUE!</v>
      </c>
      <c r="AV79" s="669" t="e">
        <f t="shared" si="32"/>
        <v>#VALUE!</v>
      </c>
      <c r="AW79" s="667" t="e">
        <f t="shared" si="33"/>
        <v>#VALUE!</v>
      </c>
      <c r="AX79" s="667" t="e">
        <f t="shared" si="34"/>
        <v>#VALUE!</v>
      </c>
      <c r="AY79" s="660" t="e">
        <f t="shared" si="35"/>
        <v>#VALUE!</v>
      </c>
      <c r="AZ79" s="670" t="e">
        <f t="shared" si="36"/>
        <v>#VALUE!</v>
      </c>
      <c r="BB79" s="662" t="e">
        <f>INDEX('Barge Gauging Data'!$B$26:$V$56,MATCH($C79,'Barge Gauging Data'!$B$26:$B$56,0),$BB$18)</f>
        <v>#N/A</v>
      </c>
      <c r="BC79" s="662" t="e">
        <f>INDEX('Barge Gauging Data'!$B$26:$V$56,MATCH($C79,'Barge Gauging Data'!$B$26:$B$56,0),$BC$18)</f>
        <v>#N/A</v>
      </c>
      <c r="BD79" s="662" t="e">
        <f>INDEX('Barge Gauging Data'!$B$26:$V$56,MATCH($C79,'Barge Gauging Data'!$B$26:$B$56,0),$BD$18)</f>
        <v>#N/A</v>
      </c>
      <c r="BE79" s="662" t="e">
        <f>INDEX('Barge Gauging Data'!$B$26:$V$56,MATCH($C79,'Barge Gauging Data'!$B$26:$B$56,0),$BE$18)</f>
        <v>#N/A</v>
      </c>
    </row>
    <row r="80" spans="1:57" hidden="1">
      <c r="A80" s="641" t="str">
        <f t="shared" si="52"/>
        <v>N</v>
      </c>
      <c r="C80" s="235" t="str">
        <f t="array" ref="C80">IF(OR($E$67="",SUMPRODUCT(('Barge Gauging Data'!$C$27:$C$56=$E$67)*('Barge Gauging Data'!$D$27:$D$56=NOMY))&lt;ROWS($C$68:$C80)),"",INDEX('Barge Gauging Data'!$B$27:$B$56,SMALL(IF(('Barge Gauging Data'!$C$27:$C$56=$E$67)+('Barge Gauging Data'!$D$27:$D$56=NOMY)=2,ROW('Barge Gauging Data'!$B$27:$B$56)-ROW('Barge Gauging Data'!$C$26)),ROW()-ROW(C$67))))</f>
        <v/>
      </c>
      <c r="D80" s="211" t="str">
        <f>IF(OR($C80="",$C80=0),"",INDEX('Barge Gauging Data'!$B$26:$V$56,MATCH($C80,'Barge Gauging Data'!$B$27:$B$56,0)+1,2))</f>
        <v/>
      </c>
      <c r="E80" s="1016" t="str">
        <f t="shared" si="53"/>
        <v/>
      </c>
      <c r="F80" s="1016" t="str">
        <f t="shared" si="54"/>
        <v/>
      </c>
      <c r="G80" s="1016" t="str">
        <f t="shared" si="55"/>
        <v/>
      </c>
      <c r="H80" s="1016" t="str">
        <f t="shared" si="55"/>
        <v/>
      </c>
      <c r="I80" s="211" t="str">
        <f t="shared" si="56"/>
        <v/>
      </c>
      <c r="J80" s="1016" t="str">
        <f t="shared" si="57"/>
        <v/>
      </c>
      <c r="K80" s="213" t="str">
        <f t="shared" si="58"/>
        <v/>
      </c>
      <c r="L80" s="212" t="str">
        <f t="shared" si="59"/>
        <v/>
      </c>
      <c r="M80" s="1125" t="str">
        <f>IF(OR($C80="",$C80=0),"",INDEX(API1DENST_2,MATCH($C80,'Barge Gauging Data'!$B$27:$B$56,0),$AA$1))</f>
        <v/>
      </c>
      <c r="N80" s="212" t="str">
        <f t="shared" si="60"/>
        <v/>
      </c>
      <c r="O80" s="1016" t="str">
        <f t="shared" si="61"/>
        <v/>
      </c>
      <c r="P80" s="1125" t="str">
        <f t="shared" si="62"/>
        <v/>
      </c>
      <c r="Q80" s="1016" t="str">
        <f t="shared" si="63"/>
        <v/>
      </c>
      <c r="R80" s="214" t="str">
        <f t="shared" si="64"/>
        <v/>
      </c>
      <c r="S80" s="1125" t="str">
        <f t="shared" si="65"/>
        <v/>
      </c>
      <c r="T80" s="236" t="str">
        <f t="shared" si="66"/>
        <v/>
      </c>
      <c r="V80" s="642" t="e">
        <f>INDEX('Barge Gauging Data'!$B$26:$V$56,MATCH($C80,'Barge Gauging Data'!$B$26:$B$56,0),$V$18)</f>
        <v>#N/A</v>
      </c>
      <c r="W80" s="642" t="e">
        <f>INDEX('Barge Gauging Data'!$B$26:$V$56,MATCH($C80,'Barge Gauging Data'!$B$26:$B$56,0),$W$18)</f>
        <v>#N/A</v>
      </c>
      <c r="X80" s="642" t="e">
        <f>INDEX('Barge Gauging Data'!$B$26:$V$56,MATCH($C80,'Barge Gauging Data'!$B$26:$B$56,0),$X$18)</f>
        <v>#N/A</v>
      </c>
      <c r="Y80" s="642" t="e">
        <f>INDEX('Barge Gauging Data'!$B$26:$V$56,MATCH($C80,'Barge Gauging Data'!$B$26:$B$56,0),$Y$18)</f>
        <v>#N/A</v>
      </c>
      <c r="Z80" s="642" t="e">
        <f>INDEX('Barge Gauging Data'!$B$26:$V$56,MATCH($C80,'Barge Gauging Data'!$B$26:$B$56,0),$Z$18)</f>
        <v>#N/A</v>
      </c>
      <c r="AB80" s="642" t="e">
        <f>INDEX(API1DENST_2,MATCH($C80,'Barge Gauging Data'!$B$27:$B$56,0),1)</f>
        <v>#N/A</v>
      </c>
      <c r="AC80" s="642" t="e">
        <f t="shared" si="17"/>
        <v>#N/A</v>
      </c>
      <c r="AE80" s="661" t="e">
        <f t="shared" si="18"/>
        <v>#VALUE!</v>
      </c>
      <c r="AF80" s="661" t="e">
        <f t="shared" si="19"/>
        <v>#VALUE!</v>
      </c>
      <c r="AH80" s="662" t="str">
        <f t="shared" si="15"/>
        <v/>
      </c>
      <c r="AI80" s="662" t="str">
        <f t="shared" si="16"/>
        <v/>
      </c>
      <c r="AJ80" s="663">
        <f t="shared" si="20"/>
        <v>192.4571</v>
      </c>
      <c r="AK80" s="660">
        <f t="shared" si="21"/>
        <v>0.24379999999999999</v>
      </c>
      <c r="AL80" s="660" t="e">
        <f t="shared" si="22"/>
        <v>#VALUE!</v>
      </c>
      <c r="AM80" s="664" t="e">
        <f t="shared" si="23"/>
        <v>#VALUE!</v>
      </c>
      <c r="AN80" s="664" t="e">
        <f t="shared" si="24"/>
        <v>#VALUE!</v>
      </c>
      <c r="AO80" s="665" t="e">
        <f t="shared" si="25"/>
        <v>#VALUE!</v>
      </c>
      <c r="AP80" s="666" t="e">
        <f t="shared" si="26"/>
        <v>#VALUE!</v>
      </c>
      <c r="AQ80" s="660" t="e">
        <f t="shared" si="27"/>
        <v>#VALUE!</v>
      </c>
      <c r="AR80" s="667" t="e">
        <f t="shared" si="28"/>
        <v>#VALUE!</v>
      </c>
      <c r="AS80" s="667" t="e">
        <f t="shared" si="29"/>
        <v>#VALUE!</v>
      </c>
      <c r="AT80" s="668" t="e">
        <f t="shared" si="30"/>
        <v>#VALUE!</v>
      </c>
      <c r="AU80" s="667" t="e">
        <f t="shared" si="31"/>
        <v>#VALUE!</v>
      </c>
      <c r="AV80" s="669" t="e">
        <f t="shared" si="32"/>
        <v>#VALUE!</v>
      </c>
      <c r="AW80" s="667" t="e">
        <f t="shared" si="33"/>
        <v>#VALUE!</v>
      </c>
      <c r="AX80" s="667" t="e">
        <f t="shared" si="34"/>
        <v>#VALUE!</v>
      </c>
      <c r="AY80" s="660" t="e">
        <f t="shared" si="35"/>
        <v>#VALUE!</v>
      </c>
      <c r="AZ80" s="670" t="e">
        <f t="shared" si="36"/>
        <v>#VALUE!</v>
      </c>
      <c r="BB80" s="662" t="e">
        <f>INDEX('Barge Gauging Data'!$B$26:$V$56,MATCH($C80,'Barge Gauging Data'!$B$26:$B$56,0),$BB$18)</f>
        <v>#N/A</v>
      </c>
      <c r="BC80" s="662" t="e">
        <f>INDEX('Barge Gauging Data'!$B$26:$V$56,MATCH($C80,'Barge Gauging Data'!$B$26:$B$56,0),$BC$18)</f>
        <v>#N/A</v>
      </c>
      <c r="BD80" s="662" t="e">
        <f>INDEX('Barge Gauging Data'!$B$26:$V$56,MATCH($C80,'Barge Gauging Data'!$B$26:$B$56,0),$BD$18)</f>
        <v>#N/A</v>
      </c>
      <c r="BE80" s="662" t="e">
        <f>INDEX('Barge Gauging Data'!$B$26:$V$56,MATCH($C80,'Barge Gauging Data'!$B$26:$B$56,0),$BE$18)</f>
        <v>#N/A</v>
      </c>
    </row>
    <row r="81" spans="1:57" hidden="1">
      <c r="A81" s="641" t="str">
        <f t="shared" si="52"/>
        <v>N</v>
      </c>
      <c r="C81" s="235" t="str">
        <f t="array" ref="C81">IF(OR($E$67="",SUMPRODUCT(('Barge Gauging Data'!$C$27:$C$56=$E$67)*('Barge Gauging Data'!$D$27:$D$56=NOMY))&lt;ROWS($C$68:$C81)),"",INDEX('Barge Gauging Data'!$B$27:$B$56,SMALL(IF(('Barge Gauging Data'!$C$27:$C$56=$E$67)+('Barge Gauging Data'!$D$27:$D$56=NOMY)=2,ROW('Barge Gauging Data'!$B$27:$B$56)-ROW('Barge Gauging Data'!$C$26)),ROW()-ROW(C$67))))</f>
        <v/>
      </c>
      <c r="D81" s="211" t="str">
        <f>IF(OR($C81="",$C81=0),"",INDEX('Barge Gauging Data'!$B$26:$V$56,MATCH($C81,'Barge Gauging Data'!$B$27:$B$56,0)+1,2))</f>
        <v/>
      </c>
      <c r="E81" s="1016" t="str">
        <f t="shared" si="53"/>
        <v/>
      </c>
      <c r="F81" s="1016" t="str">
        <f t="shared" si="54"/>
        <v/>
      </c>
      <c r="G81" s="1016" t="str">
        <f t="shared" si="55"/>
        <v/>
      </c>
      <c r="H81" s="1016" t="str">
        <f t="shared" si="55"/>
        <v/>
      </c>
      <c r="I81" s="211" t="str">
        <f t="shared" si="56"/>
        <v/>
      </c>
      <c r="J81" s="1016" t="str">
        <f t="shared" si="57"/>
        <v/>
      </c>
      <c r="K81" s="213" t="str">
        <f t="shared" si="58"/>
        <v/>
      </c>
      <c r="L81" s="212" t="str">
        <f t="shared" si="59"/>
        <v/>
      </c>
      <c r="M81" s="1125" t="str">
        <f>IF(OR($C81="",$C81=0),"",INDEX(API1DENST_2,MATCH($C81,'Barge Gauging Data'!$B$27:$B$56,0),$AA$1))</f>
        <v/>
      </c>
      <c r="N81" s="212" t="str">
        <f t="shared" si="60"/>
        <v/>
      </c>
      <c r="O81" s="1016" t="str">
        <f t="shared" si="61"/>
        <v/>
      </c>
      <c r="P81" s="1125" t="str">
        <f t="shared" si="62"/>
        <v/>
      </c>
      <c r="Q81" s="1016" t="str">
        <f t="shared" si="63"/>
        <v/>
      </c>
      <c r="R81" s="214" t="str">
        <f t="shared" si="64"/>
        <v/>
      </c>
      <c r="S81" s="1125" t="str">
        <f t="shared" si="65"/>
        <v/>
      </c>
      <c r="T81" s="236" t="str">
        <f t="shared" si="66"/>
        <v/>
      </c>
      <c r="V81" s="642" t="e">
        <f>INDEX('Barge Gauging Data'!$B$26:$V$56,MATCH($C81,'Barge Gauging Data'!$B$26:$B$56,0),$V$18)</f>
        <v>#N/A</v>
      </c>
      <c r="W81" s="642" t="e">
        <f>INDEX('Barge Gauging Data'!$B$26:$V$56,MATCH($C81,'Barge Gauging Data'!$B$26:$B$56,0),$W$18)</f>
        <v>#N/A</v>
      </c>
      <c r="X81" s="642" t="e">
        <f>INDEX('Barge Gauging Data'!$B$26:$V$56,MATCH($C81,'Barge Gauging Data'!$B$26:$B$56,0),$X$18)</f>
        <v>#N/A</v>
      </c>
      <c r="Y81" s="642" t="e">
        <f>INDEX('Barge Gauging Data'!$B$26:$V$56,MATCH($C81,'Barge Gauging Data'!$B$26:$B$56,0),$Y$18)</f>
        <v>#N/A</v>
      </c>
      <c r="Z81" s="642" t="e">
        <f>INDEX('Barge Gauging Data'!$B$26:$V$56,MATCH($C81,'Barge Gauging Data'!$B$26:$B$56,0),$Z$18)</f>
        <v>#N/A</v>
      </c>
      <c r="AB81" s="642" t="e">
        <f>INDEX(API1DENST_2,MATCH($C81,'Barge Gauging Data'!$B$27:$B$56,0),1)</f>
        <v>#N/A</v>
      </c>
      <c r="AC81" s="642" t="e">
        <f t="shared" si="17"/>
        <v>#N/A</v>
      </c>
      <c r="AE81" s="661" t="e">
        <f t="shared" si="18"/>
        <v>#VALUE!</v>
      </c>
      <c r="AF81" s="661" t="e">
        <f t="shared" si="19"/>
        <v>#VALUE!</v>
      </c>
      <c r="AH81" s="662" t="str">
        <f t="shared" si="15"/>
        <v/>
      </c>
      <c r="AI81" s="662" t="str">
        <f t="shared" si="16"/>
        <v/>
      </c>
      <c r="AJ81" s="663">
        <f t="shared" si="20"/>
        <v>192.4571</v>
      </c>
      <c r="AK81" s="660">
        <f t="shared" si="21"/>
        <v>0.24379999999999999</v>
      </c>
      <c r="AL81" s="660" t="e">
        <f t="shared" si="22"/>
        <v>#VALUE!</v>
      </c>
      <c r="AM81" s="664" t="e">
        <f t="shared" si="23"/>
        <v>#VALUE!</v>
      </c>
      <c r="AN81" s="664" t="e">
        <f t="shared" si="24"/>
        <v>#VALUE!</v>
      </c>
      <c r="AO81" s="665" t="e">
        <f t="shared" si="25"/>
        <v>#VALUE!</v>
      </c>
      <c r="AP81" s="666" t="e">
        <f t="shared" si="26"/>
        <v>#VALUE!</v>
      </c>
      <c r="AQ81" s="660" t="e">
        <f t="shared" si="27"/>
        <v>#VALUE!</v>
      </c>
      <c r="AR81" s="667" t="e">
        <f t="shared" si="28"/>
        <v>#VALUE!</v>
      </c>
      <c r="AS81" s="667" t="e">
        <f t="shared" si="29"/>
        <v>#VALUE!</v>
      </c>
      <c r="AT81" s="668" t="e">
        <f t="shared" si="30"/>
        <v>#VALUE!</v>
      </c>
      <c r="AU81" s="667" t="e">
        <f t="shared" si="31"/>
        <v>#VALUE!</v>
      </c>
      <c r="AV81" s="669" t="e">
        <f t="shared" si="32"/>
        <v>#VALUE!</v>
      </c>
      <c r="AW81" s="667" t="e">
        <f t="shared" si="33"/>
        <v>#VALUE!</v>
      </c>
      <c r="AX81" s="667" t="e">
        <f t="shared" si="34"/>
        <v>#VALUE!</v>
      </c>
      <c r="AY81" s="660" t="e">
        <f t="shared" si="35"/>
        <v>#VALUE!</v>
      </c>
      <c r="AZ81" s="670" t="e">
        <f t="shared" si="36"/>
        <v>#VALUE!</v>
      </c>
      <c r="BB81" s="662" t="e">
        <f>INDEX('Barge Gauging Data'!$B$26:$V$56,MATCH($C81,'Barge Gauging Data'!$B$26:$B$56,0),$BB$18)</f>
        <v>#N/A</v>
      </c>
      <c r="BC81" s="662" t="e">
        <f>INDEX('Barge Gauging Data'!$B$26:$V$56,MATCH($C81,'Barge Gauging Data'!$B$26:$B$56,0),$BC$18)</f>
        <v>#N/A</v>
      </c>
      <c r="BD81" s="662" t="e">
        <f>INDEX('Barge Gauging Data'!$B$26:$V$56,MATCH($C81,'Barge Gauging Data'!$B$26:$B$56,0),$BD$18)</f>
        <v>#N/A</v>
      </c>
      <c r="BE81" s="662" t="e">
        <f>INDEX('Barge Gauging Data'!$B$26:$V$56,MATCH($C81,'Barge Gauging Data'!$B$26:$B$56,0),$BE$18)</f>
        <v>#N/A</v>
      </c>
    </row>
    <row r="82" spans="1:57" hidden="1">
      <c r="A82" s="641" t="str">
        <f t="shared" si="52"/>
        <v>N</v>
      </c>
      <c r="C82" s="235" t="str">
        <f t="array" ref="C82">IF(OR($E$67="",SUMPRODUCT(('Barge Gauging Data'!$C$27:$C$56=$E$67)*('Barge Gauging Data'!$D$27:$D$56=NOMY))&lt;ROWS($C$68:$C82)),"",INDEX('Barge Gauging Data'!$B$27:$B$56,SMALL(IF(('Barge Gauging Data'!$C$27:$C$56=$E$67)+('Barge Gauging Data'!$D$27:$D$56=NOMY)=2,ROW('Barge Gauging Data'!$B$27:$B$56)-ROW('Barge Gauging Data'!$C$26)),ROW()-ROW(C$67))))</f>
        <v/>
      </c>
      <c r="D82" s="211" t="str">
        <f>IF(OR($C82="",$C82=0),"",INDEX('Barge Gauging Data'!$B$26:$V$56,MATCH($C82,'Barge Gauging Data'!$B$27:$B$56,0)+1,2))</f>
        <v/>
      </c>
      <c r="E82" s="1016" t="str">
        <f t="shared" si="53"/>
        <v/>
      </c>
      <c r="F82" s="1016" t="str">
        <f t="shared" si="54"/>
        <v/>
      </c>
      <c r="G82" s="1016" t="str">
        <f t="shared" si="55"/>
        <v/>
      </c>
      <c r="H82" s="1016" t="str">
        <f t="shared" si="55"/>
        <v/>
      </c>
      <c r="I82" s="211" t="str">
        <f t="shared" si="56"/>
        <v/>
      </c>
      <c r="J82" s="1016" t="str">
        <f t="shared" si="57"/>
        <v/>
      </c>
      <c r="K82" s="213" t="str">
        <f t="shared" si="58"/>
        <v/>
      </c>
      <c r="L82" s="212" t="str">
        <f t="shared" si="59"/>
        <v/>
      </c>
      <c r="M82" s="1125" t="str">
        <f>IF(OR($C82="",$C82=0),"",INDEX(API1DENST_2,MATCH($C82,'Barge Gauging Data'!$B$27:$B$56,0),$AA$1))</f>
        <v/>
      </c>
      <c r="N82" s="212" t="str">
        <f t="shared" si="60"/>
        <v/>
      </c>
      <c r="O82" s="1016" t="str">
        <f t="shared" si="61"/>
        <v/>
      </c>
      <c r="P82" s="1125" t="str">
        <f t="shared" si="62"/>
        <v/>
      </c>
      <c r="Q82" s="1016" t="str">
        <f t="shared" si="63"/>
        <v/>
      </c>
      <c r="R82" s="214" t="str">
        <f t="shared" si="64"/>
        <v/>
      </c>
      <c r="S82" s="1125" t="str">
        <f t="shared" si="65"/>
        <v/>
      </c>
      <c r="T82" s="236" t="str">
        <f t="shared" si="66"/>
        <v/>
      </c>
      <c r="V82" s="642" t="e">
        <f>INDEX('Barge Gauging Data'!$B$26:$V$56,MATCH($C82,'Barge Gauging Data'!$B$26:$B$56,0),$V$18)</f>
        <v>#N/A</v>
      </c>
      <c r="W82" s="642" t="e">
        <f>INDEX('Barge Gauging Data'!$B$26:$V$56,MATCH($C82,'Barge Gauging Data'!$B$26:$B$56,0),$W$18)</f>
        <v>#N/A</v>
      </c>
      <c r="X82" s="642" t="e">
        <f>INDEX('Barge Gauging Data'!$B$26:$V$56,MATCH($C82,'Barge Gauging Data'!$B$26:$B$56,0),$X$18)</f>
        <v>#N/A</v>
      </c>
      <c r="Y82" s="642" t="e">
        <f>INDEX('Barge Gauging Data'!$B$26:$V$56,MATCH($C82,'Barge Gauging Data'!$B$26:$B$56,0),$Y$18)</f>
        <v>#N/A</v>
      </c>
      <c r="Z82" s="642" t="e">
        <f>INDEX('Barge Gauging Data'!$B$26:$V$56,MATCH($C82,'Barge Gauging Data'!$B$26:$B$56,0),$Z$18)</f>
        <v>#N/A</v>
      </c>
      <c r="AB82" s="642" t="e">
        <f>INDEX(API1DENST_2,MATCH($C82,'Barge Gauging Data'!$B$27:$B$56,0),1)</f>
        <v>#N/A</v>
      </c>
      <c r="AC82" s="642" t="e">
        <f t="shared" si="17"/>
        <v>#N/A</v>
      </c>
      <c r="AE82" s="661" t="e">
        <f t="shared" si="18"/>
        <v>#VALUE!</v>
      </c>
      <c r="AF82" s="661" t="e">
        <f t="shared" si="19"/>
        <v>#VALUE!</v>
      </c>
      <c r="AH82" s="662" t="str">
        <f t="shared" si="15"/>
        <v/>
      </c>
      <c r="AI82" s="662" t="str">
        <f t="shared" si="16"/>
        <v/>
      </c>
      <c r="AJ82" s="663">
        <f t="shared" si="20"/>
        <v>192.4571</v>
      </c>
      <c r="AK82" s="660">
        <f t="shared" si="21"/>
        <v>0.24379999999999999</v>
      </c>
      <c r="AL82" s="660" t="e">
        <f t="shared" si="22"/>
        <v>#VALUE!</v>
      </c>
      <c r="AM82" s="664" t="e">
        <f t="shared" si="23"/>
        <v>#VALUE!</v>
      </c>
      <c r="AN82" s="664" t="e">
        <f t="shared" si="24"/>
        <v>#VALUE!</v>
      </c>
      <c r="AO82" s="665" t="e">
        <f t="shared" si="25"/>
        <v>#VALUE!</v>
      </c>
      <c r="AP82" s="666" t="e">
        <f t="shared" si="26"/>
        <v>#VALUE!</v>
      </c>
      <c r="AQ82" s="660" t="e">
        <f t="shared" si="27"/>
        <v>#VALUE!</v>
      </c>
      <c r="AR82" s="667" t="e">
        <f t="shared" si="28"/>
        <v>#VALUE!</v>
      </c>
      <c r="AS82" s="667" t="e">
        <f t="shared" si="29"/>
        <v>#VALUE!</v>
      </c>
      <c r="AT82" s="668" t="e">
        <f t="shared" si="30"/>
        <v>#VALUE!</v>
      </c>
      <c r="AU82" s="667" t="e">
        <f t="shared" si="31"/>
        <v>#VALUE!</v>
      </c>
      <c r="AV82" s="669" t="e">
        <f t="shared" si="32"/>
        <v>#VALUE!</v>
      </c>
      <c r="AW82" s="667" t="e">
        <f t="shared" si="33"/>
        <v>#VALUE!</v>
      </c>
      <c r="AX82" s="667" t="e">
        <f t="shared" si="34"/>
        <v>#VALUE!</v>
      </c>
      <c r="AY82" s="660" t="e">
        <f t="shared" si="35"/>
        <v>#VALUE!</v>
      </c>
      <c r="AZ82" s="670" t="e">
        <f t="shared" si="36"/>
        <v>#VALUE!</v>
      </c>
      <c r="BB82" s="662" t="e">
        <f>INDEX('Barge Gauging Data'!$B$26:$V$56,MATCH($C82,'Barge Gauging Data'!$B$26:$B$56,0),$BB$18)</f>
        <v>#N/A</v>
      </c>
      <c r="BC82" s="662" t="e">
        <f>INDEX('Barge Gauging Data'!$B$26:$V$56,MATCH($C82,'Barge Gauging Data'!$B$26:$B$56,0),$BC$18)</f>
        <v>#N/A</v>
      </c>
      <c r="BD82" s="662" t="e">
        <f>INDEX('Barge Gauging Data'!$B$26:$V$56,MATCH($C82,'Barge Gauging Data'!$B$26:$B$56,0),$BD$18)</f>
        <v>#N/A</v>
      </c>
      <c r="BE82" s="662" t="e">
        <f>INDEX('Barge Gauging Data'!$B$26:$V$56,MATCH($C82,'Barge Gauging Data'!$B$26:$B$56,0),$BE$18)</f>
        <v>#N/A</v>
      </c>
    </row>
    <row r="83" spans="1:57" hidden="1">
      <c r="A83" s="641" t="str">
        <f t="shared" si="52"/>
        <v>N</v>
      </c>
      <c r="C83" s="235" t="str">
        <f t="array" ref="C83">IF(OR($E$67="",SUMPRODUCT(('Barge Gauging Data'!$C$27:$C$56=$E$67)*('Barge Gauging Data'!$D$27:$D$56=NOMY))&lt;ROWS($C$68:$C83)),"",INDEX('Barge Gauging Data'!$B$27:$B$56,SMALL(IF(('Barge Gauging Data'!$C$27:$C$56=$E$67)+('Barge Gauging Data'!$D$27:$D$56=NOMY)=2,ROW('Barge Gauging Data'!$B$27:$B$56)-ROW('Barge Gauging Data'!$C$26)),ROW()-ROW(C$67))))</f>
        <v/>
      </c>
      <c r="D83" s="211" t="str">
        <f>IF(OR($C83="",$C83=0),"",INDEX('Barge Gauging Data'!$B$26:$V$56,MATCH($C83,'Barge Gauging Data'!$B$27:$B$56,0)+1,2))</f>
        <v/>
      </c>
      <c r="E83" s="1016" t="str">
        <f t="shared" si="53"/>
        <v/>
      </c>
      <c r="F83" s="1016" t="str">
        <f t="shared" si="54"/>
        <v/>
      </c>
      <c r="G83" s="1016" t="str">
        <f t="shared" si="55"/>
        <v/>
      </c>
      <c r="H83" s="1016" t="str">
        <f t="shared" si="55"/>
        <v/>
      </c>
      <c r="I83" s="211" t="str">
        <f t="shared" si="56"/>
        <v/>
      </c>
      <c r="J83" s="1016" t="str">
        <f t="shared" si="57"/>
        <v/>
      </c>
      <c r="K83" s="213" t="str">
        <f t="shared" si="58"/>
        <v/>
      </c>
      <c r="L83" s="212" t="str">
        <f t="shared" si="59"/>
        <v/>
      </c>
      <c r="M83" s="1125" t="str">
        <f>IF(OR($C83="",$C83=0),"",INDEX(API1DENST_2,MATCH($C83,'Barge Gauging Data'!$B$27:$B$56,0),$AA$1))</f>
        <v/>
      </c>
      <c r="N83" s="212" t="str">
        <f t="shared" si="60"/>
        <v/>
      </c>
      <c r="O83" s="1016" t="str">
        <f t="shared" si="61"/>
        <v/>
      </c>
      <c r="P83" s="1125" t="str">
        <f t="shared" si="62"/>
        <v/>
      </c>
      <c r="Q83" s="1016" t="str">
        <f t="shared" si="63"/>
        <v/>
      </c>
      <c r="R83" s="214" t="str">
        <f t="shared" si="64"/>
        <v/>
      </c>
      <c r="S83" s="1125" t="str">
        <f t="shared" si="65"/>
        <v/>
      </c>
      <c r="T83" s="236" t="str">
        <f t="shared" si="66"/>
        <v/>
      </c>
      <c r="V83" s="642" t="e">
        <f>INDEX('Barge Gauging Data'!$B$26:$V$56,MATCH($C83,'Barge Gauging Data'!$B$26:$B$56,0),$V$18)</f>
        <v>#N/A</v>
      </c>
      <c r="W83" s="642" t="e">
        <f>INDEX('Barge Gauging Data'!$B$26:$V$56,MATCH($C83,'Barge Gauging Data'!$B$26:$B$56,0),$W$18)</f>
        <v>#N/A</v>
      </c>
      <c r="X83" s="642" t="e">
        <f>INDEX('Barge Gauging Data'!$B$26:$V$56,MATCH($C83,'Barge Gauging Data'!$B$26:$B$56,0),$X$18)</f>
        <v>#N/A</v>
      </c>
      <c r="Y83" s="642" t="e">
        <f>INDEX('Barge Gauging Data'!$B$26:$V$56,MATCH($C83,'Barge Gauging Data'!$B$26:$B$56,0),$Y$18)</f>
        <v>#N/A</v>
      </c>
      <c r="Z83" s="642" t="e">
        <f>INDEX('Barge Gauging Data'!$B$26:$V$56,MATCH($C83,'Barge Gauging Data'!$B$26:$B$56,0),$Z$18)</f>
        <v>#N/A</v>
      </c>
      <c r="AB83" s="642" t="e">
        <f>INDEX(API1DENST_2,MATCH($C83,'Barge Gauging Data'!$B$27:$B$56,0),1)</f>
        <v>#N/A</v>
      </c>
      <c r="AC83" s="642" t="e">
        <f t="shared" si="17"/>
        <v>#N/A</v>
      </c>
      <c r="AE83" s="661" t="e">
        <f t="shared" si="18"/>
        <v>#VALUE!</v>
      </c>
      <c r="AF83" s="661" t="e">
        <f t="shared" si="19"/>
        <v>#VALUE!</v>
      </c>
      <c r="AH83" s="662" t="str">
        <f t="shared" si="15"/>
        <v/>
      </c>
      <c r="AI83" s="662" t="str">
        <f t="shared" si="16"/>
        <v/>
      </c>
      <c r="AJ83" s="663">
        <f t="shared" si="20"/>
        <v>192.4571</v>
      </c>
      <c r="AK83" s="660">
        <f t="shared" si="21"/>
        <v>0.24379999999999999</v>
      </c>
      <c r="AL83" s="660" t="e">
        <f t="shared" si="22"/>
        <v>#VALUE!</v>
      </c>
      <c r="AM83" s="664" t="e">
        <f t="shared" si="23"/>
        <v>#VALUE!</v>
      </c>
      <c r="AN83" s="664" t="e">
        <f t="shared" si="24"/>
        <v>#VALUE!</v>
      </c>
      <c r="AO83" s="665" t="e">
        <f t="shared" si="25"/>
        <v>#VALUE!</v>
      </c>
      <c r="AP83" s="666" t="e">
        <f t="shared" si="26"/>
        <v>#VALUE!</v>
      </c>
      <c r="AQ83" s="660" t="e">
        <f t="shared" si="27"/>
        <v>#VALUE!</v>
      </c>
      <c r="AR83" s="667" t="e">
        <f t="shared" si="28"/>
        <v>#VALUE!</v>
      </c>
      <c r="AS83" s="667" t="e">
        <f t="shared" si="29"/>
        <v>#VALUE!</v>
      </c>
      <c r="AT83" s="668" t="e">
        <f t="shared" si="30"/>
        <v>#VALUE!</v>
      </c>
      <c r="AU83" s="667" t="e">
        <f t="shared" si="31"/>
        <v>#VALUE!</v>
      </c>
      <c r="AV83" s="669" t="e">
        <f t="shared" si="32"/>
        <v>#VALUE!</v>
      </c>
      <c r="AW83" s="667" t="e">
        <f t="shared" si="33"/>
        <v>#VALUE!</v>
      </c>
      <c r="AX83" s="667" t="e">
        <f t="shared" si="34"/>
        <v>#VALUE!</v>
      </c>
      <c r="AY83" s="660" t="e">
        <f t="shared" si="35"/>
        <v>#VALUE!</v>
      </c>
      <c r="AZ83" s="670" t="e">
        <f t="shared" si="36"/>
        <v>#VALUE!</v>
      </c>
      <c r="BB83" s="662" t="e">
        <f>INDEX('Barge Gauging Data'!$B$26:$V$56,MATCH($C83,'Barge Gauging Data'!$B$26:$B$56,0),$BB$18)</f>
        <v>#N/A</v>
      </c>
      <c r="BC83" s="662" t="e">
        <f>INDEX('Barge Gauging Data'!$B$26:$V$56,MATCH($C83,'Barge Gauging Data'!$B$26:$B$56,0),$BC$18)</f>
        <v>#N/A</v>
      </c>
      <c r="BD83" s="662" t="e">
        <f>INDEX('Barge Gauging Data'!$B$26:$V$56,MATCH($C83,'Barge Gauging Data'!$B$26:$B$56,0),$BD$18)</f>
        <v>#N/A</v>
      </c>
      <c r="BE83" s="662" t="e">
        <f>INDEX('Barge Gauging Data'!$B$26:$V$56,MATCH($C83,'Barge Gauging Data'!$B$26:$B$56,0),$BE$18)</f>
        <v>#N/A</v>
      </c>
    </row>
    <row r="84" spans="1:57" hidden="1">
      <c r="A84" s="641" t="str">
        <f t="shared" si="52"/>
        <v>N</v>
      </c>
      <c r="C84" s="235" t="str">
        <f t="array" ref="C84">IF(OR($E$67="",SUMPRODUCT(('Barge Gauging Data'!$C$27:$C$56=$E$67)*('Barge Gauging Data'!$D$27:$D$56=NOMY))&lt;ROWS($C$68:$C84)),"",INDEX('Barge Gauging Data'!$B$27:$B$56,SMALL(IF(('Barge Gauging Data'!$C$27:$C$56=$E$67)+('Barge Gauging Data'!$D$27:$D$56=NOMY)=2,ROW('Barge Gauging Data'!$B$27:$B$56)-ROW('Barge Gauging Data'!$C$26)),ROW()-ROW(C$67))))</f>
        <v/>
      </c>
      <c r="D84" s="211" t="str">
        <f>IF(OR($C84="",$C84=0),"",INDEX('Barge Gauging Data'!$B$26:$V$56,MATCH($C84,'Barge Gauging Data'!$B$27:$B$56,0)+1,2))</f>
        <v/>
      </c>
      <c r="E84" s="1016" t="str">
        <f t="shared" si="53"/>
        <v/>
      </c>
      <c r="F84" s="1016" t="str">
        <f t="shared" si="54"/>
        <v/>
      </c>
      <c r="G84" s="1016" t="str">
        <f t="shared" si="55"/>
        <v/>
      </c>
      <c r="H84" s="1016" t="str">
        <f t="shared" si="55"/>
        <v/>
      </c>
      <c r="I84" s="211" t="str">
        <f t="shared" si="56"/>
        <v/>
      </c>
      <c r="J84" s="1016" t="str">
        <f t="shared" si="57"/>
        <v/>
      </c>
      <c r="K84" s="213" t="str">
        <f t="shared" si="58"/>
        <v/>
      </c>
      <c r="L84" s="212" t="str">
        <f t="shared" si="59"/>
        <v/>
      </c>
      <c r="M84" s="1125" t="str">
        <f>IF(OR($C84="",$C84=0),"",INDEX(API1DENST_2,MATCH($C84,'Barge Gauging Data'!$B$27:$B$56,0),$AA$1))</f>
        <v/>
      </c>
      <c r="N84" s="212" t="str">
        <f t="shared" si="60"/>
        <v/>
      </c>
      <c r="O84" s="1016" t="str">
        <f t="shared" si="61"/>
        <v/>
      </c>
      <c r="P84" s="1125" t="str">
        <f t="shared" si="62"/>
        <v/>
      </c>
      <c r="Q84" s="1016" t="str">
        <f t="shared" si="63"/>
        <v/>
      </c>
      <c r="R84" s="214" t="str">
        <f t="shared" si="64"/>
        <v/>
      </c>
      <c r="S84" s="1125" t="str">
        <f t="shared" si="65"/>
        <v/>
      </c>
      <c r="T84" s="236" t="str">
        <f t="shared" si="66"/>
        <v/>
      </c>
      <c r="V84" s="642" t="e">
        <f>INDEX('Barge Gauging Data'!$B$26:$V$56,MATCH($C84,'Barge Gauging Data'!$B$26:$B$56,0),$V$18)</f>
        <v>#N/A</v>
      </c>
      <c r="W84" s="642" t="e">
        <f>INDEX('Barge Gauging Data'!$B$26:$V$56,MATCH($C84,'Barge Gauging Data'!$B$26:$B$56,0),$W$18)</f>
        <v>#N/A</v>
      </c>
      <c r="X84" s="642" t="e">
        <f>INDEX('Barge Gauging Data'!$B$26:$V$56,MATCH($C84,'Barge Gauging Data'!$B$26:$B$56,0),$X$18)</f>
        <v>#N/A</v>
      </c>
      <c r="Y84" s="642" t="e">
        <f>INDEX('Barge Gauging Data'!$B$26:$V$56,MATCH($C84,'Barge Gauging Data'!$B$26:$B$56,0),$Y$18)</f>
        <v>#N/A</v>
      </c>
      <c r="Z84" s="642" t="e">
        <f>INDEX('Barge Gauging Data'!$B$26:$V$56,MATCH($C84,'Barge Gauging Data'!$B$26:$B$56,0),$Z$18)</f>
        <v>#N/A</v>
      </c>
      <c r="AB84" s="642" t="e">
        <f>INDEX(API1DENST_2,MATCH($C84,'Barge Gauging Data'!$B$27:$B$56,0),1)</f>
        <v>#N/A</v>
      </c>
      <c r="AC84" s="642" t="e">
        <f t="shared" si="17"/>
        <v>#N/A</v>
      </c>
      <c r="AE84" s="661" t="e">
        <f t="shared" si="18"/>
        <v>#VALUE!</v>
      </c>
      <c r="AF84" s="661" t="e">
        <f t="shared" si="19"/>
        <v>#VALUE!</v>
      </c>
      <c r="AH84" s="662" t="str">
        <f t="shared" si="15"/>
        <v/>
      </c>
      <c r="AI84" s="662" t="str">
        <f t="shared" si="16"/>
        <v/>
      </c>
      <c r="AJ84" s="663">
        <f t="shared" si="20"/>
        <v>192.4571</v>
      </c>
      <c r="AK84" s="660">
        <f t="shared" si="21"/>
        <v>0.24379999999999999</v>
      </c>
      <c r="AL84" s="660" t="e">
        <f t="shared" si="22"/>
        <v>#VALUE!</v>
      </c>
      <c r="AM84" s="664" t="e">
        <f t="shared" si="23"/>
        <v>#VALUE!</v>
      </c>
      <c r="AN84" s="664" t="e">
        <f t="shared" si="24"/>
        <v>#VALUE!</v>
      </c>
      <c r="AO84" s="665" t="e">
        <f t="shared" si="25"/>
        <v>#VALUE!</v>
      </c>
      <c r="AP84" s="666" t="e">
        <f t="shared" si="26"/>
        <v>#VALUE!</v>
      </c>
      <c r="AQ84" s="660" t="e">
        <f t="shared" si="27"/>
        <v>#VALUE!</v>
      </c>
      <c r="AR84" s="667" t="e">
        <f t="shared" si="28"/>
        <v>#VALUE!</v>
      </c>
      <c r="AS84" s="667" t="e">
        <f t="shared" si="29"/>
        <v>#VALUE!</v>
      </c>
      <c r="AT84" s="668" t="e">
        <f t="shared" si="30"/>
        <v>#VALUE!</v>
      </c>
      <c r="AU84" s="667" t="e">
        <f t="shared" si="31"/>
        <v>#VALUE!</v>
      </c>
      <c r="AV84" s="669" t="e">
        <f t="shared" si="32"/>
        <v>#VALUE!</v>
      </c>
      <c r="AW84" s="667" t="e">
        <f t="shared" si="33"/>
        <v>#VALUE!</v>
      </c>
      <c r="AX84" s="667" t="e">
        <f t="shared" si="34"/>
        <v>#VALUE!</v>
      </c>
      <c r="AY84" s="660" t="e">
        <f t="shared" si="35"/>
        <v>#VALUE!</v>
      </c>
      <c r="AZ84" s="670" t="e">
        <f t="shared" si="36"/>
        <v>#VALUE!</v>
      </c>
      <c r="BB84" s="662" t="e">
        <f>INDEX('Barge Gauging Data'!$B$26:$V$56,MATCH($C84,'Barge Gauging Data'!$B$26:$B$56,0),$BB$18)</f>
        <v>#N/A</v>
      </c>
      <c r="BC84" s="662" t="e">
        <f>INDEX('Barge Gauging Data'!$B$26:$V$56,MATCH($C84,'Barge Gauging Data'!$B$26:$B$56,0),$BC$18)</f>
        <v>#N/A</v>
      </c>
      <c r="BD84" s="662" t="e">
        <f>INDEX('Barge Gauging Data'!$B$26:$V$56,MATCH($C84,'Barge Gauging Data'!$B$26:$B$56,0),$BD$18)</f>
        <v>#N/A</v>
      </c>
      <c r="BE84" s="662" t="e">
        <f>INDEX('Barge Gauging Data'!$B$26:$V$56,MATCH($C84,'Barge Gauging Data'!$B$26:$B$56,0),$BE$18)</f>
        <v>#N/A</v>
      </c>
    </row>
    <row r="85" spans="1:57" hidden="1">
      <c r="A85" s="641" t="str">
        <f t="shared" si="52"/>
        <v>N</v>
      </c>
      <c r="C85" s="235" t="str">
        <f t="array" ref="C85">IF(OR($E$67="",SUMPRODUCT(('Barge Gauging Data'!$C$27:$C$56=$E$67)*('Barge Gauging Data'!$D$27:$D$56=NOMY))&lt;ROWS($C$68:$C85)),"",INDEX('Barge Gauging Data'!$B$27:$B$56,SMALL(IF(('Barge Gauging Data'!$C$27:$C$56=$E$67)+('Barge Gauging Data'!$D$27:$D$56=NOMY)=2,ROW('Barge Gauging Data'!$B$27:$B$56)-ROW('Barge Gauging Data'!$C$26)),ROW()-ROW(C$67))))</f>
        <v/>
      </c>
      <c r="D85" s="211" t="str">
        <f>IF(OR($C85="",$C85=0),"",INDEX('Barge Gauging Data'!$B$26:$V$56,MATCH($C85,'Barge Gauging Data'!$B$27:$B$56,0)+1,2))</f>
        <v/>
      </c>
      <c r="E85" s="1016" t="str">
        <f t="shared" si="53"/>
        <v/>
      </c>
      <c r="F85" s="1016" t="str">
        <f t="shared" si="54"/>
        <v/>
      </c>
      <c r="G85" s="1016" t="str">
        <f t="shared" si="55"/>
        <v/>
      </c>
      <c r="H85" s="1016" t="str">
        <f t="shared" si="55"/>
        <v/>
      </c>
      <c r="I85" s="211" t="str">
        <f t="shared" si="56"/>
        <v/>
      </c>
      <c r="J85" s="1016" t="str">
        <f t="shared" si="57"/>
        <v/>
      </c>
      <c r="K85" s="213" t="str">
        <f t="shared" si="58"/>
        <v/>
      </c>
      <c r="L85" s="212" t="str">
        <f t="shared" si="59"/>
        <v/>
      </c>
      <c r="M85" s="1125" t="str">
        <f>IF(OR($C85="",$C85=0),"",INDEX(API1DENST_2,MATCH($C85,'Barge Gauging Data'!$B$27:$B$56,0),$AA$1))</f>
        <v/>
      </c>
      <c r="N85" s="212" t="str">
        <f t="shared" si="60"/>
        <v/>
      </c>
      <c r="O85" s="1016" t="str">
        <f t="shared" si="61"/>
        <v/>
      </c>
      <c r="P85" s="1125" t="str">
        <f t="shared" si="62"/>
        <v/>
      </c>
      <c r="Q85" s="1016" t="str">
        <f t="shared" si="63"/>
        <v/>
      </c>
      <c r="R85" s="214" t="str">
        <f t="shared" si="64"/>
        <v/>
      </c>
      <c r="S85" s="1125" t="str">
        <f t="shared" si="65"/>
        <v/>
      </c>
      <c r="T85" s="236" t="str">
        <f t="shared" si="66"/>
        <v/>
      </c>
      <c r="V85" s="642" t="e">
        <f>INDEX('Barge Gauging Data'!$B$26:$V$56,MATCH($C85,'Barge Gauging Data'!$B$26:$B$56,0),$V$18)</f>
        <v>#N/A</v>
      </c>
      <c r="W85" s="642" t="e">
        <f>INDEX('Barge Gauging Data'!$B$26:$V$56,MATCH($C85,'Barge Gauging Data'!$B$26:$B$56,0),$W$18)</f>
        <v>#N/A</v>
      </c>
      <c r="X85" s="642" t="e">
        <f>INDEX('Barge Gauging Data'!$B$26:$V$56,MATCH($C85,'Barge Gauging Data'!$B$26:$B$56,0),$X$18)</f>
        <v>#N/A</v>
      </c>
      <c r="Y85" s="642" t="e">
        <f>INDEX('Barge Gauging Data'!$B$26:$V$56,MATCH($C85,'Barge Gauging Data'!$B$26:$B$56,0),$Y$18)</f>
        <v>#N/A</v>
      </c>
      <c r="Z85" s="642" t="e">
        <f>INDEX('Barge Gauging Data'!$B$26:$V$56,MATCH($C85,'Barge Gauging Data'!$B$26:$B$56,0),$Z$18)</f>
        <v>#N/A</v>
      </c>
      <c r="AB85" s="642" t="e">
        <f>INDEX(API1DENST_2,MATCH($C85,'Barge Gauging Data'!$B$27:$B$56,0),1)</f>
        <v>#N/A</v>
      </c>
      <c r="AC85" s="642" t="e">
        <f t="shared" si="17"/>
        <v>#N/A</v>
      </c>
      <c r="AE85" s="661" t="e">
        <f t="shared" si="18"/>
        <v>#VALUE!</v>
      </c>
      <c r="AF85" s="661" t="e">
        <f t="shared" si="19"/>
        <v>#VALUE!</v>
      </c>
      <c r="AH85" s="662" t="str">
        <f t="shared" si="15"/>
        <v/>
      </c>
      <c r="AI85" s="662" t="str">
        <f t="shared" si="16"/>
        <v/>
      </c>
      <c r="AJ85" s="663">
        <f t="shared" si="20"/>
        <v>192.4571</v>
      </c>
      <c r="AK85" s="660">
        <f t="shared" si="21"/>
        <v>0.24379999999999999</v>
      </c>
      <c r="AL85" s="660" t="e">
        <f t="shared" si="22"/>
        <v>#VALUE!</v>
      </c>
      <c r="AM85" s="664" t="e">
        <f t="shared" si="23"/>
        <v>#VALUE!</v>
      </c>
      <c r="AN85" s="664" t="e">
        <f t="shared" si="24"/>
        <v>#VALUE!</v>
      </c>
      <c r="AO85" s="665" t="e">
        <f t="shared" si="25"/>
        <v>#VALUE!</v>
      </c>
      <c r="AP85" s="666" t="e">
        <f t="shared" si="26"/>
        <v>#VALUE!</v>
      </c>
      <c r="AQ85" s="660" t="e">
        <f t="shared" si="27"/>
        <v>#VALUE!</v>
      </c>
      <c r="AR85" s="667" t="e">
        <f t="shared" si="28"/>
        <v>#VALUE!</v>
      </c>
      <c r="AS85" s="667" t="e">
        <f t="shared" si="29"/>
        <v>#VALUE!</v>
      </c>
      <c r="AT85" s="668" t="e">
        <f t="shared" si="30"/>
        <v>#VALUE!</v>
      </c>
      <c r="AU85" s="667" t="e">
        <f t="shared" si="31"/>
        <v>#VALUE!</v>
      </c>
      <c r="AV85" s="669" t="e">
        <f t="shared" si="32"/>
        <v>#VALUE!</v>
      </c>
      <c r="AW85" s="667" t="e">
        <f t="shared" si="33"/>
        <v>#VALUE!</v>
      </c>
      <c r="AX85" s="667" t="e">
        <f t="shared" si="34"/>
        <v>#VALUE!</v>
      </c>
      <c r="AY85" s="660" t="e">
        <f t="shared" si="35"/>
        <v>#VALUE!</v>
      </c>
      <c r="AZ85" s="670" t="e">
        <f t="shared" si="36"/>
        <v>#VALUE!</v>
      </c>
      <c r="BB85" s="662" t="e">
        <f>INDEX('Barge Gauging Data'!$B$26:$V$56,MATCH($C85,'Barge Gauging Data'!$B$26:$B$56,0),$BB$18)</f>
        <v>#N/A</v>
      </c>
      <c r="BC85" s="662" t="e">
        <f>INDEX('Barge Gauging Data'!$B$26:$V$56,MATCH($C85,'Barge Gauging Data'!$B$26:$B$56,0),$BC$18)</f>
        <v>#N/A</v>
      </c>
      <c r="BD85" s="662" t="e">
        <f>INDEX('Barge Gauging Data'!$B$26:$V$56,MATCH($C85,'Barge Gauging Data'!$B$26:$B$56,0),$BD$18)</f>
        <v>#N/A</v>
      </c>
      <c r="BE85" s="662" t="e">
        <f>INDEX('Barge Gauging Data'!$B$26:$V$56,MATCH($C85,'Barge Gauging Data'!$B$26:$B$56,0),$BE$18)</f>
        <v>#N/A</v>
      </c>
    </row>
    <row r="86" spans="1:57" hidden="1">
      <c r="A86" s="641" t="str">
        <f t="shared" si="52"/>
        <v>N</v>
      </c>
      <c r="C86" s="235" t="str">
        <f t="array" ref="C86">IF(OR($E$67="",SUMPRODUCT(('Barge Gauging Data'!$C$27:$C$56=$E$67)*('Barge Gauging Data'!$D$27:$D$56=NOMY))&lt;ROWS($C$68:$C86)),"",INDEX('Barge Gauging Data'!$B$27:$B$56,SMALL(IF(('Barge Gauging Data'!$C$27:$C$56=$E$67)+('Barge Gauging Data'!$D$27:$D$56=NOMY)=2,ROW('Barge Gauging Data'!$B$27:$B$56)-ROW('Barge Gauging Data'!$C$26)),ROW()-ROW(C$67))))</f>
        <v/>
      </c>
      <c r="D86" s="211" t="str">
        <f>IF(OR($C86="",$C86=0),"",INDEX('Barge Gauging Data'!$B$26:$V$56,MATCH($C86,'Barge Gauging Data'!$B$27:$B$56,0)+1,2))</f>
        <v/>
      </c>
      <c r="E86" s="1016" t="str">
        <f t="shared" si="53"/>
        <v/>
      </c>
      <c r="F86" s="1016" t="str">
        <f t="shared" si="54"/>
        <v/>
      </c>
      <c r="G86" s="1016" t="str">
        <f t="shared" si="55"/>
        <v/>
      </c>
      <c r="H86" s="1016" t="str">
        <f t="shared" si="55"/>
        <v/>
      </c>
      <c r="I86" s="211" t="str">
        <f t="shared" si="56"/>
        <v/>
      </c>
      <c r="J86" s="1016" t="str">
        <f t="shared" si="57"/>
        <v/>
      </c>
      <c r="K86" s="213" t="str">
        <f t="shared" si="58"/>
        <v/>
      </c>
      <c r="L86" s="212" t="str">
        <f t="shared" si="59"/>
        <v/>
      </c>
      <c r="M86" s="1125" t="str">
        <f>IF(OR($C86="",$C86=0),"",INDEX(API1DENST_2,MATCH($C86,'Barge Gauging Data'!$B$27:$B$56,0),$AA$1))</f>
        <v/>
      </c>
      <c r="N86" s="212" t="str">
        <f t="shared" si="60"/>
        <v/>
      </c>
      <c r="O86" s="1016" t="str">
        <f t="shared" si="61"/>
        <v/>
      </c>
      <c r="P86" s="1125" t="str">
        <f t="shared" si="62"/>
        <v/>
      </c>
      <c r="Q86" s="1016" t="str">
        <f t="shared" si="63"/>
        <v/>
      </c>
      <c r="R86" s="214" t="str">
        <f t="shared" si="64"/>
        <v/>
      </c>
      <c r="S86" s="1125" t="str">
        <f t="shared" si="65"/>
        <v/>
      </c>
      <c r="T86" s="236" t="str">
        <f t="shared" si="66"/>
        <v/>
      </c>
      <c r="V86" s="642" t="e">
        <f>INDEX('Barge Gauging Data'!$B$26:$V$56,MATCH($C86,'Barge Gauging Data'!$B$26:$B$56,0),$V$18)</f>
        <v>#N/A</v>
      </c>
      <c r="W86" s="642" t="e">
        <f>INDEX('Barge Gauging Data'!$B$26:$V$56,MATCH($C86,'Barge Gauging Data'!$B$26:$B$56,0),$W$18)</f>
        <v>#N/A</v>
      </c>
      <c r="X86" s="642" t="e">
        <f>INDEX('Barge Gauging Data'!$B$26:$V$56,MATCH($C86,'Barge Gauging Data'!$B$26:$B$56,0),$X$18)</f>
        <v>#N/A</v>
      </c>
      <c r="Y86" s="642" t="e">
        <f>INDEX('Barge Gauging Data'!$B$26:$V$56,MATCH($C86,'Barge Gauging Data'!$B$26:$B$56,0),$Y$18)</f>
        <v>#N/A</v>
      </c>
      <c r="Z86" s="642" t="e">
        <f>INDEX('Barge Gauging Data'!$B$26:$V$56,MATCH($C86,'Barge Gauging Data'!$B$26:$B$56,0),$Z$18)</f>
        <v>#N/A</v>
      </c>
      <c r="AB86" s="642" t="e">
        <f>INDEX(API1DENST_2,MATCH($C86,'Barge Gauging Data'!$B$27:$B$56,0),1)</f>
        <v>#N/A</v>
      </c>
      <c r="AC86" s="642" t="e">
        <f t="shared" si="17"/>
        <v>#N/A</v>
      </c>
      <c r="AE86" s="661" t="e">
        <f t="shared" si="18"/>
        <v>#VALUE!</v>
      </c>
      <c r="AF86" s="661" t="e">
        <f t="shared" si="19"/>
        <v>#VALUE!</v>
      </c>
      <c r="AH86" s="662" t="str">
        <f t="shared" si="15"/>
        <v/>
      </c>
      <c r="AI86" s="662" t="str">
        <f t="shared" si="16"/>
        <v/>
      </c>
      <c r="AJ86" s="663">
        <f t="shared" si="20"/>
        <v>192.4571</v>
      </c>
      <c r="AK86" s="660">
        <f t="shared" si="21"/>
        <v>0.24379999999999999</v>
      </c>
      <c r="AL86" s="660" t="e">
        <f t="shared" si="22"/>
        <v>#VALUE!</v>
      </c>
      <c r="AM86" s="664" t="e">
        <f t="shared" si="23"/>
        <v>#VALUE!</v>
      </c>
      <c r="AN86" s="664" t="e">
        <f t="shared" si="24"/>
        <v>#VALUE!</v>
      </c>
      <c r="AO86" s="665" t="e">
        <f t="shared" si="25"/>
        <v>#VALUE!</v>
      </c>
      <c r="AP86" s="666" t="e">
        <f t="shared" si="26"/>
        <v>#VALUE!</v>
      </c>
      <c r="AQ86" s="660" t="e">
        <f t="shared" si="27"/>
        <v>#VALUE!</v>
      </c>
      <c r="AR86" s="667" t="e">
        <f t="shared" si="28"/>
        <v>#VALUE!</v>
      </c>
      <c r="AS86" s="667" t="e">
        <f t="shared" si="29"/>
        <v>#VALUE!</v>
      </c>
      <c r="AT86" s="668" t="e">
        <f t="shared" si="30"/>
        <v>#VALUE!</v>
      </c>
      <c r="AU86" s="667" t="e">
        <f t="shared" si="31"/>
        <v>#VALUE!</v>
      </c>
      <c r="AV86" s="669" t="e">
        <f t="shared" si="32"/>
        <v>#VALUE!</v>
      </c>
      <c r="AW86" s="667" t="e">
        <f t="shared" si="33"/>
        <v>#VALUE!</v>
      </c>
      <c r="AX86" s="667" t="e">
        <f t="shared" si="34"/>
        <v>#VALUE!</v>
      </c>
      <c r="AY86" s="660" t="e">
        <f t="shared" si="35"/>
        <v>#VALUE!</v>
      </c>
      <c r="AZ86" s="670" t="e">
        <f t="shared" si="36"/>
        <v>#VALUE!</v>
      </c>
      <c r="BB86" s="662" t="e">
        <f>INDEX('Barge Gauging Data'!$B$26:$V$56,MATCH($C86,'Barge Gauging Data'!$B$26:$B$56,0),$BB$18)</f>
        <v>#N/A</v>
      </c>
      <c r="BC86" s="662" t="e">
        <f>INDEX('Barge Gauging Data'!$B$26:$V$56,MATCH($C86,'Barge Gauging Data'!$B$26:$B$56,0),$BC$18)</f>
        <v>#N/A</v>
      </c>
      <c r="BD86" s="662" t="e">
        <f>INDEX('Barge Gauging Data'!$B$26:$V$56,MATCH($C86,'Barge Gauging Data'!$B$26:$B$56,0),$BD$18)</f>
        <v>#N/A</v>
      </c>
      <c r="BE86" s="662" t="e">
        <f>INDEX('Barge Gauging Data'!$B$26:$V$56,MATCH($C86,'Barge Gauging Data'!$B$26:$B$56,0),$BE$18)</f>
        <v>#N/A</v>
      </c>
    </row>
    <row r="87" spans="1:57" hidden="1">
      <c r="A87" s="641" t="str">
        <f t="shared" si="52"/>
        <v>N</v>
      </c>
      <c r="C87" s="237" t="str">
        <f t="array" ref="C87">IF(OR($E$67="",SUMPRODUCT(('Barge Gauging Data'!$C$27:$C$56=$E$67)*('Barge Gauging Data'!$D$27:$D$56=NOMY))&lt;ROWS($C$68:$C87)),"",INDEX('Barge Gauging Data'!$B$27:$B$56,SMALL(IF(('Barge Gauging Data'!$C$27:$C$56=$E$67)+('Barge Gauging Data'!$D$27:$D$56=NOMY)=2,ROW('Barge Gauging Data'!$B$27:$B$56)-ROW('Barge Gauging Data'!$C$26)),ROW()-ROW(C$67))))</f>
        <v/>
      </c>
      <c r="D87" s="238" t="str">
        <f>IF(OR($C87="",$C87=0),"",INDEX('Barge Gauging Data'!$B$26:$V$56,MATCH($C87,'Barge Gauging Data'!$B$27:$B$56,0)+1,2))</f>
        <v/>
      </c>
      <c r="E87" s="1017" t="str">
        <f t="shared" si="53"/>
        <v/>
      </c>
      <c r="F87" s="1017" t="str">
        <f t="shared" si="54"/>
        <v/>
      </c>
      <c r="G87" s="1017" t="str">
        <f t="shared" si="55"/>
        <v/>
      </c>
      <c r="H87" s="1017" t="str">
        <f t="shared" si="55"/>
        <v/>
      </c>
      <c r="I87" s="238" t="str">
        <f t="shared" si="56"/>
        <v/>
      </c>
      <c r="J87" s="1017" t="str">
        <f t="shared" si="57"/>
        <v/>
      </c>
      <c r="K87" s="240" t="str">
        <f t="shared" si="58"/>
        <v/>
      </c>
      <c r="L87" s="239" t="str">
        <f t="shared" si="59"/>
        <v/>
      </c>
      <c r="M87" s="1126" t="str">
        <f>IF(OR($C87="",$C87=0),"",INDEX(API1DENST_2,MATCH($C87,'Barge Gauging Data'!$B$27:$B$56,0),$AA$1))</f>
        <v/>
      </c>
      <c r="N87" s="239" t="str">
        <f t="shared" si="60"/>
        <v/>
      </c>
      <c r="O87" s="1017" t="str">
        <f t="shared" si="61"/>
        <v/>
      </c>
      <c r="P87" s="1126" t="str">
        <f t="shared" si="62"/>
        <v/>
      </c>
      <c r="Q87" s="1017" t="str">
        <f t="shared" si="63"/>
        <v/>
      </c>
      <c r="R87" s="241" t="str">
        <f t="shared" si="64"/>
        <v/>
      </c>
      <c r="S87" s="1126" t="str">
        <f t="shared" si="65"/>
        <v/>
      </c>
      <c r="T87" s="242" t="str">
        <f t="shared" si="66"/>
        <v/>
      </c>
      <c r="V87" s="642" t="e">
        <f>INDEX('Barge Gauging Data'!$B$26:$V$56,MATCH($C87,'Barge Gauging Data'!$B$26:$B$56,0),$V$18)</f>
        <v>#N/A</v>
      </c>
      <c r="W87" s="642" t="e">
        <f>INDEX('Barge Gauging Data'!$B$26:$V$56,MATCH($C87,'Barge Gauging Data'!$B$26:$B$56,0),$W$18)</f>
        <v>#N/A</v>
      </c>
      <c r="X87" s="642" t="e">
        <f>INDEX('Barge Gauging Data'!$B$26:$V$56,MATCH($C87,'Barge Gauging Data'!$B$26:$B$56,0),$X$18)</f>
        <v>#N/A</v>
      </c>
      <c r="Y87" s="642" t="e">
        <f>INDEX('Barge Gauging Data'!$B$26:$V$56,MATCH($C87,'Barge Gauging Data'!$B$26:$B$56,0),$Y$18)</f>
        <v>#N/A</v>
      </c>
      <c r="Z87" s="642" t="e">
        <f>INDEX('Barge Gauging Data'!$B$26:$V$56,MATCH($C87,'Barge Gauging Data'!$B$26:$B$56,0),$Z$18)</f>
        <v>#N/A</v>
      </c>
      <c r="AB87" s="642" t="e">
        <f>INDEX(API1DENST_2,MATCH($C87,'Barge Gauging Data'!$B$27:$B$56,0),1)</f>
        <v>#N/A</v>
      </c>
      <c r="AC87" s="642" t="e">
        <f t="shared" si="17"/>
        <v>#N/A</v>
      </c>
      <c r="AE87" s="661" t="e">
        <f t="shared" si="18"/>
        <v>#VALUE!</v>
      </c>
      <c r="AF87" s="661" t="e">
        <f t="shared" si="19"/>
        <v>#VALUE!</v>
      </c>
      <c r="AH87" s="662" t="str">
        <f t="shared" si="15"/>
        <v/>
      </c>
      <c r="AI87" s="662" t="str">
        <f t="shared" si="16"/>
        <v/>
      </c>
      <c r="AJ87" s="663">
        <f t="shared" si="20"/>
        <v>192.4571</v>
      </c>
      <c r="AK87" s="660">
        <f t="shared" si="21"/>
        <v>0.24379999999999999</v>
      </c>
      <c r="AL87" s="660" t="e">
        <f t="shared" si="22"/>
        <v>#VALUE!</v>
      </c>
      <c r="AM87" s="664" t="e">
        <f t="shared" si="23"/>
        <v>#VALUE!</v>
      </c>
      <c r="AN87" s="664" t="e">
        <f t="shared" si="24"/>
        <v>#VALUE!</v>
      </c>
      <c r="AO87" s="665" t="e">
        <f t="shared" si="25"/>
        <v>#VALUE!</v>
      </c>
      <c r="AP87" s="666" t="e">
        <f t="shared" si="26"/>
        <v>#VALUE!</v>
      </c>
      <c r="AQ87" s="660" t="e">
        <f t="shared" si="27"/>
        <v>#VALUE!</v>
      </c>
      <c r="AR87" s="667" t="e">
        <f t="shared" si="28"/>
        <v>#VALUE!</v>
      </c>
      <c r="AS87" s="667" t="e">
        <f t="shared" si="29"/>
        <v>#VALUE!</v>
      </c>
      <c r="AT87" s="668" t="e">
        <f t="shared" si="30"/>
        <v>#VALUE!</v>
      </c>
      <c r="AU87" s="667" t="e">
        <f t="shared" si="31"/>
        <v>#VALUE!</v>
      </c>
      <c r="AV87" s="669" t="e">
        <f t="shared" si="32"/>
        <v>#VALUE!</v>
      </c>
      <c r="AW87" s="667" t="e">
        <f t="shared" si="33"/>
        <v>#VALUE!</v>
      </c>
      <c r="AX87" s="667" t="e">
        <f t="shared" si="34"/>
        <v>#VALUE!</v>
      </c>
      <c r="AY87" s="660" t="e">
        <f t="shared" si="35"/>
        <v>#VALUE!</v>
      </c>
      <c r="AZ87" s="670" t="e">
        <f t="shared" si="36"/>
        <v>#VALUE!</v>
      </c>
      <c r="BB87" s="662" t="e">
        <f>INDEX('Barge Gauging Data'!$B$26:$V$56,MATCH($C87,'Barge Gauging Data'!$B$26:$B$56,0),$BB$18)</f>
        <v>#N/A</v>
      </c>
      <c r="BC87" s="662" t="e">
        <f>INDEX('Barge Gauging Data'!$B$26:$V$56,MATCH($C87,'Barge Gauging Data'!$B$26:$B$56,0),$BC$18)</f>
        <v>#N/A</v>
      </c>
      <c r="BD87" s="662" t="e">
        <f>INDEX('Barge Gauging Data'!$B$26:$V$56,MATCH($C87,'Barge Gauging Data'!$B$26:$B$56,0),$BD$18)</f>
        <v>#N/A</v>
      </c>
      <c r="BE87" s="662" t="e">
        <f>INDEX('Barge Gauging Data'!$B$26:$V$56,MATCH($C87,'Barge Gauging Data'!$B$26:$B$56,0),$BE$18)</f>
        <v>#N/A</v>
      </c>
    </row>
    <row r="88" spans="1:57" hidden="1">
      <c r="A88" s="641" t="str">
        <f>A67</f>
        <v>N</v>
      </c>
      <c r="C88" s="671"/>
      <c r="D88" s="671"/>
      <c r="E88" s="672"/>
      <c r="F88" s="672"/>
      <c r="G88" s="672"/>
      <c r="H88" s="1501"/>
      <c r="I88" s="671"/>
      <c r="J88" s="672"/>
      <c r="K88" s="673"/>
      <c r="L88" s="672"/>
      <c r="M88" s="674"/>
      <c r="N88" s="672"/>
      <c r="O88" s="672"/>
      <c r="P88" s="1127"/>
      <c r="Q88" s="672"/>
      <c r="R88" s="675"/>
      <c r="S88" s="1137" t="s">
        <v>401</v>
      </c>
      <c r="T88" s="619">
        <f>SUM(T68:T87)</f>
        <v>0</v>
      </c>
      <c r="V88" s="619">
        <f>SUM(Q68:Q87)</f>
        <v>0</v>
      </c>
      <c r="W88" s="619">
        <f>SUM(R68:R87)</f>
        <v>0</v>
      </c>
      <c r="X88" s="719"/>
      <c r="Y88" s="719"/>
      <c r="Z88" s="719"/>
      <c r="AA88" s="676"/>
      <c r="AB88" s="719"/>
      <c r="AC88" s="719"/>
      <c r="AD88" s="676"/>
      <c r="AE88" s="720"/>
      <c r="AF88" s="720"/>
      <c r="AG88" s="676"/>
      <c r="AH88" s="721"/>
      <c r="AI88" s="721"/>
      <c r="AJ88" s="722"/>
      <c r="AK88" s="723"/>
      <c r="AL88" s="723"/>
      <c r="AM88" s="724"/>
      <c r="AN88" s="724"/>
      <c r="AO88" s="725"/>
      <c r="AP88" s="726"/>
      <c r="AQ88" s="723"/>
      <c r="AR88" s="727"/>
      <c r="AS88" s="727"/>
      <c r="AT88" s="728"/>
      <c r="AU88" s="727"/>
      <c r="AV88" s="729"/>
      <c r="AW88" s="727"/>
      <c r="AX88" s="727"/>
      <c r="AY88" s="723"/>
      <c r="AZ88" s="730"/>
      <c r="BA88" s="676"/>
      <c r="BB88" s="721"/>
      <c r="BC88" s="721"/>
      <c r="BD88" s="721"/>
      <c r="BE88" s="721"/>
    </row>
    <row r="89" spans="1:57" s="702" customFormat="1" ht="5.25" hidden="1">
      <c r="A89" s="702" t="str">
        <f>IF(A90="N",A90,IF(COUNTIF($A$21:$A87,"Y")&gt;0,A90,"N"))</f>
        <v>N</v>
      </c>
      <c r="C89" s="704"/>
      <c r="D89" s="704"/>
      <c r="E89" s="704"/>
      <c r="F89" s="704"/>
      <c r="G89" s="704"/>
      <c r="H89" s="704"/>
      <c r="I89" s="704"/>
      <c r="J89" s="705"/>
      <c r="K89" s="705"/>
      <c r="L89" s="705"/>
      <c r="M89" s="705"/>
      <c r="N89" s="705"/>
      <c r="O89" s="705"/>
      <c r="P89" s="1128"/>
      <c r="Q89" s="705"/>
      <c r="R89" s="705"/>
      <c r="S89" s="1136"/>
      <c r="T89" s="706"/>
      <c r="V89" s="707"/>
      <c r="W89" s="707"/>
      <c r="X89" s="707"/>
      <c r="Y89" s="707"/>
      <c r="Z89" s="707"/>
      <c r="AA89" s="707"/>
      <c r="AB89" s="707"/>
      <c r="AC89" s="707"/>
      <c r="AD89" s="707"/>
      <c r="AE89" s="708"/>
      <c r="AF89" s="708"/>
      <c r="AG89" s="707"/>
      <c r="AH89" s="709"/>
      <c r="AI89" s="709"/>
      <c r="AJ89" s="710"/>
      <c r="AK89" s="711"/>
      <c r="AL89" s="711"/>
      <c r="AM89" s="712"/>
      <c r="AN89" s="712"/>
      <c r="AO89" s="713"/>
      <c r="AP89" s="714"/>
      <c r="AQ89" s="711"/>
      <c r="AR89" s="715"/>
      <c r="AS89" s="715"/>
      <c r="AT89" s="716"/>
      <c r="AU89" s="715"/>
      <c r="AV89" s="717"/>
      <c r="AW89" s="715"/>
      <c r="AX89" s="715"/>
      <c r="AY89" s="711"/>
      <c r="AZ89" s="718"/>
      <c r="BA89" s="707"/>
      <c r="BB89" s="709"/>
      <c r="BC89" s="709"/>
      <c r="BD89" s="709"/>
      <c r="BE89" s="709"/>
    </row>
    <row r="90" spans="1:57" ht="15.75" hidden="1">
      <c r="A90" s="641" t="str">
        <f>A91</f>
        <v>N</v>
      </c>
      <c r="B90" s="641">
        <v>4</v>
      </c>
      <c r="C90" s="2797" t="s">
        <v>163</v>
      </c>
      <c r="D90" s="2798"/>
      <c r="E90" s="2799" t="str">
        <f>'Preliminary Report'!H1</f>
        <v>LSMDO</v>
      </c>
      <c r="F90" s="2800"/>
      <c r="G90" s="2800"/>
      <c r="H90" s="2824"/>
      <c r="I90" s="2801"/>
      <c r="J90" s="698"/>
      <c r="K90" s="699"/>
      <c r="L90" s="700"/>
      <c r="M90" s="699"/>
      <c r="N90" s="699"/>
      <c r="O90" s="700"/>
      <c r="P90" s="1129"/>
      <c r="Q90" s="700"/>
      <c r="R90" s="701"/>
      <c r="S90" s="1129"/>
      <c r="T90" s="701"/>
      <c r="V90" s="731"/>
      <c r="W90" s="731"/>
      <c r="X90" s="731"/>
      <c r="Y90" s="731"/>
      <c r="Z90" s="731"/>
      <c r="AA90" s="676"/>
      <c r="AB90" s="731"/>
      <c r="AC90" s="731"/>
      <c r="AD90" s="676"/>
      <c r="AE90" s="732"/>
      <c r="AF90" s="732"/>
      <c r="AG90" s="676"/>
      <c r="AH90" s="733"/>
      <c r="AI90" s="733"/>
      <c r="AJ90" s="734"/>
      <c r="AK90" s="735"/>
      <c r="AL90" s="735"/>
      <c r="AM90" s="736"/>
      <c r="AN90" s="736"/>
      <c r="AO90" s="737"/>
      <c r="AP90" s="738"/>
      <c r="AQ90" s="735"/>
      <c r="AR90" s="739"/>
      <c r="AS90" s="739"/>
      <c r="AT90" s="740"/>
      <c r="AU90" s="739"/>
      <c r="AV90" s="741"/>
      <c r="AW90" s="739"/>
      <c r="AX90" s="739"/>
      <c r="AY90" s="735"/>
      <c r="AZ90" s="742"/>
      <c r="BA90" s="676"/>
      <c r="BB90" s="733"/>
      <c r="BC90" s="733"/>
      <c r="BD90" s="733"/>
      <c r="BE90" s="733"/>
    </row>
    <row r="91" spans="1:57" hidden="1">
      <c r="A91" s="641" t="str">
        <f t="shared" ref="A91:A110" si="67">IF(C91="","N",IF(ISERROR(MATCH($E$90,IF($Z$1=1,GRADESLIST,IF($Z$1=2,RESIDUALS,DISTILLATES)),0)),"N","Y"))</f>
        <v>N</v>
      </c>
      <c r="C91" s="622" t="str">
        <f t="array" ref="C91">IF(OR($E$90="",SUMPRODUCT(('Barge Gauging Data'!$C$27:$C$56=$E$90)*('Barge Gauging Data'!$D$27:$D$56=NOMY))&lt;ROWS($C$91:$C91)),"",INDEX('Barge Gauging Data'!$B$27:$B$56,SMALL(IF(('Barge Gauging Data'!$C$27:$C$56=$E$90)+('Barge Gauging Data'!$D$27:$D$56=NOMY)=2,ROW('Barge Gauging Data'!$B$27:$B$56)-ROW('Barge Gauging Data'!$C$26)),ROW()-ROW(C$90))))</f>
        <v/>
      </c>
      <c r="D91" s="623" t="str">
        <f>IF(OR($C91="",$C91=0),"",INDEX('Barge Gauging Data'!$B$26:$V$56,MATCH($C91,'Barge Gauging Data'!$B$27:$B$56,0)+1,2))</f>
        <v/>
      </c>
      <c r="E91" s="1018" t="str">
        <f t="shared" ref="E91:E110" si="68">IF(ISERROR(V91),"",IF(OR($C91="",$C91=0),"",IF(ISTEXT(V91),V91,IF($AB$1=1,V91*UNITOR_2,INT(V91*UNITOR_2)&amp;"'-"&amp;TRIM(TEXT(ROUND(MOD(V91*UNITOR_2,1)*12,1),"# ???/???"))&amp;""""))))</f>
        <v/>
      </c>
      <c r="F91" s="1018" t="str">
        <f t="shared" ref="F91:F110" si="69">IF(ISERROR(W91),"",IF(OR($C91="",$C91=0),"",IF(ISTEXT(W91),W91,IF($AB$1=1,W91*UNITOR_2,INT(W91*UNITOR_2)&amp;"'-"&amp;TRIM(TEXT(ROUND(MOD(W91*UNITOR_2,1)*12,1),"# ???/???"))&amp;""""))))</f>
        <v/>
      </c>
      <c r="G91" s="1018" t="str">
        <f t="shared" ref="G91:H110" si="70">IF(ISERROR(X91),"",IF(OR($C91="",$C91=0),"",IF(ISTEXT(X91),X91,IF($AB$1=1,X91*UNITOR_2,INT(X91*UNITOR_2)&amp;"'-"&amp;TRIM(TEXT(ROUND(MOD(X91*UNITOR_2,1)*12,1),"# ???/???"))&amp;""""))))</f>
        <v/>
      </c>
      <c r="H91" s="1018" t="str">
        <f t="shared" si="70"/>
        <v/>
      </c>
      <c r="I91" s="623" t="str">
        <f t="shared" ref="I91:I110" si="71">IF(ISERROR($BB91),"",IF(OR($C91="",$C91=0,$BB91=0),"",$BB91))</f>
        <v/>
      </c>
      <c r="J91" s="1016" t="str">
        <f t="shared" ref="J91:J110" si="72">IF(ISERROR($BC91),"",IF(OR($C91="",$C91=0,$BC91=""),"",IF(ISTEXT($BC91),$BC91,$BC91*IF($AA$1=B1SEL_2,1,IF($AA$1=2,FBBLS,1/FBBLS)))))</f>
        <v/>
      </c>
      <c r="K91" s="213" t="str">
        <f t="shared" ref="K91:K110" si="73">IF(ISERROR($BD91),"",IF(OR($C91="",$C91=0,$BD91=""),0,IF(ISTEXT($BD91),$BD91,$BD91*IF($AB$1=W1SEL_2,1,IF($AB$1=2,FINCH,1/FINCH)))))</f>
        <v/>
      </c>
      <c r="L91" s="212" t="str">
        <f t="shared" ref="L91:L110" si="74">IF(ISERROR($BE91),"",IF(OR($C91="",$C91=0,$BE91=""),0,IF(ISTEXT($BE91),$BE91,$BE91*IF($AA$1=B1SEL_2,1,IF($AA$1=2,FBBLS,1/FBBLS)))))</f>
        <v/>
      </c>
      <c r="M91" s="1125" t="str">
        <f>IF(OR($C91="",$C91=0),"",INDEX(API1DENST_2,MATCH($C91,'Barge Gauging Data'!$B$27:$B$56,0),$AA$1))</f>
        <v/>
      </c>
      <c r="N91" s="212" t="str">
        <f t="shared" ref="N91:N110" si="75">IF(ISERROR(Z91),"",IF(OR($C91="",$C91=0,Z91=""),"",IF(ISTEXT(Z91),Z91,IF($AA$1=T1SEL_2,Z91,IF($AA$1=2,(Z91*9/5)+32,(Z91-32)*5/9)))))</f>
        <v/>
      </c>
      <c r="O91" s="1016" t="str">
        <f t="shared" ref="O91:O110" si="76">IF(OR(J91="",L91=""),"",IF(ISTEXT(J91),"N/A",IF(ISTEXT(L91),J91,J91-L91)))</f>
        <v/>
      </c>
      <c r="P91" s="1125" t="str">
        <f t="shared" ref="P91:P110" si="77">IF(OR(M91="",N91=""),"",IF(OR(ISTEXT(M91),ISTEXT(N91)),"N/A",IF($AA$1=1,ROUND(EXP(-AF91*(N91-15)*(1+0.8*AF91*(N91-15))),5),AZ91)))</f>
        <v/>
      </c>
      <c r="Q91" s="1016" t="str">
        <f t="shared" ref="Q91:Q110" si="78">IF(OR(M91="",N91=""),"",IF(OR(ISTEXT(M91),ISTEXT(N91)),"N/A",ROUND(O91*P91,3)))</f>
        <v/>
      </c>
      <c r="R91" s="214" t="str">
        <f t="shared" ref="R91:R110" si="79">IF(M91="","",IF($AA$1=1,IF(ISTEXT(Q91),"N/A",ROUND(Q91*M91,3)),IF(ISTEXT(T91),"N/A",ROUND(T91*AC91,3))))</f>
        <v/>
      </c>
      <c r="S91" s="1125" t="str">
        <f t="shared" ref="S91:S110" si="80">IF(M91="","",IF($AA$1=1,ROUND(M91-0.0011,5),ROUND((1.00122697*(141.5/(M91+131.5))-1.22269727*10^-3)*8.32823*42/2204.62,5+2)))</f>
        <v/>
      </c>
      <c r="T91" s="236" t="str">
        <f t="shared" ref="T91:T110" si="81">IF(OR(M91="",N91=""),"",IF(ISTEXT(Q91),"N/A",IF($AA$1=1,ROUND((Q91*(M91-0.0011)),3),ROUND(Q91*S91,3))))</f>
        <v/>
      </c>
      <c r="V91" s="642" t="e">
        <f>INDEX('Barge Gauging Data'!$B$26:$V$56,MATCH($C91,'Barge Gauging Data'!$B$26:$B$56,0),$V$18)</f>
        <v>#N/A</v>
      </c>
      <c r="W91" s="642" t="e">
        <f>INDEX('Barge Gauging Data'!$B$26:$V$56,MATCH($C91,'Barge Gauging Data'!$B$26:$B$56,0),$W$18)</f>
        <v>#N/A</v>
      </c>
      <c r="X91" s="642" t="e">
        <f>INDEX('Barge Gauging Data'!$B$26:$V$56,MATCH($C91,'Barge Gauging Data'!$B$26:$B$56,0),$X$18)</f>
        <v>#N/A</v>
      </c>
      <c r="Y91" s="642" t="e">
        <f>INDEX('Barge Gauging Data'!$B$26:$V$56,MATCH($C91,'Barge Gauging Data'!$B$26:$B$56,0),$Y$18)</f>
        <v>#N/A</v>
      </c>
      <c r="Z91" s="642" t="e">
        <f>INDEX('Barge Gauging Data'!$B$26:$V$56,MATCH($C91,'Barge Gauging Data'!$B$26:$B$56,0),$Z$18)</f>
        <v>#N/A</v>
      </c>
      <c r="AB91" s="642" t="e">
        <f>INDEX(API1DENST_2,MATCH($C91,'Barge Gauging Data'!$B$27:$B$56,0),1)</f>
        <v>#N/A</v>
      </c>
      <c r="AC91" s="642" t="e">
        <f t="shared" si="17"/>
        <v>#N/A</v>
      </c>
      <c r="AE91" s="661" t="e">
        <f t="shared" si="18"/>
        <v>#VALUE!</v>
      </c>
      <c r="AF91" s="661" t="e">
        <f t="shared" si="19"/>
        <v>#VALUE!</v>
      </c>
      <c r="AH91" s="662" t="str">
        <f t="shared" si="15"/>
        <v/>
      </c>
      <c r="AI91" s="662" t="str">
        <f t="shared" si="16"/>
        <v/>
      </c>
      <c r="AJ91" s="663">
        <f t="shared" si="20"/>
        <v>192.4571</v>
      </c>
      <c r="AK91" s="660">
        <f t="shared" si="21"/>
        <v>0.24379999999999999</v>
      </c>
      <c r="AL91" s="660" t="e">
        <f t="shared" si="22"/>
        <v>#VALUE!</v>
      </c>
      <c r="AM91" s="664" t="e">
        <f t="shared" si="23"/>
        <v>#VALUE!</v>
      </c>
      <c r="AN91" s="664" t="e">
        <f t="shared" si="24"/>
        <v>#VALUE!</v>
      </c>
      <c r="AO91" s="665" t="e">
        <f t="shared" si="25"/>
        <v>#VALUE!</v>
      </c>
      <c r="AP91" s="666" t="e">
        <f t="shared" si="26"/>
        <v>#VALUE!</v>
      </c>
      <c r="AQ91" s="660" t="e">
        <f t="shared" si="27"/>
        <v>#VALUE!</v>
      </c>
      <c r="AR91" s="667" t="e">
        <f t="shared" si="28"/>
        <v>#VALUE!</v>
      </c>
      <c r="AS91" s="667" t="e">
        <f t="shared" si="29"/>
        <v>#VALUE!</v>
      </c>
      <c r="AT91" s="668" t="e">
        <f t="shared" si="30"/>
        <v>#VALUE!</v>
      </c>
      <c r="AU91" s="667" t="e">
        <f t="shared" si="31"/>
        <v>#VALUE!</v>
      </c>
      <c r="AV91" s="669" t="e">
        <f t="shared" si="32"/>
        <v>#VALUE!</v>
      </c>
      <c r="AW91" s="667" t="e">
        <f t="shared" si="33"/>
        <v>#VALUE!</v>
      </c>
      <c r="AX91" s="667" t="e">
        <f t="shared" si="34"/>
        <v>#VALUE!</v>
      </c>
      <c r="AY91" s="660" t="e">
        <f t="shared" si="35"/>
        <v>#VALUE!</v>
      </c>
      <c r="AZ91" s="670" t="e">
        <f t="shared" si="36"/>
        <v>#VALUE!</v>
      </c>
      <c r="BB91" s="662" t="e">
        <f>INDEX('Barge Gauging Data'!$B$26:$V$56,MATCH($C91,'Barge Gauging Data'!$B$26:$B$56,0),$BB$18)</f>
        <v>#N/A</v>
      </c>
      <c r="BC91" s="662" t="e">
        <f>INDEX('Barge Gauging Data'!$B$26:$V$56,MATCH($C91,'Barge Gauging Data'!$B$26:$B$56,0),$BC$18)</f>
        <v>#N/A</v>
      </c>
      <c r="BD91" s="662" t="e">
        <f>INDEX('Barge Gauging Data'!$B$26:$V$56,MATCH($C91,'Barge Gauging Data'!$B$26:$B$56,0),$BD$18)</f>
        <v>#N/A</v>
      </c>
      <c r="BE91" s="662" t="e">
        <f>INDEX('Barge Gauging Data'!$B$26:$V$56,MATCH($C91,'Barge Gauging Data'!$B$26:$B$56,0),$BE$18)</f>
        <v>#N/A</v>
      </c>
    </row>
    <row r="92" spans="1:57" hidden="1">
      <c r="A92" s="641" t="str">
        <f t="shared" si="67"/>
        <v>N</v>
      </c>
      <c r="C92" s="235" t="str">
        <f t="array" ref="C92">IF(OR($E$90="",SUMPRODUCT(('Barge Gauging Data'!$C$27:$C$56=$E$90)*('Barge Gauging Data'!$D$27:$D$56=NOMY))&lt;ROWS($C$91:$C92)),"",INDEX('Barge Gauging Data'!$B$27:$B$56,SMALL(IF(('Barge Gauging Data'!$C$27:$C$56=$E$90)+('Barge Gauging Data'!$D$27:$D$56=NOMY)=2,ROW('Barge Gauging Data'!$B$27:$B$56)-ROW('Barge Gauging Data'!$C$26)),ROW()-ROW(C$90))))</f>
        <v/>
      </c>
      <c r="D92" s="211" t="str">
        <f>IF(OR($C92="",$C92=0),"",INDEX('Barge Gauging Data'!$B$26:$V$56,MATCH($C92,'Barge Gauging Data'!$B$27:$B$56,0)+1,2))</f>
        <v/>
      </c>
      <c r="E92" s="1016" t="str">
        <f t="shared" si="68"/>
        <v/>
      </c>
      <c r="F92" s="1016" t="str">
        <f t="shared" si="69"/>
        <v/>
      </c>
      <c r="G92" s="1016" t="str">
        <f t="shared" si="70"/>
        <v/>
      </c>
      <c r="H92" s="1016" t="str">
        <f t="shared" si="70"/>
        <v/>
      </c>
      <c r="I92" s="211" t="str">
        <f t="shared" si="71"/>
        <v/>
      </c>
      <c r="J92" s="1016" t="str">
        <f t="shared" si="72"/>
        <v/>
      </c>
      <c r="K92" s="213" t="str">
        <f t="shared" si="73"/>
        <v/>
      </c>
      <c r="L92" s="212" t="str">
        <f t="shared" si="74"/>
        <v/>
      </c>
      <c r="M92" s="1125" t="str">
        <f>IF(OR($C92="",$C92=0),"",INDEX(API1DENST_2,MATCH($C92,'Barge Gauging Data'!$B$27:$B$56,0),$AA$1))</f>
        <v/>
      </c>
      <c r="N92" s="212" t="str">
        <f t="shared" si="75"/>
        <v/>
      </c>
      <c r="O92" s="1016" t="str">
        <f t="shared" si="76"/>
        <v/>
      </c>
      <c r="P92" s="1125" t="str">
        <f t="shared" si="77"/>
        <v/>
      </c>
      <c r="Q92" s="1016" t="str">
        <f t="shared" si="78"/>
        <v/>
      </c>
      <c r="R92" s="214" t="str">
        <f t="shared" si="79"/>
        <v/>
      </c>
      <c r="S92" s="1125" t="str">
        <f t="shared" si="80"/>
        <v/>
      </c>
      <c r="T92" s="236" t="str">
        <f t="shared" si="81"/>
        <v/>
      </c>
      <c r="V92" s="642" t="e">
        <f>INDEX('Barge Gauging Data'!$B$26:$V$56,MATCH($C92,'Barge Gauging Data'!$B$26:$B$56,0),$V$18)</f>
        <v>#N/A</v>
      </c>
      <c r="W92" s="642" t="e">
        <f>INDEX('Barge Gauging Data'!$B$26:$V$56,MATCH($C92,'Barge Gauging Data'!$B$26:$B$56,0),$W$18)</f>
        <v>#N/A</v>
      </c>
      <c r="X92" s="642" t="e">
        <f>INDEX('Barge Gauging Data'!$B$26:$V$56,MATCH($C92,'Barge Gauging Data'!$B$26:$B$56,0),$X$18)</f>
        <v>#N/A</v>
      </c>
      <c r="Y92" s="642" t="e">
        <f>INDEX('Barge Gauging Data'!$B$26:$V$56,MATCH($C92,'Barge Gauging Data'!$B$26:$B$56,0),$Y$18)</f>
        <v>#N/A</v>
      </c>
      <c r="Z92" s="642" t="e">
        <f>INDEX('Barge Gauging Data'!$B$26:$V$56,MATCH($C92,'Barge Gauging Data'!$B$26:$B$56,0),$Z$18)</f>
        <v>#N/A</v>
      </c>
      <c r="AB92" s="642" t="e">
        <f>INDEX(API1DENST_2,MATCH($C92,'Barge Gauging Data'!$B$27:$B$56,0),1)</f>
        <v>#N/A</v>
      </c>
      <c r="AC92" s="642" t="e">
        <f t="shared" si="17"/>
        <v>#N/A</v>
      </c>
      <c r="AE92" s="661" t="e">
        <f t="shared" si="18"/>
        <v>#VALUE!</v>
      </c>
      <c r="AF92" s="661" t="e">
        <f t="shared" si="19"/>
        <v>#VALUE!</v>
      </c>
      <c r="AH92" s="662" t="str">
        <f t="shared" ref="AH92:AH161" si="82">N92</f>
        <v/>
      </c>
      <c r="AI92" s="662" t="str">
        <f t="shared" ref="AI92:AI161" si="83">M92</f>
        <v/>
      </c>
      <c r="AJ92" s="663">
        <f t="shared" si="20"/>
        <v>192.4571</v>
      </c>
      <c r="AK92" s="660">
        <f t="shared" si="21"/>
        <v>0.24379999999999999</v>
      </c>
      <c r="AL92" s="660" t="e">
        <f t="shared" si="22"/>
        <v>#VALUE!</v>
      </c>
      <c r="AM92" s="664" t="e">
        <f t="shared" si="23"/>
        <v>#VALUE!</v>
      </c>
      <c r="AN92" s="664" t="e">
        <f t="shared" si="24"/>
        <v>#VALUE!</v>
      </c>
      <c r="AO92" s="665" t="e">
        <f t="shared" si="25"/>
        <v>#VALUE!</v>
      </c>
      <c r="AP92" s="666" t="e">
        <f t="shared" si="26"/>
        <v>#VALUE!</v>
      </c>
      <c r="AQ92" s="660" t="e">
        <f t="shared" si="27"/>
        <v>#VALUE!</v>
      </c>
      <c r="AR92" s="667" t="e">
        <f t="shared" si="28"/>
        <v>#VALUE!</v>
      </c>
      <c r="AS92" s="667" t="e">
        <f t="shared" si="29"/>
        <v>#VALUE!</v>
      </c>
      <c r="AT92" s="668" t="e">
        <f t="shared" si="30"/>
        <v>#VALUE!</v>
      </c>
      <c r="AU92" s="667" t="e">
        <f t="shared" si="31"/>
        <v>#VALUE!</v>
      </c>
      <c r="AV92" s="669" t="e">
        <f t="shared" si="32"/>
        <v>#VALUE!</v>
      </c>
      <c r="AW92" s="667" t="e">
        <f t="shared" si="33"/>
        <v>#VALUE!</v>
      </c>
      <c r="AX92" s="667" t="e">
        <f t="shared" si="34"/>
        <v>#VALUE!</v>
      </c>
      <c r="AY92" s="660" t="e">
        <f t="shared" si="35"/>
        <v>#VALUE!</v>
      </c>
      <c r="AZ92" s="670" t="e">
        <f t="shared" si="36"/>
        <v>#VALUE!</v>
      </c>
      <c r="BB92" s="662" t="e">
        <f>INDEX('Barge Gauging Data'!$B$26:$V$56,MATCH($C92,'Barge Gauging Data'!$B$26:$B$56,0),$BB$18)</f>
        <v>#N/A</v>
      </c>
      <c r="BC92" s="662" t="e">
        <f>INDEX('Barge Gauging Data'!$B$26:$V$56,MATCH($C92,'Barge Gauging Data'!$B$26:$B$56,0),$BC$18)</f>
        <v>#N/A</v>
      </c>
      <c r="BD92" s="662" t="e">
        <f>INDEX('Barge Gauging Data'!$B$26:$V$56,MATCH($C92,'Barge Gauging Data'!$B$26:$B$56,0),$BD$18)</f>
        <v>#N/A</v>
      </c>
      <c r="BE92" s="662" t="e">
        <f>INDEX('Barge Gauging Data'!$B$26:$V$56,MATCH($C92,'Barge Gauging Data'!$B$26:$B$56,0),$BE$18)</f>
        <v>#N/A</v>
      </c>
    </row>
    <row r="93" spans="1:57" hidden="1">
      <c r="A93" s="641" t="str">
        <f t="shared" si="67"/>
        <v>N</v>
      </c>
      <c r="C93" s="235" t="str">
        <f t="array" ref="C93">IF(OR($E$90="",SUMPRODUCT(('Barge Gauging Data'!$C$27:$C$56=$E$90)*('Barge Gauging Data'!$D$27:$D$56=NOMY))&lt;ROWS($C$91:$C93)),"",INDEX('Barge Gauging Data'!$B$27:$B$56,SMALL(IF(('Barge Gauging Data'!$C$27:$C$56=$E$90)+('Barge Gauging Data'!$D$27:$D$56=NOMY)=2,ROW('Barge Gauging Data'!$B$27:$B$56)-ROW('Barge Gauging Data'!$C$26)),ROW()-ROW(C$90))))</f>
        <v/>
      </c>
      <c r="D93" s="211" t="str">
        <f>IF(OR($C93="",$C93=0),"",INDEX('Barge Gauging Data'!$B$26:$V$56,MATCH($C93,'Barge Gauging Data'!$B$27:$B$56,0)+1,2))</f>
        <v/>
      </c>
      <c r="E93" s="1016" t="str">
        <f t="shared" si="68"/>
        <v/>
      </c>
      <c r="F93" s="1016" t="str">
        <f t="shared" si="69"/>
        <v/>
      </c>
      <c r="G93" s="1016" t="str">
        <f t="shared" si="70"/>
        <v/>
      </c>
      <c r="H93" s="1016" t="str">
        <f t="shared" si="70"/>
        <v/>
      </c>
      <c r="I93" s="211" t="str">
        <f t="shared" si="71"/>
        <v/>
      </c>
      <c r="J93" s="1016" t="str">
        <f t="shared" si="72"/>
        <v/>
      </c>
      <c r="K93" s="213" t="str">
        <f t="shared" si="73"/>
        <v/>
      </c>
      <c r="L93" s="212" t="str">
        <f t="shared" si="74"/>
        <v/>
      </c>
      <c r="M93" s="1125" t="str">
        <f>IF(OR($C93="",$C93=0),"",INDEX(API1DENST_2,MATCH($C93,'Barge Gauging Data'!$B$27:$B$56,0),$AA$1))</f>
        <v/>
      </c>
      <c r="N93" s="212" t="str">
        <f t="shared" si="75"/>
        <v/>
      </c>
      <c r="O93" s="1016" t="str">
        <f t="shared" si="76"/>
        <v/>
      </c>
      <c r="P93" s="1125" t="str">
        <f t="shared" si="77"/>
        <v/>
      </c>
      <c r="Q93" s="1016" t="str">
        <f t="shared" si="78"/>
        <v/>
      </c>
      <c r="R93" s="214" t="str">
        <f t="shared" si="79"/>
        <v/>
      </c>
      <c r="S93" s="1125" t="str">
        <f t="shared" si="80"/>
        <v/>
      </c>
      <c r="T93" s="236" t="str">
        <f t="shared" si="81"/>
        <v/>
      </c>
      <c r="V93" s="642" t="e">
        <f>INDEX('Barge Gauging Data'!$B$26:$V$56,MATCH($C93,'Barge Gauging Data'!$B$26:$B$56,0),$V$18)</f>
        <v>#N/A</v>
      </c>
      <c r="W93" s="642" t="e">
        <f>INDEX('Barge Gauging Data'!$B$26:$V$56,MATCH($C93,'Barge Gauging Data'!$B$26:$B$56,0),$W$18)</f>
        <v>#N/A</v>
      </c>
      <c r="X93" s="642" t="e">
        <f>INDEX('Barge Gauging Data'!$B$26:$V$56,MATCH($C93,'Barge Gauging Data'!$B$26:$B$56,0),$X$18)</f>
        <v>#N/A</v>
      </c>
      <c r="Y93" s="642" t="e">
        <f>INDEX('Barge Gauging Data'!$B$26:$V$56,MATCH($C93,'Barge Gauging Data'!$B$26:$B$56,0),$Y$18)</f>
        <v>#N/A</v>
      </c>
      <c r="Z93" s="642" t="e">
        <f>INDEX('Barge Gauging Data'!$B$26:$V$56,MATCH($C93,'Barge Gauging Data'!$B$26:$B$56,0),$Z$18)</f>
        <v>#N/A</v>
      </c>
      <c r="AB93" s="642" t="e">
        <f>INDEX(API1DENST_2,MATCH($C93,'Barge Gauging Data'!$B$27:$B$56,0),1)</f>
        <v>#N/A</v>
      </c>
      <c r="AC93" s="642" t="e">
        <f t="shared" ref="AC93:AC162" si="84">((INT((AB93/(1.0001506*AB93-0.0012202))*10000)+0.5)/10000)</f>
        <v>#N/A</v>
      </c>
      <c r="AE93" s="661" t="e">
        <f t="shared" ref="AE93:AE162" si="85">ROUND(+M93/2*1000,0)*2</f>
        <v>#VALUE!</v>
      </c>
      <c r="AF93" s="661" t="e">
        <f t="shared" ref="AF93:AF162" si="86">ROUND(186.9696/(AE93*AE93)+(0.4862/AE93),8)</f>
        <v>#VALUE!</v>
      </c>
      <c r="AH93" s="662" t="str">
        <f t="shared" si="82"/>
        <v/>
      </c>
      <c r="AI93" s="662" t="str">
        <f t="shared" si="83"/>
        <v/>
      </c>
      <c r="AJ93" s="663">
        <f t="shared" ref="AJ93:AJ162" si="87">IF(AND(AI93&gt;=0,AI93&lt;=37),103.872,IF(AND(AI93&gt;=48,AI93&lt;=52),-0.0018684,IF(AND(AI93&gt;=37.1,AI93&lt;=47.9),330.301,IF(AND(AI93&gt;=52.1),192.4571))))</f>
        <v>192.4571</v>
      </c>
      <c r="AK93" s="660">
        <f t="shared" ref="AK93:AK162" si="88">IF(AND(AI93&gt;=0,AI93&lt;=37),0.2701,IF(AND(AI93&gt;=48,AJ93&lt;=52),1489.067,IF(AND(AI93&gt;=37.1,AI93&lt;=47.9),0,IF(AI93&gt;=52.1,0.2438))))</f>
        <v>0.24379999999999999</v>
      </c>
      <c r="AL93" s="660" t="e">
        <f t="shared" ref="AL93:AL162" si="89">ROUND(141360.198/(AI93+131.5),2)</f>
        <v>#VALUE!</v>
      </c>
      <c r="AM93" s="664" t="e">
        <f t="shared" ref="AM93:AM162" si="90">TRUNC(AJ93/AL93,8)</f>
        <v>#VALUE!</v>
      </c>
      <c r="AN93" s="664" t="e">
        <f t="shared" ref="AN93:AN162" si="91">TRUNC(AM93/AL93,10)</f>
        <v>#VALUE!</v>
      </c>
      <c r="AO93" s="665" t="e">
        <f t="shared" ref="AO93:AO162" si="92">TRUNC(AK93/AL93,10)</f>
        <v>#VALUE!</v>
      </c>
      <c r="AP93" s="666" t="e">
        <f t="shared" ref="AP93:AP162" si="93">IF(AND(AI93&gt;=48,AI93&lt;=52),ROUND(AW93+AJ93,7),ROUND(AN93+AO93,7))</f>
        <v>#VALUE!</v>
      </c>
      <c r="AQ93" s="660" t="e">
        <f t="shared" ref="AQ93:AQ162" si="94">AH93-60</f>
        <v>#VALUE!</v>
      </c>
      <c r="AR93" s="667" t="e">
        <f t="shared" ref="AR93:AR162" si="95">TRUNC(AP93*AQ93,8)</f>
        <v>#VALUE!</v>
      </c>
      <c r="AS93" s="667" t="e">
        <f t="shared" ref="AS93:AS162" si="96">TRUNC(0.8*AR93,8)</f>
        <v>#VALUE!</v>
      </c>
      <c r="AT93" s="668" t="e">
        <f t="shared" ref="AT93:AT162" si="97">TRUNC(0.8*AP93^2*AQ93^2,8)</f>
        <v>#VALUE!</v>
      </c>
      <c r="AU93" s="667" t="e">
        <f t="shared" ref="AU93:AU162" si="98">-AR93-AT93</f>
        <v>#VALUE!</v>
      </c>
      <c r="AV93" s="669" t="e">
        <f t="shared" ref="AV93:AV162" si="99">TRUNC(AK93/AL93,5)</f>
        <v>#VALUE!</v>
      </c>
      <c r="AW93" s="667" t="e">
        <f t="shared" ref="AW93:AW162" si="100">ROUND(AV93/AL93,8)</f>
        <v>#VALUE!</v>
      </c>
      <c r="AX93" s="667" t="e">
        <f t="shared" ref="AX93:AX162" si="101">ROUND(AW93+AJ93,8)</f>
        <v>#VALUE!</v>
      </c>
      <c r="AY93" s="660" t="e">
        <f t="shared" ref="AY93:AY162" si="102">IF(AND(AI93&gt;=48,AI93&lt;=52),AX93,AP93)</f>
        <v>#VALUE!</v>
      </c>
      <c r="AZ93" s="670" t="e">
        <f t="shared" ref="AZ93:AZ162" si="103">ROUND(EXP(AU93),5)</f>
        <v>#VALUE!</v>
      </c>
      <c r="BB93" s="662" t="e">
        <f>INDEX('Barge Gauging Data'!$B$26:$V$56,MATCH($C93,'Barge Gauging Data'!$B$26:$B$56,0),$BB$18)</f>
        <v>#N/A</v>
      </c>
      <c r="BC93" s="662" t="e">
        <f>INDEX('Barge Gauging Data'!$B$26:$V$56,MATCH($C93,'Barge Gauging Data'!$B$26:$B$56,0),$BC$18)</f>
        <v>#N/A</v>
      </c>
      <c r="BD93" s="662" t="e">
        <f>INDEX('Barge Gauging Data'!$B$26:$V$56,MATCH($C93,'Barge Gauging Data'!$B$26:$B$56,0),$BD$18)</f>
        <v>#N/A</v>
      </c>
      <c r="BE93" s="662" t="e">
        <f>INDEX('Barge Gauging Data'!$B$26:$V$56,MATCH($C93,'Barge Gauging Data'!$B$26:$B$56,0),$BE$18)</f>
        <v>#N/A</v>
      </c>
    </row>
    <row r="94" spans="1:57" hidden="1">
      <c r="A94" s="641" t="str">
        <f t="shared" si="67"/>
        <v>N</v>
      </c>
      <c r="C94" s="235" t="str">
        <f t="array" ref="C94">IF(OR($E$90="",SUMPRODUCT(('Barge Gauging Data'!$C$27:$C$56=$E$90)*('Barge Gauging Data'!$D$27:$D$56=NOMY))&lt;ROWS($C$91:$C94)),"",INDEX('Barge Gauging Data'!$B$27:$B$56,SMALL(IF(('Barge Gauging Data'!$C$27:$C$56=$E$90)+('Barge Gauging Data'!$D$27:$D$56=NOMY)=2,ROW('Barge Gauging Data'!$B$27:$B$56)-ROW('Barge Gauging Data'!$C$26)),ROW()-ROW(C$90))))</f>
        <v/>
      </c>
      <c r="D94" s="211" t="str">
        <f>IF(OR($C94="",$C94=0),"",INDEX('Barge Gauging Data'!$B$26:$V$56,MATCH($C94,'Barge Gauging Data'!$B$27:$B$56,0)+1,2))</f>
        <v/>
      </c>
      <c r="E94" s="1016" t="str">
        <f t="shared" si="68"/>
        <v/>
      </c>
      <c r="F94" s="1016" t="str">
        <f t="shared" si="69"/>
        <v/>
      </c>
      <c r="G94" s="1016" t="str">
        <f t="shared" si="70"/>
        <v/>
      </c>
      <c r="H94" s="1016" t="str">
        <f t="shared" si="70"/>
        <v/>
      </c>
      <c r="I94" s="211" t="str">
        <f t="shared" si="71"/>
        <v/>
      </c>
      <c r="J94" s="1016" t="str">
        <f t="shared" si="72"/>
        <v/>
      </c>
      <c r="K94" s="213" t="str">
        <f t="shared" si="73"/>
        <v/>
      </c>
      <c r="L94" s="212" t="str">
        <f t="shared" si="74"/>
        <v/>
      </c>
      <c r="M94" s="1125" t="str">
        <f>IF(OR($C94="",$C94=0),"",INDEX(API1DENST_2,MATCH($C94,'Barge Gauging Data'!$B$27:$B$56,0),$AA$1))</f>
        <v/>
      </c>
      <c r="N94" s="212" t="str">
        <f t="shared" si="75"/>
        <v/>
      </c>
      <c r="O94" s="1016" t="str">
        <f t="shared" si="76"/>
        <v/>
      </c>
      <c r="P94" s="1125" t="str">
        <f t="shared" si="77"/>
        <v/>
      </c>
      <c r="Q94" s="1016" t="str">
        <f t="shared" si="78"/>
        <v/>
      </c>
      <c r="R94" s="214" t="str">
        <f t="shared" si="79"/>
        <v/>
      </c>
      <c r="S94" s="1125" t="str">
        <f t="shared" si="80"/>
        <v/>
      </c>
      <c r="T94" s="236" t="str">
        <f t="shared" si="81"/>
        <v/>
      </c>
      <c r="V94" s="642" t="e">
        <f>INDEX('Barge Gauging Data'!$B$26:$V$56,MATCH($C94,'Barge Gauging Data'!$B$26:$B$56,0),$V$18)</f>
        <v>#N/A</v>
      </c>
      <c r="W94" s="642" t="e">
        <f>INDEX('Barge Gauging Data'!$B$26:$V$56,MATCH($C94,'Barge Gauging Data'!$B$26:$B$56,0),$W$18)</f>
        <v>#N/A</v>
      </c>
      <c r="X94" s="642" t="e">
        <f>INDEX('Barge Gauging Data'!$B$26:$V$56,MATCH($C94,'Barge Gauging Data'!$B$26:$B$56,0),$X$18)</f>
        <v>#N/A</v>
      </c>
      <c r="Y94" s="642" t="e">
        <f>INDEX('Barge Gauging Data'!$B$26:$V$56,MATCH($C94,'Barge Gauging Data'!$B$26:$B$56,0),$Y$18)</f>
        <v>#N/A</v>
      </c>
      <c r="Z94" s="642" t="e">
        <f>INDEX('Barge Gauging Data'!$B$26:$V$56,MATCH($C94,'Barge Gauging Data'!$B$26:$B$56,0),$Z$18)</f>
        <v>#N/A</v>
      </c>
      <c r="AB94" s="642" t="e">
        <f>INDEX(API1DENST_2,MATCH($C94,'Barge Gauging Data'!$B$27:$B$56,0),1)</f>
        <v>#N/A</v>
      </c>
      <c r="AC94" s="642" t="e">
        <f t="shared" si="84"/>
        <v>#N/A</v>
      </c>
      <c r="AE94" s="661" t="e">
        <f t="shared" si="85"/>
        <v>#VALUE!</v>
      </c>
      <c r="AF94" s="661" t="e">
        <f t="shared" si="86"/>
        <v>#VALUE!</v>
      </c>
      <c r="AH94" s="662" t="str">
        <f t="shared" si="82"/>
        <v/>
      </c>
      <c r="AI94" s="662" t="str">
        <f t="shared" si="83"/>
        <v/>
      </c>
      <c r="AJ94" s="663">
        <f t="shared" si="87"/>
        <v>192.4571</v>
      </c>
      <c r="AK94" s="660">
        <f t="shared" si="88"/>
        <v>0.24379999999999999</v>
      </c>
      <c r="AL94" s="660" t="e">
        <f t="shared" si="89"/>
        <v>#VALUE!</v>
      </c>
      <c r="AM94" s="664" t="e">
        <f t="shared" si="90"/>
        <v>#VALUE!</v>
      </c>
      <c r="AN94" s="664" t="e">
        <f t="shared" si="91"/>
        <v>#VALUE!</v>
      </c>
      <c r="AO94" s="665" t="e">
        <f t="shared" si="92"/>
        <v>#VALUE!</v>
      </c>
      <c r="AP94" s="666" t="e">
        <f t="shared" si="93"/>
        <v>#VALUE!</v>
      </c>
      <c r="AQ94" s="660" t="e">
        <f t="shared" si="94"/>
        <v>#VALUE!</v>
      </c>
      <c r="AR94" s="667" t="e">
        <f t="shared" si="95"/>
        <v>#VALUE!</v>
      </c>
      <c r="AS94" s="667" t="e">
        <f t="shared" si="96"/>
        <v>#VALUE!</v>
      </c>
      <c r="AT94" s="668" t="e">
        <f t="shared" si="97"/>
        <v>#VALUE!</v>
      </c>
      <c r="AU94" s="667" t="e">
        <f t="shared" si="98"/>
        <v>#VALUE!</v>
      </c>
      <c r="AV94" s="669" t="e">
        <f t="shared" si="99"/>
        <v>#VALUE!</v>
      </c>
      <c r="AW94" s="667" t="e">
        <f t="shared" si="100"/>
        <v>#VALUE!</v>
      </c>
      <c r="AX94" s="667" t="e">
        <f t="shared" si="101"/>
        <v>#VALUE!</v>
      </c>
      <c r="AY94" s="660" t="e">
        <f t="shared" si="102"/>
        <v>#VALUE!</v>
      </c>
      <c r="AZ94" s="670" t="e">
        <f t="shared" si="103"/>
        <v>#VALUE!</v>
      </c>
      <c r="BB94" s="662" t="e">
        <f>INDEX('Barge Gauging Data'!$B$26:$V$56,MATCH($C94,'Barge Gauging Data'!$B$26:$B$56,0),$BB$18)</f>
        <v>#N/A</v>
      </c>
      <c r="BC94" s="662" t="e">
        <f>INDEX('Barge Gauging Data'!$B$26:$V$56,MATCH($C94,'Barge Gauging Data'!$B$26:$B$56,0),$BC$18)</f>
        <v>#N/A</v>
      </c>
      <c r="BD94" s="662" t="e">
        <f>INDEX('Barge Gauging Data'!$B$26:$V$56,MATCH($C94,'Barge Gauging Data'!$B$26:$B$56,0),$BD$18)</f>
        <v>#N/A</v>
      </c>
      <c r="BE94" s="662" t="e">
        <f>INDEX('Barge Gauging Data'!$B$26:$V$56,MATCH($C94,'Barge Gauging Data'!$B$26:$B$56,0),$BE$18)</f>
        <v>#N/A</v>
      </c>
    </row>
    <row r="95" spans="1:57" hidden="1">
      <c r="A95" s="641" t="str">
        <f t="shared" si="67"/>
        <v>N</v>
      </c>
      <c r="C95" s="235" t="str">
        <f t="array" ref="C95">IF(OR($E$90="",SUMPRODUCT(('Barge Gauging Data'!$C$27:$C$56=$E$90)*('Barge Gauging Data'!$D$27:$D$56=NOMY))&lt;ROWS($C$91:$C95)),"",INDEX('Barge Gauging Data'!$B$27:$B$56,SMALL(IF(('Barge Gauging Data'!$C$27:$C$56=$E$90)+('Barge Gauging Data'!$D$27:$D$56=NOMY)=2,ROW('Barge Gauging Data'!$B$27:$B$56)-ROW('Barge Gauging Data'!$C$26)),ROW()-ROW(C$90))))</f>
        <v/>
      </c>
      <c r="D95" s="211" t="str">
        <f>IF(OR($C95="",$C95=0),"",INDEX('Barge Gauging Data'!$B$26:$V$56,MATCH($C95,'Barge Gauging Data'!$B$27:$B$56,0)+1,2))</f>
        <v/>
      </c>
      <c r="E95" s="1016" t="str">
        <f t="shared" si="68"/>
        <v/>
      </c>
      <c r="F95" s="1016" t="str">
        <f t="shared" si="69"/>
        <v/>
      </c>
      <c r="G95" s="1016" t="str">
        <f t="shared" si="70"/>
        <v/>
      </c>
      <c r="H95" s="1016" t="str">
        <f t="shared" si="70"/>
        <v/>
      </c>
      <c r="I95" s="211" t="str">
        <f t="shared" si="71"/>
        <v/>
      </c>
      <c r="J95" s="1016" t="str">
        <f t="shared" si="72"/>
        <v/>
      </c>
      <c r="K95" s="213" t="str">
        <f t="shared" si="73"/>
        <v/>
      </c>
      <c r="L95" s="212" t="str">
        <f t="shared" si="74"/>
        <v/>
      </c>
      <c r="M95" s="1125" t="str">
        <f>IF(OR($C95="",$C95=0),"",INDEX(API1DENST_2,MATCH($C95,'Barge Gauging Data'!$B$27:$B$56,0),$AA$1))</f>
        <v/>
      </c>
      <c r="N95" s="212" t="str">
        <f t="shared" si="75"/>
        <v/>
      </c>
      <c r="O95" s="1016" t="str">
        <f t="shared" si="76"/>
        <v/>
      </c>
      <c r="P95" s="1125" t="str">
        <f t="shared" si="77"/>
        <v/>
      </c>
      <c r="Q95" s="1016" t="str">
        <f t="shared" si="78"/>
        <v/>
      </c>
      <c r="R95" s="214" t="str">
        <f t="shared" si="79"/>
        <v/>
      </c>
      <c r="S95" s="1125" t="str">
        <f t="shared" si="80"/>
        <v/>
      </c>
      <c r="T95" s="236" t="str">
        <f t="shared" si="81"/>
        <v/>
      </c>
      <c r="V95" s="642" t="e">
        <f>INDEX('Barge Gauging Data'!$B$26:$V$56,MATCH($C95,'Barge Gauging Data'!$B$26:$B$56,0),$V$18)</f>
        <v>#N/A</v>
      </c>
      <c r="W95" s="642" t="e">
        <f>INDEX('Barge Gauging Data'!$B$26:$V$56,MATCH($C95,'Barge Gauging Data'!$B$26:$B$56,0),$W$18)</f>
        <v>#N/A</v>
      </c>
      <c r="X95" s="642" t="e">
        <f>INDEX('Barge Gauging Data'!$B$26:$V$56,MATCH($C95,'Barge Gauging Data'!$B$26:$B$56,0),$X$18)</f>
        <v>#N/A</v>
      </c>
      <c r="Y95" s="642" t="e">
        <f>INDEX('Barge Gauging Data'!$B$26:$V$56,MATCH($C95,'Barge Gauging Data'!$B$26:$B$56,0),$Y$18)</f>
        <v>#N/A</v>
      </c>
      <c r="Z95" s="642" t="e">
        <f>INDEX('Barge Gauging Data'!$B$26:$V$56,MATCH($C95,'Barge Gauging Data'!$B$26:$B$56,0),$Z$18)</f>
        <v>#N/A</v>
      </c>
      <c r="AB95" s="642" t="e">
        <f>INDEX(API1DENST_2,MATCH($C95,'Barge Gauging Data'!$B$27:$B$56,0),1)</f>
        <v>#N/A</v>
      </c>
      <c r="AC95" s="642" t="e">
        <f t="shared" si="84"/>
        <v>#N/A</v>
      </c>
      <c r="AE95" s="661" t="e">
        <f t="shared" si="85"/>
        <v>#VALUE!</v>
      </c>
      <c r="AF95" s="661" t="e">
        <f t="shared" si="86"/>
        <v>#VALUE!</v>
      </c>
      <c r="AH95" s="662" t="str">
        <f t="shared" si="82"/>
        <v/>
      </c>
      <c r="AI95" s="662" t="str">
        <f t="shared" si="83"/>
        <v/>
      </c>
      <c r="AJ95" s="663">
        <f t="shared" si="87"/>
        <v>192.4571</v>
      </c>
      <c r="AK95" s="660">
        <f t="shared" si="88"/>
        <v>0.24379999999999999</v>
      </c>
      <c r="AL95" s="660" t="e">
        <f t="shared" si="89"/>
        <v>#VALUE!</v>
      </c>
      <c r="AM95" s="664" t="e">
        <f t="shared" si="90"/>
        <v>#VALUE!</v>
      </c>
      <c r="AN95" s="664" t="e">
        <f t="shared" si="91"/>
        <v>#VALUE!</v>
      </c>
      <c r="AO95" s="665" t="e">
        <f t="shared" si="92"/>
        <v>#VALUE!</v>
      </c>
      <c r="AP95" s="666" t="e">
        <f t="shared" si="93"/>
        <v>#VALUE!</v>
      </c>
      <c r="AQ95" s="660" t="e">
        <f t="shared" si="94"/>
        <v>#VALUE!</v>
      </c>
      <c r="AR95" s="667" t="e">
        <f t="shared" si="95"/>
        <v>#VALUE!</v>
      </c>
      <c r="AS95" s="667" t="e">
        <f t="shared" si="96"/>
        <v>#VALUE!</v>
      </c>
      <c r="AT95" s="668" t="e">
        <f t="shared" si="97"/>
        <v>#VALUE!</v>
      </c>
      <c r="AU95" s="667" t="e">
        <f t="shared" si="98"/>
        <v>#VALUE!</v>
      </c>
      <c r="AV95" s="669" t="e">
        <f t="shared" si="99"/>
        <v>#VALUE!</v>
      </c>
      <c r="AW95" s="667" t="e">
        <f t="shared" si="100"/>
        <v>#VALUE!</v>
      </c>
      <c r="AX95" s="667" t="e">
        <f t="shared" si="101"/>
        <v>#VALUE!</v>
      </c>
      <c r="AY95" s="660" t="e">
        <f t="shared" si="102"/>
        <v>#VALUE!</v>
      </c>
      <c r="AZ95" s="670" t="e">
        <f t="shared" si="103"/>
        <v>#VALUE!</v>
      </c>
      <c r="BB95" s="662" t="e">
        <f>INDEX('Barge Gauging Data'!$B$26:$V$56,MATCH($C95,'Barge Gauging Data'!$B$26:$B$56,0),$BB$18)</f>
        <v>#N/A</v>
      </c>
      <c r="BC95" s="662" t="e">
        <f>INDEX('Barge Gauging Data'!$B$26:$V$56,MATCH($C95,'Barge Gauging Data'!$B$26:$B$56,0),$BC$18)</f>
        <v>#N/A</v>
      </c>
      <c r="BD95" s="662" t="e">
        <f>INDEX('Barge Gauging Data'!$B$26:$V$56,MATCH($C95,'Barge Gauging Data'!$B$26:$B$56,0),$BD$18)</f>
        <v>#N/A</v>
      </c>
      <c r="BE95" s="662" t="e">
        <f>INDEX('Barge Gauging Data'!$B$26:$V$56,MATCH($C95,'Barge Gauging Data'!$B$26:$B$56,0),$BE$18)</f>
        <v>#N/A</v>
      </c>
    </row>
    <row r="96" spans="1:57" hidden="1">
      <c r="A96" s="641" t="str">
        <f t="shared" si="67"/>
        <v>N</v>
      </c>
      <c r="C96" s="235" t="str">
        <f t="array" ref="C96">IF(OR($E$90="",SUMPRODUCT(('Barge Gauging Data'!$C$27:$C$56=$E$90)*('Barge Gauging Data'!$D$27:$D$56=NOMY))&lt;ROWS($C$91:$C96)),"",INDEX('Barge Gauging Data'!$B$27:$B$56,SMALL(IF(('Barge Gauging Data'!$C$27:$C$56=$E$90)+('Barge Gauging Data'!$D$27:$D$56=NOMY)=2,ROW('Barge Gauging Data'!$B$27:$B$56)-ROW('Barge Gauging Data'!$C$26)),ROW()-ROW(C$90))))</f>
        <v/>
      </c>
      <c r="D96" s="211" t="str">
        <f>IF(OR($C96="",$C96=0),"",INDEX('Barge Gauging Data'!$B$26:$V$56,MATCH($C96,'Barge Gauging Data'!$B$27:$B$56,0)+1,2))</f>
        <v/>
      </c>
      <c r="E96" s="1016" t="str">
        <f t="shared" si="68"/>
        <v/>
      </c>
      <c r="F96" s="1016" t="str">
        <f t="shared" si="69"/>
        <v/>
      </c>
      <c r="G96" s="1016" t="str">
        <f t="shared" si="70"/>
        <v/>
      </c>
      <c r="H96" s="1016" t="str">
        <f t="shared" si="70"/>
        <v/>
      </c>
      <c r="I96" s="211" t="str">
        <f t="shared" si="71"/>
        <v/>
      </c>
      <c r="J96" s="1016" t="str">
        <f t="shared" si="72"/>
        <v/>
      </c>
      <c r="K96" s="213" t="str">
        <f t="shared" si="73"/>
        <v/>
      </c>
      <c r="L96" s="212" t="str">
        <f t="shared" si="74"/>
        <v/>
      </c>
      <c r="M96" s="1125" t="str">
        <f>IF(OR($C96="",$C96=0),"",INDEX(API1DENST_2,MATCH($C96,'Barge Gauging Data'!$B$27:$B$56,0),$AA$1))</f>
        <v/>
      </c>
      <c r="N96" s="212" t="str">
        <f t="shared" si="75"/>
        <v/>
      </c>
      <c r="O96" s="1016" t="str">
        <f t="shared" si="76"/>
        <v/>
      </c>
      <c r="P96" s="1125" t="str">
        <f t="shared" si="77"/>
        <v/>
      </c>
      <c r="Q96" s="1016" t="str">
        <f t="shared" si="78"/>
        <v/>
      </c>
      <c r="R96" s="214" t="str">
        <f t="shared" si="79"/>
        <v/>
      </c>
      <c r="S96" s="1125" t="str">
        <f t="shared" si="80"/>
        <v/>
      </c>
      <c r="T96" s="236" t="str">
        <f t="shared" si="81"/>
        <v/>
      </c>
      <c r="V96" s="642" t="e">
        <f>INDEX('Barge Gauging Data'!$B$26:$V$56,MATCH($C96,'Barge Gauging Data'!$B$26:$B$56,0),$V$18)</f>
        <v>#N/A</v>
      </c>
      <c r="W96" s="642" t="e">
        <f>INDEX('Barge Gauging Data'!$B$26:$V$56,MATCH($C96,'Barge Gauging Data'!$B$26:$B$56,0),$W$18)</f>
        <v>#N/A</v>
      </c>
      <c r="X96" s="642" t="e">
        <f>INDEX('Barge Gauging Data'!$B$26:$V$56,MATCH($C96,'Barge Gauging Data'!$B$26:$B$56,0),$X$18)</f>
        <v>#N/A</v>
      </c>
      <c r="Y96" s="642" t="e">
        <f>INDEX('Barge Gauging Data'!$B$26:$V$56,MATCH($C96,'Barge Gauging Data'!$B$26:$B$56,0),$Y$18)</f>
        <v>#N/A</v>
      </c>
      <c r="Z96" s="642" t="e">
        <f>INDEX('Barge Gauging Data'!$B$26:$V$56,MATCH($C96,'Barge Gauging Data'!$B$26:$B$56,0),$Z$18)</f>
        <v>#N/A</v>
      </c>
      <c r="AB96" s="642" t="e">
        <f>INDEX(API1DENST_2,MATCH($C96,'Barge Gauging Data'!$B$27:$B$56,0),1)</f>
        <v>#N/A</v>
      </c>
      <c r="AC96" s="642" t="e">
        <f t="shared" si="84"/>
        <v>#N/A</v>
      </c>
      <c r="AE96" s="661" t="e">
        <f t="shared" si="85"/>
        <v>#VALUE!</v>
      </c>
      <c r="AF96" s="661" t="e">
        <f t="shared" si="86"/>
        <v>#VALUE!</v>
      </c>
      <c r="AH96" s="662" t="str">
        <f t="shared" si="82"/>
        <v/>
      </c>
      <c r="AI96" s="662" t="str">
        <f t="shared" si="83"/>
        <v/>
      </c>
      <c r="AJ96" s="663">
        <f t="shared" si="87"/>
        <v>192.4571</v>
      </c>
      <c r="AK96" s="660">
        <f t="shared" si="88"/>
        <v>0.24379999999999999</v>
      </c>
      <c r="AL96" s="660" t="e">
        <f t="shared" si="89"/>
        <v>#VALUE!</v>
      </c>
      <c r="AM96" s="664" t="e">
        <f t="shared" si="90"/>
        <v>#VALUE!</v>
      </c>
      <c r="AN96" s="664" t="e">
        <f t="shared" si="91"/>
        <v>#VALUE!</v>
      </c>
      <c r="AO96" s="665" t="e">
        <f t="shared" si="92"/>
        <v>#VALUE!</v>
      </c>
      <c r="AP96" s="666" t="e">
        <f t="shared" si="93"/>
        <v>#VALUE!</v>
      </c>
      <c r="AQ96" s="660" t="e">
        <f t="shared" si="94"/>
        <v>#VALUE!</v>
      </c>
      <c r="AR96" s="667" t="e">
        <f t="shared" si="95"/>
        <v>#VALUE!</v>
      </c>
      <c r="AS96" s="667" t="e">
        <f t="shared" si="96"/>
        <v>#VALUE!</v>
      </c>
      <c r="AT96" s="668" t="e">
        <f t="shared" si="97"/>
        <v>#VALUE!</v>
      </c>
      <c r="AU96" s="667" t="e">
        <f t="shared" si="98"/>
        <v>#VALUE!</v>
      </c>
      <c r="AV96" s="669" t="e">
        <f t="shared" si="99"/>
        <v>#VALUE!</v>
      </c>
      <c r="AW96" s="667" t="e">
        <f t="shared" si="100"/>
        <v>#VALUE!</v>
      </c>
      <c r="AX96" s="667" t="e">
        <f t="shared" si="101"/>
        <v>#VALUE!</v>
      </c>
      <c r="AY96" s="660" t="e">
        <f t="shared" si="102"/>
        <v>#VALUE!</v>
      </c>
      <c r="AZ96" s="670" t="e">
        <f t="shared" si="103"/>
        <v>#VALUE!</v>
      </c>
      <c r="BB96" s="662" t="e">
        <f>INDEX('Barge Gauging Data'!$B$26:$V$56,MATCH($C96,'Barge Gauging Data'!$B$26:$B$56,0),$BB$18)</f>
        <v>#N/A</v>
      </c>
      <c r="BC96" s="662" t="e">
        <f>INDEX('Barge Gauging Data'!$B$26:$V$56,MATCH($C96,'Barge Gauging Data'!$B$26:$B$56,0),$BC$18)</f>
        <v>#N/A</v>
      </c>
      <c r="BD96" s="662" t="e">
        <f>INDEX('Barge Gauging Data'!$B$26:$V$56,MATCH($C96,'Barge Gauging Data'!$B$26:$B$56,0),$BD$18)</f>
        <v>#N/A</v>
      </c>
      <c r="BE96" s="662" t="e">
        <f>INDEX('Barge Gauging Data'!$B$26:$V$56,MATCH($C96,'Barge Gauging Data'!$B$26:$B$56,0),$BE$18)</f>
        <v>#N/A</v>
      </c>
    </row>
    <row r="97" spans="1:57" hidden="1">
      <c r="A97" s="641" t="str">
        <f t="shared" si="67"/>
        <v>N</v>
      </c>
      <c r="C97" s="235" t="str">
        <f t="array" ref="C97">IF(OR($E$90="",SUMPRODUCT(('Barge Gauging Data'!$C$27:$C$56=$E$90)*('Barge Gauging Data'!$D$27:$D$56=NOMY))&lt;ROWS($C$91:$C97)),"",INDEX('Barge Gauging Data'!$B$27:$B$56,SMALL(IF(('Barge Gauging Data'!$C$27:$C$56=$E$90)+('Barge Gauging Data'!$D$27:$D$56=NOMY)=2,ROW('Barge Gauging Data'!$B$27:$B$56)-ROW('Barge Gauging Data'!$C$26)),ROW()-ROW(C$90))))</f>
        <v/>
      </c>
      <c r="D97" s="211" t="str">
        <f>IF(OR($C97="",$C97=0),"",INDEX('Barge Gauging Data'!$B$26:$V$56,MATCH($C97,'Barge Gauging Data'!$B$27:$B$56,0)+1,2))</f>
        <v/>
      </c>
      <c r="E97" s="1016" t="str">
        <f t="shared" si="68"/>
        <v/>
      </c>
      <c r="F97" s="1016" t="str">
        <f t="shared" si="69"/>
        <v/>
      </c>
      <c r="G97" s="1016" t="str">
        <f t="shared" si="70"/>
        <v/>
      </c>
      <c r="H97" s="1016" t="str">
        <f t="shared" si="70"/>
        <v/>
      </c>
      <c r="I97" s="211" t="str">
        <f t="shared" si="71"/>
        <v/>
      </c>
      <c r="J97" s="1016" t="str">
        <f t="shared" si="72"/>
        <v/>
      </c>
      <c r="K97" s="213" t="str">
        <f t="shared" si="73"/>
        <v/>
      </c>
      <c r="L97" s="212" t="str">
        <f t="shared" si="74"/>
        <v/>
      </c>
      <c r="M97" s="1125" t="str">
        <f>IF(OR($C97="",$C97=0),"",INDEX(API1DENST_2,MATCH($C97,'Barge Gauging Data'!$B$27:$B$56,0),$AA$1))</f>
        <v/>
      </c>
      <c r="N97" s="212" t="str">
        <f t="shared" si="75"/>
        <v/>
      </c>
      <c r="O97" s="1016" t="str">
        <f t="shared" si="76"/>
        <v/>
      </c>
      <c r="P97" s="1125" t="str">
        <f t="shared" si="77"/>
        <v/>
      </c>
      <c r="Q97" s="1016" t="str">
        <f t="shared" si="78"/>
        <v/>
      </c>
      <c r="R97" s="214" t="str">
        <f t="shared" si="79"/>
        <v/>
      </c>
      <c r="S97" s="1125" t="str">
        <f t="shared" si="80"/>
        <v/>
      </c>
      <c r="T97" s="236" t="str">
        <f t="shared" si="81"/>
        <v/>
      </c>
      <c r="V97" s="642" t="e">
        <f>INDEX('Barge Gauging Data'!$B$26:$V$56,MATCH($C97,'Barge Gauging Data'!$B$26:$B$56,0),$V$18)</f>
        <v>#N/A</v>
      </c>
      <c r="W97" s="642" t="e">
        <f>INDEX('Barge Gauging Data'!$B$26:$V$56,MATCH($C97,'Barge Gauging Data'!$B$26:$B$56,0),$W$18)</f>
        <v>#N/A</v>
      </c>
      <c r="X97" s="642" t="e">
        <f>INDEX('Barge Gauging Data'!$B$26:$V$56,MATCH($C97,'Barge Gauging Data'!$B$26:$B$56,0),$X$18)</f>
        <v>#N/A</v>
      </c>
      <c r="Y97" s="642" t="e">
        <f>INDEX('Barge Gauging Data'!$B$26:$V$56,MATCH($C97,'Barge Gauging Data'!$B$26:$B$56,0),$Y$18)</f>
        <v>#N/A</v>
      </c>
      <c r="Z97" s="642" t="e">
        <f>INDEX('Barge Gauging Data'!$B$26:$V$56,MATCH($C97,'Barge Gauging Data'!$B$26:$B$56,0),$Z$18)</f>
        <v>#N/A</v>
      </c>
      <c r="AB97" s="642" t="e">
        <f>INDEX(API1DENST_2,MATCH($C97,'Barge Gauging Data'!$B$27:$B$56,0),1)</f>
        <v>#N/A</v>
      </c>
      <c r="AC97" s="642" t="e">
        <f t="shared" si="84"/>
        <v>#N/A</v>
      </c>
      <c r="AE97" s="661" t="e">
        <f t="shared" si="85"/>
        <v>#VALUE!</v>
      </c>
      <c r="AF97" s="661" t="e">
        <f t="shared" si="86"/>
        <v>#VALUE!</v>
      </c>
      <c r="AH97" s="662" t="str">
        <f t="shared" si="82"/>
        <v/>
      </c>
      <c r="AI97" s="662" t="str">
        <f t="shared" si="83"/>
        <v/>
      </c>
      <c r="AJ97" s="663">
        <f t="shared" si="87"/>
        <v>192.4571</v>
      </c>
      <c r="AK97" s="660">
        <f t="shared" si="88"/>
        <v>0.24379999999999999</v>
      </c>
      <c r="AL97" s="660" t="e">
        <f t="shared" si="89"/>
        <v>#VALUE!</v>
      </c>
      <c r="AM97" s="664" t="e">
        <f t="shared" si="90"/>
        <v>#VALUE!</v>
      </c>
      <c r="AN97" s="664" t="e">
        <f t="shared" si="91"/>
        <v>#VALUE!</v>
      </c>
      <c r="AO97" s="665" t="e">
        <f t="shared" si="92"/>
        <v>#VALUE!</v>
      </c>
      <c r="AP97" s="666" t="e">
        <f t="shared" si="93"/>
        <v>#VALUE!</v>
      </c>
      <c r="AQ97" s="660" t="e">
        <f t="shared" si="94"/>
        <v>#VALUE!</v>
      </c>
      <c r="AR97" s="667" t="e">
        <f t="shared" si="95"/>
        <v>#VALUE!</v>
      </c>
      <c r="AS97" s="667" t="e">
        <f t="shared" si="96"/>
        <v>#VALUE!</v>
      </c>
      <c r="AT97" s="668" t="e">
        <f t="shared" si="97"/>
        <v>#VALUE!</v>
      </c>
      <c r="AU97" s="667" t="e">
        <f t="shared" si="98"/>
        <v>#VALUE!</v>
      </c>
      <c r="AV97" s="669" t="e">
        <f t="shared" si="99"/>
        <v>#VALUE!</v>
      </c>
      <c r="AW97" s="667" t="e">
        <f t="shared" si="100"/>
        <v>#VALUE!</v>
      </c>
      <c r="AX97" s="667" t="e">
        <f t="shared" si="101"/>
        <v>#VALUE!</v>
      </c>
      <c r="AY97" s="660" t="e">
        <f t="shared" si="102"/>
        <v>#VALUE!</v>
      </c>
      <c r="AZ97" s="670" t="e">
        <f t="shared" si="103"/>
        <v>#VALUE!</v>
      </c>
      <c r="BB97" s="662" t="e">
        <f>INDEX('Barge Gauging Data'!$B$26:$V$56,MATCH($C97,'Barge Gauging Data'!$B$26:$B$56,0),$BB$18)</f>
        <v>#N/A</v>
      </c>
      <c r="BC97" s="662" t="e">
        <f>INDEX('Barge Gauging Data'!$B$26:$V$56,MATCH($C97,'Barge Gauging Data'!$B$26:$B$56,0),$BC$18)</f>
        <v>#N/A</v>
      </c>
      <c r="BD97" s="662" t="e">
        <f>INDEX('Barge Gauging Data'!$B$26:$V$56,MATCH($C97,'Barge Gauging Data'!$B$26:$B$56,0),$BD$18)</f>
        <v>#N/A</v>
      </c>
      <c r="BE97" s="662" t="e">
        <f>INDEX('Barge Gauging Data'!$B$26:$V$56,MATCH($C97,'Barge Gauging Data'!$B$26:$B$56,0),$BE$18)</f>
        <v>#N/A</v>
      </c>
    </row>
    <row r="98" spans="1:57" hidden="1">
      <c r="A98" s="641" t="str">
        <f t="shared" si="67"/>
        <v>N</v>
      </c>
      <c r="C98" s="235" t="str">
        <f t="array" ref="C98">IF(OR($E$90="",SUMPRODUCT(('Barge Gauging Data'!$C$27:$C$56=$E$90)*('Barge Gauging Data'!$D$27:$D$56=NOMY))&lt;ROWS($C$91:$C98)),"",INDEX('Barge Gauging Data'!$B$27:$B$56,SMALL(IF(('Barge Gauging Data'!$C$27:$C$56=$E$90)+('Barge Gauging Data'!$D$27:$D$56=NOMY)=2,ROW('Barge Gauging Data'!$B$27:$B$56)-ROW('Barge Gauging Data'!$C$26)),ROW()-ROW(C$90))))</f>
        <v/>
      </c>
      <c r="D98" s="211" t="str">
        <f>IF(OR($C98="",$C98=0),"",INDEX('Barge Gauging Data'!$B$26:$V$56,MATCH($C98,'Barge Gauging Data'!$B$27:$B$56,0)+1,2))</f>
        <v/>
      </c>
      <c r="E98" s="1016" t="str">
        <f t="shared" si="68"/>
        <v/>
      </c>
      <c r="F98" s="1016" t="str">
        <f t="shared" si="69"/>
        <v/>
      </c>
      <c r="G98" s="1016" t="str">
        <f t="shared" si="70"/>
        <v/>
      </c>
      <c r="H98" s="1016" t="str">
        <f t="shared" si="70"/>
        <v/>
      </c>
      <c r="I98" s="211" t="str">
        <f t="shared" si="71"/>
        <v/>
      </c>
      <c r="J98" s="1016" t="str">
        <f t="shared" si="72"/>
        <v/>
      </c>
      <c r="K98" s="213" t="str">
        <f t="shared" si="73"/>
        <v/>
      </c>
      <c r="L98" s="212" t="str">
        <f t="shared" si="74"/>
        <v/>
      </c>
      <c r="M98" s="1125" t="str">
        <f>IF(OR($C98="",$C98=0),"",INDEX(API1DENST_2,MATCH($C98,'Barge Gauging Data'!$B$27:$B$56,0),$AA$1))</f>
        <v/>
      </c>
      <c r="N98" s="212" t="str">
        <f t="shared" si="75"/>
        <v/>
      </c>
      <c r="O98" s="1016" t="str">
        <f t="shared" si="76"/>
        <v/>
      </c>
      <c r="P98" s="1125" t="str">
        <f t="shared" si="77"/>
        <v/>
      </c>
      <c r="Q98" s="1016" t="str">
        <f t="shared" si="78"/>
        <v/>
      </c>
      <c r="R98" s="214" t="str">
        <f t="shared" si="79"/>
        <v/>
      </c>
      <c r="S98" s="1125" t="str">
        <f t="shared" si="80"/>
        <v/>
      </c>
      <c r="T98" s="236" t="str">
        <f t="shared" si="81"/>
        <v/>
      </c>
      <c r="V98" s="642" t="e">
        <f>INDEX('Barge Gauging Data'!$B$26:$V$56,MATCH($C98,'Barge Gauging Data'!$B$26:$B$56,0),$V$18)</f>
        <v>#N/A</v>
      </c>
      <c r="W98" s="642" t="e">
        <f>INDEX('Barge Gauging Data'!$B$26:$V$56,MATCH($C98,'Barge Gauging Data'!$B$26:$B$56,0),$W$18)</f>
        <v>#N/A</v>
      </c>
      <c r="X98" s="642" t="e">
        <f>INDEX('Barge Gauging Data'!$B$26:$V$56,MATCH($C98,'Barge Gauging Data'!$B$26:$B$56,0),$X$18)</f>
        <v>#N/A</v>
      </c>
      <c r="Y98" s="642" t="e">
        <f>INDEX('Barge Gauging Data'!$B$26:$V$56,MATCH($C98,'Barge Gauging Data'!$B$26:$B$56,0),$Y$18)</f>
        <v>#N/A</v>
      </c>
      <c r="Z98" s="642" t="e">
        <f>INDEX('Barge Gauging Data'!$B$26:$V$56,MATCH($C98,'Barge Gauging Data'!$B$26:$B$56,0),$Z$18)</f>
        <v>#N/A</v>
      </c>
      <c r="AB98" s="642" t="e">
        <f>INDEX(API1DENST_2,MATCH($C98,'Barge Gauging Data'!$B$27:$B$56,0),1)</f>
        <v>#N/A</v>
      </c>
      <c r="AC98" s="642" t="e">
        <f t="shared" si="84"/>
        <v>#N/A</v>
      </c>
      <c r="AE98" s="661" t="e">
        <f t="shared" si="85"/>
        <v>#VALUE!</v>
      </c>
      <c r="AF98" s="661" t="e">
        <f t="shared" si="86"/>
        <v>#VALUE!</v>
      </c>
      <c r="AH98" s="662" t="str">
        <f t="shared" si="82"/>
        <v/>
      </c>
      <c r="AI98" s="662" t="str">
        <f t="shared" si="83"/>
        <v/>
      </c>
      <c r="AJ98" s="663">
        <f t="shared" si="87"/>
        <v>192.4571</v>
      </c>
      <c r="AK98" s="660">
        <f t="shared" si="88"/>
        <v>0.24379999999999999</v>
      </c>
      <c r="AL98" s="660" t="e">
        <f t="shared" si="89"/>
        <v>#VALUE!</v>
      </c>
      <c r="AM98" s="664" t="e">
        <f t="shared" si="90"/>
        <v>#VALUE!</v>
      </c>
      <c r="AN98" s="664" t="e">
        <f t="shared" si="91"/>
        <v>#VALUE!</v>
      </c>
      <c r="AO98" s="665" t="e">
        <f t="shared" si="92"/>
        <v>#VALUE!</v>
      </c>
      <c r="AP98" s="666" t="e">
        <f t="shared" si="93"/>
        <v>#VALUE!</v>
      </c>
      <c r="AQ98" s="660" t="e">
        <f t="shared" si="94"/>
        <v>#VALUE!</v>
      </c>
      <c r="AR98" s="667" t="e">
        <f t="shared" si="95"/>
        <v>#VALUE!</v>
      </c>
      <c r="AS98" s="667" t="e">
        <f t="shared" si="96"/>
        <v>#VALUE!</v>
      </c>
      <c r="AT98" s="668" t="e">
        <f t="shared" si="97"/>
        <v>#VALUE!</v>
      </c>
      <c r="AU98" s="667" t="e">
        <f t="shared" si="98"/>
        <v>#VALUE!</v>
      </c>
      <c r="AV98" s="669" t="e">
        <f t="shared" si="99"/>
        <v>#VALUE!</v>
      </c>
      <c r="AW98" s="667" t="e">
        <f t="shared" si="100"/>
        <v>#VALUE!</v>
      </c>
      <c r="AX98" s="667" t="e">
        <f t="shared" si="101"/>
        <v>#VALUE!</v>
      </c>
      <c r="AY98" s="660" t="e">
        <f t="shared" si="102"/>
        <v>#VALUE!</v>
      </c>
      <c r="AZ98" s="670" t="e">
        <f t="shared" si="103"/>
        <v>#VALUE!</v>
      </c>
      <c r="BB98" s="662" t="e">
        <f>INDEX('Barge Gauging Data'!$B$26:$V$56,MATCH($C98,'Barge Gauging Data'!$B$26:$B$56,0),$BB$18)</f>
        <v>#N/A</v>
      </c>
      <c r="BC98" s="662" t="e">
        <f>INDEX('Barge Gauging Data'!$B$26:$V$56,MATCH($C98,'Barge Gauging Data'!$B$26:$B$56,0),$BC$18)</f>
        <v>#N/A</v>
      </c>
      <c r="BD98" s="662" t="e">
        <f>INDEX('Barge Gauging Data'!$B$26:$V$56,MATCH($C98,'Barge Gauging Data'!$B$26:$B$56,0),$BD$18)</f>
        <v>#N/A</v>
      </c>
      <c r="BE98" s="662" t="e">
        <f>INDEX('Barge Gauging Data'!$B$26:$V$56,MATCH($C98,'Barge Gauging Data'!$B$26:$B$56,0),$BE$18)</f>
        <v>#N/A</v>
      </c>
    </row>
    <row r="99" spans="1:57" hidden="1">
      <c r="A99" s="641" t="str">
        <f t="shared" si="67"/>
        <v>N</v>
      </c>
      <c r="C99" s="235" t="str">
        <f t="array" ref="C99">IF(OR($E$90="",SUMPRODUCT(('Barge Gauging Data'!$C$27:$C$56=$E$90)*('Barge Gauging Data'!$D$27:$D$56=NOMY))&lt;ROWS($C$91:$C99)),"",INDEX('Barge Gauging Data'!$B$27:$B$56,SMALL(IF(('Barge Gauging Data'!$C$27:$C$56=$E$90)+('Barge Gauging Data'!$D$27:$D$56=NOMY)=2,ROW('Barge Gauging Data'!$B$27:$B$56)-ROW('Barge Gauging Data'!$C$26)),ROW()-ROW(C$90))))</f>
        <v/>
      </c>
      <c r="D99" s="211" t="str">
        <f>IF(OR($C99="",$C99=0),"",INDEX('Barge Gauging Data'!$B$26:$V$56,MATCH($C99,'Barge Gauging Data'!$B$27:$B$56,0)+1,2))</f>
        <v/>
      </c>
      <c r="E99" s="1016" t="str">
        <f t="shared" si="68"/>
        <v/>
      </c>
      <c r="F99" s="1016" t="str">
        <f t="shared" si="69"/>
        <v/>
      </c>
      <c r="G99" s="1016" t="str">
        <f t="shared" si="70"/>
        <v/>
      </c>
      <c r="H99" s="1016" t="str">
        <f t="shared" si="70"/>
        <v/>
      </c>
      <c r="I99" s="211" t="str">
        <f t="shared" si="71"/>
        <v/>
      </c>
      <c r="J99" s="1016" t="str">
        <f t="shared" si="72"/>
        <v/>
      </c>
      <c r="K99" s="213" t="str">
        <f t="shared" si="73"/>
        <v/>
      </c>
      <c r="L99" s="212" t="str">
        <f t="shared" si="74"/>
        <v/>
      </c>
      <c r="M99" s="1125" t="str">
        <f>IF(OR($C99="",$C99=0),"",INDEX(API1DENST_2,MATCH($C99,'Barge Gauging Data'!$B$27:$B$56,0),$AA$1))</f>
        <v/>
      </c>
      <c r="N99" s="212" t="str">
        <f t="shared" si="75"/>
        <v/>
      </c>
      <c r="O99" s="1016" t="str">
        <f t="shared" si="76"/>
        <v/>
      </c>
      <c r="P99" s="1125" t="str">
        <f t="shared" si="77"/>
        <v/>
      </c>
      <c r="Q99" s="1016" t="str">
        <f t="shared" si="78"/>
        <v/>
      </c>
      <c r="R99" s="214" t="str">
        <f t="shared" si="79"/>
        <v/>
      </c>
      <c r="S99" s="1125" t="str">
        <f t="shared" si="80"/>
        <v/>
      </c>
      <c r="T99" s="236" t="str">
        <f t="shared" si="81"/>
        <v/>
      </c>
      <c r="V99" s="642" t="e">
        <f>INDEX('Barge Gauging Data'!$B$26:$V$56,MATCH($C99,'Barge Gauging Data'!$B$26:$B$56,0),$V$18)</f>
        <v>#N/A</v>
      </c>
      <c r="W99" s="642" t="e">
        <f>INDEX('Barge Gauging Data'!$B$26:$V$56,MATCH($C99,'Barge Gauging Data'!$B$26:$B$56,0),$W$18)</f>
        <v>#N/A</v>
      </c>
      <c r="X99" s="642" t="e">
        <f>INDEX('Barge Gauging Data'!$B$26:$V$56,MATCH($C99,'Barge Gauging Data'!$B$26:$B$56,0),$X$18)</f>
        <v>#N/A</v>
      </c>
      <c r="Y99" s="642" t="e">
        <f>INDEX('Barge Gauging Data'!$B$26:$V$56,MATCH($C99,'Barge Gauging Data'!$B$26:$B$56,0),$Y$18)</f>
        <v>#N/A</v>
      </c>
      <c r="Z99" s="642" t="e">
        <f>INDEX('Barge Gauging Data'!$B$26:$V$56,MATCH($C99,'Barge Gauging Data'!$B$26:$B$56,0),$Z$18)</f>
        <v>#N/A</v>
      </c>
      <c r="AB99" s="642" t="e">
        <f>INDEX(API1DENST_2,MATCH($C99,'Barge Gauging Data'!$B$27:$B$56,0),1)</f>
        <v>#N/A</v>
      </c>
      <c r="AC99" s="642" t="e">
        <f t="shared" si="84"/>
        <v>#N/A</v>
      </c>
      <c r="AE99" s="661" t="e">
        <f t="shared" si="85"/>
        <v>#VALUE!</v>
      </c>
      <c r="AF99" s="661" t="e">
        <f t="shared" si="86"/>
        <v>#VALUE!</v>
      </c>
      <c r="AH99" s="662" t="str">
        <f t="shared" si="82"/>
        <v/>
      </c>
      <c r="AI99" s="662" t="str">
        <f t="shared" si="83"/>
        <v/>
      </c>
      <c r="AJ99" s="663">
        <f t="shared" si="87"/>
        <v>192.4571</v>
      </c>
      <c r="AK99" s="660">
        <f t="shared" si="88"/>
        <v>0.24379999999999999</v>
      </c>
      <c r="AL99" s="660" t="e">
        <f t="shared" si="89"/>
        <v>#VALUE!</v>
      </c>
      <c r="AM99" s="664" t="e">
        <f t="shared" si="90"/>
        <v>#VALUE!</v>
      </c>
      <c r="AN99" s="664" t="e">
        <f t="shared" si="91"/>
        <v>#VALUE!</v>
      </c>
      <c r="AO99" s="665" t="e">
        <f t="shared" si="92"/>
        <v>#VALUE!</v>
      </c>
      <c r="AP99" s="666" t="e">
        <f t="shared" si="93"/>
        <v>#VALUE!</v>
      </c>
      <c r="AQ99" s="660" t="e">
        <f t="shared" si="94"/>
        <v>#VALUE!</v>
      </c>
      <c r="AR99" s="667" t="e">
        <f t="shared" si="95"/>
        <v>#VALUE!</v>
      </c>
      <c r="AS99" s="667" t="e">
        <f t="shared" si="96"/>
        <v>#VALUE!</v>
      </c>
      <c r="AT99" s="668" t="e">
        <f t="shared" si="97"/>
        <v>#VALUE!</v>
      </c>
      <c r="AU99" s="667" t="e">
        <f t="shared" si="98"/>
        <v>#VALUE!</v>
      </c>
      <c r="AV99" s="669" t="e">
        <f t="shared" si="99"/>
        <v>#VALUE!</v>
      </c>
      <c r="AW99" s="667" t="e">
        <f t="shared" si="100"/>
        <v>#VALUE!</v>
      </c>
      <c r="AX99" s="667" t="e">
        <f t="shared" si="101"/>
        <v>#VALUE!</v>
      </c>
      <c r="AY99" s="660" t="e">
        <f t="shared" si="102"/>
        <v>#VALUE!</v>
      </c>
      <c r="AZ99" s="670" t="e">
        <f t="shared" si="103"/>
        <v>#VALUE!</v>
      </c>
      <c r="BB99" s="662" t="e">
        <f>INDEX('Barge Gauging Data'!$B$26:$V$56,MATCH($C99,'Barge Gauging Data'!$B$26:$B$56,0),$BB$18)</f>
        <v>#N/A</v>
      </c>
      <c r="BC99" s="662" t="e">
        <f>INDEX('Barge Gauging Data'!$B$26:$V$56,MATCH($C99,'Barge Gauging Data'!$B$26:$B$56,0),$BC$18)</f>
        <v>#N/A</v>
      </c>
      <c r="BD99" s="662" t="e">
        <f>INDEX('Barge Gauging Data'!$B$26:$V$56,MATCH($C99,'Barge Gauging Data'!$B$26:$B$56,0),$BD$18)</f>
        <v>#N/A</v>
      </c>
      <c r="BE99" s="662" t="e">
        <f>INDEX('Barge Gauging Data'!$B$26:$V$56,MATCH($C99,'Barge Gauging Data'!$B$26:$B$56,0),$BE$18)</f>
        <v>#N/A</v>
      </c>
    </row>
    <row r="100" spans="1:57" hidden="1">
      <c r="A100" s="641" t="str">
        <f t="shared" si="67"/>
        <v>N</v>
      </c>
      <c r="C100" s="235" t="str">
        <f t="array" ref="C100">IF(OR($E$90="",SUMPRODUCT(('Barge Gauging Data'!$C$27:$C$56=$E$90)*('Barge Gauging Data'!$D$27:$D$56=NOMY))&lt;ROWS($C$91:$C100)),"",INDEX('Barge Gauging Data'!$B$27:$B$56,SMALL(IF(('Barge Gauging Data'!$C$27:$C$56=$E$90)+('Barge Gauging Data'!$D$27:$D$56=NOMY)=2,ROW('Barge Gauging Data'!$B$27:$B$56)-ROW('Barge Gauging Data'!$C$26)),ROW()-ROW(C$90))))</f>
        <v/>
      </c>
      <c r="D100" s="211" t="str">
        <f>IF(OR($C100="",$C100=0),"",INDEX('Barge Gauging Data'!$B$26:$V$56,MATCH($C100,'Barge Gauging Data'!$B$27:$B$56,0)+1,2))</f>
        <v/>
      </c>
      <c r="E100" s="1016" t="str">
        <f t="shared" si="68"/>
        <v/>
      </c>
      <c r="F100" s="1016" t="str">
        <f t="shared" si="69"/>
        <v/>
      </c>
      <c r="G100" s="1016" t="str">
        <f t="shared" si="70"/>
        <v/>
      </c>
      <c r="H100" s="1016" t="str">
        <f t="shared" si="70"/>
        <v/>
      </c>
      <c r="I100" s="211" t="str">
        <f t="shared" si="71"/>
        <v/>
      </c>
      <c r="J100" s="1016" t="str">
        <f t="shared" si="72"/>
        <v/>
      </c>
      <c r="K100" s="213" t="str">
        <f t="shared" si="73"/>
        <v/>
      </c>
      <c r="L100" s="212" t="str">
        <f t="shared" si="74"/>
        <v/>
      </c>
      <c r="M100" s="1125" t="str">
        <f>IF(OR($C100="",$C100=0),"",INDEX(API1DENST_2,MATCH($C100,'Barge Gauging Data'!$B$27:$B$56,0),$AA$1))</f>
        <v/>
      </c>
      <c r="N100" s="212" t="str">
        <f t="shared" si="75"/>
        <v/>
      </c>
      <c r="O100" s="1016" t="str">
        <f t="shared" si="76"/>
        <v/>
      </c>
      <c r="P100" s="1125" t="str">
        <f t="shared" si="77"/>
        <v/>
      </c>
      <c r="Q100" s="1016" t="str">
        <f t="shared" si="78"/>
        <v/>
      </c>
      <c r="R100" s="214" t="str">
        <f t="shared" si="79"/>
        <v/>
      </c>
      <c r="S100" s="1125" t="str">
        <f t="shared" si="80"/>
        <v/>
      </c>
      <c r="T100" s="236" t="str">
        <f t="shared" si="81"/>
        <v/>
      </c>
      <c r="V100" s="642" t="e">
        <f>INDEX('Barge Gauging Data'!$B$26:$V$56,MATCH($C100,'Barge Gauging Data'!$B$26:$B$56,0),$V$18)</f>
        <v>#N/A</v>
      </c>
      <c r="W100" s="642" t="e">
        <f>INDEX('Barge Gauging Data'!$B$26:$V$56,MATCH($C100,'Barge Gauging Data'!$B$26:$B$56,0),$W$18)</f>
        <v>#N/A</v>
      </c>
      <c r="X100" s="642" t="e">
        <f>INDEX('Barge Gauging Data'!$B$26:$V$56,MATCH($C100,'Barge Gauging Data'!$B$26:$B$56,0),$X$18)</f>
        <v>#N/A</v>
      </c>
      <c r="Y100" s="642" t="e">
        <f>INDEX('Barge Gauging Data'!$B$26:$V$56,MATCH($C100,'Barge Gauging Data'!$B$26:$B$56,0),$Y$18)</f>
        <v>#N/A</v>
      </c>
      <c r="Z100" s="642" t="e">
        <f>INDEX('Barge Gauging Data'!$B$26:$V$56,MATCH($C100,'Barge Gauging Data'!$B$26:$B$56,0),$Z$18)</f>
        <v>#N/A</v>
      </c>
      <c r="AB100" s="642" t="e">
        <f>INDEX(API1DENST_2,MATCH($C100,'Barge Gauging Data'!$B$27:$B$56,0),1)</f>
        <v>#N/A</v>
      </c>
      <c r="AC100" s="642" t="e">
        <f t="shared" si="84"/>
        <v>#N/A</v>
      </c>
      <c r="AE100" s="661" t="e">
        <f t="shared" si="85"/>
        <v>#VALUE!</v>
      </c>
      <c r="AF100" s="661" t="e">
        <f t="shared" si="86"/>
        <v>#VALUE!</v>
      </c>
      <c r="AH100" s="662" t="str">
        <f t="shared" si="82"/>
        <v/>
      </c>
      <c r="AI100" s="662" t="str">
        <f t="shared" si="83"/>
        <v/>
      </c>
      <c r="AJ100" s="663">
        <f t="shared" si="87"/>
        <v>192.4571</v>
      </c>
      <c r="AK100" s="660">
        <f t="shared" si="88"/>
        <v>0.24379999999999999</v>
      </c>
      <c r="AL100" s="660" t="e">
        <f t="shared" si="89"/>
        <v>#VALUE!</v>
      </c>
      <c r="AM100" s="664" t="e">
        <f t="shared" si="90"/>
        <v>#VALUE!</v>
      </c>
      <c r="AN100" s="664" t="e">
        <f t="shared" si="91"/>
        <v>#VALUE!</v>
      </c>
      <c r="AO100" s="665" t="e">
        <f t="shared" si="92"/>
        <v>#VALUE!</v>
      </c>
      <c r="AP100" s="666" t="e">
        <f t="shared" si="93"/>
        <v>#VALUE!</v>
      </c>
      <c r="AQ100" s="660" t="e">
        <f t="shared" si="94"/>
        <v>#VALUE!</v>
      </c>
      <c r="AR100" s="667" t="e">
        <f t="shared" si="95"/>
        <v>#VALUE!</v>
      </c>
      <c r="AS100" s="667" t="e">
        <f t="shared" si="96"/>
        <v>#VALUE!</v>
      </c>
      <c r="AT100" s="668" t="e">
        <f t="shared" si="97"/>
        <v>#VALUE!</v>
      </c>
      <c r="AU100" s="667" t="e">
        <f t="shared" si="98"/>
        <v>#VALUE!</v>
      </c>
      <c r="AV100" s="669" t="e">
        <f t="shared" si="99"/>
        <v>#VALUE!</v>
      </c>
      <c r="AW100" s="667" t="e">
        <f t="shared" si="100"/>
        <v>#VALUE!</v>
      </c>
      <c r="AX100" s="667" t="e">
        <f t="shared" si="101"/>
        <v>#VALUE!</v>
      </c>
      <c r="AY100" s="660" t="e">
        <f t="shared" si="102"/>
        <v>#VALUE!</v>
      </c>
      <c r="AZ100" s="670" t="e">
        <f t="shared" si="103"/>
        <v>#VALUE!</v>
      </c>
      <c r="BB100" s="662" t="e">
        <f>INDEX('Barge Gauging Data'!$B$26:$V$56,MATCH($C100,'Barge Gauging Data'!$B$26:$B$56,0),$BB$18)</f>
        <v>#N/A</v>
      </c>
      <c r="BC100" s="662" t="e">
        <f>INDEX('Barge Gauging Data'!$B$26:$V$56,MATCH($C100,'Barge Gauging Data'!$B$26:$B$56,0),$BC$18)</f>
        <v>#N/A</v>
      </c>
      <c r="BD100" s="662" t="e">
        <f>INDEX('Barge Gauging Data'!$B$26:$V$56,MATCH($C100,'Barge Gauging Data'!$B$26:$B$56,0),$BD$18)</f>
        <v>#N/A</v>
      </c>
      <c r="BE100" s="662" t="e">
        <f>INDEX('Barge Gauging Data'!$B$26:$V$56,MATCH($C100,'Barge Gauging Data'!$B$26:$B$56,0),$BE$18)</f>
        <v>#N/A</v>
      </c>
    </row>
    <row r="101" spans="1:57" hidden="1">
      <c r="A101" s="641" t="str">
        <f t="shared" si="67"/>
        <v>N</v>
      </c>
      <c r="C101" s="235" t="str">
        <f t="array" ref="C101">IF(OR($E$90="",SUMPRODUCT(('Barge Gauging Data'!$C$27:$C$56=$E$90)*('Barge Gauging Data'!$D$27:$D$56=NOMY))&lt;ROWS($C$91:$C101)),"",INDEX('Barge Gauging Data'!$B$27:$B$56,SMALL(IF(('Barge Gauging Data'!$C$27:$C$56=$E$90)+('Barge Gauging Data'!$D$27:$D$56=NOMY)=2,ROW('Barge Gauging Data'!$B$27:$B$56)-ROW('Barge Gauging Data'!$C$26)),ROW()-ROW(C$90))))</f>
        <v/>
      </c>
      <c r="D101" s="211" t="str">
        <f>IF(OR($C101="",$C101=0),"",INDEX('Barge Gauging Data'!$B$26:$V$56,MATCH($C101,'Barge Gauging Data'!$B$27:$B$56,0)+1,2))</f>
        <v/>
      </c>
      <c r="E101" s="1016" t="str">
        <f t="shared" si="68"/>
        <v/>
      </c>
      <c r="F101" s="1016" t="str">
        <f t="shared" si="69"/>
        <v/>
      </c>
      <c r="G101" s="1016" t="str">
        <f t="shared" si="70"/>
        <v/>
      </c>
      <c r="H101" s="1016" t="str">
        <f t="shared" si="70"/>
        <v/>
      </c>
      <c r="I101" s="211" t="str">
        <f t="shared" si="71"/>
        <v/>
      </c>
      <c r="J101" s="1016" t="str">
        <f t="shared" si="72"/>
        <v/>
      </c>
      <c r="K101" s="213" t="str">
        <f t="shared" si="73"/>
        <v/>
      </c>
      <c r="L101" s="212" t="str">
        <f t="shared" si="74"/>
        <v/>
      </c>
      <c r="M101" s="1125" t="str">
        <f>IF(OR($C101="",$C101=0),"",INDEX(API1DENST_2,MATCH($C101,'Barge Gauging Data'!$B$27:$B$56,0),$AA$1))</f>
        <v/>
      </c>
      <c r="N101" s="212" t="str">
        <f t="shared" si="75"/>
        <v/>
      </c>
      <c r="O101" s="1016" t="str">
        <f t="shared" si="76"/>
        <v/>
      </c>
      <c r="P101" s="1125" t="str">
        <f t="shared" si="77"/>
        <v/>
      </c>
      <c r="Q101" s="1016" t="str">
        <f t="shared" si="78"/>
        <v/>
      </c>
      <c r="R101" s="214" t="str">
        <f t="shared" si="79"/>
        <v/>
      </c>
      <c r="S101" s="1125" t="str">
        <f t="shared" si="80"/>
        <v/>
      </c>
      <c r="T101" s="236" t="str">
        <f t="shared" si="81"/>
        <v/>
      </c>
      <c r="V101" s="642" t="e">
        <f>INDEX('Barge Gauging Data'!$B$26:$V$56,MATCH($C101,'Barge Gauging Data'!$B$26:$B$56,0),$V$18)</f>
        <v>#N/A</v>
      </c>
      <c r="W101" s="642" t="e">
        <f>INDEX('Barge Gauging Data'!$B$26:$V$56,MATCH($C101,'Barge Gauging Data'!$B$26:$B$56,0),$W$18)</f>
        <v>#N/A</v>
      </c>
      <c r="X101" s="642" t="e">
        <f>INDEX('Barge Gauging Data'!$B$26:$V$56,MATCH($C101,'Barge Gauging Data'!$B$26:$B$56,0),$X$18)</f>
        <v>#N/A</v>
      </c>
      <c r="Y101" s="642" t="e">
        <f>INDEX('Barge Gauging Data'!$B$26:$V$56,MATCH($C101,'Barge Gauging Data'!$B$26:$B$56,0),$Y$18)</f>
        <v>#N/A</v>
      </c>
      <c r="Z101" s="642" t="e">
        <f>INDEX('Barge Gauging Data'!$B$26:$V$56,MATCH($C101,'Barge Gauging Data'!$B$26:$B$56,0),$Z$18)</f>
        <v>#N/A</v>
      </c>
      <c r="AB101" s="642" t="e">
        <f>INDEX(API1DENST_2,MATCH($C101,'Barge Gauging Data'!$B$27:$B$56,0),1)</f>
        <v>#N/A</v>
      </c>
      <c r="AC101" s="642" t="e">
        <f t="shared" si="84"/>
        <v>#N/A</v>
      </c>
      <c r="AE101" s="661" t="e">
        <f t="shared" si="85"/>
        <v>#VALUE!</v>
      </c>
      <c r="AF101" s="661" t="e">
        <f t="shared" si="86"/>
        <v>#VALUE!</v>
      </c>
      <c r="AH101" s="662" t="str">
        <f t="shared" si="82"/>
        <v/>
      </c>
      <c r="AI101" s="662" t="str">
        <f t="shared" si="83"/>
        <v/>
      </c>
      <c r="AJ101" s="663">
        <f t="shared" si="87"/>
        <v>192.4571</v>
      </c>
      <c r="AK101" s="660">
        <f t="shared" si="88"/>
        <v>0.24379999999999999</v>
      </c>
      <c r="AL101" s="660" t="e">
        <f t="shared" si="89"/>
        <v>#VALUE!</v>
      </c>
      <c r="AM101" s="664" t="e">
        <f t="shared" si="90"/>
        <v>#VALUE!</v>
      </c>
      <c r="AN101" s="664" t="e">
        <f t="shared" si="91"/>
        <v>#VALUE!</v>
      </c>
      <c r="AO101" s="665" t="e">
        <f t="shared" si="92"/>
        <v>#VALUE!</v>
      </c>
      <c r="AP101" s="666" t="e">
        <f t="shared" si="93"/>
        <v>#VALUE!</v>
      </c>
      <c r="AQ101" s="660" t="e">
        <f t="shared" si="94"/>
        <v>#VALUE!</v>
      </c>
      <c r="AR101" s="667" t="e">
        <f t="shared" si="95"/>
        <v>#VALUE!</v>
      </c>
      <c r="AS101" s="667" t="e">
        <f t="shared" si="96"/>
        <v>#VALUE!</v>
      </c>
      <c r="AT101" s="668" t="e">
        <f t="shared" si="97"/>
        <v>#VALUE!</v>
      </c>
      <c r="AU101" s="667" t="e">
        <f t="shared" si="98"/>
        <v>#VALUE!</v>
      </c>
      <c r="AV101" s="669" t="e">
        <f t="shared" si="99"/>
        <v>#VALUE!</v>
      </c>
      <c r="AW101" s="667" t="e">
        <f t="shared" si="100"/>
        <v>#VALUE!</v>
      </c>
      <c r="AX101" s="667" t="e">
        <f t="shared" si="101"/>
        <v>#VALUE!</v>
      </c>
      <c r="AY101" s="660" t="e">
        <f t="shared" si="102"/>
        <v>#VALUE!</v>
      </c>
      <c r="AZ101" s="670" t="e">
        <f t="shared" si="103"/>
        <v>#VALUE!</v>
      </c>
      <c r="BB101" s="662" t="e">
        <f>INDEX('Barge Gauging Data'!$B$26:$V$56,MATCH($C101,'Barge Gauging Data'!$B$26:$B$56,0),$BB$18)</f>
        <v>#N/A</v>
      </c>
      <c r="BC101" s="662" t="e">
        <f>INDEX('Barge Gauging Data'!$B$26:$V$56,MATCH($C101,'Barge Gauging Data'!$B$26:$B$56,0),$BC$18)</f>
        <v>#N/A</v>
      </c>
      <c r="BD101" s="662" t="e">
        <f>INDEX('Barge Gauging Data'!$B$26:$V$56,MATCH($C101,'Barge Gauging Data'!$B$26:$B$56,0),$BD$18)</f>
        <v>#N/A</v>
      </c>
      <c r="BE101" s="662" t="e">
        <f>INDEX('Barge Gauging Data'!$B$26:$V$56,MATCH($C101,'Barge Gauging Data'!$B$26:$B$56,0),$BE$18)</f>
        <v>#N/A</v>
      </c>
    </row>
    <row r="102" spans="1:57" hidden="1">
      <c r="A102" s="641" t="str">
        <f t="shared" si="67"/>
        <v>N</v>
      </c>
      <c r="C102" s="235" t="str">
        <f t="array" ref="C102">IF(OR($E$90="",SUMPRODUCT(('Barge Gauging Data'!$C$27:$C$56=$E$90)*('Barge Gauging Data'!$D$27:$D$56=NOMY))&lt;ROWS($C$91:$C102)),"",INDEX('Barge Gauging Data'!$B$27:$B$56,SMALL(IF(('Barge Gauging Data'!$C$27:$C$56=$E$90)+('Barge Gauging Data'!$D$27:$D$56=NOMY)=2,ROW('Barge Gauging Data'!$B$27:$B$56)-ROW('Barge Gauging Data'!$C$26)),ROW()-ROW(C$90))))</f>
        <v/>
      </c>
      <c r="D102" s="211" t="str">
        <f>IF(OR($C102="",$C102=0),"",INDEX('Barge Gauging Data'!$B$26:$V$56,MATCH($C102,'Barge Gauging Data'!$B$27:$B$56,0)+1,2))</f>
        <v/>
      </c>
      <c r="E102" s="1016" t="str">
        <f t="shared" si="68"/>
        <v/>
      </c>
      <c r="F102" s="1016" t="str">
        <f t="shared" si="69"/>
        <v/>
      </c>
      <c r="G102" s="1016" t="str">
        <f t="shared" si="70"/>
        <v/>
      </c>
      <c r="H102" s="1016" t="str">
        <f t="shared" si="70"/>
        <v/>
      </c>
      <c r="I102" s="211" t="str">
        <f t="shared" si="71"/>
        <v/>
      </c>
      <c r="J102" s="1016" t="str">
        <f t="shared" si="72"/>
        <v/>
      </c>
      <c r="K102" s="213" t="str">
        <f t="shared" si="73"/>
        <v/>
      </c>
      <c r="L102" s="212" t="str">
        <f t="shared" si="74"/>
        <v/>
      </c>
      <c r="M102" s="1125" t="str">
        <f>IF(OR($C102="",$C102=0),"",INDEX(API1DENST_2,MATCH($C102,'Barge Gauging Data'!$B$27:$B$56,0),$AA$1))</f>
        <v/>
      </c>
      <c r="N102" s="212" t="str">
        <f t="shared" si="75"/>
        <v/>
      </c>
      <c r="O102" s="1016" t="str">
        <f t="shared" si="76"/>
        <v/>
      </c>
      <c r="P102" s="1125" t="str">
        <f t="shared" si="77"/>
        <v/>
      </c>
      <c r="Q102" s="1016" t="str">
        <f t="shared" si="78"/>
        <v/>
      </c>
      <c r="R102" s="214" t="str">
        <f t="shared" si="79"/>
        <v/>
      </c>
      <c r="S102" s="1125" t="str">
        <f t="shared" si="80"/>
        <v/>
      </c>
      <c r="T102" s="236" t="str">
        <f t="shared" si="81"/>
        <v/>
      </c>
      <c r="V102" s="642" t="e">
        <f>INDEX('Barge Gauging Data'!$B$26:$V$56,MATCH($C102,'Barge Gauging Data'!$B$26:$B$56,0),$V$18)</f>
        <v>#N/A</v>
      </c>
      <c r="W102" s="642" t="e">
        <f>INDEX('Barge Gauging Data'!$B$26:$V$56,MATCH($C102,'Barge Gauging Data'!$B$26:$B$56,0),$W$18)</f>
        <v>#N/A</v>
      </c>
      <c r="X102" s="642" t="e">
        <f>INDEX('Barge Gauging Data'!$B$26:$V$56,MATCH($C102,'Barge Gauging Data'!$B$26:$B$56,0),$X$18)</f>
        <v>#N/A</v>
      </c>
      <c r="Y102" s="642" t="e">
        <f>INDEX('Barge Gauging Data'!$B$26:$V$56,MATCH($C102,'Barge Gauging Data'!$B$26:$B$56,0),$Y$18)</f>
        <v>#N/A</v>
      </c>
      <c r="Z102" s="642" t="e">
        <f>INDEX('Barge Gauging Data'!$B$26:$V$56,MATCH($C102,'Barge Gauging Data'!$B$26:$B$56,0),$Z$18)</f>
        <v>#N/A</v>
      </c>
      <c r="AB102" s="642" t="e">
        <f>INDEX(API1DENST_2,MATCH($C102,'Barge Gauging Data'!$B$27:$B$56,0),1)</f>
        <v>#N/A</v>
      </c>
      <c r="AC102" s="642" t="e">
        <f t="shared" si="84"/>
        <v>#N/A</v>
      </c>
      <c r="AE102" s="661" t="e">
        <f t="shared" si="85"/>
        <v>#VALUE!</v>
      </c>
      <c r="AF102" s="661" t="e">
        <f t="shared" si="86"/>
        <v>#VALUE!</v>
      </c>
      <c r="AH102" s="662" t="str">
        <f t="shared" si="82"/>
        <v/>
      </c>
      <c r="AI102" s="662" t="str">
        <f t="shared" si="83"/>
        <v/>
      </c>
      <c r="AJ102" s="663">
        <f t="shared" si="87"/>
        <v>192.4571</v>
      </c>
      <c r="AK102" s="660">
        <f t="shared" si="88"/>
        <v>0.24379999999999999</v>
      </c>
      <c r="AL102" s="660" t="e">
        <f t="shared" si="89"/>
        <v>#VALUE!</v>
      </c>
      <c r="AM102" s="664" t="e">
        <f t="shared" si="90"/>
        <v>#VALUE!</v>
      </c>
      <c r="AN102" s="664" t="e">
        <f t="shared" si="91"/>
        <v>#VALUE!</v>
      </c>
      <c r="AO102" s="665" t="e">
        <f t="shared" si="92"/>
        <v>#VALUE!</v>
      </c>
      <c r="AP102" s="666" t="e">
        <f t="shared" si="93"/>
        <v>#VALUE!</v>
      </c>
      <c r="AQ102" s="660" t="e">
        <f t="shared" si="94"/>
        <v>#VALUE!</v>
      </c>
      <c r="AR102" s="667" t="e">
        <f t="shared" si="95"/>
        <v>#VALUE!</v>
      </c>
      <c r="AS102" s="667" t="e">
        <f t="shared" si="96"/>
        <v>#VALUE!</v>
      </c>
      <c r="AT102" s="668" t="e">
        <f t="shared" si="97"/>
        <v>#VALUE!</v>
      </c>
      <c r="AU102" s="667" t="e">
        <f t="shared" si="98"/>
        <v>#VALUE!</v>
      </c>
      <c r="AV102" s="669" t="e">
        <f t="shared" si="99"/>
        <v>#VALUE!</v>
      </c>
      <c r="AW102" s="667" t="e">
        <f t="shared" si="100"/>
        <v>#VALUE!</v>
      </c>
      <c r="AX102" s="667" t="e">
        <f t="shared" si="101"/>
        <v>#VALUE!</v>
      </c>
      <c r="AY102" s="660" t="e">
        <f t="shared" si="102"/>
        <v>#VALUE!</v>
      </c>
      <c r="AZ102" s="670" t="e">
        <f t="shared" si="103"/>
        <v>#VALUE!</v>
      </c>
      <c r="BB102" s="662" t="e">
        <f>INDEX('Barge Gauging Data'!$B$26:$V$56,MATCH($C102,'Barge Gauging Data'!$B$26:$B$56,0),$BB$18)</f>
        <v>#N/A</v>
      </c>
      <c r="BC102" s="662" t="e">
        <f>INDEX('Barge Gauging Data'!$B$26:$V$56,MATCH($C102,'Barge Gauging Data'!$B$26:$B$56,0),$BC$18)</f>
        <v>#N/A</v>
      </c>
      <c r="BD102" s="662" t="e">
        <f>INDEX('Barge Gauging Data'!$B$26:$V$56,MATCH($C102,'Barge Gauging Data'!$B$26:$B$56,0),$BD$18)</f>
        <v>#N/A</v>
      </c>
      <c r="BE102" s="662" t="e">
        <f>INDEX('Barge Gauging Data'!$B$26:$V$56,MATCH($C102,'Barge Gauging Data'!$B$26:$B$56,0),$BE$18)</f>
        <v>#N/A</v>
      </c>
    </row>
    <row r="103" spans="1:57" hidden="1">
      <c r="A103" s="641" t="str">
        <f t="shared" si="67"/>
        <v>N</v>
      </c>
      <c r="C103" s="235" t="str">
        <f t="array" ref="C103">IF(OR($E$90="",SUMPRODUCT(('Barge Gauging Data'!$C$27:$C$56=$E$90)*('Barge Gauging Data'!$D$27:$D$56=NOMY))&lt;ROWS($C$91:$C103)),"",INDEX('Barge Gauging Data'!$B$27:$B$56,SMALL(IF(('Barge Gauging Data'!$C$27:$C$56=$E$90)+('Barge Gauging Data'!$D$27:$D$56=NOMY)=2,ROW('Barge Gauging Data'!$B$27:$B$56)-ROW('Barge Gauging Data'!$C$26)),ROW()-ROW(C$90))))</f>
        <v/>
      </c>
      <c r="D103" s="211" t="str">
        <f>IF(OR($C103="",$C103=0),"",INDEX('Barge Gauging Data'!$B$26:$V$56,MATCH($C103,'Barge Gauging Data'!$B$27:$B$56,0)+1,2))</f>
        <v/>
      </c>
      <c r="E103" s="1016" t="str">
        <f t="shared" si="68"/>
        <v/>
      </c>
      <c r="F103" s="1016" t="str">
        <f t="shared" si="69"/>
        <v/>
      </c>
      <c r="G103" s="1016" t="str">
        <f t="shared" si="70"/>
        <v/>
      </c>
      <c r="H103" s="1016" t="str">
        <f t="shared" si="70"/>
        <v/>
      </c>
      <c r="I103" s="211" t="str">
        <f t="shared" si="71"/>
        <v/>
      </c>
      <c r="J103" s="1016" t="str">
        <f t="shared" si="72"/>
        <v/>
      </c>
      <c r="K103" s="213" t="str">
        <f t="shared" si="73"/>
        <v/>
      </c>
      <c r="L103" s="212" t="str">
        <f t="shared" si="74"/>
        <v/>
      </c>
      <c r="M103" s="1125" t="str">
        <f>IF(OR($C103="",$C103=0),"",INDEX(API1DENST_2,MATCH($C103,'Barge Gauging Data'!$B$27:$B$56,0),$AA$1))</f>
        <v/>
      </c>
      <c r="N103" s="212" t="str">
        <f t="shared" si="75"/>
        <v/>
      </c>
      <c r="O103" s="1016" t="str">
        <f t="shared" si="76"/>
        <v/>
      </c>
      <c r="P103" s="1125" t="str">
        <f t="shared" si="77"/>
        <v/>
      </c>
      <c r="Q103" s="1016" t="str">
        <f t="shared" si="78"/>
        <v/>
      </c>
      <c r="R103" s="214" t="str">
        <f t="shared" si="79"/>
        <v/>
      </c>
      <c r="S103" s="1125" t="str">
        <f t="shared" si="80"/>
        <v/>
      </c>
      <c r="T103" s="236" t="str">
        <f t="shared" si="81"/>
        <v/>
      </c>
      <c r="V103" s="642" t="e">
        <f>INDEX('Barge Gauging Data'!$B$26:$V$56,MATCH($C103,'Barge Gauging Data'!$B$26:$B$56,0),$V$18)</f>
        <v>#N/A</v>
      </c>
      <c r="W103" s="642" t="e">
        <f>INDEX('Barge Gauging Data'!$B$26:$V$56,MATCH($C103,'Barge Gauging Data'!$B$26:$B$56,0),$W$18)</f>
        <v>#N/A</v>
      </c>
      <c r="X103" s="642" t="e">
        <f>INDEX('Barge Gauging Data'!$B$26:$V$56,MATCH($C103,'Barge Gauging Data'!$B$26:$B$56,0),$X$18)</f>
        <v>#N/A</v>
      </c>
      <c r="Y103" s="642" t="e">
        <f>INDEX('Barge Gauging Data'!$B$26:$V$56,MATCH($C103,'Barge Gauging Data'!$B$26:$B$56,0),$Y$18)</f>
        <v>#N/A</v>
      </c>
      <c r="Z103" s="642" t="e">
        <f>INDEX('Barge Gauging Data'!$B$26:$V$56,MATCH($C103,'Barge Gauging Data'!$B$26:$B$56,0),$Z$18)</f>
        <v>#N/A</v>
      </c>
      <c r="AB103" s="642" t="e">
        <f>INDEX(API1DENST_2,MATCH($C103,'Barge Gauging Data'!$B$27:$B$56,0),1)</f>
        <v>#N/A</v>
      </c>
      <c r="AC103" s="642" t="e">
        <f t="shared" si="84"/>
        <v>#N/A</v>
      </c>
      <c r="AE103" s="661" t="e">
        <f t="shared" si="85"/>
        <v>#VALUE!</v>
      </c>
      <c r="AF103" s="661" t="e">
        <f t="shared" si="86"/>
        <v>#VALUE!</v>
      </c>
      <c r="AH103" s="662" t="str">
        <f t="shared" si="82"/>
        <v/>
      </c>
      <c r="AI103" s="662" t="str">
        <f t="shared" si="83"/>
        <v/>
      </c>
      <c r="AJ103" s="663">
        <f t="shared" si="87"/>
        <v>192.4571</v>
      </c>
      <c r="AK103" s="660">
        <f t="shared" si="88"/>
        <v>0.24379999999999999</v>
      </c>
      <c r="AL103" s="660" t="e">
        <f t="shared" si="89"/>
        <v>#VALUE!</v>
      </c>
      <c r="AM103" s="664" t="e">
        <f t="shared" si="90"/>
        <v>#VALUE!</v>
      </c>
      <c r="AN103" s="664" t="e">
        <f t="shared" si="91"/>
        <v>#VALUE!</v>
      </c>
      <c r="AO103" s="665" t="e">
        <f t="shared" si="92"/>
        <v>#VALUE!</v>
      </c>
      <c r="AP103" s="666" t="e">
        <f t="shared" si="93"/>
        <v>#VALUE!</v>
      </c>
      <c r="AQ103" s="660" t="e">
        <f t="shared" si="94"/>
        <v>#VALUE!</v>
      </c>
      <c r="AR103" s="667" t="e">
        <f t="shared" si="95"/>
        <v>#VALUE!</v>
      </c>
      <c r="AS103" s="667" t="e">
        <f t="shared" si="96"/>
        <v>#VALUE!</v>
      </c>
      <c r="AT103" s="668" t="e">
        <f t="shared" si="97"/>
        <v>#VALUE!</v>
      </c>
      <c r="AU103" s="667" t="e">
        <f t="shared" si="98"/>
        <v>#VALUE!</v>
      </c>
      <c r="AV103" s="669" t="e">
        <f t="shared" si="99"/>
        <v>#VALUE!</v>
      </c>
      <c r="AW103" s="667" t="e">
        <f t="shared" si="100"/>
        <v>#VALUE!</v>
      </c>
      <c r="AX103" s="667" t="e">
        <f t="shared" si="101"/>
        <v>#VALUE!</v>
      </c>
      <c r="AY103" s="660" t="e">
        <f t="shared" si="102"/>
        <v>#VALUE!</v>
      </c>
      <c r="AZ103" s="670" t="e">
        <f t="shared" si="103"/>
        <v>#VALUE!</v>
      </c>
      <c r="BB103" s="662" t="e">
        <f>INDEX('Barge Gauging Data'!$B$26:$V$56,MATCH($C103,'Barge Gauging Data'!$B$26:$B$56,0),$BB$18)</f>
        <v>#N/A</v>
      </c>
      <c r="BC103" s="662" t="e">
        <f>INDEX('Barge Gauging Data'!$B$26:$V$56,MATCH($C103,'Barge Gauging Data'!$B$26:$B$56,0),$BC$18)</f>
        <v>#N/A</v>
      </c>
      <c r="BD103" s="662" t="e">
        <f>INDEX('Barge Gauging Data'!$B$26:$V$56,MATCH($C103,'Barge Gauging Data'!$B$26:$B$56,0),$BD$18)</f>
        <v>#N/A</v>
      </c>
      <c r="BE103" s="662" t="e">
        <f>INDEX('Barge Gauging Data'!$B$26:$V$56,MATCH($C103,'Barge Gauging Data'!$B$26:$B$56,0),$BE$18)</f>
        <v>#N/A</v>
      </c>
    </row>
    <row r="104" spans="1:57" hidden="1">
      <c r="A104" s="641" t="str">
        <f t="shared" si="67"/>
        <v>N</v>
      </c>
      <c r="C104" s="235" t="str">
        <f t="array" ref="C104">IF(OR($E$90="",SUMPRODUCT(('Barge Gauging Data'!$C$27:$C$56=$E$90)*('Barge Gauging Data'!$D$27:$D$56=NOMY))&lt;ROWS($C$91:$C104)),"",INDEX('Barge Gauging Data'!$B$27:$B$56,SMALL(IF(('Barge Gauging Data'!$C$27:$C$56=$E$90)+('Barge Gauging Data'!$D$27:$D$56=NOMY)=2,ROW('Barge Gauging Data'!$B$27:$B$56)-ROW('Barge Gauging Data'!$C$26)),ROW()-ROW(C$90))))</f>
        <v/>
      </c>
      <c r="D104" s="211" t="str">
        <f>IF(OR($C104="",$C104=0),"",INDEX('Barge Gauging Data'!$B$26:$V$56,MATCH($C104,'Barge Gauging Data'!$B$27:$B$56,0)+1,2))</f>
        <v/>
      </c>
      <c r="E104" s="1016" t="str">
        <f t="shared" si="68"/>
        <v/>
      </c>
      <c r="F104" s="1016" t="str">
        <f t="shared" si="69"/>
        <v/>
      </c>
      <c r="G104" s="1016" t="str">
        <f t="shared" si="70"/>
        <v/>
      </c>
      <c r="H104" s="1016" t="str">
        <f t="shared" si="70"/>
        <v/>
      </c>
      <c r="I104" s="211" t="str">
        <f t="shared" si="71"/>
        <v/>
      </c>
      <c r="J104" s="1016" t="str">
        <f t="shared" si="72"/>
        <v/>
      </c>
      <c r="K104" s="213" t="str">
        <f t="shared" si="73"/>
        <v/>
      </c>
      <c r="L104" s="212" t="str">
        <f t="shared" si="74"/>
        <v/>
      </c>
      <c r="M104" s="1125" t="str">
        <f>IF(OR($C104="",$C104=0),"",INDEX(API1DENST_2,MATCH($C104,'Barge Gauging Data'!$B$27:$B$56,0),$AA$1))</f>
        <v/>
      </c>
      <c r="N104" s="212" t="str">
        <f t="shared" si="75"/>
        <v/>
      </c>
      <c r="O104" s="1016" t="str">
        <f t="shared" si="76"/>
        <v/>
      </c>
      <c r="P104" s="1125" t="str">
        <f t="shared" si="77"/>
        <v/>
      </c>
      <c r="Q104" s="1016" t="str">
        <f t="shared" si="78"/>
        <v/>
      </c>
      <c r="R104" s="214" t="str">
        <f t="shared" si="79"/>
        <v/>
      </c>
      <c r="S104" s="1125" t="str">
        <f t="shared" si="80"/>
        <v/>
      </c>
      <c r="T104" s="236" t="str">
        <f t="shared" si="81"/>
        <v/>
      </c>
      <c r="V104" s="642" t="e">
        <f>INDEX('Barge Gauging Data'!$B$26:$V$56,MATCH($C104,'Barge Gauging Data'!$B$26:$B$56,0),$V$18)</f>
        <v>#N/A</v>
      </c>
      <c r="W104" s="642" t="e">
        <f>INDEX('Barge Gauging Data'!$B$26:$V$56,MATCH($C104,'Barge Gauging Data'!$B$26:$B$56,0),$W$18)</f>
        <v>#N/A</v>
      </c>
      <c r="X104" s="642" t="e">
        <f>INDEX('Barge Gauging Data'!$B$26:$V$56,MATCH($C104,'Barge Gauging Data'!$B$26:$B$56,0),$X$18)</f>
        <v>#N/A</v>
      </c>
      <c r="Y104" s="642" t="e">
        <f>INDEX('Barge Gauging Data'!$B$26:$V$56,MATCH($C104,'Barge Gauging Data'!$B$26:$B$56,0),$Y$18)</f>
        <v>#N/A</v>
      </c>
      <c r="Z104" s="642" t="e">
        <f>INDEX('Barge Gauging Data'!$B$26:$V$56,MATCH($C104,'Barge Gauging Data'!$B$26:$B$56,0),$Z$18)</f>
        <v>#N/A</v>
      </c>
      <c r="AB104" s="642" t="e">
        <f>INDEX(API1DENST_2,MATCH($C104,'Barge Gauging Data'!$B$27:$B$56,0),1)</f>
        <v>#N/A</v>
      </c>
      <c r="AC104" s="642" t="e">
        <f t="shared" si="84"/>
        <v>#N/A</v>
      </c>
      <c r="AE104" s="661" t="e">
        <f t="shared" si="85"/>
        <v>#VALUE!</v>
      </c>
      <c r="AF104" s="661" t="e">
        <f t="shared" si="86"/>
        <v>#VALUE!</v>
      </c>
      <c r="AH104" s="662" t="str">
        <f t="shared" si="82"/>
        <v/>
      </c>
      <c r="AI104" s="662" t="str">
        <f t="shared" si="83"/>
        <v/>
      </c>
      <c r="AJ104" s="663">
        <f t="shared" si="87"/>
        <v>192.4571</v>
      </c>
      <c r="AK104" s="660">
        <f t="shared" si="88"/>
        <v>0.24379999999999999</v>
      </c>
      <c r="AL104" s="660" t="e">
        <f t="shared" si="89"/>
        <v>#VALUE!</v>
      </c>
      <c r="AM104" s="664" t="e">
        <f t="shared" si="90"/>
        <v>#VALUE!</v>
      </c>
      <c r="AN104" s="664" t="e">
        <f t="shared" si="91"/>
        <v>#VALUE!</v>
      </c>
      <c r="AO104" s="665" t="e">
        <f t="shared" si="92"/>
        <v>#VALUE!</v>
      </c>
      <c r="AP104" s="666" t="e">
        <f t="shared" si="93"/>
        <v>#VALUE!</v>
      </c>
      <c r="AQ104" s="660" t="e">
        <f t="shared" si="94"/>
        <v>#VALUE!</v>
      </c>
      <c r="AR104" s="667" t="e">
        <f t="shared" si="95"/>
        <v>#VALUE!</v>
      </c>
      <c r="AS104" s="667" t="e">
        <f t="shared" si="96"/>
        <v>#VALUE!</v>
      </c>
      <c r="AT104" s="668" t="e">
        <f t="shared" si="97"/>
        <v>#VALUE!</v>
      </c>
      <c r="AU104" s="667" t="e">
        <f t="shared" si="98"/>
        <v>#VALUE!</v>
      </c>
      <c r="AV104" s="669" t="e">
        <f t="shared" si="99"/>
        <v>#VALUE!</v>
      </c>
      <c r="AW104" s="667" t="e">
        <f t="shared" si="100"/>
        <v>#VALUE!</v>
      </c>
      <c r="AX104" s="667" t="e">
        <f t="shared" si="101"/>
        <v>#VALUE!</v>
      </c>
      <c r="AY104" s="660" t="e">
        <f t="shared" si="102"/>
        <v>#VALUE!</v>
      </c>
      <c r="AZ104" s="670" t="e">
        <f t="shared" si="103"/>
        <v>#VALUE!</v>
      </c>
      <c r="BB104" s="662" t="e">
        <f>INDEX('Barge Gauging Data'!$B$26:$V$56,MATCH($C104,'Barge Gauging Data'!$B$26:$B$56,0),$BB$18)</f>
        <v>#N/A</v>
      </c>
      <c r="BC104" s="662" t="e">
        <f>INDEX('Barge Gauging Data'!$B$26:$V$56,MATCH($C104,'Barge Gauging Data'!$B$26:$B$56,0),$BC$18)</f>
        <v>#N/A</v>
      </c>
      <c r="BD104" s="662" t="e">
        <f>INDEX('Barge Gauging Data'!$B$26:$V$56,MATCH($C104,'Barge Gauging Data'!$B$26:$B$56,0),$BD$18)</f>
        <v>#N/A</v>
      </c>
      <c r="BE104" s="662" t="e">
        <f>INDEX('Barge Gauging Data'!$B$26:$V$56,MATCH($C104,'Barge Gauging Data'!$B$26:$B$56,0),$BE$18)</f>
        <v>#N/A</v>
      </c>
    </row>
    <row r="105" spans="1:57" hidden="1">
      <c r="A105" s="641" t="str">
        <f t="shared" si="67"/>
        <v>N</v>
      </c>
      <c r="C105" s="235" t="str">
        <f t="array" ref="C105">IF(OR($E$90="",SUMPRODUCT(('Barge Gauging Data'!$C$27:$C$56=$E$90)*('Barge Gauging Data'!$D$27:$D$56=NOMY))&lt;ROWS($C$91:$C105)),"",INDEX('Barge Gauging Data'!$B$27:$B$56,SMALL(IF(('Barge Gauging Data'!$C$27:$C$56=$E$90)+('Barge Gauging Data'!$D$27:$D$56=NOMY)=2,ROW('Barge Gauging Data'!$B$27:$B$56)-ROW('Barge Gauging Data'!$C$26)),ROW()-ROW(C$90))))</f>
        <v/>
      </c>
      <c r="D105" s="211" t="str">
        <f>IF(OR($C105="",$C105=0),"",INDEX('Barge Gauging Data'!$B$26:$V$56,MATCH($C105,'Barge Gauging Data'!$B$27:$B$56,0)+1,2))</f>
        <v/>
      </c>
      <c r="E105" s="1016" t="str">
        <f t="shared" si="68"/>
        <v/>
      </c>
      <c r="F105" s="1016" t="str">
        <f t="shared" si="69"/>
        <v/>
      </c>
      <c r="G105" s="1016" t="str">
        <f t="shared" si="70"/>
        <v/>
      </c>
      <c r="H105" s="1016" t="str">
        <f t="shared" si="70"/>
        <v/>
      </c>
      <c r="I105" s="211" t="str">
        <f t="shared" si="71"/>
        <v/>
      </c>
      <c r="J105" s="1016" t="str">
        <f t="shared" si="72"/>
        <v/>
      </c>
      <c r="K105" s="213" t="str">
        <f t="shared" si="73"/>
        <v/>
      </c>
      <c r="L105" s="212" t="str">
        <f t="shared" si="74"/>
        <v/>
      </c>
      <c r="M105" s="1125" t="str">
        <f>IF(OR($C105="",$C105=0),"",INDEX(API1DENST_2,MATCH($C105,'Barge Gauging Data'!$B$27:$B$56,0),$AA$1))</f>
        <v/>
      </c>
      <c r="N105" s="212" t="str">
        <f t="shared" si="75"/>
        <v/>
      </c>
      <c r="O105" s="1016" t="str">
        <f t="shared" si="76"/>
        <v/>
      </c>
      <c r="P105" s="1125" t="str">
        <f t="shared" si="77"/>
        <v/>
      </c>
      <c r="Q105" s="1016" t="str">
        <f t="shared" si="78"/>
        <v/>
      </c>
      <c r="R105" s="214" t="str">
        <f t="shared" si="79"/>
        <v/>
      </c>
      <c r="S105" s="1125" t="str">
        <f t="shared" si="80"/>
        <v/>
      </c>
      <c r="T105" s="236" t="str">
        <f t="shared" si="81"/>
        <v/>
      </c>
      <c r="V105" s="642" t="e">
        <f>INDEX('Barge Gauging Data'!$B$26:$V$56,MATCH($C105,'Barge Gauging Data'!$B$26:$B$56,0),$V$18)</f>
        <v>#N/A</v>
      </c>
      <c r="W105" s="642" t="e">
        <f>INDEX('Barge Gauging Data'!$B$26:$V$56,MATCH($C105,'Barge Gauging Data'!$B$26:$B$56,0),$W$18)</f>
        <v>#N/A</v>
      </c>
      <c r="X105" s="642" t="e">
        <f>INDEX('Barge Gauging Data'!$B$26:$V$56,MATCH($C105,'Barge Gauging Data'!$B$26:$B$56,0),$X$18)</f>
        <v>#N/A</v>
      </c>
      <c r="Y105" s="642" t="e">
        <f>INDEX('Barge Gauging Data'!$B$26:$V$56,MATCH($C105,'Barge Gauging Data'!$B$26:$B$56,0),$Y$18)</f>
        <v>#N/A</v>
      </c>
      <c r="Z105" s="642" t="e">
        <f>INDEX('Barge Gauging Data'!$B$26:$V$56,MATCH($C105,'Barge Gauging Data'!$B$26:$B$56,0),$Z$18)</f>
        <v>#N/A</v>
      </c>
      <c r="AB105" s="642" t="e">
        <f>INDEX(API1DENST_2,MATCH($C105,'Barge Gauging Data'!$B$27:$B$56,0),1)</f>
        <v>#N/A</v>
      </c>
      <c r="AC105" s="642" t="e">
        <f t="shared" si="84"/>
        <v>#N/A</v>
      </c>
      <c r="AE105" s="661" t="e">
        <f t="shared" si="85"/>
        <v>#VALUE!</v>
      </c>
      <c r="AF105" s="661" t="e">
        <f t="shared" si="86"/>
        <v>#VALUE!</v>
      </c>
      <c r="AH105" s="662" t="str">
        <f t="shared" si="82"/>
        <v/>
      </c>
      <c r="AI105" s="662" t="str">
        <f t="shared" si="83"/>
        <v/>
      </c>
      <c r="AJ105" s="663">
        <f t="shared" si="87"/>
        <v>192.4571</v>
      </c>
      <c r="AK105" s="660">
        <f t="shared" si="88"/>
        <v>0.24379999999999999</v>
      </c>
      <c r="AL105" s="660" t="e">
        <f t="shared" si="89"/>
        <v>#VALUE!</v>
      </c>
      <c r="AM105" s="664" t="e">
        <f t="shared" si="90"/>
        <v>#VALUE!</v>
      </c>
      <c r="AN105" s="664" t="e">
        <f t="shared" si="91"/>
        <v>#VALUE!</v>
      </c>
      <c r="AO105" s="665" t="e">
        <f t="shared" si="92"/>
        <v>#VALUE!</v>
      </c>
      <c r="AP105" s="666" t="e">
        <f t="shared" si="93"/>
        <v>#VALUE!</v>
      </c>
      <c r="AQ105" s="660" t="e">
        <f t="shared" si="94"/>
        <v>#VALUE!</v>
      </c>
      <c r="AR105" s="667" t="e">
        <f t="shared" si="95"/>
        <v>#VALUE!</v>
      </c>
      <c r="AS105" s="667" t="e">
        <f t="shared" si="96"/>
        <v>#VALUE!</v>
      </c>
      <c r="AT105" s="668" t="e">
        <f t="shared" si="97"/>
        <v>#VALUE!</v>
      </c>
      <c r="AU105" s="667" t="e">
        <f t="shared" si="98"/>
        <v>#VALUE!</v>
      </c>
      <c r="AV105" s="669" t="e">
        <f t="shared" si="99"/>
        <v>#VALUE!</v>
      </c>
      <c r="AW105" s="667" t="e">
        <f t="shared" si="100"/>
        <v>#VALUE!</v>
      </c>
      <c r="AX105" s="667" t="e">
        <f t="shared" si="101"/>
        <v>#VALUE!</v>
      </c>
      <c r="AY105" s="660" t="e">
        <f t="shared" si="102"/>
        <v>#VALUE!</v>
      </c>
      <c r="AZ105" s="670" t="e">
        <f t="shared" si="103"/>
        <v>#VALUE!</v>
      </c>
      <c r="BB105" s="662" t="e">
        <f>INDEX('Barge Gauging Data'!$B$26:$V$56,MATCH($C105,'Barge Gauging Data'!$B$26:$B$56,0),$BB$18)</f>
        <v>#N/A</v>
      </c>
      <c r="BC105" s="662" t="e">
        <f>INDEX('Barge Gauging Data'!$B$26:$V$56,MATCH($C105,'Barge Gauging Data'!$B$26:$B$56,0),$BC$18)</f>
        <v>#N/A</v>
      </c>
      <c r="BD105" s="662" t="e">
        <f>INDEX('Barge Gauging Data'!$B$26:$V$56,MATCH($C105,'Barge Gauging Data'!$B$26:$B$56,0),$BD$18)</f>
        <v>#N/A</v>
      </c>
      <c r="BE105" s="662" t="e">
        <f>INDEX('Barge Gauging Data'!$B$26:$V$56,MATCH($C105,'Barge Gauging Data'!$B$26:$B$56,0),$BE$18)</f>
        <v>#N/A</v>
      </c>
    </row>
    <row r="106" spans="1:57" hidden="1">
      <c r="A106" s="641" t="str">
        <f t="shared" si="67"/>
        <v>N</v>
      </c>
      <c r="C106" s="235" t="str">
        <f t="array" ref="C106">IF(OR($E$90="",SUMPRODUCT(('Barge Gauging Data'!$C$27:$C$56=$E$90)*('Barge Gauging Data'!$D$27:$D$56=NOMY))&lt;ROWS($C$91:$C106)),"",INDEX('Barge Gauging Data'!$B$27:$B$56,SMALL(IF(('Barge Gauging Data'!$C$27:$C$56=$E$90)+('Barge Gauging Data'!$D$27:$D$56=NOMY)=2,ROW('Barge Gauging Data'!$B$27:$B$56)-ROW('Barge Gauging Data'!$C$26)),ROW()-ROW(C$90))))</f>
        <v/>
      </c>
      <c r="D106" s="211" t="str">
        <f>IF(OR($C106="",$C106=0),"",INDEX('Barge Gauging Data'!$B$26:$V$56,MATCH($C106,'Barge Gauging Data'!$B$27:$B$56,0)+1,2))</f>
        <v/>
      </c>
      <c r="E106" s="1016" t="str">
        <f t="shared" si="68"/>
        <v/>
      </c>
      <c r="F106" s="1016" t="str">
        <f t="shared" si="69"/>
        <v/>
      </c>
      <c r="G106" s="1016" t="str">
        <f t="shared" si="70"/>
        <v/>
      </c>
      <c r="H106" s="1016" t="str">
        <f t="shared" si="70"/>
        <v/>
      </c>
      <c r="I106" s="211" t="str">
        <f t="shared" si="71"/>
        <v/>
      </c>
      <c r="J106" s="1016" t="str">
        <f t="shared" si="72"/>
        <v/>
      </c>
      <c r="K106" s="213" t="str">
        <f t="shared" si="73"/>
        <v/>
      </c>
      <c r="L106" s="212" t="str">
        <f t="shared" si="74"/>
        <v/>
      </c>
      <c r="M106" s="1125" t="str">
        <f>IF(OR($C106="",$C106=0),"",INDEX(API1DENST_2,MATCH($C106,'Barge Gauging Data'!$B$27:$B$56,0),$AA$1))</f>
        <v/>
      </c>
      <c r="N106" s="212" t="str">
        <f t="shared" si="75"/>
        <v/>
      </c>
      <c r="O106" s="1016" t="str">
        <f t="shared" si="76"/>
        <v/>
      </c>
      <c r="P106" s="1125" t="str">
        <f t="shared" si="77"/>
        <v/>
      </c>
      <c r="Q106" s="1016" t="str">
        <f t="shared" si="78"/>
        <v/>
      </c>
      <c r="R106" s="214" t="str">
        <f t="shared" si="79"/>
        <v/>
      </c>
      <c r="S106" s="1125" t="str">
        <f t="shared" si="80"/>
        <v/>
      </c>
      <c r="T106" s="236" t="str">
        <f t="shared" si="81"/>
        <v/>
      </c>
      <c r="V106" s="642" t="e">
        <f>INDEX('Barge Gauging Data'!$B$26:$V$56,MATCH($C106,'Barge Gauging Data'!$B$26:$B$56,0),$V$18)</f>
        <v>#N/A</v>
      </c>
      <c r="W106" s="642" t="e">
        <f>INDEX('Barge Gauging Data'!$B$26:$V$56,MATCH($C106,'Barge Gauging Data'!$B$26:$B$56,0),$W$18)</f>
        <v>#N/A</v>
      </c>
      <c r="X106" s="642" t="e">
        <f>INDEX('Barge Gauging Data'!$B$26:$V$56,MATCH($C106,'Barge Gauging Data'!$B$26:$B$56,0),$X$18)</f>
        <v>#N/A</v>
      </c>
      <c r="Y106" s="642" t="e">
        <f>INDEX('Barge Gauging Data'!$B$26:$V$56,MATCH($C106,'Barge Gauging Data'!$B$26:$B$56,0),$Y$18)</f>
        <v>#N/A</v>
      </c>
      <c r="Z106" s="642" t="e">
        <f>INDEX('Barge Gauging Data'!$B$26:$V$56,MATCH($C106,'Barge Gauging Data'!$B$26:$B$56,0),$Z$18)</f>
        <v>#N/A</v>
      </c>
      <c r="AB106" s="642" t="e">
        <f>INDEX(API1DENST_2,MATCH($C106,'Barge Gauging Data'!$B$27:$B$56,0),1)</f>
        <v>#N/A</v>
      </c>
      <c r="AC106" s="642" t="e">
        <f t="shared" si="84"/>
        <v>#N/A</v>
      </c>
      <c r="AE106" s="661" t="e">
        <f t="shared" si="85"/>
        <v>#VALUE!</v>
      </c>
      <c r="AF106" s="661" t="e">
        <f t="shared" si="86"/>
        <v>#VALUE!</v>
      </c>
      <c r="AH106" s="662" t="str">
        <f t="shared" si="82"/>
        <v/>
      </c>
      <c r="AI106" s="662" t="str">
        <f t="shared" si="83"/>
        <v/>
      </c>
      <c r="AJ106" s="663">
        <f t="shared" si="87"/>
        <v>192.4571</v>
      </c>
      <c r="AK106" s="660">
        <f t="shared" si="88"/>
        <v>0.24379999999999999</v>
      </c>
      <c r="AL106" s="660" t="e">
        <f t="shared" si="89"/>
        <v>#VALUE!</v>
      </c>
      <c r="AM106" s="664" t="e">
        <f t="shared" si="90"/>
        <v>#VALUE!</v>
      </c>
      <c r="AN106" s="664" t="e">
        <f t="shared" si="91"/>
        <v>#VALUE!</v>
      </c>
      <c r="AO106" s="665" t="e">
        <f t="shared" si="92"/>
        <v>#VALUE!</v>
      </c>
      <c r="AP106" s="666" t="e">
        <f t="shared" si="93"/>
        <v>#VALUE!</v>
      </c>
      <c r="AQ106" s="660" t="e">
        <f t="shared" si="94"/>
        <v>#VALUE!</v>
      </c>
      <c r="AR106" s="667" t="e">
        <f t="shared" si="95"/>
        <v>#VALUE!</v>
      </c>
      <c r="AS106" s="667" t="e">
        <f t="shared" si="96"/>
        <v>#VALUE!</v>
      </c>
      <c r="AT106" s="668" t="e">
        <f t="shared" si="97"/>
        <v>#VALUE!</v>
      </c>
      <c r="AU106" s="667" t="e">
        <f t="shared" si="98"/>
        <v>#VALUE!</v>
      </c>
      <c r="AV106" s="669" t="e">
        <f t="shared" si="99"/>
        <v>#VALUE!</v>
      </c>
      <c r="AW106" s="667" t="e">
        <f t="shared" si="100"/>
        <v>#VALUE!</v>
      </c>
      <c r="AX106" s="667" t="e">
        <f t="shared" si="101"/>
        <v>#VALUE!</v>
      </c>
      <c r="AY106" s="660" t="e">
        <f t="shared" si="102"/>
        <v>#VALUE!</v>
      </c>
      <c r="AZ106" s="670" t="e">
        <f t="shared" si="103"/>
        <v>#VALUE!</v>
      </c>
      <c r="BB106" s="662" t="e">
        <f>INDEX('Barge Gauging Data'!$B$26:$V$56,MATCH($C106,'Barge Gauging Data'!$B$26:$B$56,0),$BB$18)</f>
        <v>#N/A</v>
      </c>
      <c r="BC106" s="662" t="e">
        <f>INDEX('Barge Gauging Data'!$B$26:$V$56,MATCH($C106,'Barge Gauging Data'!$B$26:$B$56,0),$BC$18)</f>
        <v>#N/A</v>
      </c>
      <c r="BD106" s="662" t="e">
        <f>INDEX('Barge Gauging Data'!$B$26:$V$56,MATCH($C106,'Barge Gauging Data'!$B$26:$B$56,0),$BD$18)</f>
        <v>#N/A</v>
      </c>
      <c r="BE106" s="662" t="e">
        <f>INDEX('Barge Gauging Data'!$B$26:$V$56,MATCH($C106,'Barge Gauging Data'!$B$26:$B$56,0),$BE$18)</f>
        <v>#N/A</v>
      </c>
    </row>
    <row r="107" spans="1:57" hidden="1">
      <c r="A107" s="641" t="str">
        <f t="shared" si="67"/>
        <v>N</v>
      </c>
      <c r="C107" s="235" t="str">
        <f t="array" ref="C107">IF(OR($E$90="",SUMPRODUCT(('Barge Gauging Data'!$C$27:$C$56=$E$90)*('Barge Gauging Data'!$D$27:$D$56=NOMY))&lt;ROWS($C$91:$C107)),"",INDEX('Barge Gauging Data'!$B$27:$B$56,SMALL(IF(('Barge Gauging Data'!$C$27:$C$56=$E$90)+('Barge Gauging Data'!$D$27:$D$56=NOMY)=2,ROW('Barge Gauging Data'!$B$27:$B$56)-ROW('Barge Gauging Data'!$C$26)),ROW()-ROW(C$90))))</f>
        <v/>
      </c>
      <c r="D107" s="211" t="str">
        <f>IF(OR($C107="",$C107=0),"",INDEX('Barge Gauging Data'!$B$26:$V$56,MATCH($C107,'Barge Gauging Data'!$B$27:$B$56,0)+1,2))</f>
        <v/>
      </c>
      <c r="E107" s="1016" t="str">
        <f t="shared" si="68"/>
        <v/>
      </c>
      <c r="F107" s="1016" t="str">
        <f t="shared" si="69"/>
        <v/>
      </c>
      <c r="G107" s="1016" t="str">
        <f t="shared" si="70"/>
        <v/>
      </c>
      <c r="H107" s="1016" t="str">
        <f t="shared" si="70"/>
        <v/>
      </c>
      <c r="I107" s="211" t="str">
        <f t="shared" si="71"/>
        <v/>
      </c>
      <c r="J107" s="1016" t="str">
        <f t="shared" si="72"/>
        <v/>
      </c>
      <c r="K107" s="213" t="str">
        <f t="shared" si="73"/>
        <v/>
      </c>
      <c r="L107" s="212" t="str">
        <f t="shared" si="74"/>
        <v/>
      </c>
      <c r="M107" s="1125" t="str">
        <f>IF(OR($C107="",$C107=0),"",INDEX(API1DENST_2,MATCH($C107,'Barge Gauging Data'!$B$27:$B$56,0),$AA$1))</f>
        <v/>
      </c>
      <c r="N107" s="212" t="str">
        <f t="shared" si="75"/>
        <v/>
      </c>
      <c r="O107" s="1016" t="str">
        <f t="shared" si="76"/>
        <v/>
      </c>
      <c r="P107" s="1125" t="str">
        <f t="shared" si="77"/>
        <v/>
      </c>
      <c r="Q107" s="1016" t="str">
        <f t="shared" si="78"/>
        <v/>
      </c>
      <c r="R107" s="214" t="str">
        <f t="shared" si="79"/>
        <v/>
      </c>
      <c r="S107" s="1125" t="str">
        <f t="shared" si="80"/>
        <v/>
      </c>
      <c r="T107" s="236" t="str">
        <f t="shared" si="81"/>
        <v/>
      </c>
      <c r="V107" s="642" t="e">
        <f>INDEX('Barge Gauging Data'!$B$26:$V$56,MATCH($C107,'Barge Gauging Data'!$B$26:$B$56,0),$V$18)</f>
        <v>#N/A</v>
      </c>
      <c r="W107" s="642" t="e">
        <f>INDEX('Barge Gauging Data'!$B$26:$V$56,MATCH($C107,'Barge Gauging Data'!$B$26:$B$56,0),$W$18)</f>
        <v>#N/A</v>
      </c>
      <c r="X107" s="642" t="e">
        <f>INDEX('Barge Gauging Data'!$B$26:$V$56,MATCH($C107,'Barge Gauging Data'!$B$26:$B$56,0),$X$18)</f>
        <v>#N/A</v>
      </c>
      <c r="Y107" s="642" t="e">
        <f>INDEX('Barge Gauging Data'!$B$26:$V$56,MATCH($C107,'Barge Gauging Data'!$B$26:$B$56,0),$Y$18)</f>
        <v>#N/A</v>
      </c>
      <c r="Z107" s="642" t="e">
        <f>INDEX('Barge Gauging Data'!$B$26:$V$56,MATCH($C107,'Barge Gauging Data'!$B$26:$B$56,0),$Z$18)</f>
        <v>#N/A</v>
      </c>
      <c r="AB107" s="642" t="e">
        <f>INDEX(API1DENST_2,MATCH($C107,'Barge Gauging Data'!$B$27:$B$56,0),1)</f>
        <v>#N/A</v>
      </c>
      <c r="AC107" s="642" t="e">
        <f t="shared" si="84"/>
        <v>#N/A</v>
      </c>
      <c r="AE107" s="661" t="e">
        <f t="shared" si="85"/>
        <v>#VALUE!</v>
      </c>
      <c r="AF107" s="661" t="e">
        <f t="shared" si="86"/>
        <v>#VALUE!</v>
      </c>
      <c r="AH107" s="662" t="str">
        <f t="shared" si="82"/>
        <v/>
      </c>
      <c r="AI107" s="662" t="str">
        <f t="shared" si="83"/>
        <v/>
      </c>
      <c r="AJ107" s="663">
        <f t="shared" si="87"/>
        <v>192.4571</v>
      </c>
      <c r="AK107" s="660">
        <f t="shared" si="88"/>
        <v>0.24379999999999999</v>
      </c>
      <c r="AL107" s="660" t="e">
        <f t="shared" si="89"/>
        <v>#VALUE!</v>
      </c>
      <c r="AM107" s="664" t="e">
        <f t="shared" si="90"/>
        <v>#VALUE!</v>
      </c>
      <c r="AN107" s="664" t="e">
        <f t="shared" si="91"/>
        <v>#VALUE!</v>
      </c>
      <c r="AO107" s="665" t="e">
        <f t="shared" si="92"/>
        <v>#VALUE!</v>
      </c>
      <c r="AP107" s="666" t="e">
        <f t="shared" si="93"/>
        <v>#VALUE!</v>
      </c>
      <c r="AQ107" s="660" t="e">
        <f t="shared" si="94"/>
        <v>#VALUE!</v>
      </c>
      <c r="AR107" s="667" t="e">
        <f t="shared" si="95"/>
        <v>#VALUE!</v>
      </c>
      <c r="AS107" s="667" t="e">
        <f t="shared" si="96"/>
        <v>#VALUE!</v>
      </c>
      <c r="AT107" s="668" t="e">
        <f t="shared" si="97"/>
        <v>#VALUE!</v>
      </c>
      <c r="AU107" s="667" t="e">
        <f t="shared" si="98"/>
        <v>#VALUE!</v>
      </c>
      <c r="AV107" s="669" t="e">
        <f t="shared" si="99"/>
        <v>#VALUE!</v>
      </c>
      <c r="AW107" s="667" t="e">
        <f t="shared" si="100"/>
        <v>#VALUE!</v>
      </c>
      <c r="AX107" s="667" t="e">
        <f t="shared" si="101"/>
        <v>#VALUE!</v>
      </c>
      <c r="AY107" s="660" t="e">
        <f t="shared" si="102"/>
        <v>#VALUE!</v>
      </c>
      <c r="AZ107" s="670" t="e">
        <f t="shared" si="103"/>
        <v>#VALUE!</v>
      </c>
      <c r="BB107" s="662" t="e">
        <f>INDEX('Barge Gauging Data'!$B$26:$V$56,MATCH($C107,'Barge Gauging Data'!$B$26:$B$56,0),$BB$18)</f>
        <v>#N/A</v>
      </c>
      <c r="BC107" s="662" t="e">
        <f>INDEX('Barge Gauging Data'!$B$26:$V$56,MATCH($C107,'Barge Gauging Data'!$B$26:$B$56,0),$BC$18)</f>
        <v>#N/A</v>
      </c>
      <c r="BD107" s="662" t="e">
        <f>INDEX('Barge Gauging Data'!$B$26:$V$56,MATCH($C107,'Barge Gauging Data'!$B$26:$B$56,0),$BD$18)</f>
        <v>#N/A</v>
      </c>
      <c r="BE107" s="662" t="e">
        <f>INDEX('Barge Gauging Data'!$B$26:$V$56,MATCH($C107,'Barge Gauging Data'!$B$26:$B$56,0),$BE$18)</f>
        <v>#N/A</v>
      </c>
    </row>
    <row r="108" spans="1:57" hidden="1">
      <c r="A108" s="641" t="str">
        <f t="shared" si="67"/>
        <v>N</v>
      </c>
      <c r="C108" s="235" t="str">
        <f t="array" ref="C108">IF(OR($E$90="",SUMPRODUCT(('Barge Gauging Data'!$C$27:$C$56=$E$90)*('Barge Gauging Data'!$D$27:$D$56=NOMY))&lt;ROWS($C$91:$C108)),"",INDEX('Barge Gauging Data'!$B$27:$B$56,SMALL(IF(('Barge Gauging Data'!$C$27:$C$56=$E$90)+('Barge Gauging Data'!$D$27:$D$56=NOMY)=2,ROW('Barge Gauging Data'!$B$27:$B$56)-ROW('Barge Gauging Data'!$C$26)),ROW()-ROW(C$90))))</f>
        <v/>
      </c>
      <c r="D108" s="211" t="str">
        <f>IF(OR($C108="",$C108=0),"",INDEX('Barge Gauging Data'!$B$26:$V$56,MATCH($C108,'Barge Gauging Data'!$B$27:$B$56,0)+1,2))</f>
        <v/>
      </c>
      <c r="E108" s="1016" t="str">
        <f t="shared" si="68"/>
        <v/>
      </c>
      <c r="F108" s="1016" t="str">
        <f t="shared" si="69"/>
        <v/>
      </c>
      <c r="G108" s="1016" t="str">
        <f t="shared" si="70"/>
        <v/>
      </c>
      <c r="H108" s="1016" t="str">
        <f t="shared" si="70"/>
        <v/>
      </c>
      <c r="I108" s="211" t="str">
        <f t="shared" si="71"/>
        <v/>
      </c>
      <c r="J108" s="1016" t="str">
        <f t="shared" si="72"/>
        <v/>
      </c>
      <c r="K108" s="213" t="str">
        <f t="shared" si="73"/>
        <v/>
      </c>
      <c r="L108" s="212" t="str">
        <f t="shared" si="74"/>
        <v/>
      </c>
      <c r="M108" s="1125" t="str">
        <f>IF(OR($C108="",$C108=0),"",INDEX(API1DENST_2,MATCH($C108,'Barge Gauging Data'!$B$27:$B$56,0),$AA$1))</f>
        <v/>
      </c>
      <c r="N108" s="212" t="str">
        <f t="shared" si="75"/>
        <v/>
      </c>
      <c r="O108" s="1016" t="str">
        <f t="shared" si="76"/>
        <v/>
      </c>
      <c r="P108" s="1125" t="str">
        <f t="shared" si="77"/>
        <v/>
      </c>
      <c r="Q108" s="1016" t="str">
        <f t="shared" si="78"/>
        <v/>
      </c>
      <c r="R108" s="214" t="str">
        <f t="shared" si="79"/>
        <v/>
      </c>
      <c r="S108" s="1125" t="str">
        <f t="shared" si="80"/>
        <v/>
      </c>
      <c r="T108" s="236" t="str">
        <f t="shared" si="81"/>
        <v/>
      </c>
      <c r="V108" s="642" t="e">
        <f>INDEX('Barge Gauging Data'!$B$26:$V$56,MATCH($C108,'Barge Gauging Data'!$B$26:$B$56,0),$V$18)</f>
        <v>#N/A</v>
      </c>
      <c r="W108" s="642" t="e">
        <f>INDEX('Barge Gauging Data'!$B$26:$V$56,MATCH($C108,'Barge Gauging Data'!$B$26:$B$56,0),$W$18)</f>
        <v>#N/A</v>
      </c>
      <c r="X108" s="642" t="e">
        <f>INDEX('Barge Gauging Data'!$B$26:$V$56,MATCH($C108,'Barge Gauging Data'!$B$26:$B$56,0),$X$18)</f>
        <v>#N/A</v>
      </c>
      <c r="Y108" s="642" t="e">
        <f>INDEX('Barge Gauging Data'!$B$26:$V$56,MATCH($C108,'Barge Gauging Data'!$B$26:$B$56,0),$Y$18)</f>
        <v>#N/A</v>
      </c>
      <c r="Z108" s="642" t="e">
        <f>INDEX('Barge Gauging Data'!$B$26:$V$56,MATCH($C108,'Barge Gauging Data'!$B$26:$B$56,0),$Z$18)</f>
        <v>#N/A</v>
      </c>
      <c r="AB108" s="642" t="e">
        <f>INDEX(API1DENST_2,MATCH($C108,'Barge Gauging Data'!$B$27:$B$56,0),1)</f>
        <v>#N/A</v>
      </c>
      <c r="AC108" s="642" t="e">
        <f t="shared" si="84"/>
        <v>#N/A</v>
      </c>
      <c r="AE108" s="661" t="e">
        <f t="shared" si="85"/>
        <v>#VALUE!</v>
      </c>
      <c r="AF108" s="661" t="e">
        <f t="shared" si="86"/>
        <v>#VALUE!</v>
      </c>
      <c r="AH108" s="662" t="str">
        <f t="shared" si="82"/>
        <v/>
      </c>
      <c r="AI108" s="662" t="str">
        <f t="shared" si="83"/>
        <v/>
      </c>
      <c r="AJ108" s="663">
        <f t="shared" si="87"/>
        <v>192.4571</v>
      </c>
      <c r="AK108" s="660">
        <f t="shared" si="88"/>
        <v>0.24379999999999999</v>
      </c>
      <c r="AL108" s="660" t="e">
        <f t="shared" si="89"/>
        <v>#VALUE!</v>
      </c>
      <c r="AM108" s="664" t="e">
        <f t="shared" si="90"/>
        <v>#VALUE!</v>
      </c>
      <c r="AN108" s="664" t="e">
        <f t="shared" si="91"/>
        <v>#VALUE!</v>
      </c>
      <c r="AO108" s="665" t="e">
        <f t="shared" si="92"/>
        <v>#VALUE!</v>
      </c>
      <c r="AP108" s="666" t="e">
        <f t="shared" si="93"/>
        <v>#VALUE!</v>
      </c>
      <c r="AQ108" s="660" t="e">
        <f t="shared" si="94"/>
        <v>#VALUE!</v>
      </c>
      <c r="AR108" s="667" t="e">
        <f t="shared" si="95"/>
        <v>#VALUE!</v>
      </c>
      <c r="AS108" s="667" t="e">
        <f t="shared" si="96"/>
        <v>#VALUE!</v>
      </c>
      <c r="AT108" s="668" t="e">
        <f t="shared" si="97"/>
        <v>#VALUE!</v>
      </c>
      <c r="AU108" s="667" t="e">
        <f t="shared" si="98"/>
        <v>#VALUE!</v>
      </c>
      <c r="AV108" s="669" t="e">
        <f t="shared" si="99"/>
        <v>#VALUE!</v>
      </c>
      <c r="AW108" s="667" t="e">
        <f t="shared" si="100"/>
        <v>#VALUE!</v>
      </c>
      <c r="AX108" s="667" t="e">
        <f t="shared" si="101"/>
        <v>#VALUE!</v>
      </c>
      <c r="AY108" s="660" t="e">
        <f t="shared" si="102"/>
        <v>#VALUE!</v>
      </c>
      <c r="AZ108" s="670" t="e">
        <f t="shared" si="103"/>
        <v>#VALUE!</v>
      </c>
      <c r="BB108" s="662" t="e">
        <f>INDEX('Barge Gauging Data'!$B$26:$V$56,MATCH($C108,'Barge Gauging Data'!$B$26:$B$56,0),$BB$18)</f>
        <v>#N/A</v>
      </c>
      <c r="BC108" s="662" t="e">
        <f>INDEX('Barge Gauging Data'!$B$26:$V$56,MATCH($C108,'Barge Gauging Data'!$B$26:$B$56,0),$BC$18)</f>
        <v>#N/A</v>
      </c>
      <c r="BD108" s="662" t="e">
        <f>INDEX('Barge Gauging Data'!$B$26:$V$56,MATCH($C108,'Barge Gauging Data'!$B$26:$B$56,0),$BD$18)</f>
        <v>#N/A</v>
      </c>
      <c r="BE108" s="662" t="e">
        <f>INDEX('Barge Gauging Data'!$B$26:$V$56,MATCH($C108,'Barge Gauging Data'!$B$26:$B$56,0),$BE$18)</f>
        <v>#N/A</v>
      </c>
    </row>
    <row r="109" spans="1:57" hidden="1">
      <c r="A109" s="641" t="str">
        <f t="shared" si="67"/>
        <v>N</v>
      </c>
      <c r="C109" s="235" t="str">
        <f t="array" ref="C109">IF(OR($E$90="",SUMPRODUCT(('Barge Gauging Data'!$C$27:$C$56=$E$90)*('Barge Gauging Data'!$D$27:$D$56=NOMY))&lt;ROWS($C$91:$C109)),"",INDEX('Barge Gauging Data'!$B$27:$B$56,SMALL(IF(('Barge Gauging Data'!$C$27:$C$56=$E$90)+('Barge Gauging Data'!$D$27:$D$56=NOMY)=2,ROW('Barge Gauging Data'!$B$27:$B$56)-ROW('Barge Gauging Data'!$C$26)),ROW()-ROW(C$90))))</f>
        <v/>
      </c>
      <c r="D109" s="211" t="str">
        <f>IF(OR($C109="",$C109=0),"",INDEX('Barge Gauging Data'!$B$26:$V$56,MATCH($C109,'Barge Gauging Data'!$B$27:$B$56,0)+1,2))</f>
        <v/>
      </c>
      <c r="E109" s="1016" t="str">
        <f t="shared" si="68"/>
        <v/>
      </c>
      <c r="F109" s="1016" t="str">
        <f t="shared" si="69"/>
        <v/>
      </c>
      <c r="G109" s="1016" t="str">
        <f t="shared" si="70"/>
        <v/>
      </c>
      <c r="H109" s="1016" t="str">
        <f t="shared" si="70"/>
        <v/>
      </c>
      <c r="I109" s="211" t="str">
        <f t="shared" si="71"/>
        <v/>
      </c>
      <c r="J109" s="1016" t="str">
        <f t="shared" si="72"/>
        <v/>
      </c>
      <c r="K109" s="213" t="str">
        <f t="shared" si="73"/>
        <v/>
      </c>
      <c r="L109" s="212" t="str">
        <f t="shared" si="74"/>
        <v/>
      </c>
      <c r="M109" s="1125" t="str">
        <f>IF(OR($C109="",$C109=0),"",INDEX(API1DENST_2,MATCH($C109,'Barge Gauging Data'!$B$27:$B$56,0),$AA$1))</f>
        <v/>
      </c>
      <c r="N109" s="212" t="str">
        <f t="shared" si="75"/>
        <v/>
      </c>
      <c r="O109" s="1016" t="str">
        <f t="shared" si="76"/>
        <v/>
      </c>
      <c r="P109" s="1125" t="str">
        <f t="shared" si="77"/>
        <v/>
      </c>
      <c r="Q109" s="1016" t="str">
        <f t="shared" si="78"/>
        <v/>
      </c>
      <c r="R109" s="214" t="str">
        <f t="shared" si="79"/>
        <v/>
      </c>
      <c r="S109" s="1125" t="str">
        <f t="shared" si="80"/>
        <v/>
      </c>
      <c r="T109" s="236" t="str">
        <f t="shared" si="81"/>
        <v/>
      </c>
      <c r="V109" s="642" t="e">
        <f>INDEX('Barge Gauging Data'!$B$26:$V$56,MATCH($C109,'Barge Gauging Data'!$B$26:$B$56,0),$V$18)</f>
        <v>#N/A</v>
      </c>
      <c r="W109" s="642" t="e">
        <f>INDEX('Barge Gauging Data'!$B$26:$V$56,MATCH($C109,'Barge Gauging Data'!$B$26:$B$56,0),$W$18)</f>
        <v>#N/A</v>
      </c>
      <c r="X109" s="642" t="e">
        <f>INDEX('Barge Gauging Data'!$B$26:$V$56,MATCH($C109,'Barge Gauging Data'!$B$26:$B$56,0),$X$18)</f>
        <v>#N/A</v>
      </c>
      <c r="Y109" s="642" t="e">
        <f>INDEX('Barge Gauging Data'!$B$26:$V$56,MATCH($C109,'Barge Gauging Data'!$B$26:$B$56,0),$Y$18)</f>
        <v>#N/A</v>
      </c>
      <c r="Z109" s="642" t="e">
        <f>INDEX('Barge Gauging Data'!$B$26:$V$56,MATCH($C109,'Barge Gauging Data'!$B$26:$B$56,0),$Z$18)</f>
        <v>#N/A</v>
      </c>
      <c r="AB109" s="642" t="e">
        <f>INDEX(API1DENST_2,MATCH($C109,'Barge Gauging Data'!$B$27:$B$56,0),1)</f>
        <v>#N/A</v>
      </c>
      <c r="AC109" s="642" t="e">
        <f t="shared" si="84"/>
        <v>#N/A</v>
      </c>
      <c r="AE109" s="661" t="e">
        <f t="shared" si="85"/>
        <v>#VALUE!</v>
      </c>
      <c r="AF109" s="661" t="e">
        <f t="shared" si="86"/>
        <v>#VALUE!</v>
      </c>
      <c r="AH109" s="662" t="str">
        <f t="shared" si="82"/>
        <v/>
      </c>
      <c r="AI109" s="662" t="str">
        <f t="shared" si="83"/>
        <v/>
      </c>
      <c r="AJ109" s="663">
        <f t="shared" si="87"/>
        <v>192.4571</v>
      </c>
      <c r="AK109" s="660">
        <f t="shared" si="88"/>
        <v>0.24379999999999999</v>
      </c>
      <c r="AL109" s="660" t="e">
        <f t="shared" si="89"/>
        <v>#VALUE!</v>
      </c>
      <c r="AM109" s="664" t="e">
        <f t="shared" si="90"/>
        <v>#VALUE!</v>
      </c>
      <c r="AN109" s="664" t="e">
        <f t="shared" si="91"/>
        <v>#VALUE!</v>
      </c>
      <c r="AO109" s="665" t="e">
        <f t="shared" si="92"/>
        <v>#VALUE!</v>
      </c>
      <c r="AP109" s="666" t="e">
        <f t="shared" si="93"/>
        <v>#VALUE!</v>
      </c>
      <c r="AQ109" s="660" t="e">
        <f t="shared" si="94"/>
        <v>#VALUE!</v>
      </c>
      <c r="AR109" s="667" t="e">
        <f t="shared" si="95"/>
        <v>#VALUE!</v>
      </c>
      <c r="AS109" s="667" t="e">
        <f t="shared" si="96"/>
        <v>#VALUE!</v>
      </c>
      <c r="AT109" s="668" t="e">
        <f t="shared" si="97"/>
        <v>#VALUE!</v>
      </c>
      <c r="AU109" s="667" t="e">
        <f t="shared" si="98"/>
        <v>#VALUE!</v>
      </c>
      <c r="AV109" s="669" t="e">
        <f t="shared" si="99"/>
        <v>#VALUE!</v>
      </c>
      <c r="AW109" s="667" t="e">
        <f t="shared" si="100"/>
        <v>#VALUE!</v>
      </c>
      <c r="AX109" s="667" t="e">
        <f t="shared" si="101"/>
        <v>#VALUE!</v>
      </c>
      <c r="AY109" s="660" t="e">
        <f t="shared" si="102"/>
        <v>#VALUE!</v>
      </c>
      <c r="AZ109" s="670" t="e">
        <f t="shared" si="103"/>
        <v>#VALUE!</v>
      </c>
      <c r="BB109" s="662" t="e">
        <f>INDEX('Barge Gauging Data'!$B$26:$V$56,MATCH($C109,'Barge Gauging Data'!$B$26:$B$56,0),$BB$18)</f>
        <v>#N/A</v>
      </c>
      <c r="BC109" s="662" t="e">
        <f>INDEX('Barge Gauging Data'!$B$26:$V$56,MATCH($C109,'Barge Gauging Data'!$B$26:$B$56,0),$BC$18)</f>
        <v>#N/A</v>
      </c>
      <c r="BD109" s="662" t="e">
        <f>INDEX('Barge Gauging Data'!$B$26:$V$56,MATCH($C109,'Barge Gauging Data'!$B$26:$B$56,0),$BD$18)</f>
        <v>#N/A</v>
      </c>
      <c r="BE109" s="662" t="e">
        <f>INDEX('Barge Gauging Data'!$B$26:$V$56,MATCH($C109,'Barge Gauging Data'!$B$26:$B$56,0),$BE$18)</f>
        <v>#N/A</v>
      </c>
    </row>
    <row r="110" spans="1:57" hidden="1">
      <c r="A110" s="641" t="str">
        <f t="shared" si="67"/>
        <v>N</v>
      </c>
      <c r="C110" s="237" t="str">
        <f t="array" ref="C110">IF(OR($E$90="",SUMPRODUCT(('Barge Gauging Data'!$C$27:$C$56=$E$90)*('Barge Gauging Data'!$D$27:$D$56=NOMY))&lt;ROWS($C$91:$C110)),"",INDEX('Barge Gauging Data'!$B$27:$B$56,SMALL(IF(('Barge Gauging Data'!$C$27:$C$56=$E$90)+('Barge Gauging Data'!$D$27:$D$56=NOMY)=2,ROW('Barge Gauging Data'!$B$27:$B$56)-ROW('Barge Gauging Data'!$C$26)),ROW()-ROW(C$90))))</f>
        <v/>
      </c>
      <c r="D110" s="238" t="str">
        <f>IF(OR($C110="",$C110=0),"",INDEX('Barge Gauging Data'!$B$26:$V$56,MATCH($C110,'Barge Gauging Data'!$B$27:$B$56,0)+1,2))</f>
        <v/>
      </c>
      <c r="E110" s="1017" t="str">
        <f t="shared" si="68"/>
        <v/>
      </c>
      <c r="F110" s="1017" t="str">
        <f t="shared" si="69"/>
        <v/>
      </c>
      <c r="G110" s="1017" t="str">
        <f t="shared" si="70"/>
        <v/>
      </c>
      <c r="H110" s="1017" t="str">
        <f t="shared" si="70"/>
        <v/>
      </c>
      <c r="I110" s="238" t="str">
        <f t="shared" si="71"/>
        <v/>
      </c>
      <c r="J110" s="1017" t="str">
        <f t="shared" si="72"/>
        <v/>
      </c>
      <c r="K110" s="240" t="str">
        <f t="shared" si="73"/>
        <v/>
      </c>
      <c r="L110" s="239" t="str">
        <f t="shared" si="74"/>
        <v/>
      </c>
      <c r="M110" s="1126" t="str">
        <f>IF(OR($C110="",$C110=0),"",INDEX(API1DENST_2,MATCH($C110,'Barge Gauging Data'!$B$27:$B$56,0),$AA$1))</f>
        <v/>
      </c>
      <c r="N110" s="239" t="str">
        <f t="shared" si="75"/>
        <v/>
      </c>
      <c r="O110" s="1017" t="str">
        <f t="shared" si="76"/>
        <v/>
      </c>
      <c r="P110" s="1126" t="str">
        <f t="shared" si="77"/>
        <v/>
      </c>
      <c r="Q110" s="1017" t="str">
        <f t="shared" si="78"/>
        <v/>
      </c>
      <c r="R110" s="241" t="str">
        <f t="shared" si="79"/>
        <v/>
      </c>
      <c r="S110" s="1126" t="str">
        <f t="shared" si="80"/>
        <v/>
      </c>
      <c r="T110" s="242" t="str">
        <f t="shared" si="81"/>
        <v/>
      </c>
      <c r="V110" s="642" t="e">
        <f>INDEX('Barge Gauging Data'!$B$26:$V$56,MATCH($C110,'Barge Gauging Data'!$B$26:$B$56,0),$V$18)</f>
        <v>#N/A</v>
      </c>
      <c r="W110" s="642" t="e">
        <f>INDEX('Barge Gauging Data'!$B$26:$V$56,MATCH($C110,'Barge Gauging Data'!$B$26:$B$56,0),$W$18)</f>
        <v>#N/A</v>
      </c>
      <c r="X110" s="642" t="e">
        <f>INDEX('Barge Gauging Data'!$B$26:$V$56,MATCH($C110,'Barge Gauging Data'!$B$26:$B$56,0),$X$18)</f>
        <v>#N/A</v>
      </c>
      <c r="Y110" s="642" t="e">
        <f>INDEX('Barge Gauging Data'!$B$26:$V$56,MATCH($C110,'Barge Gauging Data'!$B$26:$B$56,0),$Y$18)</f>
        <v>#N/A</v>
      </c>
      <c r="Z110" s="642" t="e">
        <f>INDEX('Barge Gauging Data'!$B$26:$V$56,MATCH($C110,'Barge Gauging Data'!$B$26:$B$56,0),$Z$18)</f>
        <v>#N/A</v>
      </c>
      <c r="AB110" s="642" t="e">
        <f>INDEX(API1DENST_2,MATCH($C110,'Barge Gauging Data'!$B$27:$B$56,0),1)</f>
        <v>#N/A</v>
      </c>
      <c r="AC110" s="642" t="e">
        <f t="shared" si="84"/>
        <v>#N/A</v>
      </c>
      <c r="AE110" s="661" t="e">
        <f t="shared" si="85"/>
        <v>#VALUE!</v>
      </c>
      <c r="AF110" s="661" t="e">
        <f t="shared" si="86"/>
        <v>#VALUE!</v>
      </c>
      <c r="AH110" s="662" t="str">
        <f t="shared" si="82"/>
        <v/>
      </c>
      <c r="AI110" s="662" t="str">
        <f t="shared" si="83"/>
        <v/>
      </c>
      <c r="AJ110" s="663">
        <f t="shared" si="87"/>
        <v>192.4571</v>
      </c>
      <c r="AK110" s="660">
        <f t="shared" si="88"/>
        <v>0.24379999999999999</v>
      </c>
      <c r="AL110" s="660" t="e">
        <f t="shared" si="89"/>
        <v>#VALUE!</v>
      </c>
      <c r="AM110" s="664" t="e">
        <f t="shared" si="90"/>
        <v>#VALUE!</v>
      </c>
      <c r="AN110" s="664" t="e">
        <f t="shared" si="91"/>
        <v>#VALUE!</v>
      </c>
      <c r="AO110" s="665" t="e">
        <f t="shared" si="92"/>
        <v>#VALUE!</v>
      </c>
      <c r="AP110" s="666" t="e">
        <f t="shared" si="93"/>
        <v>#VALUE!</v>
      </c>
      <c r="AQ110" s="660" t="e">
        <f t="shared" si="94"/>
        <v>#VALUE!</v>
      </c>
      <c r="AR110" s="667" t="e">
        <f t="shared" si="95"/>
        <v>#VALUE!</v>
      </c>
      <c r="AS110" s="667" t="e">
        <f t="shared" si="96"/>
        <v>#VALUE!</v>
      </c>
      <c r="AT110" s="668" t="e">
        <f t="shared" si="97"/>
        <v>#VALUE!</v>
      </c>
      <c r="AU110" s="667" t="e">
        <f t="shared" si="98"/>
        <v>#VALUE!</v>
      </c>
      <c r="AV110" s="669" t="e">
        <f t="shared" si="99"/>
        <v>#VALUE!</v>
      </c>
      <c r="AW110" s="667" t="e">
        <f t="shared" si="100"/>
        <v>#VALUE!</v>
      </c>
      <c r="AX110" s="667" t="e">
        <f t="shared" si="101"/>
        <v>#VALUE!</v>
      </c>
      <c r="AY110" s="660" t="e">
        <f t="shared" si="102"/>
        <v>#VALUE!</v>
      </c>
      <c r="AZ110" s="670" t="e">
        <f t="shared" si="103"/>
        <v>#VALUE!</v>
      </c>
      <c r="BB110" s="662" t="e">
        <f>INDEX('Barge Gauging Data'!$B$26:$V$56,MATCH($C110,'Barge Gauging Data'!$B$26:$B$56,0),$BB$18)</f>
        <v>#N/A</v>
      </c>
      <c r="BC110" s="662" t="e">
        <f>INDEX('Barge Gauging Data'!$B$26:$V$56,MATCH($C110,'Barge Gauging Data'!$B$26:$B$56,0),$BC$18)</f>
        <v>#N/A</v>
      </c>
      <c r="BD110" s="662" t="e">
        <f>INDEX('Barge Gauging Data'!$B$26:$V$56,MATCH($C110,'Barge Gauging Data'!$B$26:$B$56,0),$BD$18)</f>
        <v>#N/A</v>
      </c>
      <c r="BE110" s="662" t="e">
        <f>INDEX('Barge Gauging Data'!$B$26:$V$56,MATCH($C110,'Barge Gauging Data'!$B$26:$B$56,0),$BE$18)</f>
        <v>#N/A</v>
      </c>
    </row>
    <row r="111" spans="1:57" hidden="1">
      <c r="A111" s="641" t="str">
        <f>A90</f>
        <v>N</v>
      </c>
      <c r="C111" s="671"/>
      <c r="D111" s="671"/>
      <c r="E111" s="672"/>
      <c r="F111" s="672"/>
      <c r="G111" s="672"/>
      <c r="H111" s="1501"/>
      <c r="I111" s="671"/>
      <c r="J111" s="672"/>
      <c r="K111" s="673"/>
      <c r="L111" s="672"/>
      <c r="M111" s="674"/>
      <c r="N111" s="672"/>
      <c r="O111" s="672"/>
      <c r="P111" s="1127"/>
      <c r="Q111" s="672"/>
      <c r="R111" s="675"/>
      <c r="S111" s="1137" t="s">
        <v>401</v>
      </c>
      <c r="T111" s="619">
        <f>SUM(T91:T110)</f>
        <v>0</v>
      </c>
      <c r="V111" s="619">
        <f>SUM(Q91:Q110)</f>
        <v>0</v>
      </c>
      <c r="W111" s="619">
        <f>SUM(R91:R110)</f>
        <v>0</v>
      </c>
      <c r="X111" s="719"/>
      <c r="Y111" s="719"/>
      <c r="Z111" s="719"/>
      <c r="AA111" s="676"/>
      <c r="AB111" s="719"/>
      <c r="AC111" s="719"/>
      <c r="AD111" s="676"/>
      <c r="AE111" s="720"/>
      <c r="AF111" s="720"/>
      <c r="AG111" s="676"/>
      <c r="AH111" s="721"/>
      <c r="AI111" s="721"/>
      <c r="AJ111" s="722"/>
      <c r="AK111" s="723"/>
      <c r="AL111" s="723"/>
      <c r="AM111" s="724"/>
      <c r="AN111" s="724"/>
      <c r="AO111" s="725"/>
      <c r="AP111" s="726"/>
      <c r="AQ111" s="723"/>
      <c r="AR111" s="727"/>
      <c r="AS111" s="727"/>
      <c r="AT111" s="728"/>
      <c r="AU111" s="727"/>
      <c r="AV111" s="729"/>
      <c r="AW111" s="727"/>
      <c r="AX111" s="727"/>
      <c r="AY111" s="723"/>
      <c r="AZ111" s="730"/>
      <c r="BA111" s="676"/>
      <c r="BB111" s="721"/>
      <c r="BC111" s="721"/>
      <c r="BD111" s="721"/>
      <c r="BE111" s="721"/>
    </row>
    <row r="112" spans="1:57" s="702" customFormat="1" ht="5.25" hidden="1">
      <c r="A112" s="702" t="str">
        <f>IF(A113="N",A113,IF(COUNTIF($A$21:$A110,"Y")&gt;0,A113,"N"))</f>
        <v>N</v>
      </c>
      <c r="C112" s="704"/>
      <c r="D112" s="704"/>
      <c r="E112" s="704"/>
      <c r="F112" s="704"/>
      <c r="G112" s="704"/>
      <c r="H112" s="704"/>
      <c r="I112" s="704"/>
      <c r="J112" s="705"/>
      <c r="K112" s="705"/>
      <c r="L112" s="705"/>
      <c r="M112" s="705"/>
      <c r="N112" s="705"/>
      <c r="O112" s="705"/>
      <c r="P112" s="1128"/>
      <c r="Q112" s="705"/>
      <c r="R112" s="705"/>
      <c r="S112" s="1136"/>
      <c r="T112" s="706"/>
      <c r="V112" s="707"/>
      <c r="W112" s="707"/>
      <c r="X112" s="707"/>
      <c r="Y112" s="707"/>
      <c r="Z112" s="707"/>
      <c r="AA112" s="707"/>
      <c r="AB112" s="707"/>
      <c r="AC112" s="707"/>
      <c r="AD112" s="707"/>
      <c r="AE112" s="708"/>
      <c r="AF112" s="708"/>
      <c r="AG112" s="707"/>
      <c r="AH112" s="709"/>
      <c r="AI112" s="709"/>
      <c r="AJ112" s="710"/>
      <c r="AK112" s="711"/>
      <c r="AL112" s="711"/>
      <c r="AM112" s="712"/>
      <c r="AN112" s="712"/>
      <c r="AO112" s="713"/>
      <c r="AP112" s="714"/>
      <c r="AQ112" s="711"/>
      <c r="AR112" s="715"/>
      <c r="AS112" s="715"/>
      <c r="AT112" s="716"/>
      <c r="AU112" s="715"/>
      <c r="AV112" s="717"/>
      <c r="AW112" s="715"/>
      <c r="AX112" s="715"/>
      <c r="AY112" s="711"/>
      <c r="AZ112" s="718"/>
      <c r="BA112" s="707"/>
      <c r="BB112" s="709"/>
      <c r="BC112" s="709"/>
      <c r="BD112" s="709"/>
      <c r="BE112" s="709"/>
    </row>
    <row r="113" spans="1:57" ht="15.75" hidden="1">
      <c r="A113" s="641" t="str">
        <f>A114</f>
        <v>N</v>
      </c>
      <c r="B113" s="641">
        <v>5</v>
      </c>
      <c r="C113" s="2797" t="s">
        <v>163</v>
      </c>
      <c r="D113" s="2798"/>
      <c r="E113" s="2799" t="str">
        <f>'Preliminary Report'!I1</f>
        <v>MGO</v>
      </c>
      <c r="F113" s="2800"/>
      <c r="G113" s="2800"/>
      <c r="H113" s="2824"/>
      <c r="I113" s="2801"/>
      <c r="J113" s="698"/>
      <c r="K113" s="699"/>
      <c r="L113" s="700"/>
      <c r="M113" s="699"/>
      <c r="N113" s="699"/>
      <c r="O113" s="700"/>
      <c r="P113" s="1129"/>
      <c r="Q113" s="700"/>
      <c r="R113" s="701"/>
      <c r="S113" s="1129"/>
      <c r="T113" s="701"/>
      <c r="V113" s="731"/>
      <c r="W113" s="731"/>
      <c r="X113" s="731"/>
      <c r="Y113" s="731"/>
      <c r="Z113" s="731"/>
      <c r="AA113" s="676"/>
      <c r="AB113" s="731"/>
      <c r="AC113" s="731"/>
      <c r="AD113" s="676"/>
      <c r="AE113" s="732"/>
      <c r="AF113" s="732"/>
      <c r="AG113" s="676"/>
      <c r="AH113" s="733"/>
      <c r="AI113" s="733"/>
      <c r="AJ113" s="734"/>
      <c r="AK113" s="735"/>
      <c r="AL113" s="735"/>
      <c r="AM113" s="736"/>
      <c r="AN113" s="736"/>
      <c r="AO113" s="737"/>
      <c r="AP113" s="738"/>
      <c r="AQ113" s="735"/>
      <c r="AR113" s="739"/>
      <c r="AS113" s="739"/>
      <c r="AT113" s="740"/>
      <c r="AU113" s="739"/>
      <c r="AV113" s="741"/>
      <c r="AW113" s="739"/>
      <c r="AX113" s="739"/>
      <c r="AY113" s="735"/>
      <c r="AZ113" s="742"/>
      <c r="BA113" s="676"/>
      <c r="BB113" s="733"/>
      <c r="BC113" s="733"/>
      <c r="BD113" s="733"/>
      <c r="BE113" s="733"/>
    </row>
    <row r="114" spans="1:57" hidden="1">
      <c r="A114" s="641" t="str">
        <f t="shared" ref="A114:A133" si="104">IF(C114="","N",IF(ISERROR(MATCH($E$113,IF($Z$1=1,GRADESLIST,IF($Z$1=2,RESIDUALS,DISTILLATES)),0)),"N","Y"))</f>
        <v>N</v>
      </c>
      <c r="B114" s="655"/>
      <c r="C114" s="622" t="str">
        <f t="array" ref="C114">IF(OR($E$113="",SUMPRODUCT(('Barge Gauging Data'!$C$27:$C$56=$E$113)*('Barge Gauging Data'!$D$27:$D$56=NOMY))&lt;ROWS($C$114:$C114)),"",INDEX('Barge Gauging Data'!$B$27:$B$56,SMALL(IF(('Barge Gauging Data'!$C$27:$C$56=$E$113)+('Barge Gauging Data'!$D$27:$D$56=NOMY)=2,ROW('Barge Gauging Data'!$B$27:$B$56)-ROW('Barge Gauging Data'!$C$26)),ROW()-ROW(C$113))))</f>
        <v/>
      </c>
      <c r="D114" s="623" t="str">
        <f>IF(OR($C114="",$C114=0),"",INDEX('Barge Gauging Data'!$B$26:$V$56,MATCH($C114,'Barge Gauging Data'!$B$27:$B$56,0)+1,2))</f>
        <v/>
      </c>
      <c r="E114" s="1018" t="str">
        <f t="shared" ref="E114:E133" si="105">IF(ISERROR(V114),"",IF(OR($C114="",$C114=0),"",IF(ISTEXT(V114),V114,IF($AB$1=1,V114*UNITOR_2,INT(V114*UNITOR_2)&amp;"'-"&amp;TRIM(TEXT(ROUND(MOD(V114*UNITOR_2,1)*12,1),"# ???/???"))&amp;""""))))</f>
        <v/>
      </c>
      <c r="F114" s="1018" t="str">
        <f t="shared" ref="F114:F133" si="106">IF(ISERROR(W114),"",IF(OR($C114="",$C114=0),"",IF(ISTEXT(W114),W114,IF($AB$1=1,W114*UNITOR_2,INT(W114*UNITOR_2)&amp;"'-"&amp;TRIM(TEXT(ROUND(MOD(W114*UNITOR_2,1)*12,1),"# ???/???"))&amp;""""))))</f>
        <v/>
      </c>
      <c r="G114" s="1018" t="str">
        <f t="shared" ref="G114:H133" si="107">IF(ISERROR(X114),"",IF(OR($C114="",$C114=0),"",IF(ISTEXT(X114),X114,IF($AB$1=1,X114*UNITOR_2,INT(X114*UNITOR_2)&amp;"'-"&amp;TRIM(TEXT(ROUND(MOD(X114*UNITOR_2,1)*12,1),"# ???/???"))&amp;""""))))</f>
        <v/>
      </c>
      <c r="H114" s="1018" t="str">
        <f t="shared" si="107"/>
        <v/>
      </c>
      <c r="I114" s="623" t="str">
        <f t="shared" ref="I114:I133" si="108">IF(ISERROR($BB114),"",IF(OR($C114="",$C114=0,$BB114=0),"",$BB114))</f>
        <v/>
      </c>
      <c r="J114" s="1016" t="str">
        <f t="shared" ref="J114:J133" si="109">IF(ISERROR($BC114),"",IF(OR($C114="",$C114=0,$BC114=""),"",IF(ISTEXT($BC114),$BC114,$BC114*IF($AA$1=B1SEL_2,1,IF($AA$1=2,FBBLS,1/FBBLS)))))</f>
        <v/>
      </c>
      <c r="K114" s="213" t="str">
        <f t="shared" ref="K114:K133" si="110">IF(ISERROR($BD114),"",IF(OR($C114="",$C114=0,$BD114=""),0,IF(ISTEXT($BD114),$BD114,$BD114*IF($AB$1=W1SEL_2,1,IF($AB$1=2,FINCH,1/FINCH)))))</f>
        <v/>
      </c>
      <c r="L114" s="212" t="str">
        <f t="shared" ref="L114:L133" si="111">IF(ISERROR($BE114),"",IF(OR($C114="",$C114=0,$BE114=""),0,IF(ISTEXT($BE114),$BE114,$BE114*IF($AA$1=B1SEL_2,1,IF($AA$1=2,FBBLS,1/FBBLS)))))</f>
        <v/>
      </c>
      <c r="M114" s="1125" t="str">
        <f>IF(OR($C114="",$C114=0),"",INDEX(API1DENST_2,MATCH($C114,'Barge Gauging Data'!$B$27:$B$56,0),$AA$1))</f>
        <v/>
      </c>
      <c r="N114" s="212" t="str">
        <f t="shared" ref="N114:N133" si="112">IF(ISERROR(Z114),"",IF(OR($C114="",$C114=0,Z114=""),"",IF(ISTEXT(Z114),Z114,IF($AA$1=T1SEL_2,Z114,IF($AA$1=2,(Z114*9/5)+32,(Z114-32)*5/9)))))</f>
        <v/>
      </c>
      <c r="O114" s="1016" t="str">
        <f t="shared" ref="O114:O133" si="113">IF(OR(J114="",L114=""),"",IF(ISTEXT(J114),"N/A",IF(ISTEXT(L114),J114,J114-L114)))</f>
        <v/>
      </c>
      <c r="P114" s="1125" t="str">
        <f t="shared" ref="P114:P133" si="114">IF(OR(M114="",N114=""),"",IF(OR(ISTEXT(M114),ISTEXT(N114)),"N/A",IF($AA$1=1,ROUND(EXP(-AF114*(N114-15)*(1+0.8*AF114*(N114-15))),5),AZ114)))</f>
        <v/>
      </c>
      <c r="Q114" s="1016" t="str">
        <f t="shared" ref="Q114:Q133" si="115">IF(OR(M114="",N114=""),"",IF(OR(ISTEXT(M114),ISTEXT(N114)),"N/A",ROUND(O114*P114,3)))</f>
        <v/>
      </c>
      <c r="R114" s="214" t="str">
        <f t="shared" ref="R114:R133" si="116">IF(M114="","",IF($AA$1=1,IF(ISTEXT(Q114),"N/A",ROUND(Q114*M114,3)),IF(ISTEXT(T114),"N/A",ROUND(T114*AC114,3))))</f>
        <v/>
      </c>
      <c r="S114" s="1125" t="str">
        <f t="shared" ref="S114:S133" si="117">IF(M114="","",IF($AA$1=1,ROUND(M114-0.0011,5),ROUND((1.00122697*(141.5/(M114+131.5))-1.22269727*10^-3)*8.32823*42/2204.62,5+2)))</f>
        <v/>
      </c>
      <c r="T114" s="236" t="str">
        <f t="shared" ref="T114:T133" si="118">IF(OR(M114="",N114=""),"",IF(ISTEXT(Q114),"N/A",IF($AA$1=1,ROUND((Q114*(M114-0.0011)),3),ROUND(Q114*S114,3))))</f>
        <v/>
      </c>
      <c r="V114" s="642" t="e">
        <f>INDEX('Barge Gauging Data'!$B$26:$V$56,MATCH($C114,'Barge Gauging Data'!$B$26:$B$56,0),$V$18)</f>
        <v>#N/A</v>
      </c>
      <c r="W114" s="642" t="e">
        <f>INDEX('Barge Gauging Data'!$B$26:$V$56,MATCH($C114,'Barge Gauging Data'!$B$26:$B$56,0),$W$18)</f>
        <v>#N/A</v>
      </c>
      <c r="X114" s="642" t="e">
        <f>INDEX('Barge Gauging Data'!$B$26:$V$56,MATCH($C114,'Barge Gauging Data'!$B$26:$B$56,0),$X$18)</f>
        <v>#N/A</v>
      </c>
      <c r="Y114" s="642" t="e">
        <f>INDEX('Barge Gauging Data'!$B$26:$V$56,MATCH($C114,'Barge Gauging Data'!$B$26:$B$56,0),$Y$18)</f>
        <v>#N/A</v>
      </c>
      <c r="Z114" s="642" t="e">
        <f>INDEX('Barge Gauging Data'!$B$26:$V$56,MATCH($C114,'Barge Gauging Data'!$B$26:$B$56,0),$Z$18)</f>
        <v>#N/A</v>
      </c>
      <c r="AB114" s="642" t="e">
        <f>INDEX(API1DENST_2,MATCH($C114,'Barge Gauging Data'!$B$27:$B$56,0),1)</f>
        <v>#N/A</v>
      </c>
      <c r="AC114" s="642" t="e">
        <f t="shared" si="84"/>
        <v>#N/A</v>
      </c>
      <c r="AE114" s="661" t="e">
        <f t="shared" si="85"/>
        <v>#VALUE!</v>
      </c>
      <c r="AF114" s="661" t="e">
        <f t="shared" si="86"/>
        <v>#VALUE!</v>
      </c>
      <c r="AH114" s="662" t="str">
        <f t="shared" si="82"/>
        <v/>
      </c>
      <c r="AI114" s="662" t="str">
        <f t="shared" si="83"/>
        <v/>
      </c>
      <c r="AJ114" s="663">
        <f t="shared" si="87"/>
        <v>192.4571</v>
      </c>
      <c r="AK114" s="660">
        <f t="shared" si="88"/>
        <v>0.24379999999999999</v>
      </c>
      <c r="AL114" s="660" t="e">
        <f t="shared" si="89"/>
        <v>#VALUE!</v>
      </c>
      <c r="AM114" s="664" t="e">
        <f t="shared" si="90"/>
        <v>#VALUE!</v>
      </c>
      <c r="AN114" s="664" t="e">
        <f t="shared" si="91"/>
        <v>#VALUE!</v>
      </c>
      <c r="AO114" s="665" t="e">
        <f t="shared" si="92"/>
        <v>#VALUE!</v>
      </c>
      <c r="AP114" s="666" t="e">
        <f t="shared" si="93"/>
        <v>#VALUE!</v>
      </c>
      <c r="AQ114" s="660" t="e">
        <f t="shared" si="94"/>
        <v>#VALUE!</v>
      </c>
      <c r="AR114" s="667" t="e">
        <f t="shared" si="95"/>
        <v>#VALUE!</v>
      </c>
      <c r="AS114" s="667" t="e">
        <f t="shared" si="96"/>
        <v>#VALUE!</v>
      </c>
      <c r="AT114" s="668" t="e">
        <f t="shared" si="97"/>
        <v>#VALUE!</v>
      </c>
      <c r="AU114" s="667" t="e">
        <f t="shared" si="98"/>
        <v>#VALUE!</v>
      </c>
      <c r="AV114" s="669" t="e">
        <f t="shared" si="99"/>
        <v>#VALUE!</v>
      </c>
      <c r="AW114" s="667" t="e">
        <f t="shared" si="100"/>
        <v>#VALUE!</v>
      </c>
      <c r="AX114" s="667" t="e">
        <f t="shared" si="101"/>
        <v>#VALUE!</v>
      </c>
      <c r="AY114" s="660" t="e">
        <f t="shared" si="102"/>
        <v>#VALUE!</v>
      </c>
      <c r="AZ114" s="670" t="e">
        <f t="shared" si="103"/>
        <v>#VALUE!</v>
      </c>
      <c r="BB114" s="662" t="e">
        <f>INDEX('Barge Gauging Data'!$B$26:$V$56,MATCH($C114,'Barge Gauging Data'!$B$26:$B$56,0),$BB$18)</f>
        <v>#N/A</v>
      </c>
      <c r="BC114" s="662" t="e">
        <f>INDEX('Barge Gauging Data'!$B$26:$V$56,MATCH($C114,'Barge Gauging Data'!$B$26:$B$56,0),$BC$18)</f>
        <v>#N/A</v>
      </c>
      <c r="BD114" s="662" t="e">
        <f>INDEX('Barge Gauging Data'!$B$26:$V$56,MATCH($C114,'Barge Gauging Data'!$B$26:$B$56,0),$BD$18)</f>
        <v>#N/A</v>
      </c>
      <c r="BE114" s="662" t="e">
        <f>INDEX('Barge Gauging Data'!$B$26:$V$56,MATCH($C114,'Barge Gauging Data'!$B$26:$B$56,0),$BE$18)</f>
        <v>#N/A</v>
      </c>
    </row>
    <row r="115" spans="1:57" hidden="1">
      <c r="A115" s="641" t="str">
        <f t="shared" si="104"/>
        <v>N</v>
      </c>
      <c r="C115" s="235" t="str">
        <f t="array" ref="C115">IF(OR($E$113="",SUMPRODUCT(('Barge Gauging Data'!$C$27:$C$56=$E$113)*('Barge Gauging Data'!$D$27:$D$56=NOMY))&lt;ROWS($C$114:$C115)),"",INDEX('Barge Gauging Data'!$B$27:$B$56,SMALL(IF(('Barge Gauging Data'!$C$27:$C$56=$E$113)+('Barge Gauging Data'!$D$27:$D$56=NOMY)=2,ROW('Barge Gauging Data'!$B$27:$B$56)-ROW('Barge Gauging Data'!$C$26)),ROW()-ROW(C$113))))</f>
        <v/>
      </c>
      <c r="D115" s="211" t="str">
        <f>IF(OR($C115="",$C115=0),"",INDEX('Barge Gauging Data'!$B$26:$V$56,MATCH($C115,'Barge Gauging Data'!$B$27:$B$56,0)+1,2))</f>
        <v/>
      </c>
      <c r="E115" s="1016" t="str">
        <f t="shared" si="105"/>
        <v/>
      </c>
      <c r="F115" s="1016" t="str">
        <f t="shared" si="106"/>
        <v/>
      </c>
      <c r="G115" s="1016" t="str">
        <f t="shared" si="107"/>
        <v/>
      </c>
      <c r="H115" s="1016" t="str">
        <f t="shared" si="107"/>
        <v/>
      </c>
      <c r="I115" s="211" t="str">
        <f t="shared" si="108"/>
        <v/>
      </c>
      <c r="J115" s="1016" t="str">
        <f t="shared" si="109"/>
        <v/>
      </c>
      <c r="K115" s="213" t="str">
        <f t="shared" si="110"/>
        <v/>
      </c>
      <c r="L115" s="212" t="str">
        <f t="shared" si="111"/>
        <v/>
      </c>
      <c r="M115" s="1125" t="str">
        <f>IF(OR($C115="",$C115=0),"",INDEX(API1DENST_2,MATCH($C115,'Barge Gauging Data'!$B$27:$B$56,0),$AA$1))</f>
        <v/>
      </c>
      <c r="N115" s="212" t="str">
        <f t="shared" si="112"/>
        <v/>
      </c>
      <c r="O115" s="1016" t="str">
        <f t="shared" si="113"/>
        <v/>
      </c>
      <c r="P115" s="1125" t="str">
        <f t="shared" si="114"/>
        <v/>
      </c>
      <c r="Q115" s="1016" t="str">
        <f t="shared" si="115"/>
        <v/>
      </c>
      <c r="R115" s="214" t="str">
        <f t="shared" si="116"/>
        <v/>
      </c>
      <c r="S115" s="1125" t="str">
        <f t="shared" si="117"/>
        <v/>
      </c>
      <c r="T115" s="236" t="str">
        <f t="shared" si="118"/>
        <v/>
      </c>
      <c r="V115" s="642" t="e">
        <f>INDEX('Barge Gauging Data'!$B$26:$V$56,MATCH($C115,'Barge Gauging Data'!$B$26:$B$56,0),$V$18)</f>
        <v>#N/A</v>
      </c>
      <c r="W115" s="642" t="e">
        <f>INDEX('Barge Gauging Data'!$B$26:$V$56,MATCH($C115,'Barge Gauging Data'!$B$26:$B$56,0),$W$18)</f>
        <v>#N/A</v>
      </c>
      <c r="X115" s="642" t="e">
        <f>INDEX('Barge Gauging Data'!$B$26:$V$56,MATCH($C115,'Barge Gauging Data'!$B$26:$B$56,0),$X$18)</f>
        <v>#N/A</v>
      </c>
      <c r="Y115" s="642" t="e">
        <f>INDEX('Barge Gauging Data'!$B$26:$V$56,MATCH($C115,'Barge Gauging Data'!$B$26:$B$56,0),$Y$18)</f>
        <v>#N/A</v>
      </c>
      <c r="Z115" s="642" t="e">
        <f>INDEX('Barge Gauging Data'!$B$26:$V$56,MATCH($C115,'Barge Gauging Data'!$B$26:$B$56,0),$Z$18)</f>
        <v>#N/A</v>
      </c>
      <c r="AB115" s="642" t="e">
        <f>INDEX(API1DENST_2,MATCH($C115,'Barge Gauging Data'!$B$27:$B$56,0),1)</f>
        <v>#N/A</v>
      </c>
      <c r="AC115" s="642" t="e">
        <f t="shared" si="84"/>
        <v>#N/A</v>
      </c>
      <c r="AE115" s="661" t="e">
        <f t="shared" si="85"/>
        <v>#VALUE!</v>
      </c>
      <c r="AF115" s="661" t="e">
        <f t="shared" si="86"/>
        <v>#VALUE!</v>
      </c>
      <c r="AH115" s="662" t="str">
        <f t="shared" si="82"/>
        <v/>
      </c>
      <c r="AI115" s="662" t="str">
        <f t="shared" si="83"/>
        <v/>
      </c>
      <c r="AJ115" s="663">
        <f t="shared" si="87"/>
        <v>192.4571</v>
      </c>
      <c r="AK115" s="660">
        <f t="shared" si="88"/>
        <v>0.24379999999999999</v>
      </c>
      <c r="AL115" s="660" t="e">
        <f t="shared" si="89"/>
        <v>#VALUE!</v>
      </c>
      <c r="AM115" s="664" t="e">
        <f t="shared" si="90"/>
        <v>#VALUE!</v>
      </c>
      <c r="AN115" s="664" t="e">
        <f t="shared" si="91"/>
        <v>#VALUE!</v>
      </c>
      <c r="AO115" s="665" t="e">
        <f t="shared" si="92"/>
        <v>#VALUE!</v>
      </c>
      <c r="AP115" s="666" t="e">
        <f t="shared" si="93"/>
        <v>#VALUE!</v>
      </c>
      <c r="AQ115" s="660" t="e">
        <f t="shared" si="94"/>
        <v>#VALUE!</v>
      </c>
      <c r="AR115" s="667" t="e">
        <f t="shared" si="95"/>
        <v>#VALUE!</v>
      </c>
      <c r="AS115" s="667" t="e">
        <f t="shared" si="96"/>
        <v>#VALUE!</v>
      </c>
      <c r="AT115" s="668" t="e">
        <f t="shared" si="97"/>
        <v>#VALUE!</v>
      </c>
      <c r="AU115" s="667" t="e">
        <f t="shared" si="98"/>
        <v>#VALUE!</v>
      </c>
      <c r="AV115" s="669" t="e">
        <f t="shared" si="99"/>
        <v>#VALUE!</v>
      </c>
      <c r="AW115" s="667" t="e">
        <f t="shared" si="100"/>
        <v>#VALUE!</v>
      </c>
      <c r="AX115" s="667" t="e">
        <f t="shared" si="101"/>
        <v>#VALUE!</v>
      </c>
      <c r="AY115" s="660" t="e">
        <f t="shared" si="102"/>
        <v>#VALUE!</v>
      </c>
      <c r="AZ115" s="670" t="e">
        <f t="shared" si="103"/>
        <v>#VALUE!</v>
      </c>
      <c r="BB115" s="662" t="e">
        <f>INDEX('Barge Gauging Data'!$B$26:$V$56,MATCH($C115,'Barge Gauging Data'!$B$26:$B$56,0),$BB$18)</f>
        <v>#N/A</v>
      </c>
      <c r="BC115" s="662" t="e">
        <f>INDEX('Barge Gauging Data'!$B$26:$V$56,MATCH($C115,'Barge Gauging Data'!$B$26:$B$56,0),$BC$18)</f>
        <v>#N/A</v>
      </c>
      <c r="BD115" s="662" t="e">
        <f>INDEX('Barge Gauging Data'!$B$26:$V$56,MATCH($C115,'Barge Gauging Data'!$B$26:$B$56,0),$BD$18)</f>
        <v>#N/A</v>
      </c>
      <c r="BE115" s="662" t="e">
        <f>INDEX('Barge Gauging Data'!$B$26:$V$56,MATCH($C115,'Barge Gauging Data'!$B$26:$B$56,0),$BE$18)</f>
        <v>#N/A</v>
      </c>
    </row>
    <row r="116" spans="1:57" hidden="1">
      <c r="A116" s="641" t="str">
        <f t="shared" si="104"/>
        <v>N</v>
      </c>
      <c r="C116" s="235" t="str">
        <f t="array" ref="C116">IF(OR($E$113="",SUMPRODUCT(('Barge Gauging Data'!$C$27:$C$56=$E$113)*('Barge Gauging Data'!$D$27:$D$56=NOMY))&lt;ROWS($C$114:$C116)),"",INDEX('Barge Gauging Data'!$B$27:$B$56,SMALL(IF(('Barge Gauging Data'!$C$27:$C$56=$E$113)+('Barge Gauging Data'!$D$27:$D$56=NOMY)=2,ROW('Barge Gauging Data'!$B$27:$B$56)-ROW('Barge Gauging Data'!$C$26)),ROW()-ROW(C$113))))</f>
        <v/>
      </c>
      <c r="D116" s="211" t="str">
        <f>IF(OR($C116="",$C116=0),"",INDEX('Barge Gauging Data'!$B$26:$V$56,MATCH($C116,'Barge Gauging Data'!$B$27:$B$56,0)+1,2))</f>
        <v/>
      </c>
      <c r="E116" s="1016" t="str">
        <f t="shared" si="105"/>
        <v/>
      </c>
      <c r="F116" s="1016" t="str">
        <f t="shared" si="106"/>
        <v/>
      </c>
      <c r="G116" s="1016" t="str">
        <f t="shared" si="107"/>
        <v/>
      </c>
      <c r="H116" s="1016" t="str">
        <f t="shared" si="107"/>
        <v/>
      </c>
      <c r="I116" s="211" t="str">
        <f t="shared" si="108"/>
        <v/>
      </c>
      <c r="J116" s="1016" t="str">
        <f t="shared" si="109"/>
        <v/>
      </c>
      <c r="K116" s="213" t="str">
        <f t="shared" si="110"/>
        <v/>
      </c>
      <c r="L116" s="212" t="str">
        <f t="shared" si="111"/>
        <v/>
      </c>
      <c r="M116" s="1125" t="str">
        <f>IF(OR($C116="",$C116=0),"",INDEX(API1DENST_2,MATCH($C116,'Barge Gauging Data'!$B$27:$B$56,0),$AA$1))</f>
        <v/>
      </c>
      <c r="N116" s="212" t="str">
        <f t="shared" si="112"/>
        <v/>
      </c>
      <c r="O116" s="1016" t="str">
        <f t="shared" si="113"/>
        <v/>
      </c>
      <c r="P116" s="1125" t="str">
        <f t="shared" si="114"/>
        <v/>
      </c>
      <c r="Q116" s="1016" t="str">
        <f t="shared" si="115"/>
        <v/>
      </c>
      <c r="R116" s="214" t="str">
        <f t="shared" si="116"/>
        <v/>
      </c>
      <c r="S116" s="1125" t="str">
        <f t="shared" si="117"/>
        <v/>
      </c>
      <c r="T116" s="236" t="str">
        <f t="shared" si="118"/>
        <v/>
      </c>
      <c r="V116" s="642" t="e">
        <f>INDEX('Barge Gauging Data'!$B$26:$V$56,MATCH($C116,'Barge Gauging Data'!$B$26:$B$56,0),$V$18)</f>
        <v>#N/A</v>
      </c>
      <c r="W116" s="642" t="e">
        <f>INDEX('Barge Gauging Data'!$B$26:$V$56,MATCH($C116,'Barge Gauging Data'!$B$26:$B$56,0),$W$18)</f>
        <v>#N/A</v>
      </c>
      <c r="X116" s="642" t="e">
        <f>INDEX('Barge Gauging Data'!$B$26:$V$56,MATCH($C116,'Barge Gauging Data'!$B$26:$B$56,0),$X$18)</f>
        <v>#N/A</v>
      </c>
      <c r="Y116" s="642" t="e">
        <f>INDEX('Barge Gauging Data'!$B$26:$V$56,MATCH($C116,'Barge Gauging Data'!$B$26:$B$56,0),$Y$18)</f>
        <v>#N/A</v>
      </c>
      <c r="Z116" s="642" t="e">
        <f>INDEX('Barge Gauging Data'!$B$26:$V$56,MATCH($C116,'Barge Gauging Data'!$B$26:$B$56,0),$Z$18)</f>
        <v>#N/A</v>
      </c>
      <c r="AB116" s="642" t="e">
        <f>INDEX(API1DENST_2,MATCH($C116,'Barge Gauging Data'!$B$27:$B$56,0),1)</f>
        <v>#N/A</v>
      </c>
      <c r="AC116" s="642" t="e">
        <f t="shared" si="84"/>
        <v>#N/A</v>
      </c>
      <c r="AE116" s="661" t="e">
        <f t="shared" si="85"/>
        <v>#VALUE!</v>
      </c>
      <c r="AF116" s="661" t="e">
        <f t="shared" si="86"/>
        <v>#VALUE!</v>
      </c>
      <c r="AH116" s="662" t="str">
        <f t="shared" si="82"/>
        <v/>
      </c>
      <c r="AI116" s="662" t="str">
        <f t="shared" si="83"/>
        <v/>
      </c>
      <c r="AJ116" s="663">
        <f t="shared" si="87"/>
        <v>192.4571</v>
      </c>
      <c r="AK116" s="660">
        <f t="shared" si="88"/>
        <v>0.24379999999999999</v>
      </c>
      <c r="AL116" s="660" t="e">
        <f t="shared" si="89"/>
        <v>#VALUE!</v>
      </c>
      <c r="AM116" s="664" t="e">
        <f t="shared" si="90"/>
        <v>#VALUE!</v>
      </c>
      <c r="AN116" s="664" t="e">
        <f t="shared" si="91"/>
        <v>#VALUE!</v>
      </c>
      <c r="AO116" s="665" t="e">
        <f t="shared" si="92"/>
        <v>#VALUE!</v>
      </c>
      <c r="AP116" s="666" t="e">
        <f t="shared" si="93"/>
        <v>#VALUE!</v>
      </c>
      <c r="AQ116" s="660" t="e">
        <f t="shared" si="94"/>
        <v>#VALUE!</v>
      </c>
      <c r="AR116" s="667" t="e">
        <f t="shared" si="95"/>
        <v>#VALUE!</v>
      </c>
      <c r="AS116" s="667" t="e">
        <f t="shared" si="96"/>
        <v>#VALUE!</v>
      </c>
      <c r="AT116" s="668" t="e">
        <f t="shared" si="97"/>
        <v>#VALUE!</v>
      </c>
      <c r="AU116" s="667" t="e">
        <f t="shared" si="98"/>
        <v>#VALUE!</v>
      </c>
      <c r="AV116" s="669" t="e">
        <f t="shared" si="99"/>
        <v>#VALUE!</v>
      </c>
      <c r="AW116" s="667" t="e">
        <f t="shared" si="100"/>
        <v>#VALUE!</v>
      </c>
      <c r="AX116" s="667" t="e">
        <f t="shared" si="101"/>
        <v>#VALUE!</v>
      </c>
      <c r="AY116" s="660" t="e">
        <f t="shared" si="102"/>
        <v>#VALUE!</v>
      </c>
      <c r="AZ116" s="670" t="e">
        <f t="shared" si="103"/>
        <v>#VALUE!</v>
      </c>
      <c r="BB116" s="662" t="e">
        <f>INDEX('Barge Gauging Data'!$B$26:$V$56,MATCH($C116,'Barge Gauging Data'!$B$26:$B$56,0),$BB$18)</f>
        <v>#N/A</v>
      </c>
      <c r="BC116" s="662" t="e">
        <f>INDEX('Barge Gauging Data'!$B$26:$V$56,MATCH($C116,'Barge Gauging Data'!$B$26:$B$56,0),$BC$18)</f>
        <v>#N/A</v>
      </c>
      <c r="BD116" s="662" t="e">
        <f>INDEX('Barge Gauging Data'!$B$26:$V$56,MATCH($C116,'Barge Gauging Data'!$B$26:$B$56,0),$BD$18)</f>
        <v>#N/A</v>
      </c>
      <c r="BE116" s="662" t="e">
        <f>INDEX('Barge Gauging Data'!$B$26:$V$56,MATCH($C116,'Barge Gauging Data'!$B$26:$B$56,0),$BE$18)</f>
        <v>#N/A</v>
      </c>
    </row>
    <row r="117" spans="1:57" hidden="1">
      <c r="A117" s="641" t="str">
        <f t="shared" si="104"/>
        <v>N</v>
      </c>
      <c r="C117" s="235" t="str">
        <f t="array" ref="C117">IF(OR($E$113="",SUMPRODUCT(('Barge Gauging Data'!$C$27:$C$56=$E$113)*('Barge Gauging Data'!$D$27:$D$56=NOMY))&lt;ROWS($C$114:$C117)),"",INDEX('Barge Gauging Data'!$B$27:$B$56,SMALL(IF(('Barge Gauging Data'!$C$27:$C$56=$E$113)+('Barge Gauging Data'!$D$27:$D$56=NOMY)=2,ROW('Barge Gauging Data'!$B$27:$B$56)-ROW('Barge Gauging Data'!$C$26)),ROW()-ROW(C$113))))</f>
        <v/>
      </c>
      <c r="D117" s="211" t="str">
        <f>IF(OR($C117="",$C117=0),"",INDEX('Barge Gauging Data'!$B$26:$V$56,MATCH($C117,'Barge Gauging Data'!$B$27:$B$56,0)+1,2))</f>
        <v/>
      </c>
      <c r="E117" s="1016" t="str">
        <f t="shared" si="105"/>
        <v/>
      </c>
      <c r="F117" s="1016" t="str">
        <f t="shared" si="106"/>
        <v/>
      </c>
      <c r="G117" s="1016" t="str">
        <f t="shared" si="107"/>
        <v/>
      </c>
      <c r="H117" s="1016" t="str">
        <f t="shared" si="107"/>
        <v/>
      </c>
      <c r="I117" s="211" t="str">
        <f t="shared" si="108"/>
        <v/>
      </c>
      <c r="J117" s="1016" t="str">
        <f t="shared" si="109"/>
        <v/>
      </c>
      <c r="K117" s="213" t="str">
        <f t="shared" si="110"/>
        <v/>
      </c>
      <c r="L117" s="212" t="str">
        <f t="shared" si="111"/>
        <v/>
      </c>
      <c r="M117" s="1125" t="str">
        <f>IF(OR($C117="",$C117=0),"",INDEX(API1DENST_2,MATCH($C117,'Barge Gauging Data'!$B$27:$B$56,0),$AA$1))</f>
        <v/>
      </c>
      <c r="N117" s="212" t="str">
        <f t="shared" si="112"/>
        <v/>
      </c>
      <c r="O117" s="1016" t="str">
        <f t="shared" si="113"/>
        <v/>
      </c>
      <c r="P117" s="1125" t="str">
        <f t="shared" si="114"/>
        <v/>
      </c>
      <c r="Q117" s="1016" t="str">
        <f t="shared" si="115"/>
        <v/>
      </c>
      <c r="R117" s="214" t="str">
        <f t="shared" si="116"/>
        <v/>
      </c>
      <c r="S117" s="1125" t="str">
        <f t="shared" si="117"/>
        <v/>
      </c>
      <c r="T117" s="236" t="str">
        <f t="shared" si="118"/>
        <v/>
      </c>
      <c r="V117" s="642" t="e">
        <f>INDEX('Barge Gauging Data'!$B$26:$V$56,MATCH($C117,'Barge Gauging Data'!$B$26:$B$56,0),$V$18)</f>
        <v>#N/A</v>
      </c>
      <c r="W117" s="642" t="e">
        <f>INDEX('Barge Gauging Data'!$B$26:$V$56,MATCH($C117,'Barge Gauging Data'!$B$26:$B$56,0),$W$18)</f>
        <v>#N/A</v>
      </c>
      <c r="X117" s="642" t="e">
        <f>INDEX('Barge Gauging Data'!$B$26:$V$56,MATCH($C117,'Barge Gauging Data'!$B$26:$B$56,0),$X$18)</f>
        <v>#N/A</v>
      </c>
      <c r="Y117" s="642" t="e">
        <f>INDEX('Barge Gauging Data'!$B$26:$V$56,MATCH($C117,'Barge Gauging Data'!$B$26:$B$56,0),$Y$18)</f>
        <v>#N/A</v>
      </c>
      <c r="Z117" s="642" t="e">
        <f>INDEX('Barge Gauging Data'!$B$26:$V$56,MATCH($C117,'Barge Gauging Data'!$B$26:$B$56,0),$Z$18)</f>
        <v>#N/A</v>
      </c>
      <c r="AB117" s="642" t="e">
        <f>INDEX(API1DENST_2,MATCH($C117,'Barge Gauging Data'!$B$27:$B$56,0),1)</f>
        <v>#N/A</v>
      </c>
      <c r="AC117" s="642" t="e">
        <f t="shared" si="84"/>
        <v>#N/A</v>
      </c>
      <c r="AE117" s="661" t="e">
        <f t="shared" si="85"/>
        <v>#VALUE!</v>
      </c>
      <c r="AF117" s="661" t="e">
        <f t="shared" si="86"/>
        <v>#VALUE!</v>
      </c>
      <c r="AH117" s="662" t="str">
        <f t="shared" si="82"/>
        <v/>
      </c>
      <c r="AI117" s="662" t="str">
        <f t="shared" si="83"/>
        <v/>
      </c>
      <c r="AJ117" s="663">
        <f t="shared" si="87"/>
        <v>192.4571</v>
      </c>
      <c r="AK117" s="660">
        <f t="shared" si="88"/>
        <v>0.24379999999999999</v>
      </c>
      <c r="AL117" s="660" t="e">
        <f t="shared" si="89"/>
        <v>#VALUE!</v>
      </c>
      <c r="AM117" s="664" t="e">
        <f t="shared" si="90"/>
        <v>#VALUE!</v>
      </c>
      <c r="AN117" s="664" t="e">
        <f t="shared" si="91"/>
        <v>#VALUE!</v>
      </c>
      <c r="AO117" s="665" t="e">
        <f t="shared" si="92"/>
        <v>#VALUE!</v>
      </c>
      <c r="AP117" s="666" t="e">
        <f t="shared" si="93"/>
        <v>#VALUE!</v>
      </c>
      <c r="AQ117" s="660" t="e">
        <f t="shared" si="94"/>
        <v>#VALUE!</v>
      </c>
      <c r="AR117" s="667" t="e">
        <f t="shared" si="95"/>
        <v>#VALUE!</v>
      </c>
      <c r="AS117" s="667" t="e">
        <f t="shared" si="96"/>
        <v>#VALUE!</v>
      </c>
      <c r="AT117" s="668" t="e">
        <f t="shared" si="97"/>
        <v>#VALUE!</v>
      </c>
      <c r="AU117" s="667" t="e">
        <f t="shared" si="98"/>
        <v>#VALUE!</v>
      </c>
      <c r="AV117" s="669" t="e">
        <f t="shared" si="99"/>
        <v>#VALUE!</v>
      </c>
      <c r="AW117" s="667" t="e">
        <f t="shared" si="100"/>
        <v>#VALUE!</v>
      </c>
      <c r="AX117" s="667" t="e">
        <f t="shared" si="101"/>
        <v>#VALUE!</v>
      </c>
      <c r="AY117" s="660" t="e">
        <f t="shared" si="102"/>
        <v>#VALUE!</v>
      </c>
      <c r="AZ117" s="670" t="e">
        <f t="shared" si="103"/>
        <v>#VALUE!</v>
      </c>
      <c r="BB117" s="662" t="e">
        <f>INDEX('Barge Gauging Data'!$B$26:$V$56,MATCH($C117,'Barge Gauging Data'!$B$26:$B$56,0),$BB$18)</f>
        <v>#N/A</v>
      </c>
      <c r="BC117" s="662" t="e">
        <f>INDEX('Barge Gauging Data'!$B$26:$V$56,MATCH($C117,'Barge Gauging Data'!$B$26:$B$56,0),$BC$18)</f>
        <v>#N/A</v>
      </c>
      <c r="BD117" s="662" t="e">
        <f>INDEX('Barge Gauging Data'!$B$26:$V$56,MATCH($C117,'Barge Gauging Data'!$B$26:$B$56,0),$BD$18)</f>
        <v>#N/A</v>
      </c>
      <c r="BE117" s="662" t="e">
        <f>INDEX('Barge Gauging Data'!$B$26:$V$56,MATCH($C117,'Barge Gauging Data'!$B$26:$B$56,0),$BE$18)</f>
        <v>#N/A</v>
      </c>
    </row>
    <row r="118" spans="1:57" hidden="1">
      <c r="A118" s="641" t="str">
        <f t="shared" si="104"/>
        <v>N</v>
      </c>
      <c r="C118" s="235" t="str">
        <f t="array" ref="C118">IF(OR($E$113="",SUMPRODUCT(('Barge Gauging Data'!$C$27:$C$56=$E$113)*('Barge Gauging Data'!$D$27:$D$56=NOMY))&lt;ROWS($C$114:$C118)),"",INDEX('Barge Gauging Data'!$B$27:$B$56,SMALL(IF(('Barge Gauging Data'!$C$27:$C$56=$E$113)+('Barge Gauging Data'!$D$27:$D$56=NOMY)=2,ROW('Barge Gauging Data'!$B$27:$B$56)-ROW('Barge Gauging Data'!$C$26)),ROW()-ROW(C$113))))</f>
        <v/>
      </c>
      <c r="D118" s="211" t="str">
        <f>IF(OR($C118="",$C118=0),"",INDEX('Barge Gauging Data'!$B$26:$V$56,MATCH($C118,'Barge Gauging Data'!$B$27:$B$56,0)+1,2))</f>
        <v/>
      </c>
      <c r="E118" s="1016" t="str">
        <f t="shared" si="105"/>
        <v/>
      </c>
      <c r="F118" s="1016" t="str">
        <f t="shared" si="106"/>
        <v/>
      </c>
      <c r="G118" s="1016" t="str">
        <f t="shared" si="107"/>
        <v/>
      </c>
      <c r="H118" s="1016" t="str">
        <f t="shared" si="107"/>
        <v/>
      </c>
      <c r="I118" s="211" t="str">
        <f t="shared" si="108"/>
        <v/>
      </c>
      <c r="J118" s="1016" t="str">
        <f t="shared" si="109"/>
        <v/>
      </c>
      <c r="K118" s="213" t="str">
        <f t="shared" si="110"/>
        <v/>
      </c>
      <c r="L118" s="212" t="str">
        <f t="shared" si="111"/>
        <v/>
      </c>
      <c r="M118" s="1125" t="str">
        <f>IF(OR($C118="",$C118=0),"",INDEX(API1DENST_2,MATCH($C118,'Barge Gauging Data'!$B$27:$B$56,0),$AA$1))</f>
        <v/>
      </c>
      <c r="N118" s="212" t="str">
        <f t="shared" si="112"/>
        <v/>
      </c>
      <c r="O118" s="1016" t="str">
        <f t="shared" si="113"/>
        <v/>
      </c>
      <c r="P118" s="1125" t="str">
        <f t="shared" si="114"/>
        <v/>
      </c>
      <c r="Q118" s="1016" t="str">
        <f t="shared" si="115"/>
        <v/>
      </c>
      <c r="R118" s="214" t="str">
        <f t="shared" si="116"/>
        <v/>
      </c>
      <c r="S118" s="1125" t="str">
        <f t="shared" si="117"/>
        <v/>
      </c>
      <c r="T118" s="236" t="str">
        <f t="shared" si="118"/>
        <v/>
      </c>
      <c r="V118" s="642" t="e">
        <f>INDEX('Barge Gauging Data'!$B$26:$V$56,MATCH($C118,'Barge Gauging Data'!$B$26:$B$56,0),$V$18)</f>
        <v>#N/A</v>
      </c>
      <c r="W118" s="642" t="e">
        <f>INDEX('Barge Gauging Data'!$B$26:$V$56,MATCH($C118,'Barge Gauging Data'!$B$26:$B$56,0),$W$18)</f>
        <v>#N/A</v>
      </c>
      <c r="X118" s="642" t="e">
        <f>INDEX('Barge Gauging Data'!$B$26:$V$56,MATCH($C118,'Barge Gauging Data'!$B$26:$B$56,0),$X$18)</f>
        <v>#N/A</v>
      </c>
      <c r="Y118" s="642" t="e">
        <f>INDEX('Barge Gauging Data'!$B$26:$V$56,MATCH($C118,'Barge Gauging Data'!$B$26:$B$56,0),$Y$18)</f>
        <v>#N/A</v>
      </c>
      <c r="Z118" s="642" t="e">
        <f>INDEX('Barge Gauging Data'!$B$26:$V$56,MATCH($C118,'Barge Gauging Data'!$B$26:$B$56,0),$Z$18)</f>
        <v>#N/A</v>
      </c>
      <c r="AB118" s="642" t="e">
        <f>INDEX(API1DENST_2,MATCH($C118,'Barge Gauging Data'!$B$27:$B$56,0),1)</f>
        <v>#N/A</v>
      </c>
      <c r="AC118" s="642" t="e">
        <f t="shared" si="84"/>
        <v>#N/A</v>
      </c>
      <c r="AE118" s="661" t="e">
        <f t="shared" si="85"/>
        <v>#VALUE!</v>
      </c>
      <c r="AF118" s="661" t="e">
        <f t="shared" si="86"/>
        <v>#VALUE!</v>
      </c>
      <c r="AH118" s="662" t="str">
        <f t="shared" si="82"/>
        <v/>
      </c>
      <c r="AI118" s="662" t="str">
        <f t="shared" si="83"/>
        <v/>
      </c>
      <c r="AJ118" s="663">
        <f t="shared" si="87"/>
        <v>192.4571</v>
      </c>
      <c r="AK118" s="660">
        <f t="shared" si="88"/>
        <v>0.24379999999999999</v>
      </c>
      <c r="AL118" s="660" t="e">
        <f t="shared" si="89"/>
        <v>#VALUE!</v>
      </c>
      <c r="AM118" s="664" t="e">
        <f t="shared" si="90"/>
        <v>#VALUE!</v>
      </c>
      <c r="AN118" s="664" t="e">
        <f t="shared" si="91"/>
        <v>#VALUE!</v>
      </c>
      <c r="AO118" s="665" t="e">
        <f t="shared" si="92"/>
        <v>#VALUE!</v>
      </c>
      <c r="AP118" s="666" t="e">
        <f t="shared" si="93"/>
        <v>#VALUE!</v>
      </c>
      <c r="AQ118" s="660" t="e">
        <f t="shared" si="94"/>
        <v>#VALUE!</v>
      </c>
      <c r="AR118" s="667" t="e">
        <f t="shared" si="95"/>
        <v>#VALUE!</v>
      </c>
      <c r="AS118" s="667" t="e">
        <f t="shared" si="96"/>
        <v>#VALUE!</v>
      </c>
      <c r="AT118" s="668" t="e">
        <f t="shared" si="97"/>
        <v>#VALUE!</v>
      </c>
      <c r="AU118" s="667" t="e">
        <f t="shared" si="98"/>
        <v>#VALUE!</v>
      </c>
      <c r="AV118" s="669" t="e">
        <f t="shared" si="99"/>
        <v>#VALUE!</v>
      </c>
      <c r="AW118" s="667" t="e">
        <f t="shared" si="100"/>
        <v>#VALUE!</v>
      </c>
      <c r="AX118" s="667" t="e">
        <f t="shared" si="101"/>
        <v>#VALUE!</v>
      </c>
      <c r="AY118" s="660" t="e">
        <f t="shared" si="102"/>
        <v>#VALUE!</v>
      </c>
      <c r="AZ118" s="670" t="e">
        <f t="shared" si="103"/>
        <v>#VALUE!</v>
      </c>
      <c r="BB118" s="662" t="e">
        <f>INDEX('Barge Gauging Data'!$B$26:$V$56,MATCH($C118,'Barge Gauging Data'!$B$26:$B$56,0),$BB$18)</f>
        <v>#N/A</v>
      </c>
      <c r="BC118" s="662" t="e">
        <f>INDEX('Barge Gauging Data'!$B$26:$V$56,MATCH($C118,'Barge Gauging Data'!$B$26:$B$56,0),$BC$18)</f>
        <v>#N/A</v>
      </c>
      <c r="BD118" s="662" t="e">
        <f>INDEX('Barge Gauging Data'!$B$26:$V$56,MATCH($C118,'Barge Gauging Data'!$B$26:$B$56,0),$BD$18)</f>
        <v>#N/A</v>
      </c>
      <c r="BE118" s="662" t="e">
        <f>INDEX('Barge Gauging Data'!$B$26:$V$56,MATCH($C118,'Barge Gauging Data'!$B$26:$B$56,0),$BE$18)</f>
        <v>#N/A</v>
      </c>
    </row>
    <row r="119" spans="1:57" hidden="1">
      <c r="A119" s="641" t="str">
        <f t="shared" si="104"/>
        <v>N</v>
      </c>
      <c r="C119" s="235" t="str">
        <f t="array" ref="C119">IF(OR($E$113="",SUMPRODUCT(('Barge Gauging Data'!$C$27:$C$56=$E$113)*('Barge Gauging Data'!$D$27:$D$56=NOMY))&lt;ROWS($C$114:$C119)),"",INDEX('Barge Gauging Data'!$B$27:$B$56,SMALL(IF(('Barge Gauging Data'!$C$27:$C$56=$E$113)+('Barge Gauging Data'!$D$27:$D$56=NOMY)=2,ROW('Barge Gauging Data'!$B$27:$B$56)-ROW('Barge Gauging Data'!$C$26)),ROW()-ROW(C$113))))</f>
        <v/>
      </c>
      <c r="D119" s="211" t="str">
        <f>IF(OR($C119="",$C119=0),"",INDEX('Barge Gauging Data'!$B$26:$V$56,MATCH($C119,'Barge Gauging Data'!$B$27:$B$56,0)+1,2))</f>
        <v/>
      </c>
      <c r="E119" s="1016" t="str">
        <f t="shared" si="105"/>
        <v/>
      </c>
      <c r="F119" s="1016" t="str">
        <f t="shared" si="106"/>
        <v/>
      </c>
      <c r="G119" s="1016" t="str">
        <f t="shared" si="107"/>
        <v/>
      </c>
      <c r="H119" s="1016" t="str">
        <f t="shared" si="107"/>
        <v/>
      </c>
      <c r="I119" s="211" t="str">
        <f t="shared" si="108"/>
        <v/>
      </c>
      <c r="J119" s="1016" t="str">
        <f t="shared" si="109"/>
        <v/>
      </c>
      <c r="K119" s="213" t="str">
        <f t="shared" si="110"/>
        <v/>
      </c>
      <c r="L119" s="212" t="str">
        <f t="shared" si="111"/>
        <v/>
      </c>
      <c r="M119" s="1125" t="str">
        <f>IF(OR($C119="",$C119=0),"",INDEX(API1DENST_2,MATCH($C119,'Barge Gauging Data'!$B$27:$B$56,0),$AA$1))</f>
        <v/>
      </c>
      <c r="N119" s="212" t="str">
        <f t="shared" si="112"/>
        <v/>
      </c>
      <c r="O119" s="1016" t="str">
        <f t="shared" si="113"/>
        <v/>
      </c>
      <c r="P119" s="1125" t="str">
        <f t="shared" si="114"/>
        <v/>
      </c>
      <c r="Q119" s="1016" t="str">
        <f t="shared" si="115"/>
        <v/>
      </c>
      <c r="R119" s="214" t="str">
        <f t="shared" si="116"/>
        <v/>
      </c>
      <c r="S119" s="1125" t="str">
        <f t="shared" si="117"/>
        <v/>
      </c>
      <c r="T119" s="236" t="str">
        <f t="shared" si="118"/>
        <v/>
      </c>
      <c r="V119" s="642" t="e">
        <f>INDEX('Barge Gauging Data'!$B$26:$V$56,MATCH($C119,'Barge Gauging Data'!$B$26:$B$56,0),$V$18)</f>
        <v>#N/A</v>
      </c>
      <c r="W119" s="642" t="e">
        <f>INDEX('Barge Gauging Data'!$B$26:$V$56,MATCH($C119,'Barge Gauging Data'!$B$26:$B$56,0),$W$18)</f>
        <v>#N/A</v>
      </c>
      <c r="X119" s="642" t="e">
        <f>INDEX('Barge Gauging Data'!$B$26:$V$56,MATCH($C119,'Barge Gauging Data'!$B$26:$B$56,0),$X$18)</f>
        <v>#N/A</v>
      </c>
      <c r="Y119" s="642" t="e">
        <f>INDEX('Barge Gauging Data'!$B$26:$V$56,MATCH($C119,'Barge Gauging Data'!$B$26:$B$56,0),$Y$18)</f>
        <v>#N/A</v>
      </c>
      <c r="Z119" s="642" t="e">
        <f>INDEX('Barge Gauging Data'!$B$26:$V$56,MATCH($C119,'Barge Gauging Data'!$B$26:$B$56,0),$Z$18)</f>
        <v>#N/A</v>
      </c>
      <c r="AB119" s="642" t="e">
        <f>INDEX(API1DENST_2,MATCH($C119,'Barge Gauging Data'!$B$27:$B$56,0),1)</f>
        <v>#N/A</v>
      </c>
      <c r="AC119" s="642" t="e">
        <f t="shared" si="84"/>
        <v>#N/A</v>
      </c>
      <c r="AE119" s="661" t="e">
        <f t="shared" si="85"/>
        <v>#VALUE!</v>
      </c>
      <c r="AF119" s="661" t="e">
        <f t="shared" si="86"/>
        <v>#VALUE!</v>
      </c>
      <c r="AH119" s="662" t="str">
        <f t="shared" si="82"/>
        <v/>
      </c>
      <c r="AI119" s="662" t="str">
        <f t="shared" si="83"/>
        <v/>
      </c>
      <c r="AJ119" s="663">
        <f t="shared" si="87"/>
        <v>192.4571</v>
      </c>
      <c r="AK119" s="660">
        <f t="shared" si="88"/>
        <v>0.24379999999999999</v>
      </c>
      <c r="AL119" s="660" t="e">
        <f t="shared" si="89"/>
        <v>#VALUE!</v>
      </c>
      <c r="AM119" s="664" t="e">
        <f t="shared" si="90"/>
        <v>#VALUE!</v>
      </c>
      <c r="AN119" s="664" t="e">
        <f t="shared" si="91"/>
        <v>#VALUE!</v>
      </c>
      <c r="AO119" s="665" t="e">
        <f t="shared" si="92"/>
        <v>#VALUE!</v>
      </c>
      <c r="AP119" s="666" t="e">
        <f t="shared" si="93"/>
        <v>#VALUE!</v>
      </c>
      <c r="AQ119" s="660" t="e">
        <f t="shared" si="94"/>
        <v>#VALUE!</v>
      </c>
      <c r="AR119" s="667" t="e">
        <f t="shared" si="95"/>
        <v>#VALUE!</v>
      </c>
      <c r="AS119" s="667" t="e">
        <f t="shared" si="96"/>
        <v>#VALUE!</v>
      </c>
      <c r="AT119" s="668" t="e">
        <f t="shared" si="97"/>
        <v>#VALUE!</v>
      </c>
      <c r="AU119" s="667" t="e">
        <f t="shared" si="98"/>
        <v>#VALUE!</v>
      </c>
      <c r="AV119" s="669" t="e">
        <f t="shared" si="99"/>
        <v>#VALUE!</v>
      </c>
      <c r="AW119" s="667" t="e">
        <f t="shared" si="100"/>
        <v>#VALUE!</v>
      </c>
      <c r="AX119" s="667" t="e">
        <f t="shared" si="101"/>
        <v>#VALUE!</v>
      </c>
      <c r="AY119" s="660" t="e">
        <f t="shared" si="102"/>
        <v>#VALUE!</v>
      </c>
      <c r="AZ119" s="670" t="e">
        <f t="shared" si="103"/>
        <v>#VALUE!</v>
      </c>
      <c r="BB119" s="662" t="e">
        <f>INDEX('Barge Gauging Data'!$B$26:$V$56,MATCH($C119,'Barge Gauging Data'!$B$26:$B$56,0),$BB$18)</f>
        <v>#N/A</v>
      </c>
      <c r="BC119" s="662" t="e">
        <f>INDEX('Barge Gauging Data'!$B$26:$V$56,MATCH($C119,'Barge Gauging Data'!$B$26:$B$56,0),$BC$18)</f>
        <v>#N/A</v>
      </c>
      <c r="BD119" s="662" t="e">
        <f>INDEX('Barge Gauging Data'!$B$26:$V$56,MATCH($C119,'Barge Gauging Data'!$B$26:$B$56,0),$BD$18)</f>
        <v>#N/A</v>
      </c>
      <c r="BE119" s="662" t="e">
        <f>INDEX('Barge Gauging Data'!$B$26:$V$56,MATCH($C119,'Barge Gauging Data'!$B$26:$B$56,0),$BE$18)</f>
        <v>#N/A</v>
      </c>
    </row>
    <row r="120" spans="1:57" hidden="1">
      <c r="A120" s="641" t="str">
        <f t="shared" si="104"/>
        <v>N</v>
      </c>
      <c r="C120" s="235" t="str">
        <f t="array" ref="C120">IF(OR($E$113="",SUMPRODUCT(('Barge Gauging Data'!$C$27:$C$56=$E$113)*('Barge Gauging Data'!$D$27:$D$56=NOMY))&lt;ROWS($C$114:$C120)),"",INDEX('Barge Gauging Data'!$B$27:$B$56,SMALL(IF(('Barge Gauging Data'!$C$27:$C$56=$E$113)+('Barge Gauging Data'!$D$27:$D$56=NOMY)=2,ROW('Barge Gauging Data'!$B$27:$B$56)-ROW('Barge Gauging Data'!$C$26)),ROW()-ROW(C$113))))</f>
        <v/>
      </c>
      <c r="D120" s="211" t="str">
        <f>IF(OR($C120="",$C120=0),"",INDEX('Barge Gauging Data'!$B$26:$V$56,MATCH($C120,'Barge Gauging Data'!$B$27:$B$56,0)+1,2))</f>
        <v/>
      </c>
      <c r="E120" s="1016" t="str">
        <f t="shared" si="105"/>
        <v/>
      </c>
      <c r="F120" s="1016" t="str">
        <f t="shared" si="106"/>
        <v/>
      </c>
      <c r="G120" s="1016" t="str">
        <f t="shared" si="107"/>
        <v/>
      </c>
      <c r="H120" s="1016" t="str">
        <f t="shared" si="107"/>
        <v/>
      </c>
      <c r="I120" s="211" t="str">
        <f t="shared" si="108"/>
        <v/>
      </c>
      <c r="J120" s="1016" t="str">
        <f t="shared" si="109"/>
        <v/>
      </c>
      <c r="K120" s="213" t="str">
        <f t="shared" si="110"/>
        <v/>
      </c>
      <c r="L120" s="212" t="str">
        <f t="shared" si="111"/>
        <v/>
      </c>
      <c r="M120" s="1125" t="str">
        <f>IF(OR($C120="",$C120=0),"",INDEX(API1DENST_2,MATCH($C120,'Barge Gauging Data'!$B$27:$B$56,0),$AA$1))</f>
        <v/>
      </c>
      <c r="N120" s="212" t="str">
        <f t="shared" si="112"/>
        <v/>
      </c>
      <c r="O120" s="1016" t="str">
        <f t="shared" si="113"/>
        <v/>
      </c>
      <c r="P120" s="1125" t="str">
        <f t="shared" si="114"/>
        <v/>
      </c>
      <c r="Q120" s="1016" t="str">
        <f t="shared" si="115"/>
        <v/>
      </c>
      <c r="R120" s="214" t="str">
        <f t="shared" si="116"/>
        <v/>
      </c>
      <c r="S120" s="1125" t="str">
        <f t="shared" si="117"/>
        <v/>
      </c>
      <c r="T120" s="236" t="str">
        <f t="shared" si="118"/>
        <v/>
      </c>
      <c r="V120" s="642" t="e">
        <f>INDEX('Barge Gauging Data'!$B$26:$V$56,MATCH($C120,'Barge Gauging Data'!$B$26:$B$56,0),$V$18)</f>
        <v>#N/A</v>
      </c>
      <c r="W120" s="642" t="e">
        <f>INDEX('Barge Gauging Data'!$B$26:$V$56,MATCH($C120,'Barge Gauging Data'!$B$26:$B$56,0),$W$18)</f>
        <v>#N/A</v>
      </c>
      <c r="X120" s="642" t="e">
        <f>INDEX('Barge Gauging Data'!$B$26:$V$56,MATCH($C120,'Barge Gauging Data'!$B$26:$B$56,0),$X$18)</f>
        <v>#N/A</v>
      </c>
      <c r="Y120" s="642" t="e">
        <f>INDEX('Barge Gauging Data'!$B$26:$V$56,MATCH($C120,'Barge Gauging Data'!$B$26:$B$56,0),$Y$18)</f>
        <v>#N/A</v>
      </c>
      <c r="Z120" s="642" t="e">
        <f>INDEX('Barge Gauging Data'!$B$26:$V$56,MATCH($C120,'Barge Gauging Data'!$B$26:$B$56,0),$Z$18)</f>
        <v>#N/A</v>
      </c>
      <c r="AB120" s="642" t="e">
        <f>INDEX(API1DENST_2,MATCH($C120,'Barge Gauging Data'!$B$27:$B$56,0),1)</f>
        <v>#N/A</v>
      </c>
      <c r="AC120" s="642" t="e">
        <f t="shared" si="84"/>
        <v>#N/A</v>
      </c>
      <c r="AE120" s="661" t="e">
        <f t="shared" si="85"/>
        <v>#VALUE!</v>
      </c>
      <c r="AF120" s="661" t="e">
        <f t="shared" si="86"/>
        <v>#VALUE!</v>
      </c>
      <c r="AH120" s="662" t="str">
        <f t="shared" si="82"/>
        <v/>
      </c>
      <c r="AI120" s="662" t="str">
        <f t="shared" si="83"/>
        <v/>
      </c>
      <c r="AJ120" s="663">
        <f t="shared" si="87"/>
        <v>192.4571</v>
      </c>
      <c r="AK120" s="660">
        <f t="shared" si="88"/>
        <v>0.24379999999999999</v>
      </c>
      <c r="AL120" s="660" t="e">
        <f t="shared" si="89"/>
        <v>#VALUE!</v>
      </c>
      <c r="AM120" s="664" t="e">
        <f t="shared" si="90"/>
        <v>#VALUE!</v>
      </c>
      <c r="AN120" s="664" t="e">
        <f t="shared" si="91"/>
        <v>#VALUE!</v>
      </c>
      <c r="AO120" s="665" t="e">
        <f t="shared" si="92"/>
        <v>#VALUE!</v>
      </c>
      <c r="AP120" s="666" t="e">
        <f t="shared" si="93"/>
        <v>#VALUE!</v>
      </c>
      <c r="AQ120" s="660" t="e">
        <f t="shared" si="94"/>
        <v>#VALUE!</v>
      </c>
      <c r="AR120" s="667" t="e">
        <f t="shared" si="95"/>
        <v>#VALUE!</v>
      </c>
      <c r="AS120" s="667" t="e">
        <f t="shared" si="96"/>
        <v>#VALUE!</v>
      </c>
      <c r="AT120" s="668" t="e">
        <f t="shared" si="97"/>
        <v>#VALUE!</v>
      </c>
      <c r="AU120" s="667" t="e">
        <f t="shared" si="98"/>
        <v>#VALUE!</v>
      </c>
      <c r="AV120" s="669" t="e">
        <f t="shared" si="99"/>
        <v>#VALUE!</v>
      </c>
      <c r="AW120" s="667" t="e">
        <f t="shared" si="100"/>
        <v>#VALUE!</v>
      </c>
      <c r="AX120" s="667" t="e">
        <f t="shared" si="101"/>
        <v>#VALUE!</v>
      </c>
      <c r="AY120" s="660" t="e">
        <f t="shared" si="102"/>
        <v>#VALUE!</v>
      </c>
      <c r="AZ120" s="670" t="e">
        <f t="shared" si="103"/>
        <v>#VALUE!</v>
      </c>
      <c r="BB120" s="662" t="e">
        <f>INDEX('Barge Gauging Data'!$B$26:$V$56,MATCH($C120,'Barge Gauging Data'!$B$26:$B$56,0),$BB$18)</f>
        <v>#N/A</v>
      </c>
      <c r="BC120" s="662" t="e">
        <f>INDEX('Barge Gauging Data'!$B$26:$V$56,MATCH($C120,'Barge Gauging Data'!$B$26:$B$56,0),$BC$18)</f>
        <v>#N/A</v>
      </c>
      <c r="BD120" s="662" t="e">
        <f>INDEX('Barge Gauging Data'!$B$26:$V$56,MATCH($C120,'Barge Gauging Data'!$B$26:$B$56,0),$BD$18)</f>
        <v>#N/A</v>
      </c>
      <c r="BE120" s="662" t="e">
        <f>INDEX('Barge Gauging Data'!$B$26:$V$56,MATCH($C120,'Barge Gauging Data'!$B$26:$B$56,0),$BE$18)</f>
        <v>#N/A</v>
      </c>
    </row>
    <row r="121" spans="1:57" hidden="1">
      <c r="A121" s="641" t="str">
        <f t="shared" si="104"/>
        <v>N</v>
      </c>
      <c r="C121" s="235" t="str">
        <f t="array" ref="C121">IF(OR($E$113="",SUMPRODUCT(('Barge Gauging Data'!$C$27:$C$56=$E$113)*('Barge Gauging Data'!$D$27:$D$56=NOMY))&lt;ROWS($C$114:$C121)),"",INDEX('Barge Gauging Data'!$B$27:$B$56,SMALL(IF(('Barge Gauging Data'!$C$27:$C$56=$E$113)+('Barge Gauging Data'!$D$27:$D$56=NOMY)=2,ROW('Barge Gauging Data'!$B$27:$B$56)-ROW('Barge Gauging Data'!$C$26)),ROW()-ROW(C$113))))</f>
        <v/>
      </c>
      <c r="D121" s="211" t="str">
        <f>IF(OR($C121="",$C121=0),"",INDEX('Barge Gauging Data'!$B$26:$V$56,MATCH($C121,'Barge Gauging Data'!$B$27:$B$56,0)+1,2))</f>
        <v/>
      </c>
      <c r="E121" s="1016" t="str">
        <f t="shared" si="105"/>
        <v/>
      </c>
      <c r="F121" s="1016" t="str">
        <f t="shared" si="106"/>
        <v/>
      </c>
      <c r="G121" s="1016" t="str">
        <f t="shared" si="107"/>
        <v/>
      </c>
      <c r="H121" s="1016" t="str">
        <f t="shared" si="107"/>
        <v/>
      </c>
      <c r="I121" s="211" t="str">
        <f t="shared" si="108"/>
        <v/>
      </c>
      <c r="J121" s="1016" t="str">
        <f t="shared" si="109"/>
        <v/>
      </c>
      <c r="K121" s="213" t="str">
        <f t="shared" si="110"/>
        <v/>
      </c>
      <c r="L121" s="212" t="str">
        <f t="shared" si="111"/>
        <v/>
      </c>
      <c r="M121" s="1125" t="str">
        <f>IF(OR($C121="",$C121=0),"",INDEX(API1DENST_2,MATCH($C121,'Barge Gauging Data'!$B$27:$B$56,0),$AA$1))</f>
        <v/>
      </c>
      <c r="N121" s="212" t="str">
        <f t="shared" si="112"/>
        <v/>
      </c>
      <c r="O121" s="1016" t="str">
        <f t="shared" si="113"/>
        <v/>
      </c>
      <c r="P121" s="1125" t="str">
        <f t="shared" si="114"/>
        <v/>
      </c>
      <c r="Q121" s="1016" t="str">
        <f t="shared" si="115"/>
        <v/>
      </c>
      <c r="R121" s="214" t="str">
        <f t="shared" si="116"/>
        <v/>
      </c>
      <c r="S121" s="1125" t="str">
        <f t="shared" si="117"/>
        <v/>
      </c>
      <c r="T121" s="236" t="str">
        <f t="shared" si="118"/>
        <v/>
      </c>
      <c r="V121" s="642" t="e">
        <f>INDEX('Barge Gauging Data'!$B$26:$V$56,MATCH($C121,'Barge Gauging Data'!$B$26:$B$56,0),$V$18)</f>
        <v>#N/A</v>
      </c>
      <c r="W121" s="642" t="e">
        <f>INDEX('Barge Gauging Data'!$B$26:$V$56,MATCH($C121,'Barge Gauging Data'!$B$26:$B$56,0),$W$18)</f>
        <v>#N/A</v>
      </c>
      <c r="X121" s="642" t="e">
        <f>INDEX('Barge Gauging Data'!$B$26:$V$56,MATCH($C121,'Barge Gauging Data'!$B$26:$B$56,0),$X$18)</f>
        <v>#N/A</v>
      </c>
      <c r="Y121" s="642" t="e">
        <f>INDEX('Barge Gauging Data'!$B$26:$V$56,MATCH($C121,'Barge Gauging Data'!$B$26:$B$56,0),$Y$18)</f>
        <v>#N/A</v>
      </c>
      <c r="Z121" s="642" t="e">
        <f>INDEX('Barge Gauging Data'!$B$26:$V$56,MATCH($C121,'Barge Gauging Data'!$B$26:$B$56,0),$Z$18)</f>
        <v>#N/A</v>
      </c>
      <c r="AB121" s="642" t="e">
        <f>INDEX(API1DENST_2,MATCH($C121,'Barge Gauging Data'!$B$27:$B$56,0),1)</f>
        <v>#N/A</v>
      </c>
      <c r="AC121" s="642" t="e">
        <f t="shared" si="84"/>
        <v>#N/A</v>
      </c>
      <c r="AE121" s="661" t="e">
        <f t="shared" si="85"/>
        <v>#VALUE!</v>
      </c>
      <c r="AF121" s="661" t="e">
        <f t="shared" si="86"/>
        <v>#VALUE!</v>
      </c>
      <c r="AH121" s="662" t="str">
        <f t="shared" si="82"/>
        <v/>
      </c>
      <c r="AI121" s="662" t="str">
        <f t="shared" si="83"/>
        <v/>
      </c>
      <c r="AJ121" s="663">
        <f t="shared" si="87"/>
        <v>192.4571</v>
      </c>
      <c r="AK121" s="660">
        <f t="shared" si="88"/>
        <v>0.24379999999999999</v>
      </c>
      <c r="AL121" s="660" t="e">
        <f t="shared" si="89"/>
        <v>#VALUE!</v>
      </c>
      <c r="AM121" s="664" t="e">
        <f t="shared" si="90"/>
        <v>#VALUE!</v>
      </c>
      <c r="AN121" s="664" t="e">
        <f t="shared" si="91"/>
        <v>#VALUE!</v>
      </c>
      <c r="AO121" s="665" t="e">
        <f t="shared" si="92"/>
        <v>#VALUE!</v>
      </c>
      <c r="AP121" s="666" t="e">
        <f t="shared" si="93"/>
        <v>#VALUE!</v>
      </c>
      <c r="AQ121" s="660" t="e">
        <f t="shared" si="94"/>
        <v>#VALUE!</v>
      </c>
      <c r="AR121" s="667" t="e">
        <f t="shared" si="95"/>
        <v>#VALUE!</v>
      </c>
      <c r="AS121" s="667" t="e">
        <f t="shared" si="96"/>
        <v>#VALUE!</v>
      </c>
      <c r="AT121" s="668" t="e">
        <f t="shared" si="97"/>
        <v>#VALUE!</v>
      </c>
      <c r="AU121" s="667" t="e">
        <f t="shared" si="98"/>
        <v>#VALUE!</v>
      </c>
      <c r="AV121" s="669" t="e">
        <f t="shared" si="99"/>
        <v>#VALUE!</v>
      </c>
      <c r="AW121" s="667" t="e">
        <f t="shared" si="100"/>
        <v>#VALUE!</v>
      </c>
      <c r="AX121" s="667" t="e">
        <f t="shared" si="101"/>
        <v>#VALUE!</v>
      </c>
      <c r="AY121" s="660" t="e">
        <f t="shared" si="102"/>
        <v>#VALUE!</v>
      </c>
      <c r="AZ121" s="670" t="e">
        <f t="shared" si="103"/>
        <v>#VALUE!</v>
      </c>
      <c r="BB121" s="662" t="e">
        <f>INDEX('Barge Gauging Data'!$B$26:$V$56,MATCH($C121,'Barge Gauging Data'!$B$26:$B$56,0),$BB$18)</f>
        <v>#N/A</v>
      </c>
      <c r="BC121" s="662" t="e">
        <f>INDEX('Barge Gauging Data'!$B$26:$V$56,MATCH($C121,'Barge Gauging Data'!$B$26:$B$56,0),$BC$18)</f>
        <v>#N/A</v>
      </c>
      <c r="BD121" s="662" t="e">
        <f>INDEX('Barge Gauging Data'!$B$26:$V$56,MATCH($C121,'Barge Gauging Data'!$B$26:$B$56,0),$BD$18)</f>
        <v>#N/A</v>
      </c>
      <c r="BE121" s="662" t="e">
        <f>INDEX('Barge Gauging Data'!$B$26:$V$56,MATCH($C121,'Barge Gauging Data'!$B$26:$B$56,0),$BE$18)</f>
        <v>#N/A</v>
      </c>
    </row>
    <row r="122" spans="1:57" hidden="1">
      <c r="A122" s="641" t="str">
        <f t="shared" si="104"/>
        <v>N</v>
      </c>
      <c r="C122" s="235" t="str">
        <f t="array" ref="C122">IF(OR($E$113="",SUMPRODUCT(('Barge Gauging Data'!$C$27:$C$56=$E$113)*('Barge Gauging Data'!$D$27:$D$56=NOMY))&lt;ROWS($C$114:$C122)),"",INDEX('Barge Gauging Data'!$B$27:$B$56,SMALL(IF(('Barge Gauging Data'!$C$27:$C$56=$E$113)+('Barge Gauging Data'!$D$27:$D$56=NOMY)=2,ROW('Barge Gauging Data'!$B$27:$B$56)-ROW('Barge Gauging Data'!$C$26)),ROW()-ROW(C$113))))</f>
        <v/>
      </c>
      <c r="D122" s="211" t="str">
        <f>IF(OR($C122="",$C122=0),"",INDEX('Barge Gauging Data'!$B$26:$V$56,MATCH($C122,'Barge Gauging Data'!$B$27:$B$56,0)+1,2))</f>
        <v/>
      </c>
      <c r="E122" s="1016" t="str">
        <f t="shared" si="105"/>
        <v/>
      </c>
      <c r="F122" s="1016" t="str">
        <f t="shared" si="106"/>
        <v/>
      </c>
      <c r="G122" s="1016" t="str">
        <f t="shared" si="107"/>
        <v/>
      </c>
      <c r="H122" s="1016" t="str">
        <f t="shared" si="107"/>
        <v/>
      </c>
      <c r="I122" s="211" t="str">
        <f t="shared" si="108"/>
        <v/>
      </c>
      <c r="J122" s="1016" t="str">
        <f t="shared" si="109"/>
        <v/>
      </c>
      <c r="K122" s="213" t="str">
        <f t="shared" si="110"/>
        <v/>
      </c>
      <c r="L122" s="212" t="str">
        <f t="shared" si="111"/>
        <v/>
      </c>
      <c r="M122" s="1125" t="str">
        <f>IF(OR($C122="",$C122=0),"",INDEX(API1DENST_2,MATCH($C122,'Barge Gauging Data'!$B$27:$B$56,0),$AA$1))</f>
        <v/>
      </c>
      <c r="N122" s="212" t="str">
        <f t="shared" si="112"/>
        <v/>
      </c>
      <c r="O122" s="1016" t="str">
        <f t="shared" si="113"/>
        <v/>
      </c>
      <c r="P122" s="1125" t="str">
        <f t="shared" si="114"/>
        <v/>
      </c>
      <c r="Q122" s="1016" t="str">
        <f t="shared" si="115"/>
        <v/>
      </c>
      <c r="R122" s="214" t="str">
        <f t="shared" si="116"/>
        <v/>
      </c>
      <c r="S122" s="1125" t="str">
        <f t="shared" si="117"/>
        <v/>
      </c>
      <c r="T122" s="236" t="str">
        <f t="shared" si="118"/>
        <v/>
      </c>
      <c r="V122" s="642" t="e">
        <f>INDEX('Barge Gauging Data'!$B$26:$V$56,MATCH($C122,'Barge Gauging Data'!$B$26:$B$56,0),$V$18)</f>
        <v>#N/A</v>
      </c>
      <c r="W122" s="642" t="e">
        <f>INDEX('Barge Gauging Data'!$B$26:$V$56,MATCH($C122,'Barge Gauging Data'!$B$26:$B$56,0),$W$18)</f>
        <v>#N/A</v>
      </c>
      <c r="X122" s="642" t="e">
        <f>INDEX('Barge Gauging Data'!$B$26:$V$56,MATCH($C122,'Barge Gauging Data'!$B$26:$B$56,0),$X$18)</f>
        <v>#N/A</v>
      </c>
      <c r="Y122" s="642" t="e">
        <f>INDEX('Barge Gauging Data'!$B$26:$V$56,MATCH($C122,'Barge Gauging Data'!$B$26:$B$56,0),$Y$18)</f>
        <v>#N/A</v>
      </c>
      <c r="Z122" s="642" t="e">
        <f>INDEX('Barge Gauging Data'!$B$26:$V$56,MATCH($C122,'Barge Gauging Data'!$B$26:$B$56,0),$Z$18)</f>
        <v>#N/A</v>
      </c>
      <c r="AB122" s="642" t="e">
        <f>INDEX(API1DENST_2,MATCH($C122,'Barge Gauging Data'!$B$27:$B$56,0),1)</f>
        <v>#N/A</v>
      </c>
      <c r="AC122" s="642" t="e">
        <f t="shared" si="84"/>
        <v>#N/A</v>
      </c>
      <c r="AE122" s="661" t="e">
        <f t="shared" si="85"/>
        <v>#VALUE!</v>
      </c>
      <c r="AF122" s="661" t="e">
        <f t="shared" si="86"/>
        <v>#VALUE!</v>
      </c>
      <c r="AH122" s="662" t="str">
        <f t="shared" si="82"/>
        <v/>
      </c>
      <c r="AI122" s="662" t="str">
        <f t="shared" si="83"/>
        <v/>
      </c>
      <c r="AJ122" s="663">
        <f t="shared" si="87"/>
        <v>192.4571</v>
      </c>
      <c r="AK122" s="660">
        <f t="shared" si="88"/>
        <v>0.24379999999999999</v>
      </c>
      <c r="AL122" s="660" t="e">
        <f t="shared" si="89"/>
        <v>#VALUE!</v>
      </c>
      <c r="AM122" s="664" t="e">
        <f t="shared" si="90"/>
        <v>#VALUE!</v>
      </c>
      <c r="AN122" s="664" t="e">
        <f t="shared" si="91"/>
        <v>#VALUE!</v>
      </c>
      <c r="AO122" s="665" t="e">
        <f t="shared" si="92"/>
        <v>#VALUE!</v>
      </c>
      <c r="AP122" s="666" t="e">
        <f t="shared" si="93"/>
        <v>#VALUE!</v>
      </c>
      <c r="AQ122" s="660" t="e">
        <f t="shared" si="94"/>
        <v>#VALUE!</v>
      </c>
      <c r="AR122" s="667" t="e">
        <f t="shared" si="95"/>
        <v>#VALUE!</v>
      </c>
      <c r="AS122" s="667" t="e">
        <f t="shared" si="96"/>
        <v>#VALUE!</v>
      </c>
      <c r="AT122" s="668" t="e">
        <f t="shared" si="97"/>
        <v>#VALUE!</v>
      </c>
      <c r="AU122" s="667" t="e">
        <f t="shared" si="98"/>
        <v>#VALUE!</v>
      </c>
      <c r="AV122" s="669" t="e">
        <f t="shared" si="99"/>
        <v>#VALUE!</v>
      </c>
      <c r="AW122" s="667" t="e">
        <f t="shared" si="100"/>
        <v>#VALUE!</v>
      </c>
      <c r="AX122" s="667" t="e">
        <f t="shared" si="101"/>
        <v>#VALUE!</v>
      </c>
      <c r="AY122" s="660" t="e">
        <f t="shared" si="102"/>
        <v>#VALUE!</v>
      </c>
      <c r="AZ122" s="670" t="e">
        <f t="shared" si="103"/>
        <v>#VALUE!</v>
      </c>
      <c r="BB122" s="662" t="e">
        <f>INDEX('Barge Gauging Data'!$B$26:$V$56,MATCH($C122,'Barge Gauging Data'!$B$26:$B$56,0),$BB$18)</f>
        <v>#N/A</v>
      </c>
      <c r="BC122" s="662" t="e">
        <f>INDEX('Barge Gauging Data'!$B$26:$V$56,MATCH($C122,'Barge Gauging Data'!$B$26:$B$56,0),$BC$18)</f>
        <v>#N/A</v>
      </c>
      <c r="BD122" s="662" t="e">
        <f>INDEX('Barge Gauging Data'!$B$26:$V$56,MATCH($C122,'Barge Gauging Data'!$B$26:$B$56,0),$BD$18)</f>
        <v>#N/A</v>
      </c>
      <c r="BE122" s="662" t="e">
        <f>INDEX('Barge Gauging Data'!$B$26:$V$56,MATCH($C122,'Barge Gauging Data'!$B$26:$B$56,0),$BE$18)</f>
        <v>#N/A</v>
      </c>
    </row>
    <row r="123" spans="1:57" hidden="1">
      <c r="A123" s="641" t="str">
        <f t="shared" si="104"/>
        <v>N</v>
      </c>
      <c r="C123" s="235" t="str">
        <f t="array" ref="C123">IF(OR($E$113="",SUMPRODUCT(('Barge Gauging Data'!$C$27:$C$56=$E$113)*('Barge Gauging Data'!$D$27:$D$56=NOMY))&lt;ROWS($C$114:$C123)),"",INDEX('Barge Gauging Data'!$B$27:$B$56,SMALL(IF(('Barge Gauging Data'!$C$27:$C$56=$E$113)+('Barge Gauging Data'!$D$27:$D$56=NOMY)=2,ROW('Barge Gauging Data'!$B$27:$B$56)-ROW('Barge Gauging Data'!$C$26)),ROW()-ROW(C$113))))</f>
        <v/>
      </c>
      <c r="D123" s="211" t="str">
        <f>IF(OR($C123="",$C123=0),"",INDEX('Barge Gauging Data'!$B$26:$V$56,MATCH($C123,'Barge Gauging Data'!$B$27:$B$56,0)+1,2))</f>
        <v/>
      </c>
      <c r="E123" s="1016" t="str">
        <f t="shared" si="105"/>
        <v/>
      </c>
      <c r="F123" s="1016" t="str">
        <f t="shared" si="106"/>
        <v/>
      </c>
      <c r="G123" s="1016" t="str">
        <f t="shared" si="107"/>
        <v/>
      </c>
      <c r="H123" s="1016" t="str">
        <f t="shared" si="107"/>
        <v/>
      </c>
      <c r="I123" s="211" t="str">
        <f t="shared" si="108"/>
        <v/>
      </c>
      <c r="J123" s="1016" t="str">
        <f t="shared" si="109"/>
        <v/>
      </c>
      <c r="K123" s="213" t="str">
        <f t="shared" si="110"/>
        <v/>
      </c>
      <c r="L123" s="212" t="str">
        <f t="shared" si="111"/>
        <v/>
      </c>
      <c r="M123" s="1125" t="str">
        <f>IF(OR($C123="",$C123=0),"",INDEX(API1DENST_2,MATCH($C123,'Barge Gauging Data'!$B$27:$B$56,0),$AA$1))</f>
        <v/>
      </c>
      <c r="N123" s="212" t="str">
        <f t="shared" si="112"/>
        <v/>
      </c>
      <c r="O123" s="1016" t="str">
        <f t="shared" si="113"/>
        <v/>
      </c>
      <c r="P123" s="1125" t="str">
        <f t="shared" si="114"/>
        <v/>
      </c>
      <c r="Q123" s="1016" t="str">
        <f t="shared" si="115"/>
        <v/>
      </c>
      <c r="R123" s="214" t="str">
        <f t="shared" si="116"/>
        <v/>
      </c>
      <c r="S123" s="1125" t="str">
        <f t="shared" si="117"/>
        <v/>
      </c>
      <c r="T123" s="236" t="str">
        <f t="shared" si="118"/>
        <v/>
      </c>
      <c r="V123" s="642" t="e">
        <f>INDEX('Barge Gauging Data'!$B$26:$V$56,MATCH($C123,'Barge Gauging Data'!$B$26:$B$56,0),$V$18)</f>
        <v>#N/A</v>
      </c>
      <c r="W123" s="642" t="e">
        <f>INDEX('Barge Gauging Data'!$B$26:$V$56,MATCH($C123,'Barge Gauging Data'!$B$26:$B$56,0),$W$18)</f>
        <v>#N/A</v>
      </c>
      <c r="X123" s="642" t="e">
        <f>INDEX('Barge Gauging Data'!$B$26:$V$56,MATCH($C123,'Barge Gauging Data'!$B$26:$B$56,0),$X$18)</f>
        <v>#N/A</v>
      </c>
      <c r="Y123" s="642" t="e">
        <f>INDEX('Barge Gauging Data'!$B$26:$V$56,MATCH($C123,'Barge Gauging Data'!$B$26:$B$56,0),$Y$18)</f>
        <v>#N/A</v>
      </c>
      <c r="Z123" s="642" t="e">
        <f>INDEX('Barge Gauging Data'!$B$26:$V$56,MATCH($C123,'Barge Gauging Data'!$B$26:$B$56,0),$Z$18)</f>
        <v>#N/A</v>
      </c>
      <c r="AB123" s="642" t="e">
        <f>INDEX(API1DENST_2,MATCH($C123,'Barge Gauging Data'!$B$27:$B$56,0),1)</f>
        <v>#N/A</v>
      </c>
      <c r="AC123" s="642" t="e">
        <f t="shared" si="84"/>
        <v>#N/A</v>
      </c>
      <c r="AE123" s="661" t="e">
        <f t="shared" si="85"/>
        <v>#VALUE!</v>
      </c>
      <c r="AF123" s="661" t="e">
        <f t="shared" si="86"/>
        <v>#VALUE!</v>
      </c>
      <c r="AH123" s="662" t="str">
        <f t="shared" si="82"/>
        <v/>
      </c>
      <c r="AI123" s="662" t="str">
        <f t="shared" si="83"/>
        <v/>
      </c>
      <c r="AJ123" s="663">
        <f t="shared" si="87"/>
        <v>192.4571</v>
      </c>
      <c r="AK123" s="660">
        <f t="shared" si="88"/>
        <v>0.24379999999999999</v>
      </c>
      <c r="AL123" s="660" t="e">
        <f t="shared" si="89"/>
        <v>#VALUE!</v>
      </c>
      <c r="AM123" s="664" t="e">
        <f t="shared" si="90"/>
        <v>#VALUE!</v>
      </c>
      <c r="AN123" s="664" t="e">
        <f t="shared" si="91"/>
        <v>#VALUE!</v>
      </c>
      <c r="AO123" s="665" t="e">
        <f t="shared" si="92"/>
        <v>#VALUE!</v>
      </c>
      <c r="AP123" s="666" t="e">
        <f t="shared" si="93"/>
        <v>#VALUE!</v>
      </c>
      <c r="AQ123" s="660" t="e">
        <f t="shared" si="94"/>
        <v>#VALUE!</v>
      </c>
      <c r="AR123" s="667" t="e">
        <f t="shared" si="95"/>
        <v>#VALUE!</v>
      </c>
      <c r="AS123" s="667" t="e">
        <f t="shared" si="96"/>
        <v>#VALUE!</v>
      </c>
      <c r="AT123" s="668" t="e">
        <f t="shared" si="97"/>
        <v>#VALUE!</v>
      </c>
      <c r="AU123" s="667" t="e">
        <f t="shared" si="98"/>
        <v>#VALUE!</v>
      </c>
      <c r="AV123" s="669" t="e">
        <f t="shared" si="99"/>
        <v>#VALUE!</v>
      </c>
      <c r="AW123" s="667" t="e">
        <f t="shared" si="100"/>
        <v>#VALUE!</v>
      </c>
      <c r="AX123" s="667" t="e">
        <f t="shared" si="101"/>
        <v>#VALUE!</v>
      </c>
      <c r="AY123" s="660" t="e">
        <f t="shared" si="102"/>
        <v>#VALUE!</v>
      </c>
      <c r="AZ123" s="670" t="e">
        <f t="shared" si="103"/>
        <v>#VALUE!</v>
      </c>
      <c r="BB123" s="662" t="e">
        <f>INDEX('Barge Gauging Data'!$B$26:$V$56,MATCH($C123,'Barge Gauging Data'!$B$26:$B$56,0),$BB$18)</f>
        <v>#N/A</v>
      </c>
      <c r="BC123" s="662" t="e">
        <f>INDEX('Barge Gauging Data'!$B$26:$V$56,MATCH($C123,'Barge Gauging Data'!$B$26:$B$56,0),$BC$18)</f>
        <v>#N/A</v>
      </c>
      <c r="BD123" s="662" t="e">
        <f>INDEX('Barge Gauging Data'!$B$26:$V$56,MATCH($C123,'Barge Gauging Data'!$B$26:$B$56,0),$BD$18)</f>
        <v>#N/A</v>
      </c>
      <c r="BE123" s="662" t="e">
        <f>INDEX('Barge Gauging Data'!$B$26:$V$56,MATCH($C123,'Barge Gauging Data'!$B$26:$B$56,0),$BE$18)</f>
        <v>#N/A</v>
      </c>
    </row>
    <row r="124" spans="1:57" hidden="1">
      <c r="A124" s="641" t="str">
        <f t="shared" si="104"/>
        <v>N</v>
      </c>
      <c r="C124" s="235" t="str">
        <f t="array" ref="C124">IF(OR($E$113="",SUMPRODUCT(('Barge Gauging Data'!$C$27:$C$56=$E$113)*('Barge Gauging Data'!$D$27:$D$56=NOMY))&lt;ROWS($C$114:$C124)),"",INDEX('Barge Gauging Data'!$B$27:$B$56,SMALL(IF(('Barge Gauging Data'!$C$27:$C$56=$E$113)+('Barge Gauging Data'!$D$27:$D$56=NOMY)=2,ROW('Barge Gauging Data'!$B$27:$B$56)-ROW('Barge Gauging Data'!$C$26)),ROW()-ROW(C$113))))</f>
        <v/>
      </c>
      <c r="D124" s="211" t="str">
        <f>IF(OR($C124="",$C124=0),"",INDEX('Barge Gauging Data'!$B$26:$V$56,MATCH($C124,'Barge Gauging Data'!$B$27:$B$56,0)+1,2))</f>
        <v/>
      </c>
      <c r="E124" s="1016" t="str">
        <f t="shared" si="105"/>
        <v/>
      </c>
      <c r="F124" s="1016" t="str">
        <f t="shared" si="106"/>
        <v/>
      </c>
      <c r="G124" s="1016" t="str">
        <f t="shared" si="107"/>
        <v/>
      </c>
      <c r="H124" s="1016" t="str">
        <f t="shared" si="107"/>
        <v/>
      </c>
      <c r="I124" s="211" t="str">
        <f t="shared" si="108"/>
        <v/>
      </c>
      <c r="J124" s="1016" t="str">
        <f t="shared" si="109"/>
        <v/>
      </c>
      <c r="K124" s="213" t="str">
        <f t="shared" si="110"/>
        <v/>
      </c>
      <c r="L124" s="212" t="str">
        <f t="shared" si="111"/>
        <v/>
      </c>
      <c r="M124" s="1125" t="str">
        <f>IF(OR($C124="",$C124=0),"",INDEX(API1DENST_2,MATCH($C124,'Barge Gauging Data'!$B$27:$B$56,0),$AA$1))</f>
        <v/>
      </c>
      <c r="N124" s="212" t="str">
        <f t="shared" si="112"/>
        <v/>
      </c>
      <c r="O124" s="1016" t="str">
        <f t="shared" si="113"/>
        <v/>
      </c>
      <c r="P124" s="1125" t="str">
        <f t="shared" si="114"/>
        <v/>
      </c>
      <c r="Q124" s="1016" t="str">
        <f t="shared" si="115"/>
        <v/>
      </c>
      <c r="R124" s="214" t="str">
        <f t="shared" si="116"/>
        <v/>
      </c>
      <c r="S124" s="1125" t="str">
        <f t="shared" si="117"/>
        <v/>
      </c>
      <c r="T124" s="236" t="str">
        <f t="shared" si="118"/>
        <v/>
      </c>
      <c r="V124" s="642" t="e">
        <f>INDEX('Barge Gauging Data'!$B$26:$V$56,MATCH($C124,'Barge Gauging Data'!$B$26:$B$56,0),$V$18)</f>
        <v>#N/A</v>
      </c>
      <c r="W124" s="642" t="e">
        <f>INDEX('Barge Gauging Data'!$B$26:$V$56,MATCH($C124,'Barge Gauging Data'!$B$26:$B$56,0),$W$18)</f>
        <v>#N/A</v>
      </c>
      <c r="X124" s="642" t="e">
        <f>INDEX('Barge Gauging Data'!$B$26:$V$56,MATCH($C124,'Barge Gauging Data'!$B$26:$B$56,0),$X$18)</f>
        <v>#N/A</v>
      </c>
      <c r="Y124" s="642" t="e">
        <f>INDEX('Barge Gauging Data'!$B$26:$V$56,MATCH($C124,'Barge Gauging Data'!$B$26:$B$56,0),$Y$18)</f>
        <v>#N/A</v>
      </c>
      <c r="Z124" s="642" t="e">
        <f>INDEX('Barge Gauging Data'!$B$26:$V$56,MATCH($C124,'Barge Gauging Data'!$B$26:$B$56,0),$Z$18)</f>
        <v>#N/A</v>
      </c>
      <c r="AB124" s="642" t="e">
        <f>INDEX(API1DENST_2,MATCH($C124,'Barge Gauging Data'!$B$27:$B$56,0),1)</f>
        <v>#N/A</v>
      </c>
      <c r="AC124" s="642" t="e">
        <f t="shared" si="84"/>
        <v>#N/A</v>
      </c>
      <c r="AE124" s="661" t="e">
        <f t="shared" si="85"/>
        <v>#VALUE!</v>
      </c>
      <c r="AF124" s="661" t="e">
        <f t="shared" si="86"/>
        <v>#VALUE!</v>
      </c>
      <c r="AH124" s="662" t="str">
        <f t="shared" si="82"/>
        <v/>
      </c>
      <c r="AI124" s="662" t="str">
        <f t="shared" si="83"/>
        <v/>
      </c>
      <c r="AJ124" s="663">
        <f t="shared" si="87"/>
        <v>192.4571</v>
      </c>
      <c r="AK124" s="660">
        <f t="shared" si="88"/>
        <v>0.24379999999999999</v>
      </c>
      <c r="AL124" s="660" t="e">
        <f t="shared" si="89"/>
        <v>#VALUE!</v>
      </c>
      <c r="AM124" s="664" t="e">
        <f t="shared" si="90"/>
        <v>#VALUE!</v>
      </c>
      <c r="AN124" s="664" t="e">
        <f t="shared" si="91"/>
        <v>#VALUE!</v>
      </c>
      <c r="AO124" s="665" t="e">
        <f t="shared" si="92"/>
        <v>#VALUE!</v>
      </c>
      <c r="AP124" s="666" t="e">
        <f t="shared" si="93"/>
        <v>#VALUE!</v>
      </c>
      <c r="AQ124" s="660" t="e">
        <f t="shared" si="94"/>
        <v>#VALUE!</v>
      </c>
      <c r="AR124" s="667" t="e">
        <f t="shared" si="95"/>
        <v>#VALUE!</v>
      </c>
      <c r="AS124" s="667" t="e">
        <f t="shared" si="96"/>
        <v>#VALUE!</v>
      </c>
      <c r="AT124" s="668" t="e">
        <f t="shared" si="97"/>
        <v>#VALUE!</v>
      </c>
      <c r="AU124" s="667" t="e">
        <f t="shared" si="98"/>
        <v>#VALUE!</v>
      </c>
      <c r="AV124" s="669" t="e">
        <f t="shared" si="99"/>
        <v>#VALUE!</v>
      </c>
      <c r="AW124" s="667" t="e">
        <f t="shared" si="100"/>
        <v>#VALUE!</v>
      </c>
      <c r="AX124" s="667" t="e">
        <f t="shared" si="101"/>
        <v>#VALUE!</v>
      </c>
      <c r="AY124" s="660" t="e">
        <f t="shared" si="102"/>
        <v>#VALUE!</v>
      </c>
      <c r="AZ124" s="670" t="e">
        <f t="shared" si="103"/>
        <v>#VALUE!</v>
      </c>
      <c r="BB124" s="662" t="e">
        <f>INDEX('Barge Gauging Data'!$B$26:$V$56,MATCH($C124,'Barge Gauging Data'!$B$26:$B$56,0),$BB$18)</f>
        <v>#N/A</v>
      </c>
      <c r="BC124" s="662" t="e">
        <f>INDEX('Barge Gauging Data'!$B$26:$V$56,MATCH($C124,'Barge Gauging Data'!$B$26:$B$56,0),$BC$18)</f>
        <v>#N/A</v>
      </c>
      <c r="BD124" s="662" t="e">
        <f>INDEX('Barge Gauging Data'!$B$26:$V$56,MATCH($C124,'Barge Gauging Data'!$B$26:$B$56,0),$BD$18)</f>
        <v>#N/A</v>
      </c>
      <c r="BE124" s="662" t="e">
        <f>INDEX('Barge Gauging Data'!$B$26:$V$56,MATCH($C124,'Barge Gauging Data'!$B$26:$B$56,0),$BE$18)</f>
        <v>#N/A</v>
      </c>
    </row>
    <row r="125" spans="1:57" hidden="1">
      <c r="A125" s="641" t="str">
        <f t="shared" si="104"/>
        <v>N</v>
      </c>
      <c r="C125" s="235" t="str">
        <f t="array" ref="C125">IF(OR($E$113="",SUMPRODUCT(('Barge Gauging Data'!$C$27:$C$56=$E$113)*('Barge Gauging Data'!$D$27:$D$56=NOMY))&lt;ROWS($C$114:$C125)),"",INDEX('Barge Gauging Data'!$B$27:$B$56,SMALL(IF(('Barge Gauging Data'!$C$27:$C$56=$E$113)+('Barge Gauging Data'!$D$27:$D$56=NOMY)=2,ROW('Barge Gauging Data'!$B$27:$B$56)-ROW('Barge Gauging Data'!$C$26)),ROW()-ROW(C$113))))</f>
        <v/>
      </c>
      <c r="D125" s="211" t="str">
        <f>IF(OR($C125="",$C125=0),"",INDEX('Barge Gauging Data'!$B$26:$V$56,MATCH($C125,'Barge Gauging Data'!$B$27:$B$56,0)+1,2))</f>
        <v/>
      </c>
      <c r="E125" s="1016" t="str">
        <f t="shared" si="105"/>
        <v/>
      </c>
      <c r="F125" s="1016" t="str">
        <f t="shared" si="106"/>
        <v/>
      </c>
      <c r="G125" s="1016" t="str">
        <f t="shared" si="107"/>
        <v/>
      </c>
      <c r="H125" s="1016" t="str">
        <f t="shared" si="107"/>
        <v/>
      </c>
      <c r="I125" s="211" t="str">
        <f t="shared" si="108"/>
        <v/>
      </c>
      <c r="J125" s="1016" t="str">
        <f t="shared" si="109"/>
        <v/>
      </c>
      <c r="K125" s="213" t="str">
        <f t="shared" si="110"/>
        <v/>
      </c>
      <c r="L125" s="212" t="str">
        <f t="shared" si="111"/>
        <v/>
      </c>
      <c r="M125" s="1125" t="str">
        <f>IF(OR($C125="",$C125=0),"",INDEX(API1DENST_2,MATCH($C125,'Barge Gauging Data'!$B$27:$B$56,0),$AA$1))</f>
        <v/>
      </c>
      <c r="N125" s="212" t="str">
        <f t="shared" si="112"/>
        <v/>
      </c>
      <c r="O125" s="1016" t="str">
        <f t="shared" si="113"/>
        <v/>
      </c>
      <c r="P125" s="1125" t="str">
        <f t="shared" si="114"/>
        <v/>
      </c>
      <c r="Q125" s="1016" t="str">
        <f t="shared" si="115"/>
        <v/>
      </c>
      <c r="R125" s="214" t="str">
        <f t="shared" si="116"/>
        <v/>
      </c>
      <c r="S125" s="1125" t="str">
        <f t="shared" si="117"/>
        <v/>
      </c>
      <c r="T125" s="236" t="str">
        <f t="shared" si="118"/>
        <v/>
      </c>
      <c r="V125" s="642" t="e">
        <f>INDEX('Barge Gauging Data'!$B$26:$V$56,MATCH($C125,'Barge Gauging Data'!$B$26:$B$56,0),$V$18)</f>
        <v>#N/A</v>
      </c>
      <c r="W125" s="642" t="e">
        <f>INDEX('Barge Gauging Data'!$B$26:$V$56,MATCH($C125,'Barge Gauging Data'!$B$26:$B$56,0),$W$18)</f>
        <v>#N/A</v>
      </c>
      <c r="X125" s="642" t="e">
        <f>INDEX('Barge Gauging Data'!$B$26:$V$56,MATCH($C125,'Barge Gauging Data'!$B$26:$B$56,0),$X$18)</f>
        <v>#N/A</v>
      </c>
      <c r="Y125" s="642" t="e">
        <f>INDEX('Barge Gauging Data'!$B$26:$V$56,MATCH($C125,'Barge Gauging Data'!$B$26:$B$56,0),$Y$18)</f>
        <v>#N/A</v>
      </c>
      <c r="Z125" s="642" t="e">
        <f>INDEX('Barge Gauging Data'!$B$26:$V$56,MATCH($C125,'Barge Gauging Data'!$B$26:$B$56,0),$Z$18)</f>
        <v>#N/A</v>
      </c>
      <c r="AB125" s="642" t="e">
        <f>INDEX(API1DENST_2,MATCH($C125,'Barge Gauging Data'!$B$27:$B$56,0),1)</f>
        <v>#N/A</v>
      </c>
      <c r="AC125" s="642" t="e">
        <f t="shared" si="84"/>
        <v>#N/A</v>
      </c>
      <c r="AE125" s="661" t="e">
        <f t="shared" si="85"/>
        <v>#VALUE!</v>
      </c>
      <c r="AF125" s="661" t="e">
        <f t="shared" si="86"/>
        <v>#VALUE!</v>
      </c>
      <c r="AH125" s="662" t="str">
        <f t="shared" si="82"/>
        <v/>
      </c>
      <c r="AI125" s="662" t="str">
        <f t="shared" si="83"/>
        <v/>
      </c>
      <c r="AJ125" s="663">
        <f t="shared" si="87"/>
        <v>192.4571</v>
      </c>
      <c r="AK125" s="660">
        <f t="shared" si="88"/>
        <v>0.24379999999999999</v>
      </c>
      <c r="AL125" s="660" t="e">
        <f t="shared" si="89"/>
        <v>#VALUE!</v>
      </c>
      <c r="AM125" s="664" t="e">
        <f t="shared" si="90"/>
        <v>#VALUE!</v>
      </c>
      <c r="AN125" s="664" t="e">
        <f t="shared" si="91"/>
        <v>#VALUE!</v>
      </c>
      <c r="AO125" s="665" t="e">
        <f t="shared" si="92"/>
        <v>#VALUE!</v>
      </c>
      <c r="AP125" s="666" t="e">
        <f t="shared" si="93"/>
        <v>#VALUE!</v>
      </c>
      <c r="AQ125" s="660" t="e">
        <f t="shared" si="94"/>
        <v>#VALUE!</v>
      </c>
      <c r="AR125" s="667" t="e">
        <f t="shared" si="95"/>
        <v>#VALUE!</v>
      </c>
      <c r="AS125" s="667" t="e">
        <f t="shared" si="96"/>
        <v>#VALUE!</v>
      </c>
      <c r="AT125" s="668" t="e">
        <f t="shared" si="97"/>
        <v>#VALUE!</v>
      </c>
      <c r="AU125" s="667" t="e">
        <f t="shared" si="98"/>
        <v>#VALUE!</v>
      </c>
      <c r="AV125" s="669" t="e">
        <f t="shared" si="99"/>
        <v>#VALUE!</v>
      </c>
      <c r="AW125" s="667" t="e">
        <f t="shared" si="100"/>
        <v>#VALUE!</v>
      </c>
      <c r="AX125" s="667" t="e">
        <f t="shared" si="101"/>
        <v>#VALUE!</v>
      </c>
      <c r="AY125" s="660" t="e">
        <f t="shared" si="102"/>
        <v>#VALUE!</v>
      </c>
      <c r="AZ125" s="670" t="e">
        <f t="shared" si="103"/>
        <v>#VALUE!</v>
      </c>
      <c r="BB125" s="662" t="e">
        <f>INDEX('Barge Gauging Data'!$B$26:$V$56,MATCH($C125,'Barge Gauging Data'!$B$26:$B$56,0),$BB$18)</f>
        <v>#N/A</v>
      </c>
      <c r="BC125" s="662" t="e">
        <f>INDEX('Barge Gauging Data'!$B$26:$V$56,MATCH($C125,'Barge Gauging Data'!$B$26:$B$56,0),$BC$18)</f>
        <v>#N/A</v>
      </c>
      <c r="BD125" s="662" t="e">
        <f>INDEX('Barge Gauging Data'!$B$26:$V$56,MATCH($C125,'Barge Gauging Data'!$B$26:$B$56,0),$BD$18)</f>
        <v>#N/A</v>
      </c>
      <c r="BE125" s="662" t="e">
        <f>INDEX('Barge Gauging Data'!$B$26:$V$56,MATCH($C125,'Barge Gauging Data'!$B$26:$B$56,0),$BE$18)</f>
        <v>#N/A</v>
      </c>
    </row>
    <row r="126" spans="1:57" hidden="1">
      <c r="A126" s="641" t="str">
        <f t="shared" si="104"/>
        <v>N</v>
      </c>
      <c r="C126" s="235" t="str">
        <f t="array" ref="C126">IF(OR($E$113="",SUMPRODUCT(('Barge Gauging Data'!$C$27:$C$56=$E$113)*('Barge Gauging Data'!$D$27:$D$56=NOMY))&lt;ROWS($C$114:$C126)),"",INDEX('Barge Gauging Data'!$B$27:$B$56,SMALL(IF(('Barge Gauging Data'!$C$27:$C$56=$E$113)+('Barge Gauging Data'!$D$27:$D$56=NOMY)=2,ROW('Barge Gauging Data'!$B$27:$B$56)-ROW('Barge Gauging Data'!$C$26)),ROW()-ROW(C$113))))</f>
        <v/>
      </c>
      <c r="D126" s="211" t="str">
        <f>IF(OR($C126="",$C126=0),"",INDEX('Barge Gauging Data'!$B$26:$V$56,MATCH($C126,'Barge Gauging Data'!$B$27:$B$56,0)+1,2))</f>
        <v/>
      </c>
      <c r="E126" s="1016" t="str">
        <f t="shared" si="105"/>
        <v/>
      </c>
      <c r="F126" s="1016" t="str">
        <f t="shared" si="106"/>
        <v/>
      </c>
      <c r="G126" s="1016" t="str">
        <f t="shared" si="107"/>
        <v/>
      </c>
      <c r="H126" s="1016" t="str">
        <f t="shared" si="107"/>
        <v/>
      </c>
      <c r="I126" s="211" t="str">
        <f t="shared" si="108"/>
        <v/>
      </c>
      <c r="J126" s="1016" t="str">
        <f t="shared" si="109"/>
        <v/>
      </c>
      <c r="K126" s="213" t="str">
        <f t="shared" si="110"/>
        <v/>
      </c>
      <c r="L126" s="212" t="str">
        <f t="shared" si="111"/>
        <v/>
      </c>
      <c r="M126" s="1125" t="str">
        <f>IF(OR($C126="",$C126=0),"",INDEX(API1DENST_2,MATCH($C126,'Barge Gauging Data'!$B$27:$B$56,0),$AA$1))</f>
        <v/>
      </c>
      <c r="N126" s="212" t="str">
        <f t="shared" si="112"/>
        <v/>
      </c>
      <c r="O126" s="1016" t="str">
        <f t="shared" si="113"/>
        <v/>
      </c>
      <c r="P126" s="1125" t="str">
        <f t="shared" si="114"/>
        <v/>
      </c>
      <c r="Q126" s="1016" t="str">
        <f t="shared" si="115"/>
        <v/>
      </c>
      <c r="R126" s="214" t="str">
        <f t="shared" si="116"/>
        <v/>
      </c>
      <c r="S126" s="1125" t="str">
        <f t="shared" si="117"/>
        <v/>
      </c>
      <c r="T126" s="236" t="str">
        <f t="shared" si="118"/>
        <v/>
      </c>
      <c r="V126" s="642" t="e">
        <f>INDEX('Barge Gauging Data'!$B$26:$V$56,MATCH($C126,'Barge Gauging Data'!$B$26:$B$56,0),$V$18)</f>
        <v>#N/A</v>
      </c>
      <c r="W126" s="642" t="e">
        <f>INDEX('Barge Gauging Data'!$B$26:$V$56,MATCH($C126,'Barge Gauging Data'!$B$26:$B$56,0),$W$18)</f>
        <v>#N/A</v>
      </c>
      <c r="X126" s="642" t="e">
        <f>INDEX('Barge Gauging Data'!$B$26:$V$56,MATCH($C126,'Barge Gauging Data'!$B$26:$B$56,0),$X$18)</f>
        <v>#N/A</v>
      </c>
      <c r="Y126" s="642" t="e">
        <f>INDEX('Barge Gauging Data'!$B$26:$V$56,MATCH($C126,'Barge Gauging Data'!$B$26:$B$56,0),$Y$18)</f>
        <v>#N/A</v>
      </c>
      <c r="Z126" s="642" t="e">
        <f>INDEX('Barge Gauging Data'!$B$26:$V$56,MATCH($C126,'Barge Gauging Data'!$B$26:$B$56,0),$Z$18)</f>
        <v>#N/A</v>
      </c>
      <c r="AB126" s="642" t="e">
        <f>INDEX(API1DENST_2,MATCH($C126,'Barge Gauging Data'!$B$27:$B$56,0),1)</f>
        <v>#N/A</v>
      </c>
      <c r="AC126" s="642" t="e">
        <f t="shared" si="84"/>
        <v>#N/A</v>
      </c>
      <c r="AE126" s="661" t="e">
        <f t="shared" si="85"/>
        <v>#VALUE!</v>
      </c>
      <c r="AF126" s="661" t="e">
        <f t="shared" si="86"/>
        <v>#VALUE!</v>
      </c>
      <c r="AH126" s="662" t="str">
        <f t="shared" si="82"/>
        <v/>
      </c>
      <c r="AI126" s="662" t="str">
        <f t="shared" si="83"/>
        <v/>
      </c>
      <c r="AJ126" s="663">
        <f t="shared" si="87"/>
        <v>192.4571</v>
      </c>
      <c r="AK126" s="660">
        <f t="shared" si="88"/>
        <v>0.24379999999999999</v>
      </c>
      <c r="AL126" s="660" t="e">
        <f t="shared" si="89"/>
        <v>#VALUE!</v>
      </c>
      <c r="AM126" s="664" t="e">
        <f t="shared" si="90"/>
        <v>#VALUE!</v>
      </c>
      <c r="AN126" s="664" t="e">
        <f t="shared" si="91"/>
        <v>#VALUE!</v>
      </c>
      <c r="AO126" s="665" t="e">
        <f t="shared" si="92"/>
        <v>#VALUE!</v>
      </c>
      <c r="AP126" s="666" t="e">
        <f t="shared" si="93"/>
        <v>#VALUE!</v>
      </c>
      <c r="AQ126" s="660" t="e">
        <f t="shared" si="94"/>
        <v>#VALUE!</v>
      </c>
      <c r="AR126" s="667" t="e">
        <f t="shared" si="95"/>
        <v>#VALUE!</v>
      </c>
      <c r="AS126" s="667" t="e">
        <f t="shared" si="96"/>
        <v>#VALUE!</v>
      </c>
      <c r="AT126" s="668" t="e">
        <f t="shared" si="97"/>
        <v>#VALUE!</v>
      </c>
      <c r="AU126" s="667" t="e">
        <f t="shared" si="98"/>
        <v>#VALUE!</v>
      </c>
      <c r="AV126" s="669" t="e">
        <f t="shared" si="99"/>
        <v>#VALUE!</v>
      </c>
      <c r="AW126" s="667" t="e">
        <f t="shared" si="100"/>
        <v>#VALUE!</v>
      </c>
      <c r="AX126" s="667" t="e">
        <f t="shared" si="101"/>
        <v>#VALUE!</v>
      </c>
      <c r="AY126" s="660" t="e">
        <f t="shared" si="102"/>
        <v>#VALUE!</v>
      </c>
      <c r="AZ126" s="670" t="e">
        <f t="shared" si="103"/>
        <v>#VALUE!</v>
      </c>
      <c r="BB126" s="662" t="e">
        <f>INDEX('Barge Gauging Data'!$B$26:$V$56,MATCH($C126,'Barge Gauging Data'!$B$26:$B$56,0),$BB$18)</f>
        <v>#N/A</v>
      </c>
      <c r="BC126" s="662" t="e">
        <f>INDEX('Barge Gauging Data'!$B$26:$V$56,MATCH($C126,'Barge Gauging Data'!$B$26:$B$56,0),$BC$18)</f>
        <v>#N/A</v>
      </c>
      <c r="BD126" s="662" t="e">
        <f>INDEX('Barge Gauging Data'!$B$26:$V$56,MATCH($C126,'Barge Gauging Data'!$B$26:$B$56,0),$BD$18)</f>
        <v>#N/A</v>
      </c>
      <c r="BE126" s="662" t="e">
        <f>INDEX('Barge Gauging Data'!$B$26:$V$56,MATCH($C126,'Barge Gauging Data'!$B$26:$B$56,0),$BE$18)</f>
        <v>#N/A</v>
      </c>
    </row>
    <row r="127" spans="1:57" hidden="1">
      <c r="A127" s="641" t="str">
        <f t="shared" si="104"/>
        <v>N</v>
      </c>
      <c r="C127" s="235" t="str">
        <f t="array" ref="C127">IF(OR($E$113="",SUMPRODUCT(('Barge Gauging Data'!$C$27:$C$56=$E$113)*('Barge Gauging Data'!$D$27:$D$56=NOMY))&lt;ROWS($C$114:$C127)),"",INDEX('Barge Gauging Data'!$B$27:$B$56,SMALL(IF(('Barge Gauging Data'!$C$27:$C$56=$E$113)+('Barge Gauging Data'!$D$27:$D$56=NOMY)=2,ROW('Barge Gauging Data'!$B$27:$B$56)-ROW('Barge Gauging Data'!$C$26)),ROW()-ROW(C$113))))</f>
        <v/>
      </c>
      <c r="D127" s="211" t="str">
        <f>IF(OR($C127="",$C127=0),"",INDEX('Barge Gauging Data'!$B$26:$V$56,MATCH($C127,'Barge Gauging Data'!$B$27:$B$56,0)+1,2))</f>
        <v/>
      </c>
      <c r="E127" s="1016" t="str">
        <f t="shared" si="105"/>
        <v/>
      </c>
      <c r="F127" s="1016" t="str">
        <f t="shared" si="106"/>
        <v/>
      </c>
      <c r="G127" s="1016" t="str">
        <f t="shared" si="107"/>
        <v/>
      </c>
      <c r="H127" s="1016" t="str">
        <f t="shared" si="107"/>
        <v/>
      </c>
      <c r="I127" s="211" t="str">
        <f t="shared" si="108"/>
        <v/>
      </c>
      <c r="J127" s="1016" t="str">
        <f t="shared" si="109"/>
        <v/>
      </c>
      <c r="K127" s="213" t="str">
        <f t="shared" si="110"/>
        <v/>
      </c>
      <c r="L127" s="212" t="str">
        <f t="shared" si="111"/>
        <v/>
      </c>
      <c r="M127" s="1125" t="str">
        <f>IF(OR($C127="",$C127=0),"",INDEX(API1DENST_2,MATCH($C127,'Barge Gauging Data'!$B$27:$B$56,0),$AA$1))</f>
        <v/>
      </c>
      <c r="N127" s="212" t="str">
        <f t="shared" si="112"/>
        <v/>
      </c>
      <c r="O127" s="1016" t="str">
        <f t="shared" si="113"/>
        <v/>
      </c>
      <c r="P127" s="1125" t="str">
        <f t="shared" si="114"/>
        <v/>
      </c>
      <c r="Q127" s="1016" t="str">
        <f t="shared" si="115"/>
        <v/>
      </c>
      <c r="R127" s="214" t="str">
        <f t="shared" si="116"/>
        <v/>
      </c>
      <c r="S127" s="1125" t="str">
        <f t="shared" si="117"/>
        <v/>
      </c>
      <c r="T127" s="236" t="str">
        <f t="shared" si="118"/>
        <v/>
      </c>
      <c r="V127" s="642" t="e">
        <f>INDEX('Barge Gauging Data'!$B$26:$V$56,MATCH($C127,'Barge Gauging Data'!$B$26:$B$56,0),$V$18)</f>
        <v>#N/A</v>
      </c>
      <c r="W127" s="642" t="e">
        <f>INDEX('Barge Gauging Data'!$B$26:$V$56,MATCH($C127,'Barge Gauging Data'!$B$26:$B$56,0),$W$18)</f>
        <v>#N/A</v>
      </c>
      <c r="X127" s="642" t="e">
        <f>INDEX('Barge Gauging Data'!$B$26:$V$56,MATCH($C127,'Barge Gauging Data'!$B$26:$B$56,0),$X$18)</f>
        <v>#N/A</v>
      </c>
      <c r="Y127" s="642" t="e">
        <f>INDEX('Barge Gauging Data'!$B$26:$V$56,MATCH($C127,'Barge Gauging Data'!$B$26:$B$56,0),$Y$18)</f>
        <v>#N/A</v>
      </c>
      <c r="Z127" s="642" t="e">
        <f>INDEX('Barge Gauging Data'!$B$26:$V$56,MATCH($C127,'Barge Gauging Data'!$B$26:$B$56,0),$Z$18)</f>
        <v>#N/A</v>
      </c>
      <c r="AB127" s="642" t="e">
        <f>INDEX(API1DENST_2,MATCH($C127,'Barge Gauging Data'!$B$27:$B$56,0),1)</f>
        <v>#N/A</v>
      </c>
      <c r="AC127" s="642" t="e">
        <f t="shared" si="84"/>
        <v>#N/A</v>
      </c>
      <c r="AE127" s="661" t="e">
        <f t="shared" si="85"/>
        <v>#VALUE!</v>
      </c>
      <c r="AF127" s="661" t="e">
        <f t="shared" si="86"/>
        <v>#VALUE!</v>
      </c>
      <c r="AH127" s="662" t="str">
        <f t="shared" si="82"/>
        <v/>
      </c>
      <c r="AI127" s="662" t="str">
        <f t="shared" si="83"/>
        <v/>
      </c>
      <c r="AJ127" s="663">
        <f t="shared" si="87"/>
        <v>192.4571</v>
      </c>
      <c r="AK127" s="660">
        <f t="shared" si="88"/>
        <v>0.24379999999999999</v>
      </c>
      <c r="AL127" s="660" t="e">
        <f t="shared" si="89"/>
        <v>#VALUE!</v>
      </c>
      <c r="AM127" s="664" t="e">
        <f t="shared" si="90"/>
        <v>#VALUE!</v>
      </c>
      <c r="AN127" s="664" t="e">
        <f t="shared" si="91"/>
        <v>#VALUE!</v>
      </c>
      <c r="AO127" s="665" t="e">
        <f t="shared" si="92"/>
        <v>#VALUE!</v>
      </c>
      <c r="AP127" s="666" t="e">
        <f t="shared" si="93"/>
        <v>#VALUE!</v>
      </c>
      <c r="AQ127" s="660" t="e">
        <f t="shared" si="94"/>
        <v>#VALUE!</v>
      </c>
      <c r="AR127" s="667" t="e">
        <f t="shared" si="95"/>
        <v>#VALUE!</v>
      </c>
      <c r="AS127" s="667" t="e">
        <f t="shared" si="96"/>
        <v>#VALUE!</v>
      </c>
      <c r="AT127" s="668" t="e">
        <f t="shared" si="97"/>
        <v>#VALUE!</v>
      </c>
      <c r="AU127" s="667" t="e">
        <f t="shared" si="98"/>
        <v>#VALUE!</v>
      </c>
      <c r="AV127" s="669" t="e">
        <f t="shared" si="99"/>
        <v>#VALUE!</v>
      </c>
      <c r="AW127" s="667" t="e">
        <f t="shared" si="100"/>
        <v>#VALUE!</v>
      </c>
      <c r="AX127" s="667" t="e">
        <f t="shared" si="101"/>
        <v>#VALUE!</v>
      </c>
      <c r="AY127" s="660" t="e">
        <f t="shared" si="102"/>
        <v>#VALUE!</v>
      </c>
      <c r="AZ127" s="670" t="e">
        <f t="shared" si="103"/>
        <v>#VALUE!</v>
      </c>
      <c r="BB127" s="662" t="e">
        <f>INDEX('Barge Gauging Data'!$B$26:$V$56,MATCH($C127,'Barge Gauging Data'!$B$26:$B$56,0),$BB$18)</f>
        <v>#N/A</v>
      </c>
      <c r="BC127" s="662" t="e">
        <f>INDEX('Barge Gauging Data'!$B$26:$V$56,MATCH($C127,'Barge Gauging Data'!$B$26:$B$56,0),$BC$18)</f>
        <v>#N/A</v>
      </c>
      <c r="BD127" s="662" t="e">
        <f>INDEX('Barge Gauging Data'!$B$26:$V$56,MATCH($C127,'Barge Gauging Data'!$B$26:$B$56,0),$BD$18)</f>
        <v>#N/A</v>
      </c>
      <c r="BE127" s="662" t="e">
        <f>INDEX('Barge Gauging Data'!$B$26:$V$56,MATCH($C127,'Barge Gauging Data'!$B$26:$B$56,0),$BE$18)</f>
        <v>#N/A</v>
      </c>
    </row>
    <row r="128" spans="1:57" hidden="1">
      <c r="A128" s="641" t="str">
        <f t="shared" si="104"/>
        <v>N</v>
      </c>
      <c r="C128" s="235" t="str">
        <f t="array" ref="C128">IF(OR($E$113="",SUMPRODUCT(('Barge Gauging Data'!$C$27:$C$56=$E$113)*('Barge Gauging Data'!$D$27:$D$56=NOMY))&lt;ROWS($C$114:$C128)),"",INDEX('Barge Gauging Data'!$B$27:$B$56,SMALL(IF(('Barge Gauging Data'!$C$27:$C$56=$E$113)+('Barge Gauging Data'!$D$27:$D$56=NOMY)=2,ROW('Barge Gauging Data'!$B$27:$B$56)-ROW('Barge Gauging Data'!$C$26)),ROW()-ROW(C$113))))</f>
        <v/>
      </c>
      <c r="D128" s="211" t="str">
        <f>IF(OR($C128="",$C128=0),"",INDEX('Barge Gauging Data'!$B$26:$V$56,MATCH($C128,'Barge Gauging Data'!$B$27:$B$56,0)+1,2))</f>
        <v/>
      </c>
      <c r="E128" s="1016" t="str">
        <f t="shared" si="105"/>
        <v/>
      </c>
      <c r="F128" s="1016" t="str">
        <f t="shared" si="106"/>
        <v/>
      </c>
      <c r="G128" s="1016" t="str">
        <f t="shared" si="107"/>
        <v/>
      </c>
      <c r="H128" s="1016" t="str">
        <f t="shared" si="107"/>
        <v/>
      </c>
      <c r="I128" s="211" t="str">
        <f t="shared" si="108"/>
        <v/>
      </c>
      <c r="J128" s="1016" t="str">
        <f t="shared" si="109"/>
        <v/>
      </c>
      <c r="K128" s="213" t="str">
        <f t="shared" si="110"/>
        <v/>
      </c>
      <c r="L128" s="212" t="str">
        <f t="shared" si="111"/>
        <v/>
      </c>
      <c r="M128" s="1125" t="str">
        <f>IF(OR($C128="",$C128=0),"",INDEX(API1DENST_2,MATCH($C128,'Barge Gauging Data'!$B$27:$B$56,0),$AA$1))</f>
        <v/>
      </c>
      <c r="N128" s="212" t="str">
        <f t="shared" si="112"/>
        <v/>
      </c>
      <c r="O128" s="1016" t="str">
        <f t="shared" si="113"/>
        <v/>
      </c>
      <c r="P128" s="1125" t="str">
        <f t="shared" si="114"/>
        <v/>
      </c>
      <c r="Q128" s="1016" t="str">
        <f t="shared" si="115"/>
        <v/>
      </c>
      <c r="R128" s="214" t="str">
        <f t="shared" si="116"/>
        <v/>
      </c>
      <c r="S128" s="1125" t="str">
        <f t="shared" si="117"/>
        <v/>
      </c>
      <c r="T128" s="236" t="str">
        <f t="shared" si="118"/>
        <v/>
      </c>
      <c r="V128" s="642" t="e">
        <f>INDEX('Barge Gauging Data'!$B$26:$V$56,MATCH($C128,'Barge Gauging Data'!$B$26:$B$56,0),$V$18)</f>
        <v>#N/A</v>
      </c>
      <c r="W128" s="642" t="e">
        <f>INDEX('Barge Gauging Data'!$B$26:$V$56,MATCH($C128,'Barge Gauging Data'!$B$26:$B$56,0),$W$18)</f>
        <v>#N/A</v>
      </c>
      <c r="X128" s="642" t="e">
        <f>INDEX('Barge Gauging Data'!$B$26:$V$56,MATCH($C128,'Barge Gauging Data'!$B$26:$B$56,0),$X$18)</f>
        <v>#N/A</v>
      </c>
      <c r="Y128" s="642" t="e">
        <f>INDEX('Barge Gauging Data'!$B$26:$V$56,MATCH($C128,'Barge Gauging Data'!$B$26:$B$56,0),$Y$18)</f>
        <v>#N/A</v>
      </c>
      <c r="Z128" s="642" t="e">
        <f>INDEX('Barge Gauging Data'!$B$26:$V$56,MATCH($C128,'Barge Gauging Data'!$B$26:$B$56,0),$Z$18)</f>
        <v>#N/A</v>
      </c>
      <c r="AB128" s="642" t="e">
        <f>INDEX(API1DENST_2,MATCH($C128,'Barge Gauging Data'!$B$27:$B$56,0),1)</f>
        <v>#N/A</v>
      </c>
      <c r="AC128" s="642" t="e">
        <f t="shared" si="84"/>
        <v>#N/A</v>
      </c>
      <c r="AE128" s="661" t="e">
        <f t="shared" si="85"/>
        <v>#VALUE!</v>
      </c>
      <c r="AF128" s="661" t="e">
        <f t="shared" si="86"/>
        <v>#VALUE!</v>
      </c>
      <c r="AH128" s="662" t="str">
        <f t="shared" si="82"/>
        <v/>
      </c>
      <c r="AI128" s="662" t="str">
        <f t="shared" si="83"/>
        <v/>
      </c>
      <c r="AJ128" s="663">
        <f t="shared" si="87"/>
        <v>192.4571</v>
      </c>
      <c r="AK128" s="660">
        <f t="shared" si="88"/>
        <v>0.24379999999999999</v>
      </c>
      <c r="AL128" s="660" t="e">
        <f t="shared" si="89"/>
        <v>#VALUE!</v>
      </c>
      <c r="AM128" s="664" t="e">
        <f t="shared" si="90"/>
        <v>#VALUE!</v>
      </c>
      <c r="AN128" s="664" t="e">
        <f t="shared" si="91"/>
        <v>#VALUE!</v>
      </c>
      <c r="AO128" s="665" t="e">
        <f t="shared" si="92"/>
        <v>#VALUE!</v>
      </c>
      <c r="AP128" s="666" t="e">
        <f t="shared" si="93"/>
        <v>#VALUE!</v>
      </c>
      <c r="AQ128" s="660" t="e">
        <f t="shared" si="94"/>
        <v>#VALUE!</v>
      </c>
      <c r="AR128" s="667" t="e">
        <f t="shared" si="95"/>
        <v>#VALUE!</v>
      </c>
      <c r="AS128" s="667" t="e">
        <f t="shared" si="96"/>
        <v>#VALUE!</v>
      </c>
      <c r="AT128" s="668" t="e">
        <f t="shared" si="97"/>
        <v>#VALUE!</v>
      </c>
      <c r="AU128" s="667" t="e">
        <f t="shared" si="98"/>
        <v>#VALUE!</v>
      </c>
      <c r="AV128" s="669" t="e">
        <f t="shared" si="99"/>
        <v>#VALUE!</v>
      </c>
      <c r="AW128" s="667" t="e">
        <f t="shared" si="100"/>
        <v>#VALUE!</v>
      </c>
      <c r="AX128" s="667" t="e">
        <f t="shared" si="101"/>
        <v>#VALUE!</v>
      </c>
      <c r="AY128" s="660" t="e">
        <f t="shared" si="102"/>
        <v>#VALUE!</v>
      </c>
      <c r="AZ128" s="670" t="e">
        <f t="shared" si="103"/>
        <v>#VALUE!</v>
      </c>
      <c r="BB128" s="662" t="e">
        <f>INDEX('Barge Gauging Data'!$B$26:$V$56,MATCH($C128,'Barge Gauging Data'!$B$26:$B$56,0),$BB$18)</f>
        <v>#N/A</v>
      </c>
      <c r="BC128" s="662" t="e">
        <f>INDEX('Barge Gauging Data'!$B$26:$V$56,MATCH($C128,'Barge Gauging Data'!$B$26:$B$56,0),$BC$18)</f>
        <v>#N/A</v>
      </c>
      <c r="BD128" s="662" t="e">
        <f>INDEX('Barge Gauging Data'!$B$26:$V$56,MATCH($C128,'Barge Gauging Data'!$B$26:$B$56,0),$BD$18)</f>
        <v>#N/A</v>
      </c>
      <c r="BE128" s="662" t="e">
        <f>INDEX('Barge Gauging Data'!$B$26:$V$56,MATCH($C128,'Barge Gauging Data'!$B$26:$B$56,0),$BE$18)</f>
        <v>#N/A</v>
      </c>
    </row>
    <row r="129" spans="1:57" hidden="1">
      <c r="A129" s="641" t="str">
        <f t="shared" si="104"/>
        <v>N</v>
      </c>
      <c r="C129" s="235" t="str">
        <f t="array" ref="C129">IF(OR($E$113="",SUMPRODUCT(('Barge Gauging Data'!$C$27:$C$56=$E$113)*('Barge Gauging Data'!$D$27:$D$56=NOMY))&lt;ROWS($C$114:$C129)),"",INDEX('Barge Gauging Data'!$B$27:$B$56,SMALL(IF(('Barge Gauging Data'!$C$27:$C$56=$E$113)+('Barge Gauging Data'!$D$27:$D$56=NOMY)=2,ROW('Barge Gauging Data'!$B$27:$B$56)-ROW('Barge Gauging Data'!$C$26)),ROW()-ROW(C$113))))</f>
        <v/>
      </c>
      <c r="D129" s="211" t="str">
        <f>IF(OR($C129="",$C129=0),"",INDEX('Barge Gauging Data'!$B$26:$V$56,MATCH($C129,'Barge Gauging Data'!$B$27:$B$56,0)+1,2))</f>
        <v/>
      </c>
      <c r="E129" s="1016" t="str">
        <f t="shared" si="105"/>
        <v/>
      </c>
      <c r="F129" s="1016" t="str">
        <f t="shared" si="106"/>
        <v/>
      </c>
      <c r="G129" s="1016" t="str">
        <f t="shared" si="107"/>
        <v/>
      </c>
      <c r="H129" s="1016" t="str">
        <f t="shared" si="107"/>
        <v/>
      </c>
      <c r="I129" s="211" t="str">
        <f t="shared" si="108"/>
        <v/>
      </c>
      <c r="J129" s="1016" t="str">
        <f t="shared" si="109"/>
        <v/>
      </c>
      <c r="K129" s="213" t="str">
        <f t="shared" si="110"/>
        <v/>
      </c>
      <c r="L129" s="212" t="str">
        <f t="shared" si="111"/>
        <v/>
      </c>
      <c r="M129" s="1125" t="str">
        <f>IF(OR($C129="",$C129=0),"",INDEX(API1DENST_2,MATCH($C129,'Barge Gauging Data'!$B$27:$B$56,0),$AA$1))</f>
        <v/>
      </c>
      <c r="N129" s="212" t="str">
        <f t="shared" si="112"/>
        <v/>
      </c>
      <c r="O129" s="1016" t="str">
        <f t="shared" si="113"/>
        <v/>
      </c>
      <c r="P129" s="1125" t="str">
        <f t="shared" si="114"/>
        <v/>
      </c>
      <c r="Q129" s="1016" t="str">
        <f t="shared" si="115"/>
        <v/>
      </c>
      <c r="R129" s="214" t="str">
        <f t="shared" si="116"/>
        <v/>
      </c>
      <c r="S129" s="1125" t="str">
        <f t="shared" si="117"/>
        <v/>
      </c>
      <c r="T129" s="236" t="str">
        <f t="shared" si="118"/>
        <v/>
      </c>
      <c r="V129" s="642" t="e">
        <f>INDEX('Barge Gauging Data'!$B$26:$V$56,MATCH($C129,'Barge Gauging Data'!$B$26:$B$56,0),$V$18)</f>
        <v>#N/A</v>
      </c>
      <c r="W129" s="642" t="e">
        <f>INDEX('Barge Gauging Data'!$B$26:$V$56,MATCH($C129,'Barge Gauging Data'!$B$26:$B$56,0),$W$18)</f>
        <v>#N/A</v>
      </c>
      <c r="X129" s="642" t="e">
        <f>INDEX('Barge Gauging Data'!$B$26:$V$56,MATCH($C129,'Barge Gauging Data'!$B$26:$B$56,0),$X$18)</f>
        <v>#N/A</v>
      </c>
      <c r="Y129" s="642" t="e">
        <f>INDEX('Barge Gauging Data'!$B$26:$V$56,MATCH($C129,'Barge Gauging Data'!$B$26:$B$56,0),$Y$18)</f>
        <v>#N/A</v>
      </c>
      <c r="Z129" s="642" t="e">
        <f>INDEX('Barge Gauging Data'!$B$26:$V$56,MATCH($C129,'Barge Gauging Data'!$B$26:$B$56,0),$Z$18)</f>
        <v>#N/A</v>
      </c>
      <c r="AB129" s="642" t="e">
        <f>INDEX(API1DENST_2,MATCH($C129,'Barge Gauging Data'!$B$27:$B$56,0),1)</f>
        <v>#N/A</v>
      </c>
      <c r="AC129" s="642" t="e">
        <f t="shared" si="84"/>
        <v>#N/A</v>
      </c>
      <c r="AE129" s="661" t="e">
        <f t="shared" si="85"/>
        <v>#VALUE!</v>
      </c>
      <c r="AF129" s="661" t="e">
        <f t="shared" si="86"/>
        <v>#VALUE!</v>
      </c>
      <c r="AH129" s="662" t="str">
        <f t="shared" si="82"/>
        <v/>
      </c>
      <c r="AI129" s="662" t="str">
        <f t="shared" si="83"/>
        <v/>
      </c>
      <c r="AJ129" s="663">
        <f t="shared" si="87"/>
        <v>192.4571</v>
      </c>
      <c r="AK129" s="660">
        <f t="shared" si="88"/>
        <v>0.24379999999999999</v>
      </c>
      <c r="AL129" s="660" t="e">
        <f t="shared" si="89"/>
        <v>#VALUE!</v>
      </c>
      <c r="AM129" s="664" t="e">
        <f t="shared" si="90"/>
        <v>#VALUE!</v>
      </c>
      <c r="AN129" s="664" t="e">
        <f t="shared" si="91"/>
        <v>#VALUE!</v>
      </c>
      <c r="AO129" s="665" t="e">
        <f t="shared" si="92"/>
        <v>#VALUE!</v>
      </c>
      <c r="AP129" s="666" t="e">
        <f t="shared" si="93"/>
        <v>#VALUE!</v>
      </c>
      <c r="AQ129" s="660" t="e">
        <f t="shared" si="94"/>
        <v>#VALUE!</v>
      </c>
      <c r="AR129" s="667" t="e">
        <f t="shared" si="95"/>
        <v>#VALUE!</v>
      </c>
      <c r="AS129" s="667" t="e">
        <f t="shared" si="96"/>
        <v>#VALUE!</v>
      </c>
      <c r="AT129" s="668" t="e">
        <f t="shared" si="97"/>
        <v>#VALUE!</v>
      </c>
      <c r="AU129" s="667" t="e">
        <f t="shared" si="98"/>
        <v>#VALUE!</v>
      </c>
      <c r="AV129" s="669" t="e">
        <f t="shared" si="99"/>
        <v>#VALUE!</v>
      </c>
      <c r="AW129" s="667" t="e">
        <f t="shared" si="100"/>
        <v>#VALUE!</v>
      </c>
      <c r="AX129" s="667" t="e">
        <f t="shared" si="101"/>
        <v>#VALUE!</v>
      </c>
      <c r="AY129" s="660" t="e">
        <f t="shared" si="102"/>
        <v>#VALUE!</v>
      </c>
      <c r="AZ129" s="670" t="e">
        <f t="shared" si="103"/>
        <v>#VALUE!</v>
      </c>
      <c r="BB129" s="662" t="e">
        <f>INDEX('Barge Gauging Data'!$B$26:$V$56,MATCH($C129,'Barge Gauging Data'!$B$26:$B$56,0),$BB$18)</f>
        <v>#N/A</v>
      </c>
      <c r="BC129" s="662" t="e">
        <f>INDEX('Barge Gauging Data'!$B$26:$V$56,MATCH($C129,'Barge Gauging Data'!$B$26:$B$56,0),$BC$18)</f>
        <v>#N/A</v>
      </c>
      <c r="BD129" s="662" t="e">
        <f>INDEX('Barge Gauging Data'!$B$26:$V$56,MATCH($C129,'Barge Gauging Data'!$B$26:$B$56,0),$BD$18)</f>
        <v>#N/A</v>
      </c>
      <c r="BE129" s="662" t="e">
        <f>INDEX('Barge Gauging Data'!$B$26:$V$56,MATCH($C129,'Barge Gauging Data'!$B$26:$B$56,0),$BE$18)</f>
        <v>#N/A</v>
      </c>
    </row>
    <row r="130" spans="1:57" hidden="1">
      <c r="A130" s="641" t="str">
        <f t="shared" si="104"/>
        <v>N</v>
      </c>
      <c r="C130" s="235" t="str">
        <f t="array" ref="C130">IF(OR($E$113="",SUMPRODUCT(('Barge Gauging Data'!$C$27:$C$56=$E$113)*('Barge Gauging Data'!$D$27:$D$56=NOMY))&lt;ROWS($C$114:$C130)),"",INDEX('Barge Gauging Data'!$B$27:$B$56,SMALL(IF(('Barge Gauging Data'!$C$27:$C$56=$E$113)+('Barge Gauging Data'!$D$27:$D$56=NOMY)=2,ROW('Barge Gauging Data'!$B$27:$B$56)-ROW('Barge Gauging Data'!$C$26)),ROW()-ROW(C$113))))</f>
        <v/>
      </c>
      <c r="D130" s="211" t="str">
        <f>IF(OR($C130="",$C130=0),"",INDEX('Barge Gauging Data'!$B$26:$V$56,MATCH($C130,'Barge Gauging Data'!$B$27:$B$56,0)+1,2))</f>
        <v/>
      </c>
      <c r="E130" s="1016" t="str">
        <f t="shared" si="105"/>
        <v/>
      </c>
      <c r="F130" s="1016" t="str">
        <f t="shared" si="106"/>
        <v/>
      </c>
      <c r="G130" s="1016" t="str">
        <f t="shared" si="107"/>
        <v/>
      </c>
      <c r="H130" s="1016" t="str">
        <f t="shared" si="107"/>
        <v/>
      </c>
      <c r="I130" s="211" t="str">
        <f t="shared" si="108"/>
        <v/>
      </c>
      <c r="J130" s="1016" t="str">
        <f t="shared" si="109"/>
        <v/>
      </c>
      <c r="K130" s="213" t="str">
        <f t="shared" si="110"/>
        <v/>
      </c>
      <c r="L130" s="212" t="str">
        <f t="shared" si="111"/>
        <v/>
      </c>
      <c r="M130" s="1125" t="str">
        <f>IF(OR($C130="",$C130=0),"",INDEX(API1DENST_2,MATCH($C130,'Barge Gauging Data'!$B$27:$B$56,0),$AA$1))</f>
        <v/>
      </c>
      <c r="N130" s="212" t="str">
        <f t="shared" si="112"/>
        <v/>
      </c>
      <c r="O130" s="1016" t="str">
        <f t="shared" si="113"/>
        <v/>
      </c>
      <c r="P130" s="1125" t="str">
        <f t="shared" si="114"/>
        <v/>
      </c>
      <c r="Q130" s="1016" t="str">
        <f t="shared" si="115"/>
        <v/>
      </c>
      <c r="R130" s="214" t="str">
        <f t="shared" si="116"/>
        <v/>
      </c>
      <c r="S130" s="1125" t="str">
        <f t="shared" si="117"/>
        <v/>
      </c>
      <c r="T130" s="236" t="str">
        <f t="shared" si="118"/>
        <v/>
      </c>
      <c r="V130" s="642" t="e">
        <f>INDEX('Barge Gauging Data'!$B$26:$V$56,MATCH($C130,'Barge Gauging Data'!$B$26:$B$56,0),$V$18)</f>
        <v>#N/A</v>
      </c>
      <c r="W130" s="642" t="e">
        <f>INDEX('Barge Gauging Data'!$B$26:$V$56,MATCH($C130,'Barge Gauging Data'!$B$26:$B$56,0),$W$18)</f>
        <v>#N/A</v>
      </c>
      <c r="X130" s="642" t="e">
        <f>INDEX('Barge Gauging Data'!$B$26:$V$56,MATCH($C130,'Barge Gauging Data'!$B$26:$B$56,0),$X$18)</f>
        <v>#N/A</v>
      </c>
      <c r="Y130" s="642" t="e">
        <f>INDEX('Barge Gauging Data'!$B$26:$V$56,MATCH($C130,'Barge Gauging Data'!$B$26:$B$56,0),$Y$18)</f>
        <v>#N/A</v>
      </c>
      <c r="Z130" s="642" t="e">
        <f>INDEX('Barge Gauging Data'!$B$26:$V$56,MATCH($C130,'Barge Gauging Data'!$B$26:$B$56,0),$Z$18)</f>
        <v>#N/A</v>
      </c>
      <c r="AB130" s="642" t="e">
        <f>INDEX(API1DENST_2,MATCH($C130,'Barge Gauging Data'!$B$27:$B$56,0),1)</f>
        <v>#N/A</v>
      </c>
      <c r="AC130" s="642" t="e">
        <f t="shared" si="84"/>
        <v>#N/A</v>
      </c>
      <c r="AE130" s="661" t="e">
        <f t="shared" si="85"/>
        <v>#VALUE!</v>
      </c>
      <c r="AF130" s="661" t="e">
        <f t="shared" si="86"/>
        <v>#VALUE!</v>
      </c>
      <c r="AH130" s="662" t="str">
        <f t="shared" si="82"/>
        <v/>
      </c>
      <c r="AI130" s="662" t="str">
        <f t="shared" si="83"/>
        <v/>
      </c>
      <c r="AJ130" s="663">
        <f t="shared" si="87"/>
        <v>192.4571</v>
      </c>
      <c r="AK130" s="660">
        <f t="shared" si="88"/>
        <v>0.24379999999999999</v>
      </c>
      <c r="AL130" s="660" t="e">
        <f t="shared" si="89"/>
        <v>#VALUE!</v>
      </c>
      <c r="AM130" s="664" t="e">
        <f t="shared" si="90"/>
        <v>#VALUE!</v>
      </c>
      <c r="AN130" s="664" t="e">
        <f t="shared" si="91"/>
        <v>#VALUE!</v>
      </c>
      <c r="AO130" s="665" t="e">
        <f t="shared" si="92"/>
        <v>#VALUE!</v>
      </c>
      <c r="AP130" s="666" t="e">
        <f t="shared" si="93"/>
        <v>#VALUE!</v>
      </c>
      <c r="AQ130" s="660" t="e">
        <f t="shared" si="94"/>
        <v>#VALUE!</v>
      </c>
      <c r="AR130" s="667" t="e">
        <f t="shared" si="95"/>
        <v>#VALUE!</v>
      </c>
      <c r="AS130" s="667" t="e">
        <f t="shared" si="96"/>
        <v>#VALUE!</v>
      </c>
      <c r="AT130" s="668" t="e">
        <f t="shared" si="97"/>
        <v>#VALUE!</v>
      </c>
      <c r="AU130" s="667" t="e">
        <f t="shared" si="98"/>
        <v>#VALUE!</v>
      </c>
      <c r="AV130" s="669" t="e">
        <f t="shared" si="99"/>
        <v>#VALUE!</v>
      </c>
      <c r="AW130" s="667" t="e">
        <f t="shared" si="100"/>
        <v>#VALUE!</v>
      </c>
      <c r="AX130" s="667" t="e">
        <f t="shared" si="101"/>
        <v>#VALUE!</v>
      </c>
      <c r="AY130" s="660" t="e">
        <f t="shared" si="102"/>
        <v>#VALUE!</v>
      </c>
      <c r="AZ130" s="670" t="e">
        <f t="shared" si="103"/>
        <v>#VALUE!</v>
      </c>
      <c r="BB130" s="662" t="e">
        <f>INDEX('Barge Gauging Data'!$B$26:$V$56,MATCH($C130,'Barge Gauging Data'!$B$26:$B$56,0),$BB$18)</f>
        <v>#N/A</v>
      </c>
      <c r="BC130" s="662" t="e">
        <f>INDEX('Barge Gauging Data'!$B$26:$V$56,MATCH($C130,'Barge Gauging Data'!$B$26:$B$56,0),$BC$18)</f>
        <v>#N/A</v>
      </c>
      <c r="BD130" s="662" t="e">
        <f>INDEX('Barge Gauging Data'!$B$26:$V$56,MATCH($C130,'Barge Gauging Data'!$B$26:$B$56,0),$BD$18)</f>
        <v>#N/A</v>
      </c>
      <c r="BE130" s="662" t="e">
        <f>INDEX('Barge Gauging Data'!$B$26:$V$56,MATCH($C130,'Barge Gauging Data'!$B$26:$B$56,0),$BE$18)</f>
        <v>#N/A</v>
      </c>
    </row>
    <row r="131" spans="1:57" hidden="1">
      <c r="A131" s="641" t="str">
        <f t="shared" si="104"/>
        <v>N</v>
      </c>
      <c r="C131" s="235" t="str">
        <f t="array" ref="C131">IF(OR($E$113="",SUMPRODUCT(('Barge Gauging Data'!$C$27:$C$56=$E$113)*('Barge Gauging Data'!$D$27:$D$56=NOMY))&lt;ROWS($C$114:$C131)),"",INDEX('Barge Gauging Data'!$B$27:$B$56,SMALL(IF(('Barge Gauging Data'!$C$27:$C$56=$E$113)+('Barge Gauging Data'!$D$27:$D$56=NOMY)=2,ROW('Barge Gauging Data'!$B$27:$B$56)-ROW('Barge Gauging Data'!$C$26)),ROW()-ROW(C$113))))</f>
        <v/>
      </c>
      <c r="D131" s="211" t="str">
        <f>IF(OR($C131="",$C131=0),"",INDEX('Barge Gauging Data'!$B$26:$V$56,MATCH($C131,'Barge Gauging Data'!$B$27:$B$56,0)+1,2))</f>
        <v/>
      </c>
      <c r="E131" s="1016" t="str">
        <f t="shared" si="105"/>
        <v/>
      </c>
      <c r="F131" s="1016" t="str">
        <f t="shared" si="106"/>
        <v/>
      </c>
      <c r="G131" s="1016" t="str">
        <f t="shared" si="107"/>
        <v/>
      </c>
      <c r="H131" s="1016" t="str">
        <f t="shared" si="107"/>
        <v/>
      </c>
      <c r="I131" s="211" t="str">
        <f t="shared" si="108"/>
        <v/>
      </c>
      <c r="J131" s="1016" t="str">
        <f t="shared" si="109"/>
        <v/>
      </c>
      <c r="K131" s="213" t="str">
        <f t="shared" si="110"/>
        <v/>
      </c>
      <c r="L131" s="212" t="str">
        <f t="shared" si="111"/>
        <v/>
      </c>
      <c r="M131" s="1125" t="str">
        <f>IF(OR($C131="",$C131=0),"",INDEX(API1DENST_2,MATCH($C131,'Barge Gauging Data'!$B$27:$B$56,0),$AA$1))</f>
        <v/>
      </c>
      <c r="N131" s="212" t="str">
        <f t="shared" si="112"/>
        <v/>
      </c>
      <c r="O131" s="1016" t="str">
        <f t="shared" si="113"/>
        <v/>
      </c>
      <c r="P131" s="1125" t="str">
        <f t="shared" si="114"/>
        <v/>
      </c>
      <c r="Q131" s="1016" t="str">
        <f t="shared" si="115"/>
        <v/>
      </c>
      <c r="R131" s="214" t="str">
        <f t="shared" si="116"/>
        <v/>
      </c>
      <c r="S131" s="1125" t="str">
        <f t="shared" si="117"/>
        <v/>
      </c>
      <c r="T131" s="236" t="str">
        <f t="shared" si="118"/>
        <v/>
      </c>
      <c r="V131" s="642" t="e">
        <f>INDEX('Barge Gauging Data'!$B$26:$V$56,MATCH($C131,'Barge Gauging Data'!$B$26:$B$56,0),$V$18)</f>
        <v>#N/A</v>
      </c>
      <c r="W131" s="642" t="e">
        <f>INDEX('Barge Gauging Data'!$B$26:$V$56,MATCH($C131,'Barge Gauging Data'!$B$26:$B$56,0),$W$18)</f>
        <v>#N/A</v>
      </c>
      <c r="X131" s="642" t="e">
        <f>INDEX('Barge Gauging Data'!$B$26:$V$56,MATCH($C131,'Barge Gauging Data'!$B$26:$B$56,0),$X$18)</f>
        <v>#N/A</v>
      </c>
      <c r="Y131" s="642" t="e">
        <f>INDEX('Barge Gauging Data'!$B$26:$V$56,MATCH($C131,'Barge Gauging Data'!$B$26:$B$56,0),$Y$18)</f>
        <v>#N/A</v>
      </c>
      <c r="Z131" s="642" t="e">
        <f>INDEX('Barge Gauging Data'!$B$26:$V$56,MATCH($C131,'Barge Gauging Data'!$B$26:$B$56,0),$Z$18)</f>
        <v>#N/A</v>
      </c>
      <c r="AB131" s="642" t="e">
        <f>INDEX(API1DENST_2,MATCH($C131,'Barge Gauging Data'!$B$27:$B$56,0),1)</f>
        <v>#N/A</v>
      </c>
      <c r="AC131" s="642" t="e">
        <f t="shared" si="84"/>
        <v>#N/A</v>
      </c>
      <c r="AE131" s="661" t="e">
        <f t="shared" si="85"/>
        <v>#VALUE!</v>
      </c>
      <c r="AF131" s="661" t="e">
        <f t="shared" si="86"/>
        <v>#VALUE!</v>
      </c>
      <c r="AH131" s="662" t="str">
        <f t="shared" si="82"/>
        <v/>
      </c>
      <c r="AI131" s="662" t="str">
        <f t="shared" si="83"/>
        <v/>
      </c>
      <c r="AJ131" s="663">
        <f t="shared" si="87"/>
        <v>192.4571</v>
      </c>
      <c r="AK131" s="660">
        <f t="shared" si="88"/>
        <v>0.24379999999999999</v>
      </c>
      <c r="AL131" s="660" t="e">
        <f t="shared" si="89"/>
        <v>#VALUE!</v>
      </c>
      <c r="AM131" s="664" t="e">
        <f t="shared" si="90"/>
        <v>#VALUE!</v>
      </c>
      <c r="AN131" s="664" t="e">
        <f t="shared" si="91"/>
        <v>#VALUE!</v>
      </c>
      <c r="AO131" s="665" t="e">
        <f t="shared" si="92"/>
        <v>#VALUE!</v>
      </c>
      <c r="AP131" s="666" t="e">
        <f t="shared" si="93"/>
        <v>#VALUE!</v>
      </c>
      <c r="AQ131" s="660" t="e">
        <f t="shared" si="94"/>
        <v>#VALUE!</v>
      </c>
      <c r="AR131" s="667" t="e">
        <f t="shared" si="95"/>
        <v>#VALUE!</v>
      </c>
      <c r="AS131" s="667" t="e">
        <f t="shared" si="96"/>
        <v>#VALUE!</v>
      </c>
      <c r="AT131" s="668" t="e">
        <f t="shared" si="97"/>
        <v>#VALUE!</v>
      </c>
      <c r="AU131" s="667" t="e">
        <f t="shared" si="98"/>
        <v>#VALUE!</v>
      </c>
      <c r="AV131" s="669" t="e">
        <f t="shared" si="99"/>
        <v>#VALUE!</v>
      </c>
      <c r="AW131" s="667" t="e">
        <f t="shared" si="100"/>
        <v>#VALUE!</v>
      </c>
      <c r="AX131" s="667" t="e">
        <f t="shared" si="101"/>
        <v>#VALUE!</v>
      </c>
      <c r="AY131" s="660" t="e">
        <f t="shared" si="102"/>
        <v>#VALUE!</v>
      </c>
      <c r="AZ131" s="670" t="e">
        <f t="shared" si="103"/>
        <v>#VALUE!</v>
      </c>
      <c r="BB131" s="662" t="e">
        <f>INDEX('Barge Gauging Data'!$B$26:$V$56,MATCH($C131,'Barge Gauging Data'!$B$26:$B$56,0),$BB$18)</f>
        <v>#N/A</v>
      </c>
      <c r="BC131" s="662" t="e">
        <f>INDEX('Barge Gauging Data'!$B$26:$V$56,MATCH($C131,'Barge Gauging Data'!$B$26:$B$56,0),$BC$18)</f>
        <v>#N/A</v>
      </c>
      <c r="BD131" s="662" t="e">
        <f>INDEX('Barge Gauging Data'!$B$26:$V$56,MATCH($C131,'Barge Gauging Data'!$B$26:$B$56,0),$BD$18)</f>
        <v>#N/A</v>
      </c>
      <c r="BE131" s="662" t="e">
        <f>INDEX('Barge Gauging Data'!$B$26:$V$56,MATCH($C131,'Barge Gauging Data'!$B$26:$B$56,0),$BE$18)</f>
        <v>#N/A</v>
      </c>
    </row>
    <row r="132" spans="1:57" hidden="1">
      <c r="A132" s="641" t="str">
        <f t="shared" si="104"/>
        <v>N</v>
      </c>
      <c r="C132" s="235" t="str">
        <f t="array" ref="C132">IF(OR($E$113="",SUMPRODUCT(('Barge Gauging Data'!$C$27:$C$56=$E$113)*('Barge Gauging Data'!$D$27:$D$56=NOMY))&lt;ROWS($C$114:$C132)),"",INDEX('Barge Gauging Data'!$B$27:$B$56,SMALL(IF(('Barge Gauging Data'!$C$27:$C$56=$E$113)+('Barge Gauging Data'!$D$27:$D$56=NOMY)=2,ROW('Barge Gauging Data'!$B$27:$B$56)-ROW('Barge Gauging Data'!$C$26)),ROW()-ROW(C$113))))</f>
        <v/>
      </c>
      <c r="D132" s="211" t="str">
        <f>IF(OR($C132="",$C132=0),"",INDEX('Barge Gauging Data'!$B$26:$V$56,MATCH($C132,'Barge Gauging Data'!$B$27:$B$56,0)+1,2))</f>
        <v/>
      </c>
      <c r="E132" s="1016" t="str">
        <f t="shared" si="105"/>
        <v/>
      </c>
      <c r="F132" s="1016" t="str">
        <f t="shared" si="106"/>
        <v/>
      </c>
      <c r="G132" s="1016" t="str">
        <f t="shared" si="107"/>
        <v/>
      </c>
      <c r="H132" s="1016" t="str">
        <f t="shared" si="107"/>
        <v/>
      </c>
      <c r="I132" s="211" t="str">
        <f t="shared" si="108"/>
        <v/>
      </c>
      <c r="J132" s="1016" t="str">
        <f t="shared" si="109"/>
        <v/>
      </c>
      <c r="K132" s="213" t="str">
        <f t="shared" si="110"/>
        <v/>
      </c>
      <c r="L132" s="212" t="str">
        <f t="shared" si="111"/>
        <v/>
      </c>
      <c r="M132" s="1125" t="str">
        <f>IF(OR($C132="",$C132=0),"",INDEX(API1DENST_2,MATCH($C132,'Barge Gauging Data'!$B$27:$B$56,0),$AA$1))</f>
        <v/>
      </c>
      <c r="N132" s="212" t="str">
        <f t="shared" si="112"/>
        <v/>
      </c>
      <c r="O132" s="1016" t="str">
        <f t="shared" si="113"/>
        <v/>
      </c>
      <c r="P132" s="1125" t="str">
        <f t="shared" si="114"/>
        <v/>
      </c>
      <c r="Q132" s="1016" t="str">
        <f t="shared" si="115"/>
        <v/>
      </c>
      <c r="R132" s="214" t="str">
        <f t="shared" si="116"/>
        <v/>
      </c>
      <c r="S132" s="1125" t="str">
        <f t="shared" si="117"/>
        <v/>
      </c>
      <c r="T132" s="236" t="str">
        <f t="shared" si="118"/>
        <v/>
      </c>
      <c r="V132" s="642" t="e">
        <f>INDEX('Barge Gauging Data'!$B$26:$V$56,MATCH($C132,'Barge Gauging Data'!$B$26:$B$56,0),$V$18)</f>
        <v>#N/A</v>
      </c>
      <c r="W132" s="642" t="e">
        <f>INDEX('Barge Gauging Data'!$B$26:$V$56,MATCH($C132,'Barge Gauging Data'!$B$26:$B$56,0),$W$18)</f>
        <v>#N/A</v>
      </c>
      <c r="X132" s="642" t="e">
        <f>INDEX('Barge Gauging Data'!$B$26:$V$56,MATCH($C132,'Barge Gauging Data'!$B$26:$B$56,0),$X$18)</f>
        <v>#N/A</v>
      </c>
      <c r="Y132" s="642" t="e">
        <f>INDEX('Barge Gauging Data'!$B$26:$V$56,MATCH($C132,'Barge Gauging Data'!$B$26:$B$56,0),$Y$18)</f>
        <v>#N/A</v>
      </c>
      <c r="Z132" s="642" t="e">
        <f>INDEX('Barge Gauging Data'!$B$26:$V$56,MATCH($C132,'Barge Gauging Data'!$B$26:$B$56,0),$Z$18)</f>
        <v>#N/A</v>
      </c>
      <c r="AB132" s="642" t="e">
        <f>INDEX(API1DENST_2,MATCH($C132,'Barge Gauging Data'!$B$27:$B$56,0),1)</f>
        <v>#N/A</v>
      </c>
      <c r="AC132" s="642" t="e">
        <f t="shared" si="84"/>
        <v>#N/A</v>
      </c>
      <c r="AE132" s="661" t="e">
        <f t="shared" si="85"/>
        <v>#VALUE!</v>
      </c>
      <c r="AF132" s="661" t="e">
        <f t="shared" si="86"/>
        <v>#VALUE!</v>
      </c>
      <c r="AH132" s="662" t="str">
        <f t="shared" si="82"/>
        <v/>
      </c>
      <c r="AI132" s="662" t="str">
        <f t="shared" si="83"/>
        <v/>
      </c>
      <c r="AJ132" s="663">
        <f t="shared" si="87"/>
        <v>192.4571</v>
      </c>
      <c r="AK132" s="660">
        <f t="shared" si="88"/>
        <v>0.24379999999999999</v>
      </c>
      <c r="AL132" s="660" t="e">
        <f t="shared" si="89"/>
        <v>#VALUE!</v>
      </c>
      <c r="AM132" s="664" t="e">
        <f t="shared" si="90"/>
        <v>#VALUE!</v>
      </c>
      <c r="AN132" s="664" t="e">
        <f t="shared" si="91"/>
        <v>#VALUE!</v>
      </c>
      <c r="AO132" s="665" t="e">
        <f t="shared" si="92"/>
        <v>#VALUE!</v>
      </c>
      <c r="AP132" s="666" t="e">
        <f t="shared" si="93"/>
        <v>#VALUE!</v>
      </c>
      <c r="AQ132" s="660" t="e">
        <f t="shared" si="94"/>
        <v>#VALUE!</v>
      </c>
      <c r="AR132" s="667" t="e">
        <f t="shared" si="95"/>
        <v>#VALUE!</v>
      </c>
      <c r="AS132" s="667" t="e">
        <f t="shared" si="96"/>
        <v>#VALUE!</v>
      </c>
      <c r="AT132" s="668" t="e">
        <f t="shared" si="97"/>
        <v>#VALUE!</v>
      </c>
      <c r="AU132" s="667" t="e">
        <f t="shared" si="98"/>
        <v>#VALUE!</v>
      </c>
      <c r="AV132" s="669" t="e">
        <f t="shared" si="99"/>
        <v>#VALUE!</v>
      </c>
      <c r="AW132" s="667" t="e">
        <f t="shared" si="100"/>
        <v>#VALUE!</v>
      </c>
      <c r="AX132" s="667" t="e">
        <f t="shared" si="101"/>
        <v>#VALUE!</v>
      </c>
      <c r="AY132" s="660" t="e">
        <f t="shared" si="102"/>
        <v>#VALUE!</v>
      </c>
      <c r="AZ132" s="670" t="e">
        <f t="shared" si="103"/>
        <v>#VALUE!</v>
      </c>
      <c r="BB132" s="662" t="e">
        <f>INDEX('Barge Gauging Data'!$B$26:$V$56,MATCH($C132,'Barge Gauging Data'!$B$26:$B$56,0),$BB$18)</f>
        <v>#N/A</v>
      </c>
      <c r="BC132" s="662" t="e">
        <f>INDEX('Barge Gauging Data'!$B$26:$V$56,MATCH($C132,'Barge Gauging Data'!$B$26:$B$56,0),$BC$18)</f>
        <v>#N/A</v>
      </c>
      <c r="BD132" s="662" t="e">
        <f>INDEX('Barge Gauging Data'!$B$26:$V$56,MATCH($C132,'Barge Gauging Data'!$B$26:$B$56,0),$BD$18)</f>
        <v>#N/A</v>
      </c>
      <c r="BE132" s="662" t="e">
        <f>INDEX('Barge Gauging Data'!$B$26:$V$56,MATCH($C132,'Barge Gauging Data'!$B$26:$B$56,0),$BE$18)</f>
        <v>#N/A</v>
      </c>
    </row>
    <row r="133" spans="1:57" hidden="1">
      <c r="A133" s="641" t="str">
        <f t="shared" si="104"/>
        <v>N</v>
      </c>
      <c r="C133" s="237" t="str">
        <f t="array" ref="C133">IF(OR($E$113="",SUMPRODUCT(('Barge Gauging Data'!$C$27:$C$56=$E$113)*('Barge Gauging Data'!$D$27:$D$56=NOMY))&lt;ROWS($C$114:$C133)),"",INDEX('Barge Gauging Data'!$B$27:$B$56,SMALL(IF(('Barge Gauging Data'!$C$27:$C$56=$E$113)+('Barge Gauging Data'!$D$27:$D$56=NOMY)=2,ROW('Barge Gauging Data'!$B$27:$B$56)-ROW('Barge Gauging Data'!$C$26)),ROW()-ROW(C$113))))</f>
        <v/>
      </c>
      <c r="D133" s="238" t="str">
        <f>IF(OR($C133="",$C133=0),"",INDEX('Barge Gauging Data'!$B$26:$V$56,MATCH($C133,'Barge Gauging Data'!$B$27:$B$56,0)+1,2))</f>
        <v/>
      </c>
      <c r="E133" s="1017" t="str">
        <f t="shared" si="105"/>
        <v/>
      </c>
      <c r="F133" s="1017" t="str">
        <f t="shared" si="106"/>
        <v/>
      </c>
      <c r="G133" s="1017" t="str">
        <f t="shared" si="107"/>
        <v/>
      </c>
      <c r="H133" s="1017" t="str">
        <f t="shared" si="107"/>
        <v/>
      </c>
      <c r="I133" s="238" t="str">
        <f t="shared" si="108"/>
        <v/>
      </c>
      <c r="J133" s="1017" t="str">
        <f t="shared" si="109"/>
        <v/>
      </c>
      <c r="K133" s="240" t="str">
        <f t="shared" si="110"/>
        <v/>
      </c>
      <c r="L133" s="239" t="str">
        <f t="shared" si="111"/>
        <v/>
      </c>
      <c r="M133" s="1126" t="str">
        <f>IF(OR($C133="",$C133=0),"",INDEX(API1DENST_2,MATCH($C133,'Barge Gauging Data'!$B$27:$B$56,0),$AA$1))</f>
        <v/>
      </c>
      <c r="N133" s="239" t="str">
        <f t="shared" si="112"/>
        <v/>
      </c>
      <c r="O133" s="1017" t="str">
        <f t="shared" si="113"/>
        <v/>
      </c>
      <c r="P133" s="1126" t="str">
        <f t="shared" si="114"/>
        <v/>
      </c>
      <c r="Q133" s="1017" t="str">
        <f t="shared" si="115"/>
        <v/>
      </c>
      <c r="R133" s="241" t="str">
        <f t="shared" si="116"/>
        <v/>
      </c>
      <c r="S133" s="1126" t="str">
        <f t="shared" si="117"/>
        <v/>
      </c>
      <c r="T133" s="242" t="str">
        <f t="shared" si="118"/>
        <v/>
      </c>
      <c r="V133" s="642" t="e">
        <f>INDEX('Barge Gauging Data'!$B$26:$V$56,MATCH($C133,'Barge Gauging Data'!$B$26:$B$56,0),$V$18)</f>
        <v>#N/A</v>
      </c>
      <c r="W133" s="642" t="e">
        <f>INDEX('Barge Gauging Data'!$B$26:$V$56,MATCH($C133,'Barge Gauging Data'!$B$26:$B$56,0),$W$18)</f>
        <v>#N/A</v>
      </c>
      <c r="X133" s="642" t="e">
        <f>INDEX('Barge Gauging Data'!$B$26:$V$56,MATCH($C133,'Barge Gauging Data'!$B$26:$B$56,0),$X$18)</f>
        <v>#N/A</v>
      </c>
      <c r="Y133" s="642" t="e">
        <f>INDEX('Barge Gauging Data'!$B$26:$V$56,MATCH($C133,'Barge Gauging Data'!$B$26:$B$56,0),$Y$18)</f>
        <v>#N/A</v>
      </c>
      <c r="Z133" s="642" t="e">
        <f>INDEX('Barge Gauging Data'!$B$26:$V$56,MATCH($C133,'Barge Gauging Data'!$B$26:$B$56,0),$Z$18)</f>
        <v>#N/A</v>
      </c>
      <c r="AB133" s="642" t="e">
        <f>INDEX(API1DENST_2,MATCH($C133,'Barge Gauging Data'!$B$27:$B$56,0),1)</f>
        <v>#N/A</v>
      </c>
      <c r="AC133" s="642" t="e">
        <f t="shared" si="84"/>
        <v>#N/A</v>
      </c>
      <c r="AE133" s="661" t="e">
        <f t="shared" si="85"/>
        <v>#VALUE!</v>
      </c>
      <c r="AF133" s="661" t="e">
        <f t="shared" si="86"/>
        <v>#VALUE!</v>
      </c>
      <c r="AH133" s="662" t="str">
        <f t="shared" si="82"/>
        <v/>
      </c>
      <c r="AI133" s="662" t="str">
        <f t="shared" si="83"/>
        <v/>
      </c>
      <c r="AJ133" s="663">
        <f t="shared" si="87"/>
        <v>192.4571</v>
      </c>
      <c r="AK133" s="660">
        <f t="shared" si="88"/>
        <v>0.24379999999999999</v>
      </c>
      <c r="AL133" s="660" t="e">
        <f t="shared" si="89"/>
        <v>#VALUE!</v>
      </c>
      <c r="AM133" s="664" t="e">
        <f t="shared" si="90"/>
        <v>#VALUE!</v>
      </c>
      <c r="AN133" s="664" t="e">
        <f t="shared" si="91"/>
        <v>#VALUE!</v>
      </c>
      <c r="AO133" s="665" t="e">
        <f t="shared" si="92"/>
        <v>#VALUE!</v>
      </c>
      <c r="AP133" s="666" t="e">
        <f t="shared" si="93"/>
        <v>#VALUE!</v>
      </c>
      <c r="AQ133" s="660" t="e">
        <f t="shared" si="94"/>
        <v>#VALUE!</v>
      </c>
      <c r="AR133" s="667" t="e">
        <f t="shared" si="95"/>
        <v>#VALUE!</v>
      </c>
      <c r="AS133" s="667" t="e">
        <f t="shared" si="96"/>
        <v>#VALUE!</v>
      </c>
      <c r="AT133" s="668" t="e">
        <f t="shared" si="97"/>
        <v>#VALUE!</v>
      </c>
      <c r="AU133" s="667" t="e">
        <f t="shared" si="98"/>
        <v>#VALUE!</v>
      </c>
      <c r="AV133" s="669" t="e">
        <f t="shared" si="99"/>
        <v>#VALUE!</v>
      </c>
      <c r="AW133" s="667" t="e">
        <f t="shared" si="100"/>
        <v>#VALUE!</v>
      </c>
      <c r="AX133" s="667" t="e">
        <f t="shared" si="101"/>
        <v>#VALUE!</v>
      </c>
      <c r="AY133" s="660" t="e">
        <f t="shared" si="102"/>
        <v>#VALUE!</v>
      </c>
      <c r="AZ133" s="670" t="e">
        <f t="shared" si="103"/>
        <v>#VALUE!</v>
      </c>
      <c r="BB133" s="662" t="e">
        <f>INDEX('Barge Gauging Data'!$B$26:$V$56,MATCH($C133,'Barge Gauging Data'!$B$26:$B$56,0),$BB$18)</f>
        <v>#N/A</v>
      </c>
      <c r="BC133" s="662" t="e">
        <f>INDEX('Barge Gauging Data'!$B$26:$V$56,MATCH($C133,'Barge Gauging Data'!$B$26:$B$56,0),$BC$18)</f>
        <v>#N/A</v>
      </c>
      <c r="BD133" s="662" t="e">
        <f>INDEX('Barge Gauging Data'!$B$26:$V$56,MATCH($C133,'Barge Gauging Data'!$B$26:$B$56,0),$BD$18)</f>
        <v>#N/A</v>
      </c>
      <c r="BE133" s="662" t="e">
        <f>INDEX('Barge Gauging Data'!$B$26:$V$56,MATCH($C133,'Barge Gauging Data'!$B$26:$B$56,0),$BE$18)</f>
        <v>#N/A</v>
      </c>
    </row>
    <row r="134" spans="1:57" hidden="1">
      <c r="A134" s="641" t="str">
        <f>A113</f>
        <v>N</v>
      </c>
      <c r="C134" s="671"/>
      <c r="D134" s="671"/>
      <c r="E134" s="672"/>
      <c r="F134" s="672"/>
      <c r="G134" s="672"/>
      <c r="H134" s="1501"/>
      <c r="I134" s="671"/>
      <c r="J134" s="672"/>
      <c r="K134" s="673"/>
      <c r="L134" s="672"/>
      <c r="M134" s="674"/>
      <c r="N134" s="672"/>
      <c r="O134" s="672"/>
      <c r="P134" s="1127"/>
      <c r="Q134" s="672"/>
      <c r="R134" s="675"/>
      <c r="S134" s="1137" t="s">
        <v>401</v>
      </c>
      <c r="T134" s="619">
        <f>SUM(T114:T133)</f>
        <v>0</v>
      </c>
      <c r="V134" s="619">
        <f>SUM(Q114:Q133)</f>
        <v>0</v>
      </c>
      <c r="W134" s="619">
        <f>SUM(R114:R133)</f>
        <v>0</v>
      </c>
      <c r="X134" s="719"/>
      <c r="Y134" s="719"/>
      <c r="Z134" s="719"/>
      <c r="AA134" s="676"/>
      <c r="AB134" s="719"/>
      <c r="AC134" s="719"/>
      <c r="AD134" s="676"/>
      <c r="AE134" s="720"/>
      <c r="AF134" s="720"/>
      <c r="AG134" s="676"/>
      <c r="AH134" s="721"/>
      <c r="AI134" s="721"/>
      <c r="AJ134" s="722"/>
      <c r="AK134" s="723"/>
      <c r="AL134" s="723"/>
      <c r="AM134" s="724"/>
      <c r="AN134" s="724"/>
      <c r="AO134" s="725"/>
      <c r="AP134" s="726"/>
      <c r="AQ134" s="723"/>
      <c r="AR134" s="727"/>
      <c r="AS134" s="727"/>
      <c r="AT134" s="728"/>
      <c r="AU134" s="727"/>
      <c r="AV134" s="729"/>
      <c r="AW134" s="727"/>
      <c r="AX134" s="727"/>
      <c r="AY134" s="723"/>
      <c r="AZ134" s="730"/>
      <c r="BA134" s="676"/>
      <c r="BB134" s="721"/>
      <c r="BC134" s="721"/>
      <c r="BD134" s="721"/>
      <c r="BE134" s="721"/>
    </row>
    <row r="135" spans="1:57" s="702" customFormat="1" ht="5.25" hidden="1">
      <c r="A135" s="702" t="str">
        <f>IF(A136="N",A136,IF(COUNTIF($A$21:$A133,"Y")&gt;0,A136,"N"))</f>
        <v>N</v>
      </c>
      <c r="C135" s="704"/>
      <c r="D135" s="704"/>
      <c r="E135" s="704"/>
      <c r="F135" s="704"/>
      <c r="G135" s="704"/>
      <c r="H135" s="704"/>
      <c r="I135" s="704"/>
      <c r="J135" s="705"/>
      <c r="K135" s="705"/>
      <c r="L135" s="705"/>
      <c r="M135" s="705"/>
      <c r="N135" s="705"/>
      <c r="O135" s="705"/>
      <c r="P135" s="1128"/>
      <c r="Q135" s="705"/>
      <c r="R135" s="705"/>
      <c r="S135" s="1136"/>
      <c r="T135" s="706"/>
      <c r="V135" s="707"/>
      <c r="W135" s="707"/>
      <c r="X135" s="707"/>
      <c r="Y135" s="707"/>
      <c r="Z135" s="707"/>
      <c r="AA135" s="707"/>
      <c r="AB135" s="707"/>
      <c r="AC135" s="707"/>
      <c r="AD135" s="707"/>
      <c r="AE135" s="708"/>
      <c r="AF135" s="708"/>
      <c r="AG135" s="707"/>
      <c r="AH135" s="709"/>
      <c r="AI135" s="709"/>
      <c r="AJ135" s="710"/>
      <c r="AK135" s="711"/>
      <c r="AL135" s="711"/>
      <c r="AM135" s="712"/>
      <c r="AN135" s="712"/>
      <c r="AO135" s="713"/>
      <c r="AP135" s="714"/>
      <c r="AQ135" s="711"/>
      <c r="AR135" s="715"/>
      <c r="AS135" s="715"/>
      <c r="AT135" s="716"/>
      <c r="AU135" s="715"/>
      <c r="AV135" s="717"/>
      <c r="AW135" s="715"/>
      <c r="AX135" s="715"/>
      <c r="AY135" s="711"/>
      <c r="AZ135" s="718"/>
      <c r="BA135" s="707"/>
      <c r="BB135" s="709"/>
      <c r="BC135" s="709"/>
      <c r="BD135" s="709"/>
      <c r="BE135" s="709"/>
    </row>
    <row r="136" spans="1:57" ht="15.75">
      <c r="A136" s="641" t="str">
        <f>A137</f>
        <v>Y</v>
      </c>
      <c r="B136" s="641">
        <v>6</v>
      </c>
      <c r="C136" s="2797" t="s">
        <v>163</v>
      </c>
      <c r="D136" s="2798"/>
      <c r="E136" s="2799" t="str">
        <f>'Preliminary Report'!J1</f>
        <v>LSMGO</v>
      </c>
      <c r="F136" s="2800"/>
      <c r="G136" s="2800"/>
      <c r="H136" s="2824"/>
      <c r="I136" s="2801"/>
      <c r="J136" s="698"/>
      <c r="K136" s="699"/>
      <c r="L136" s="700"/>
      <c r="M136" s="699"/>
      <c r="N136" s="699"/>
      <c r="O136" s="700"/>
      <c r="P136" s="1129"/>
      <c r="Q136" s="700"/>
      <c r="R136" s="701"/>
      <c r="S136" s="1129"/>
      <c r="T136" s="701"/>
      <c r="V136" s="731"/>
      <c r="W136" s="731"/>
      <c r="X136" s="731"/>
      <c r="Y136" s="731"/>
      <c r="Z136" s="731"/>
      <c r="AA136" s="676"/>
      <c r="AB136" s="731"/>
      <c r="AC136" s="731"/>
      <c r="AD136" s="676"/>
      <c r="AE136" s="732"/>
      <c r="AF136" s="732"/>
      <c r="AG136" s="676"/>
      <c r="AH136" s="733"/>
      <c r="AI136" s="733"/>
      <c r="AJ136" s="734"/>
      <c r="AK136" s="735"/>
      <c r="AL136" s="735"/>
      <c r="AM136" s="736"/>
      <c r="AN136" s="736"/>
      <c r="AO136" s="737"/>
      <c r="AP136" s="738"/>
      <c r="AQ136" s="735"/>
      <c r="AR136" s="739"/>
      <c r="AS136" s="739"/>
      <c r="AT136" s="740"/>
      <c r="AU136" s="739"/>
      <c r="AV136" s="741"/>
      <c r="AW136" s="739"/>
      <c r="AX136" s="739"/>
      <c r="AY136" s="735"/>
      <c r="AZ136" s="742"/>
      <c r="BA136" s="676"/>
      <c r="BB136" s="733"/>
      <c r="BC136" s="733"/>
      <c r="BD136" s="733"/>
      <c r="BE136" s="733"/>
    </row>
    <row r="137" spans="1:57">
      <c r="A137" s="641" t="str">
        <f t="shared" ref="A137:A156" si="119">IF(C137="","N",IF(ISERROR(MATCH($E$136,IF($Z$1=1,GRADESLIST,IF($Z$1=2,RESIDUALS,DISTILLATES)),0)),"N","Y"))</f>
        <v>Y</v>
      </c>
      <c r="C137" s="622" t="str">
        <f t="array" ref="C137">IF(OR($E$136="",SUMPRODUCT(('Barge Gauging Data'!$C$27:$C$56=$E$136)*('Barge Gauging Data'!$D$27:$D$56=NOMY))&lt;ROWS($C$137:$C137)),"",INDEX('Barge Gauging Data'!$B$27:$B$56,SMALL(IF(('Barge Gauging Data'!$C$27:$C$56=$E$136)+('Barge Gauging Data'!$D$27:$D$56=NOMY)=2,ROW('Barge Gauging Data'!$B$27:$B$56)-ROW('Barge Gauging Data'!$C$26)),ROW()-ROW(C$136))))</f>
        <v>3P</v>
      </c>
      <c r="D137" s="623" t="str">
        <f>IF(OR($C137="",$C137=0),"",INDEX('Barge Gauging Data'!$B$26:$V$56,MATCH($C137,'Barge Gauging Data'!$B$27:$B$56,0)+1,2))</f>
        <v>LSMGO</v>
      </c>
      <c r="E137" s="1018">
        <f t="shared" ref="E137:E156" si="120">IF(ISERROR(V137),"",IF(OR($C137="",$C137=0),"",IF(ISTEXT(V137),V137,IF($AB$1=1,V137*UNITOR_2,INT(V137*UNITOR_2)&amp;"'-"&amp;TRIM(TEXT(ROUND(MOD(V137*UNITOR_2,1)*12,1),"# ???/???"))&amp;""""))))</f>
        <v>4.05</v>
      </c>
      <c r="F137" s="1018">
        <f t="shared" ref="F137:F156" si="121">IF(ISERROR(W137),"",IF(OR($C137="",$C137=0),"",IF(ISTEXT(W137),W137,IF($AB$1=1,W137*UNITOR_2,INT(W137*UNITOR_2)&amp;"'-"&amp;TRIM(TEXT(ROUND(MOD(W137*UNITOR_2,1)*12,1),"# ???/???"))&amp;""""))))</f>
        <v>4.05</v>
      </c>
      <c r="G137" s="1018">
        <f t="shared" ref="G137:H156" si="122">IF(ISERROR(X137),"",IF(OR($C137="",$C137=0),"",IF(ISTEXT(X137),X137,IF($AB$1=1,X137*UNITOR_2,INT(X137*UNITOR_2)&amp;"'-"&amp;TRIM(TEXT(ROUND(MOD(X137*UNITOR_2,1)*12,1),"# ???/???"))&amp;""""))))</f>
        <v>2.62</v>
      </c>
      <c r="H137" s="1018">
        <f t="shared" si="122"/>
        <v>2.69</v>
      </c>
      <c r="I137" s="623" t="str">
        <f t="shared" ref="I137:I156" si="123">IF(ISERROR($BB137),"",IF(OR($C137="",$C137=0,$BB137=0),"",$BB137))</f>
        <v>U</v>
      </c>
      <c r="J137" s="1016">
        <f t="shared" ref="J137:J156" si="124">IF(ISERROR($BC137),"",IF(OR($C137="",$C137=0,$BC137=""),"",IF(ISTEXT($BC137),$BC137,$BC137*IF($AA$1=B1SEL_2,1,IF($AA$1=2,FBBLS,1/FBBLS)))))</f>
        <v>39.856999999999999</v>
      </c>
      <c r="K137" s="213">
        <f t="shared" ref="K137:K156" si="125">IF(ISERROR($BD137),"",IF(OR($C137="",$C137=0,$BD137=""),0,IF(ISTEXT($BD137),$BD137,$BD137*IF($AB$1=W1SEL_2,1,IF($AB$1=2,FINCH,1/FINCH)))))</f>
        <v>0</v>
      </c>
      <c r="L137" s="212">
        <f t="shared" ref="L137:L156" si="126">IF(ISERROR($BE137),"",IF(OR($C137="",$C137=0,$BE137=""),0,IF(ISTEXT($BE137),$BE137,$BE137*IF($AA$1=B1SEL_2,1,IF($AA$1=2,FBBLS,1/FBBLS)))))</f>
        <v>0</v>
      </c>
      <c r="M137" s="1125">
        <f>IF(OR($C137="",$C137=0),"",INDEX(API1DENST_2,MATCH($C137,'Barge Gauging Data'!$B$27:$B$56,0),$AA$1))</f>
        <v>0.83520000000000005</v>
      </c>
      <c r="N137" s="212">
        <f t="shared" ref="N137:N156" si="127">IF(ISERROR(Z137),"",IF(OR($C137="",$C137=0,Z137=""),"",IF(ISTEXT(Z137),Z137,IF($AA$1=T1SEL_2,Z137,IF($AA$1=2,(Z137*9/5)+32,(Z137-32)*5/9)))))</f>
        <v>24</v>
      </c>
      <c r="O137" s="1016">
        <f t="shared" ref="O137:O156" si="128">IF(OR(J137="",L137=""),"",IF(ISTEXT(J137),"N/A",IF(ISTEXT(L137),J137,J137-L137)))</f>
        <v>39.856999999999999</v>
      </c>
      <c r="P137" s="1125">
        <f t="shared" ref="P137:P156" si="129">IF(OR(M137="",N137=""),"",IF(OR(ISTEXT(M137),ISTEXT(N137)),"N/A",IF($AA$1=1,ROUND(EXP(-AF137*(N137-15)*(1+0.8*AF137*(N137-15))),5),AZ137)))</f>
        <v>0.99234</v>
      </c>
      <c r="Q137" s="1016">
        <f t="shared" ref="Q137:Q156" si="130">IF(OR(M137="",N137=""),"",IF(OR(ISTEXT(M137),ISTEXT(N137)),"N/A",ROUND(O137*P137,3)))</f>
        <v>39.552</v>
      </c>
      <c r="R137" s="214">
        <f t="shared" ref="R137:R156" si="131">IF(M137="","",IF($AA$1=1,IF(ISTEXT(Q137),"N/A",ROUND(Q137*M137,3)),IF(ISTEXT(T137),"N/A",ROUND(T137*AC137,3))))</f>
        <v>33.033999999999999</v>
      </c>
      <c r="S137" s="1125">
        <f t="shared" ref="S137:S156" si="132">IF(M137="","",IF($AA$1=1,ROUND(M137-0.0011,5),ROUND((1.00122697*(141.5/(M137+131.5))-1.22269727*10^-3)*8.32823*42/2204.62,5+2)))</f>
        <v>0.83409999999999995</v>
      </c>
      <c r="T137" s="236">
        <f t="shared" ref="T137:T156" si="133">IF(OR(M137="",N137=""),"",IF(ISTEXT(Q137),"N/A",IF($AA$1=1,ROUND((Q137*(M137-0.0011)),3),ROUND(Q137*S137,3))))</f>
        <v>32.99</v>
      </c>
      <c r="V137" s="642">
        <f>INDEX('Barge Gauging Data'!$B$26:$V$56,MATCH($C137,'Barge Gauging Data'!$B$26:$B$56,0),$V$18)</f>
        <v>4.05</v>
      </c>
      <c r="W137" s="642">
        <f>INDEX('Barge Gauging Data'!$B$26:$V$56,MATCH($C137,'Barge Gauging Data'!$B$26:$B$56,0),$W$18)</f>
        <v>4.05</v>
      </c>
      <c r="X137" s="642">
        <f>INDEX('Barge Gauging Data'!$B$26:$V$56,MATCH($C137,'Barge Gauging Data'!$B$26:$B$56,0),$X$18)</f>
        <v>2.62</v>
      </c>
      <c r="Y137" s="642">
        <f>INDEX('Barge Gauging Data'!$B$26:$V$56,MATCH($C137,'Barge Gauging Data'!$B$26:$B$56,0),$Y$18)</f>
        <v>2.69</v>
      </c>
      <c r="Z137" s="642">
        <f>INDEX('Barge Gauging Data'!$B$26:$V$56,MATCH($C137,'Barge Gauging Data'!$B$26:$B$56,0),$Z$18)</f>
        <v>24</v>
      </c>
      <c r="AB137" s="642">
        <f>INDEX(API1DENST_2,MATCH($C137,'Barge Gauging Data'!$B$27:$B$56,0),1)</f>
        <v>0.83520000000000005</v>
      </c>
      <c r="AC137" s="642">
        <f t="shared" si="84"/>
        <v>1.00135</v>
      </c>
      <c r="AE137" s="661">
        <f t="shared" si="85"/>
        <v>836</v>
      </c>
      <c r="AF137" s="661">
        <f t="shared" si="86"/>
        <v>8.4909999999999998E-4</v>
      </c>
      <c r="AH137" s="662">
        <f t="shared" si="82"/>
        <v>24</v>
      </c>
      <c r="AI137" s="662">
        <f t="shared" si="83"/>
        <v>0.83520000000000005</v>
      </c>
      <c r="AJ137" s="663">
        <f t="shared" si="87"/>
        <v>103.872</v>
      </c>
      <c r="AK137" s="660">
        <f t="shared" si="88"/>
        <v>0.27010000000000001</v>
      </c>
      <c r="AL137" s="660">
        <f t="shared" si="89"/>
        <v>1068.2</v>
      </c>
      <c r="AM137" s="664">
        <f t="shared" si="90"/>
        <v>9.7240209999999994E-2</v>
      </c>
      <c r="AN137" s="664">
        <f t="shared" si="91"/>
        <v>9.1031800000000005E-5</v>
      </c>
      <c r="AO137" s="665">
        <f t="shared" si="92"/>
        <v>2.5285519999999998E-4</v>
      </c>
      <c r="AP137" s="666">
        <f t="shared" si="93"/>
        <v>3.4390000000000001E-4</v>
      </c>
      <c r="AQ137" s="660">
        <f t="shared" si="94"/>
        <v>-36</v>
      </c>
      <c r="AR137" s="667">
        <f t="shared" si="95"/>
        <v>-1.23804E-2</v>
      </c>
      <c r="AS137" s="667">
        <f t="shared" si="96"/>
        <v>-9.9043199999999994E-3</v>
      </c>
      <c r="AT137" s="668">
        <f t="shared" si="97"/>
        <v>1.2260999999999999E-4</v>
      </c>
      <c r="AU137" s="667">
        <f t="shared" si="98"/>
        <v>1.2257789999999999E-2</v>
      </c>
      <c r="AV137" s="669">
        <f t="shared" si="99"/>
        <v>2.5000000000000001E-4</v>
      </c>
      <c r="AW137" s="667">
        <f t="shared" si="100"/>
        <v>2.2999999999999999E-7</v>
      </c>
      <c r="AX137" s="667">
        <f t="shared" si="101"/>
        <v>103.87200023</v>
      </c>
      <c r="AY137" s="660">
        <f t="shared" si="102"/>
        <v>3.4390000000000001E-4</v>
      </c>
      <c r="AZ137" s="670">
        <f t="shared" si="103"/>
        <v>1.01233</v>
      </c>
      <c r="BB137" s="662" t="str">
        <f>INDEX('Barge Gauging Data'!$B$26:$V$56,MATCH($C137,'Barge Gauging Data'!$B$26:$B$56,0),$BB$18)</f>
        <v>U</v>
      </c>
      <c r="BC137" s="662">
        <f>INDEX('Barge Gauging Data'!$B$26:$V$56,MATCH($C137,'Barge Gauging Data'!$B$26:$B$56,0),$BC$18)</f>
        <v>39.856999999999999</v>
      </c>
      <c r="BD137" s="662">
        <f>INDEX('Barge Gauging Data'!$B$26:$V$56,MATCH($C137,'Barge Gauging Data'!$B$26:$B$56,0),$BD$18)</f>
        <v>0</v>
      </c>
      <c r="BE137" s="662">
        <f>INDEX('Barge Gauging Data'!$B$26:$V$56,MATCH($C137,'Barge Gauging Data'!$B$26:$B$56,0),$BE$18)</f>
        <v>0</v>
      </c>
    </row>
    <row r="138" spans="1:57">
      <c r="A138" s="641" t="str">
        <f t="shared" si="119"/>
        <v>Y</v>
      </c>
      <c r="C138" s="235" t="str">
        <f t="array" ref="C138">IF(OR($E$136="",SUMPRODUCT(('Barge Gauging Data'!$C$27:$C$56=$E$136)*('Barge Gauging Data'!$D$27:$D$56=NOMY))&lt;ROWS($C$137:$C138)),"",INDEX('Barge Gauging Data'!$B$27:$B$56,SMALL(IF(('Barge Gauging Data'!$C$27:$C$56=$E$136)+('Barge Gauging Data'!$D$27:$D$56=NOMY)=2,ROW('Barge Gauging Data'!$B$27:$B$56)-ROW('Barge Gauging Data'!$C$26)),ROW()-ROW(C$136))))</f>
        <v>3S</v>
      </c>
      <c r="D138" s="211" t="str">
        <f>IF(OR($C138="",$C138=0),"",INDEX('Barge Gauging Data'!$B$26:$V$56,MATCH($C138,'Barge Gauging Data'!$B$27:$B$56,0)+1,2))</f>
        <v>LSMGO</v>
      </c>
      <c r="E138" s="1016">
        <f t="shared" si="120"/>
        <v>4.05</v>
      </c>
      <c r="F138" s="1016">
        <f t="shared" si="121"/>
        <v>4.05</v>
      </c>
      <c r="G138" s="1016">
        <f t="shared" si="122"/>
        <v>2.68</v>
      </c>
      <c r="H138" s="1016">
        <f t="shared" si="122"/>
        <v>2.75</v>
      </c>
      <c r="I138" s="211" t="str">
        <f t="shared" si="123"/>
        <v>U</v>
      </c>
      <c r="J138" s="1016">
        <f t="shared" si="124"/>
        <v>39.271000000000001</v>
      </c>
      <c r="K138" s="213">
        <f t="shared" si="125"/>
        <v>0</v>
      </c>
      <c r="L138" s="212">
        <f t="shared" si="126"/>
        <v>0</v>
      </c>
      <c r="M138" s="1125">
        <f>IF(OR($C138="",$C138=0),"",INDEX(API1DENST_2,MATCH($C138,'Barge Gauging Data'!$B$27:$B$56,0),$AA$1))</f>
        <v>0.83520000000000005</v>
      </c>
      <c r="N138" s="212">
        <f t="shared" si="127"/>
        <v>24</v>
      </c>
      <c r="O138" s="1016">
        <f t="shared" si="128"/>
        <v>39.271000000000001</v>
      </c>
      <c r="P138" s="1125">
        <f t="shared" si="129"/>
        <v>0.99234</v>
      </c>
      <c r="Q138" s="1016">
        <f t="shared" si="130"/>
        <v>38.97</v>
      </c>
      <c r="R138" s="214">
        <f t="shared" si="131"/>
        <v>32.548000000000002</v>
      </c>
      <c r="S138" s="1125">
        <f t="shared" si="132"/>
        <v>0.83409999999999995</v>
      </c>
      <c r="T138" s="236">
        <f t="shared" si="133"/>
        <v>32.505000000000003</v>
      </c>
      <c r="V138" s="642">
        <f>INDEX('Barge Gauging Data'!$B$26:$V$56,MATCH($C138,'Barge Gauging Data'!$B$26:$B$56,0),$V$18)</f>
        <v>4.05</v>
      </c>
      <c r="W138" s="642">
        <f>INDEX('Barge Gauging Data'!$B$26:$V$56,MATCH($C138,'Barge Gauging Data'!$B$26:$B$56,0),$W$18)</f>
        <v>4.05</v>
      </c>
      <c r="X138" s="642">
        <f>INDEX('Barge Gauging Data'!$B$26:$V$56,MATCH($C138,'Barge Gauging Data'!$B$26:$B$56,0),$X$18)</f>
        <v>2.68</v>
      </c>
      <c r="Y138" s="642">
        <f>INDEX('Barge Gauging Data'!$B$26:$V$56,MATCH($C138,'Barge Gauging Data'!$B$26:$B$56,0),$Y$18)</f>
        <v>2.75</v>
      </c>
      <c r="Z138" s="642">
        <f>INDEX('Barge Gauging Data'!$B$26:$V$56,MATCH($C138,'Barge Gauging Data'!$B$26:$B$56,0),$Z$18)</f>
        <v>24</v>
      </c>
      <c r="AB138" s="642">
        <f>INDEX(API1DENST_2,MATCH($C138,'Barge Gauging Data'!$B$27:$B$56,0),1)</f>
        <v>0.83520000000000005</v>
      </c>
      <c r="AC138" s="642">
        <f t="shared" si="84"/>
        <v>1.00135</v>
      </c>
      <c r="AE138" s="661">
        <f t="shared" si="85"/>
        <v>836</v>
      </c>
      <c r="AF138" s="661">
        <f t="shared" si="86"/>
        <v>8.4909999999999998E-4</v>
      </c>
      <c r="AH138" s="662">
        <f t="shared" si="82"/>
        <v>24</v>
      </c>
      <c r="AI138" s="662">
        <f t="shared" si="83"/>
        <v>0.83520000000000005</v>
      </c>
      <c r="AJ138" s="663">
        <f t="shared" si="87"/>
        <v>103.872</v>
      </c>
      <c r="AK138" s="660">
        <f t="shared" si="88"/>
        <v>0.27010000000000001</v>
      </c>
      <c r="AL138" s="660">
        <f t="shared" si="89"/>
        <v>1068.2</v>
      </c>
      <c r="AM138" s="664">
        <f t="shared" si="90"/>
        <v>9.7240209999999994E-2</v>
      </c>
      <c r="AN138" s="664">
        <f t="shared" si="91"/>
        <v>9.1031800000000005E-5</v>
      </c>
      <c r="AO138" s="665">
        <f t="shared" si="92"/>
        <v>2.5285519999999998E-4</v>
      </c>
      <c r="AP138" s="666">
        <f t="shared" si="93"/>
        <v>3.4390000000000001E-4</v>
      </c>
      <c r="AQ138" s="660">
        <f t="shared" si="94"/>
        <v>-36</v>
      </c>
      <c r="AR138" s="667">
        <f t="shared" si="95"/>
        <v>-1.23804E-2</v>
      </c>
      <c r="AS138" s="667">
        <f t="shared" si="96"/>
        <v>-9.9043199999999994E-3</v>
      </c>
      <c r="AT138" s="668">
        <f t="shared" si="97"/>
        <v>1.2260999999999999E-4</v>
      </c>
      <c r="AU138" s="667">
        <f t="shared" si="98"/>
        <v>1.2257789999999999E-2</v>
      </c>
      <c r="AV138" s="669">
        <f t="shared" si="99"/>
        <v>2.5000000000000001E-4</v>
      </c>
      <c r="AW138" s="667">
        <f t="shared" si="100"/>
        <v>2.2999999999999999E-7</v>
      </c>
      <c r="AX138" s="667">
        <f t="shared" si="101"/>
        <v>103.87200023</v>
      </c>
      <c r="AY138" s="660">
        <f t="shared" si="102"/>
        <v>3.4390000000000001E-4</v>
      </c>
      <c r="AZ138" s="670">
        <f t="shared" si="103"/>
        <v>1.01233</v>
      </c>
      <c r="BB138" s="662" t="str">
        <f>INDEX('Barge Gauging Data'!$B$26:$V$56,MATCH($C138,'Barge Gauging Data'!$B$26:$B$56,0),$BB$18)</f>
        <v>U</v>
      </c>
      <c r="BC138" s="662">
        <f>INDEX('Barge Gauging Data'!$B$26:$V$56,MATCH($C138,'Barge Gauging Data'!$B$26:$B$56,0),$BC$18)</f>
        <v>39.271000000000001</v>
      </c>
      <c r="BD138" s="662">
        <f>INDEX('Barge Gauging Data'!$B$26:$V$56,MATCH($C138,'Barge Gauging Data'!$B$26:$B$56,0),$BD$18)</f>
        <v>0</v>
      </c>
      <c r="BE138" s="662">
        <f>INDEX('Barge Gauging Data'!$B$26:$V$56,MATCH($C138,'Barge Gauging Data'!$B$26:$B$56,0),$BE$18)</f>
        <v>0</v>
      </c>
    </row>
    <row r="139" spans="1:57" hidden="1">
      <c r="A139" s="641" t="str">
        <f t="shared" si="119"/>
        <v>N</v>
      </c>
      <c r="C139" s="235" t="str">
        <f t="array" ref="C139">IF(OR($E$136="",SUMPRODUCT(('Barge Gauging Data'!$C$27:$C$56=$E$136)*('Barge Gauging Data'!$D$27:$D$56=NOMY))&lt;ROWS($C$137:$C139)),"",INDEX('Barge Gauging Data'!$B$27:$B$56,SMALL(IF(('Barge Gauging Data'!$C$27:$C$56=$E$136)+('Barge Gauging Data'!$D$27:$D$56=NOMY)=2,ROW('Barge Gauging Data'!$B$27:$B$56)-ROW('Barge Gauging Data'!$C$26)),ROW()-ROW(C$136))))</f>
        <v/>
      </c>
      <c r="D139" s="211" t="str">
        <f>IF(OR($C139="",$C139=0),"",INDEX('Barge Gauging Data'!$B$26:$V$56,MATCH($C139,'Barge Gauging Data'!$B$27:$B$56,0)+1,2))</f>
        <v/>
      </c>
      <c r="E139" s="1016" t="str">
        <f t="shared" si="120"/>
        <v/>
      </c>
      <c r="F139" s="1016" t="str">
        <f t="shared" si="121"/>
        <v/>
      </c>
      <c r="G139" s="1016" t="str">
        <f t="shared" si="122"/>
        <v/>
      </c>
      <c r="H139" s="1016" t="str">
        <f t="shared" si="122"/>
        <v/>
      </c>
      <c r="I139" s="211" t="str">
        <f t="shared" si="123"/>
        <v/>
      </c>
      <c r="J139" s="1016" t="str">
        <f t="shared" si="124"/>
        <v/>
      </c>
      <c r="K139" s="213" t="str">
        <f t="shared" si="125"/>
        <v/>
      </c>
      <c r="L139" s="212" t="str">
        <f t="shared" si="126"/>
        <v/>
      </c>
      <c r="M139" s="1125" t="str">
        <f>IF(OR($C139="",$C139=0),"",INDEX(API1DENST_2,MATCH($C139,'Barge Gauging Data'!$B$27:$B$56,0),$AA$1))</f>
        <v/>
      </c>
      <c r="N139" s="212" t="str">
        <f t="shared" si="127"/>
        <v/>
      </c>
      <c r="O139" s="1016" t="str">
        <f t="shared" si="128"/>
        <v/>
      </c>
      <c r="P139" s="1125" t="str">
        <f t="shared" si="129"/>
        <v/>
      </c>
      <c r="Q139" s="1016" t="str">
        <f t="shared" si="130"/>
        <v/>
      </c>
      <c r="R139" s="214" t="str">
        <f t="shared" si="131"/>
        <v/>
      </c>
      <c r="S139" s="1125" t="str">
        <f t="shared" si="132"/>
        <v/>
      </c>
      <c r="T139" s="236" t="str">
        <f t="shared" si="133"/>
        <v/>
      </c>
      <c r="V139" s="642" t="e">
        <f>INDEX('Barge Gauging Data'!$B$26:$V$56,MATCH($C139,'Barge Gauging Data'!$B$26:$B$56,0),$V$18)</f>
        <v>#N/A</v>
      </c>
      <c r="W139" s="642" t="e">
        <f>INDEX('Barge Gauging Data'!$B$26:$V$56,MATCH($C139,'Barge Gauging Data'!$B$26:$B$56,0),$W$18)</f>
        <v>#N/A</v>
      </c>
      <c r="X139" s="642" t="e">
        <f>INDEX('Barge Gauging Data'!$B$26:$V$56,MATCH($C139,'Barge Gauging Data'!$B$26:$B$56,0),$X$18)</f>
        <v>#N/A</v>
      </c>
      <c r="Y139" s="642" t="e">
        <f>INDEX('Barge Gauging Data'!$B$26:$V$56,MATCH($C139,'Barge Gauging Data'!$B$26:$B$56,0),$Y$18)</f>
        <v>#N/A</v>
      </c>
      <c r="Z139" s="642" t="e">
        <f>INDEX('Barge Gauging Data'!$B$26:$V$56,MATCH($C139,'Barge Gauging Data'!$B$26:$B$56,0),$Z$18)</f>
        <v>#N/A</v>
      </c>
      <c r="AB139" s="642" t="e">
        <f>INDEX(API1DENST_2,MATCH($C139,'Barge Gauging Data'!$B$27:$B$56,0),1)</f>
        <v>#N/A</v>
      </c>
      <c r="AC139" s="642" t="e">
        <f t="shared" si="84"/>
        <v>#N/A</v>
      </c>
      <c r="AE139" s="661" t="e">
        <f t="shared" si="85"/>
        <v>#VALUE!</v>
      </c>
      <c r="AF139" s="661" t="e">
        <f t="shared" si="86"/>
        <v>#VALUE!</v>
      </c>
      <c r="AH139" s="662" t="str">
        <f t="shared" si="82"/>
        <v/>
      </c>
      <c r="AI139" s="662" t="str">
        <f t="shared" si="83"/>
        <v/>
      </c>
      <c r="AJ139" s="663">
        <f t="shared" si="87"/>
        <v>192.4571</v>
      </c>
      <c r="AK139" s="660">
        <f t="shared" si="88"/>
        <v>0.24379999999999999</v>
      </c>
      <c r="AL139" s="660" t="e">
        <f t="shared" si="89"/>
        <v>#VALUE!</v>
      </c>
      <c r="AM139" s="664" t="e">
        <f t="shared" si="90"/>
        <v>#VALUE!</v>
      </c>
      <c r="AN139" s="664" t="e">
        <f t="shared" si="91"/>
        <v>#VALUE!</v>
      </c>
      <c r="AO139" s="665" t="e">
        <f t="shared" si="92"/>
        <v>#VALUE!</v>
      </c>
      <c r="AP139" s="666" t="e">
        <f t="shared" si="93"/>
        <v>#VALUE!</v>
      </c>
      <c r="AQ139" s="660" t="e">
        <f t="shared" si="94"/>
        <v>#VALUE!</v>
      </c>
      <c r="AR139" s="667" t="e">
        <f t="shared" si="95"/>
        <v>#VALUE!</v>
      </c>
      <c r="AS139" s="667" t="e">
        <f t="shared" si="96"/>
        <v>#VALUE!</v>
      </c>
      <c r="AT139" s="668" t="e">
        <f t="shared" si="97"/>
        <v>#VALUE!</v>
      </c>
      <c r="AU139" s="667" t="e">
        <f t="shared" si="98"/>
        <v>#VALUE!</v>
      </c>
      <c r="AV139" s="669" t="e">
        <f t="shared" si="99"/>
        <v>#VALUE!</v>
      </c>
      <c r="AW139" s="667" t="e">
        <f t="shared" si="100"/>
        <v>#VALUE!</v>
      </c>
      <c r="AX139" s="667" t="e">
        <f t="shared" si="101"/>
        <v>#VALUE!</v>
      </c>
      <c r="AY139" s="660" t="e">
        <f t="shared" si="102"/>
        <v>#VALUE!</v>
      </c>
      <c r="AZ139" s="670" t="e">
        <f t="shared" si="103"/>
        <v>#VALUE!</v>
      </c>
      <c r="BB139" s="662" t="e">
        <f>INDEX('Barge Gauging Data'!$B$26:$V$56,MATCH($C139,'Barge Gauging Data'!$B$26:$B$56,0),$BB$18)</f>
        <v>#N/A</v>
      </c>
      <c r="BC139" s="662" t="e">
        <f>INDEX('Barge Gauging Data'!$B$26:$V$56,MATCH($C139,'Barge Gauging Data'!$B$26:$B$56,0),$BC$18)</f>
        <v>#N/A</v>
      </c>
      <c r="BD139" s="662" t="e">
        <f>INDEX('Barge Gauging Data'!$B$26:$V$56,MATCH($C139,'Barge Gauging Data'!$B$26:$B$56,0),$BD$18)</f>
        <v>#N/A</v>
      </c>
      <c r="BE139" s="662" t="e">
        <f>INDEX('Barge Gauging Data'!$B$26:$V$56,MATCH($C139,'Barge Gauging Data'!$B$26:$B$56,0),$BE$18)</f>
        <v>#N/A</v>
      </c>
    </row>
    <row r="140" spans="1:57" hidden="1">
      <c r="A140" s="641" t="str">
        <f t="shared" si="119"/>
        <v>N</v>
      </c>
      <c r="C140" s="235" t="str">
        <f t="array" ref="C140">IF(OR($E$136="",SUMPRODUCT(('Barge Gauging Data'!$C$27:$C$56=$E$136)*('Barge Gauging Data'!$D$27:$D$56=NOMY))&lt;ROWS($C$137:$C140)),"",INDEX('Barge Gauging Data'!$B$27:$B$56,SMALL(IF(('Barge Gauging Data'!$C$27:$C$56=$E$136)+('Barge Gauging Data'!$D$27:$D$56=NOMY)=2,ROW('Barge Gauging Data'!$B$27:$B$56)-ROW('Barge Gauging Data'!$C$26)),ROW()-ROW(C$136))))</f>
        <v/>
      </c>
      <c r="D140" s="211" t="str">
        <f>IF(OR($C140="",$C140=0),"",INDEX('Barge Gauging Data'!$B$26:$V$56,MATCH($C140,'Barge Gauging Data'!$B$27:$B$56,0)+1,2))</f>
        <v/>
      </c>
      <c r="E140" s="1016" t="str">
        <f t="shared" si="120"/>
        <v/>
      </c>
      <c r="F140" s="1016" t="str">
        <f t="shared" si="121"/>
        <v/>
      </c>
      <c r="G140" s="1016" t="str">
        <f t="shared" si="122"/>
        <v/>
      </c>
      <c r="H140" s="1016" t="str">
        <f t="shared" si="122"/>
        <v/>
      </c>
      <c r="I140" s="211" t="str">
        <f t="shared" si="123"/>
        <v/>
      </c>
      <c r="J140" s="1016" t="str">
        <f t="shared" si="124"/>
        <v/>
      </c>
      <c r="K140" s="213" t="str">
        <f t="shared" si="125"/>
        <v/>
      </c>
      <c r="L140" s="212" t="str">
        <f t="shared" si="126"/>
        <v/>
      </c>
      <c r="M140" s="1125" t="str">
        <f>IF(OR($C140="",$C140=0),"",INDEX(API1DENST_2,MATCH($C140,'Barge Gauging Data'!$B$27:$B$56,0),$AA$1))</f>
        <v/>
      </c>
      <c r="N140" s="212" t="str">
        <f t="shared" si="127"/>
        <v/>
      </c>
      <c r="O140" s="1016" t="str">
        <f t="shared" si="128"/>
        <v/>
      </c>
      <c r="P140" s="1125" t="str">
        <f t="shared" si="129"/>
        <v/>
      </c>
      <c r="Q140" s="1016" t="str">
        <f t="shared" si="130"/>
        <v/>
      </c>
      <c r="R140" s="214" t="str">
        <f t="shared" si="131"/>
        <v/>
      </c>
      <c r="S140" s="1125" t="str">
        <f t="shared" si="132"/>
        <v/>
      </c>
      <c r="T140" s="236" t="str">
        <f t="shared" si="133"/>
        <v/>
      </c>
      <c r="V140" s="642" t="e">
        <f>INDEX('Barge Gauging Data'!$B$26:$V$56,MATCH($C140,'Barge Gauging Data'!$B$26:$B$56,0),$V$18)</f>
        <v>#N/A</v>
      </c>
      <c r="W140" s="642" t="e">
        <f>INDEX('Barge Gauging Data'!$B$26:$V$56,MATCH($C140,'Barge Gauging Data'!$B$26:$B$56,0),$W$18)</f>
        <v>#N/A</v>
      </c>
      <c r="X140" s="642" t="e">
        <f>INDEX('Barge Gauging Data'!$B$26:$V$56,MATCH($C140,'Barge Gauging Data'!$B$26:$B$56,0),$X$18)</f>
        <v>#N/A</v>
      </c>
      <c r="Y140" s="642" t="e">
        <f>INDEX('Barge Gauging Data'!$B$26:$V$56,MATCH($C140,'Barge Gauging Data'!$B$26:$B$56,0),$Y$18)</f>
        <v>#N/A</v>
      </c>
      <c r="Z140" s="642" t="e">
        <f>INDEX('Barge Gauging Data'!$B$26:$V$56,MATCH($C140,'Barge Gauging Data'!$B$26:$B$56,0),$Z$18)</f>
        <v>#N/A</v>
      </c>
      <c r="AB140" s="642" t="e">
        <f>INDEX(API1DENST_2,MATCH($C140,'Barge Gauging Data'!$B$27:$B$56,0),1)</f>
        <v>#N/A</v>
      </c>
      <c r="AC140" s="642" t="e">
        <f t="shared" si="84"/>
        <v>#N/A</v>
      </c>
      <c r="AE140" s="661" t="e">
        <f t="shared" si="85"/>
        <v>#VALUE!</v>
      </c>
      <c r="AF140" s="661" t="e">
        <f t="shared" si="86"/>
        <v>#VALUE!</v>
      </c>
      <c r="AH140" s="662" t="str">
        <f t="shared" si="82"/>
        <v/>
      </c>
      <c r="AI140" s="662" t="str">
        <f t="shared" si="83"/>
        <v/>
      </c>
      <c r="AJ140" s="663">
        <f t="shared" si="87"/>
        <v>192.4571</v>
      </c>
      <c r="AK140" s="660">
        <f t="shared" si="88"/>
        <v>0.24379999999999999</v>
      </c>
      <c r="AL140" s="660" t="e">
        <f t="shared" si="89"/>
        <v>#VALUE!</v>
      </c>
      <c r="AM140" s="664" t="e">
        <f t="shared" si="90"/>
        <v>#VALUE!</v>
      </c>
      <c r="AN140" s="664" t="e">
        <f t="shared" si="91"/>
        <v>#VALUE!</v>
      </c>
      <c r="AO140" s="665" t="e">
        <f t="shared" si="92"/>
        <v>#VALUE!</v>
      </c>
      <c r="AP140" s="666" t="e">
        <f t="shared" si="93"/>
        <v>#VALUE!</v>
      </c>
      <c r="AQ140" s="660" t="e">
        <f t="shared" si="94"/>
        <v>#VALUE!</v>
      </c>
      <c r="AR140" s="667" t="e">
        <f t="shared" si="95"/>
        <v>#VALUE!</v>
      </c>
      <c r="AS140" s="667" t="e">
        <f t="shared" si="96"/>
        <v>#VALUE!</v>
      </c>
      <c r="AT140" s="668" t="e">
        <f t="shared" si="97"/>
        <v>#VALUE!</v>
      </c>
      <c r="AU140" s="667" t="e">
        <f t="shared" si="98"/>
        <v>#VALUE!</v>
      </c>
      <c r="AV140" s="669" t="e">
        <f t="shared" si="99"/>
        <v>#VALUE!</v>
      </c>
      <c r="AW140" s="667" t="e">
        <f t="shared" si="100"/>
        <v>#VALUE!</v>
      </c>
      <c r="AX140" s="667" t="e">
        <f t="shared" si="101"/>
        <v>#VALUE!</v>
      </c>
      <c r="AY140" s="660" t="e">
        <f t="shared" si="102"/>
        <v>#VALUE!</v>
      </c>
      <c r="AZ140" s="670" t="e">
        <f t="shared" si="103"/>
        <v>#VALUE!</v>
      </c>
      <c r="BB140" s="662" t="e">
        <f>INDEX('Barge Gauging Data'!$B$26:$V$56,MATCH($C140,'Barge Gauging Data'!$B$26:$B$56,0),$BB$18)</f>
        <v>#N/A</v>
      </c>
      <c r="BC140" s="662" t="e">
        <f>INDEX('Barge Gauging Data'!$B$26:$V$56,MATCH($C140,'Barge Gauging Data'!$B$26:$B$56,0),$BC$18)</f>
        <v>#N/A</v>
      </c>
      <c r="BD140" s="662" t="e">
        <f>INDEX('Barge Gauging Data'!$B$26:$V$56,MATCH($C140,'Barge Gauging Data'!$B$26:$B$56,0),$BD$18)</f>
        <v>#N/A</v>
      </c>
      <c r="BE140" s="662" t="e">
        <f>INDEX('Barge Gauging Data'!$B$26:$V$56,MATCH($C140,'Barge Gauging Data'!$B$26:$B$56,0),$BE$18)</f>
        <v>#N/A</v>
      </c>
    </row>
    <row r="141" spans="1:57" hidden="1">
      <c r="A141" s="641" t="str">
        <f t="shared" si="119"/>
        <v>N</v>
      </c>
      <c r="C141" s="235" t="str">
        <f t="array" ref="C141">IF(OR($E$136="",SUMPRODUCT(('Barge Gauging Data'!$C$27:$C$56=$E$136)*('Barge Gauging Data'!$D$27:$D$56=NOMY))&lt;ROWS($C$137:$C141)),"",INDEX('Barge Gauging Data'!$B$27:$B$56,SMALL(IF(('Barge Gauging Data'!$C$27:$C$56=$E$136)+('Barge Gauging Data'!$D$27:$D$56=NOMY)=2,ROW('Barge Gauging Data'!$B$27:$B$56)-ROW('Barge Gauging Data'!$C$26)),ROW()-ROW(C$136))))</f>
        <v/>
      </c>
      <c r="D141" s="211" t="str">
        <f>IF(OR($C141="",$C141=0),"",INDEX('Barge Gauging Data'!$B$26:$V$56,MATCH($C141,'Barge Gauging Data'!$B$27:$B$56,0)+1,2))</f>
        <v/>
      </c>
      <c r="E141" s="1016" t="str">
        <f t="shared" si="120"/>
        <v/>
      </c>
      <c r="F141" s="1016" t="str">
        <f t="shared" si="121"/>
        <v/>
      </c>
      <c r="G141" s="1016" t="str">
        <f t="shared" si="122"/>
        <v/>
      </c>
      <c r="H141" s="1016" t="str">
        <f t="shared" si="122"/>
        <v/>
      </c>
      <c r="I141" s="211" t="str">
        <f t="shared" si="123"/>
        <v/>
      </c>
      <c r="J141" s="1016" t="str">
        <f t="shared" si="124"/>
        <v/>
      </c>
      <c r="K141" s="213" t="str">
        <f t="shared" si="125"/>
        <v/>
      </c>
      <c r="L141" s="212" t="str">
        <f t="shared" si="126"/>
        <v/>
      </c>
      <c r="M141" s="1125" t="str">
        <f>IF(OR($C141="",$C141=0),"",INDEX(API1DENST_2,MATCH($C141,'Barge Gauging Data'!$B$27:$B$56,0),$AA$1))</f>
        <v/>
      </c>
      <c r="N141" s="212" t="str">
        <f t="shared" si="127"/>
        <v/>
      </c>
      <c r="O141" s="1016" t="str">
        <f t="shared" si="128"/>
        <v/>
      </c>
      <c r="P141" s="1125" t="str">
        <f t="shared" si="129"/>
        <v/>
      </c>
      <c r="Q141" s="1016" t="str">
        <f t="shared" si="130"/>
        <v/>
      </c>
      <c r="R141" s="214" t="str">
        <f t="shared" si="131"/>
        <v/>
      </c>
      <c r="S141" s="1125" t="str">
        <f t="shared" si="132"/>
        <v/>
      </c>
      <c r="T141" s="236" t="str">
        <f t="shared" si="133"/>
        <v/>
      </c>
      <c r="V141" s="642" t="e">
        <f>INDEX('Barge Gauging Data'!$B$26:$V$56,MATCH($C141,'Barge Gauging Data'!$B$26:$B$56,0),$V$18)</f>
        <v>#N/A</v>
      </c>
      <c r="W141" s="642" t="e">
        <f>INDEX('Barge Gauging Data'!$B$26:$V$56,MATCH($C141,'Barge Gauging Data'!$B$26:$B$56,0),$W$18)</f>
        <v>#N/A</v>
      </c>
      <c r="X141" s="642" t="e">
        <f>INDEX('Barge Gauging Data'!$B$26:$V$56,MATCH($C141,'Barge Gauging Data'!$B$26:$B$56,0),$X$18)</f>
        <v>#N/A</v>
      </c>
      <c r="Y141" s="642" t="e">
        <f>INDEX('Barge Gauging Data'!$B$26:$V$56,MATCH($C141,'Barge Gauging Data'!$B$26:$B$56,0),$Y$18)</f>
        <v>#N/A</v>
      </c>
      <c r="Z141" s="642" t="e">
        <f>INDEX('Barge Gauging Data'!$B$26:$V$56,MATCH($C141,'Barge Gauging Data'!$B$26:$B$56,0),$Z$18)</f>
        <v>#N/A</v>
      </c>
      <c r="AB141" s="642" t="e">
        <f>INDEX(API1DENST_2,MATCH($C141,'Barge Gauging Data'!$B$27:$B$56,0),1)</f>
        <v>#N/A</v>
      </c>
      <c r="AC141" s="642" t="e">
        <f t="shared" si="84"/>
        <v>#N/A</v>
      </c>
      <c r="AE141" s="661" t="e">
        <f t="shared" si="85"/>
        <v>#VALUE!</v>
      </c>
      <c r="AF141" s="661" t="e">
        <f t="shared" si="86"/>
        <v>#VALUE!</v>
      </c>
      <c r="AH141" s="662" t="str">
        <f t="shared" si="82"/>
        <v/>
      </c>
      <c r="AI141" s="662" t="str">
        <f t="shared" si="83"/>
        <v/>
      </c>
      <c r="AJ141" s="663">
        <f t="shared" si="87"/>
        <v>192.4571</v>
      </c>
      <c r="AK141" s="660">
        <f t="shared" si="88"/>
        <v>0.24379999999999999</v>
      </c>
      <c r="AL141" s="660" t="e">
        <f t="shared" si="89"/>
        <v>#VALUE!</v>
      </c>
      <c r="AM141" s="664" t="e">
        <f t="shared" si="90"/>
        <v>#VALUE!</v>
      </c>
      <c r="AN141" s="664" t="e">
        <f t="shared" si="91"/>
        <v>#VALUE!</v>
      </c>
      <c r="AO141" s="665" t="e">
        <f t="shared" si="92"/>
        <v>#VALUE!</v>
      </c>
      <c r="AP141" s="666" t="e">
        <f t="shared" si="93"/>
        <v>#VALUE!</v>
      </c>
      <c r="AQ141" s="660" t="e">
        <f t="shared" si="94"/>
        <v>#VALUE!</v>
      </c>
      <c r="AR141" s="667" t="e">
        <f t="shared" si="95"/>
        <v>#VALUE!</v>
      </c>
      <c r="AS141" s="667" t="e">
        <f t="shared" si="96"/>
        <v>#VALUE!</v>
      </c>
      <c r="AT141" s="668" t="e">
        <f t="shared" si="97"/>
        <v>#VALUE!</v>
      </c>
      <c r="AU141" s="667" t="e">
        <f t="shared" si="98"/>
        <v>#VALUE!</v>
      </c>
      <c r="AV141" s="669" t="e">
        <f t="shared" si="99"/>
        <v>#VALUE!</v>
      </c>
      <c r="AW141" s="667" t="e">
        <f t="shared" si="100"/>
        <v>#VALUE!</v>
      </c>
      <c r="AX141" s="667" t="e">
        <f t="shared" si="101"/>
        <v>#VALUE!</v>
      </c>
      <c r="AY141" s="660" t="e">
        <f t="shared" si="102"/>
        <v>#VALUE!</v>
      </c>
      <c r="AZ141" s="670" t="e">
        <f t="shared" si="103"/>
        <v>#VALUE!</v>
      </c>
      <c r="BB141" s="662" t="e">
        <f>INDEX('Barge Gauging Data'!$B$26:$V$56,MATCH($C141,'Barge Gauging Data'!$B$26:$B$56,0),$BB$18)</f>
        <v>#N/A</v>
      </c>
      <c r="BC141" s="662" t="e">
        <f>INDEX('Barge Gauging Data'!$B$26:$V$56,MATCH($C141,'Barge Gauging Data'!$B$26:$B$56,0),$BC$18)</f>
        <v>#N/A</v>
      </c>
      <c r="BD141" s="662" t="e">
        <f>INDEX('Barge Gauging Data'!$B$26:$V$56,MATCH($C141,'Barge Gauging Data'!$B$26:$B$56,0),$BD$18)</f>
        <v>#N/A</v>
      </c>
      <c r="BE141" s="662" t="e">
        <f>INDEX('Barge Gauging Data'!$B$26:$V$56,MATCH($C141,'Barge Gauging Data'!$B$26:$B$56,0),$BE$18)</f>
        <v>#N/A</v>
      </c>
    </row>
    <row r="142" spans="1:57" hidden="1">
      <c r="A142" s="641" t="str">
        <f t="shared" si="119"/>
        <v>N</v>
      </c>
      <c r="C142" s="235" t="str">
        <f t="array" ref="C142">IF(OR($E$136="",SUMPRODUCT(('Barge Gauging Data'!$C$27:$C$56=$E$136)*('Barge Gauging Data'!$D$27:$D$56=NOMY))&lt;ROWS($C$137:$C142)),"",INDEX('Barge Gauging Data'!$B$27:$B$56,SMALL(IF(('Barge Gauging Data'!$C$27:$C$56=$E$136)+('Barge Gauging Data'!$D$27:$D$56=NOMY)=2,ROW('Barge Gauging Data'!$B$27:$B$56)-ROW('Barge Gauging Data'!$C$26)),ROW()-ROW(C$136))))</f>
        <v/>
      </c>
      <c r="D142" s="211" t="str">
        <f>IF(OR($C142="",$C142=0),"",INDEX('Barge Gauging Data'!$B$26:$V$56,MATCH($C142,'Barge Gauging Data'!$B$27:$B$56,0)+1,2))</f>
        <v/>
      </c>
      <c r="E142" s="1016" t="str">
        <f t="shared" si="120"/>
        <v/>
      </c>
      <c r="F142" s="1016" t="str">
        <f t="shared" si="121"/>
        <v/>
      </c>
      <c r="G142" s="1016" t="str">
        <f t="shared" si="122"/>
        <v/>
      </c>
      <c r="H142" s="1016" t="str">
        <f t="shared" si="122"/>
        <v/>
      </c>
      <c r="I142" s="211" t="str">
        <f t="shared" si="123"/>
        <v/>
      </c>
      <c r="J142" s="1016" t="str">
        <f t="shared" si="124"/>
        <v/>
      </c>
      <c r="K142" s="213" t="str">
        <f t="shared" si="125"/>
        <v/>
      </c>
      <c r="L142" s="212" t="str">
        <f t="shared" si="126"/>
        <v/>
      </c>
      <c r="M142" s="1125" t="str">
        <f>IF(OR($C142="",$C142=0),"",INDEX(API1DENST_2,MATCH($C142,'Barge Gauging Data'!$B$27:$B$56,0),$AA$1))</f>
        <v/>
      </c>
      <c r="N142" s="212" t="str">
        <f t="shared" si="127"/>
        <v/>
      </c>
      <c r="O142" s="1016" t="str">
        <f t="shared" si="128"/>
        <v/>
      </c>
      <c r="P142" s="1125" t="str">
        <f t="shared" si="129"/>
        <v/>
      </c>
      <c r="Q142" s="1016" t="str">
        <f t="shared" si="130"/>
        <v/>
      </c>
      <c r="R142" s="214" t="str">
        <f t="shared" si="131"/>
        <v/>
      </c>
      <c r="S142" s="1125" t="str">
        <f t="shared" si="132"/>
        <v/>
      </c>
      <c r="T142" s="236" t="str">
        <f t="shared" si="133"/>
        <v/>
      </c>
      <c r="V142" s="642" t="e">
        <f>INDEX('Barge Gauging Data'!$B$26:$V$56,MATCH($C142,'Barge Gauging Data'!$B$26:$B$56,0),$V$18)</f>
        <v>#N/A</v>
      </c>
      <c r="W142" s="642" t="e">
        <f>INDEX('Barge Gauging Data'!$B$26:$V$56,MATCH($C142,'Barge Gauging Data'!$B$26:$B$56,0),$W$18)</f>
        <v>#N/A</v>
      </c>
      <c r="X142" s="642" t="e">
        <f>INDEX('Barge Gauging Data'!$B$26:$V$56,MATCH($C142,'Barge Gauging Data'!$B$26:$B$56,0),$X$18)</f>
        <v>#N/A</v>
      </c>
      <c r="Y142" s="642" t="e">
        <f>INDEX('Barge Gauging Data'!$B$26:$V$56,MATCH($C142,'Barge Gauging Data'!$B$26:$B$56,0),$Y$18)</f>
        <v>#N/A</v>
      </c>
      <c r="Z142" s="642" t="e">
        <f>INDEX('Barge Gauging Data'!$B$26:$V$56,MATCH($C142,'Barge Gauging Data'!$B$26:$B$56,0),$Z$18)</f>
        <v>#N/A</v>
      </c>
      <c r="AB142" s="642" t="e">
        <f>INDEX(API1DENST_2,MATCH($C142,'Barge Gauging Data'!$B$27:$B$56,0),1)</f>
        <v>#N/A</v>
      </c>
      <c r="AC142" s="642" t="e">
        <f t="shared" si="84"/>
        <v>#N/A</v>
      </c>
      <c r="AE142" s="661" t="e">
        <f t="shared" si="85"/>
        <v>#VALUE!</v>
      </c>
      <c r="AF142" s="661" t="e">
        <f t="shared" si="86"/>
        <v>#VALUE!</v>
      </c>
      <c r="AH142" s="662" t="str">
        <f t="shared" si="82"/>
        <v/>
      </c>
      <c r="AI142" s="662" t="str">
        <f t="shared" si="83"/>
        <v/>
      </c>
      <c r="AJ142" s="663">
        <f t="shared" si="87"/>
        <v>192.4571</v>
      </c>
      <c r="AK142" s="660">
        <f t="shared" si="88"/>
        <v>0.24379999999999999</v>
      </c>
      <c r="AL142" s="660" t="e">
        <f t="shared" si="89"/>
        <v>#VALUE!</v>
      </c>
      <c r="AM142" s="664" t="e">
        <f t="shared" si="90"/>
        <v>#VALUE!</v>
      </c>
      <c r="AN142" s="664" t="e">
        <f t="shared" si="91"/>
        <v>#VALUE!</v>
      </c>
      <c r="AO142" s="665" t="e">
        <f t="shared" si="92"/>
        <v>#VALUE!</v>
      </c>
      <c r="AP142" s="666" t="e">
        <f t="shared" si="93"/>
        <v>#VALUE!</v>
      </c>
      <c r="AQ142" s="660" t="e">
        <f t="shared" si="94"/>
        <v>#VALUE!</v>
      </c>
      <c r="AR142" s="667" t="e">
        <f t="shared" si="95"/>
        <v>#VALUE!</v>
      </c>
      <c r="AS142" s="667" t="e">
        <f t="shared" si="96"/>
        <v>#VALUE!</v>
      </c>
      <c r="AT142" s="668" t="e">
        <f t="shared" si="97"/>
        <v>#VALUE!</v>
      </c>
      <c r="AU142" s="667" t="e">
        <f t="shared" si="98"/>
        <v>#VALUE!</v>
      </c>
      <c r="AV142" s="669" t="e">
        <f t="shared" si="99"/>
        <v>#VALUE!</v>
      </c>
      <c r="AW142" s="667" t="e">
        <f t="shared" si="100"/>
        <v>#VALUE!</v>
      </c>
      <c r="AX142" s="667" t="e">
        <f t="shared" si="101"/>
        <v>#VALUE!</v>
      </c>
      <c r="AY142" s="660" t="e">
        <f t="shared" si="102"/>
        <v>#VALUE!</v>
      </c>
      <c r="AZ142" s="670" t="e">
        <f t="shared" si="103"/>
        <v>#VALUE!</v>
      </c>
      <c r="BB142" s="662" t="e">
        <f>INDEX('Barge Gauging Data'!$B$26:$V$56,MATCH($C142,'Barge Gauging Data'!$B$26:$B$56,0),$BB$18)</f>
        <v>#N/A</v>
      </c>
      <c r="BC142" s="662" t="e">
        <f>INDEX('Barge Gauging Data'!$B$26:$V$56,MATCH($C142,'Barge Gauging Data'!$B$26:$B$56,0),$BC$18)</f>
        <v>#N/A</v>
      </c>
      <c r="BD142" s="662" t="e">
        <f>INDEX('Barge Gauging Data'!$B$26:$V$56,MATCH($C142,'Barge Gauging Data'!$B$26:$B$56,0),$BD$18)</f>
        <v>#N/A</v>
      </c>
      <c r="BE142" s="662" t="e">
        <f>INDEX('Barge Gauging Data'!$B$26:$V$56,MATCH($C142,'Barge Gauging Data'!$B$26:$B$56,0),$BE$18)</f>
        <v>#N/A</v>
      </c>
    </row>
    <row r="143" spans="1:57" hidden="1">
      <c r="A143" s="641" t="str">
        <f t="shared" si="119"/>
        <v>N</v>
      </c>
      <c r="C143" s="235" t="str">
        <f t="array" ref="C143">IF(OR($E$136="",SUMPRODUCT(('Barge Gauging Data'!$C$27:$C$56=$E$136)*('Barge Gauging Data'!$D$27:$D$56=NOMY))&lt;ROWS($C$137:$C143)),"",INDEX('Barge Gauging Data'!$B$27:$B$56,SMALL(IF(('Barge Gauging Data'!$C$27:$C$56=$E$136)+('Barge Gauging Data'!$D$27:$D$56=NOMY)=2,ROW('Barge Gauging Data'!$B$27:$B$56)-ROW('Barge Gauging Data'!$C$26)),ROW()-ROW(C$136))))</f>
        <v/>
      </c>
      <c r="D143" s="211" t="str">
        <f>IF(OR($C143="",$C143=0),"",INDEX('Barge Gauging Data'!$B$26:$V$56,MATCH($C143,'Barge Gauging Data'!$B$27:$B$56,0)+1,2))</f>
        <v/>
      </c>
      <c r="E143" s="1016" t="str">
        <f t="shared" si="120"/>
        <v/>
      </c>
      <c r="F143" s="1016" t="str">
        <f t="shared" si="121"/>
        <v/>
      </c>
      <c r="G143" s="1016" t="str">
        <f t="shared" si="122"/>
        <v/>
      </c>
      <c r="H143" s="1016" t="str">
        <f t="shared" si="122"/>
        <v/>
      </c>
      <c r="I143" s="211" t="str">
        <f t="shared" si="123"/>
        <v/>
      </c>
      <c r="J143" s="1016" t="str">
        <f t="shared" si="124"/>
        <v/>
      </c>
      <c r="K143" s="213" t="str">
        <f t="shared" si="125"/>
        <v/>
      </c>
      <c r="L143" s="212" t="str">
        <f t="shared" si="126"/>
        <v/>
      </c>
      <c r="M143" s="1125" t="str">
        <f>IF(OR($C143="",$C143=0),"",INDEX(API1DENST_2,MATCH($C143,'Barge Gauging Data'!$B$27:$B$56,0),$AA$1))</f>
        <v/>
      </c>
      <c r="N143" s="212" t="str">
        <f t="shared" si="127"/>
        <v/>
      </c>
      <c r="O143" s="1016" t="str">
        <f t="shared" si="128"/>
        <v/>
      </c>
      <c r="P143" s="1125" t="str">
        <f t="shared" si="129"/>
        <v/>
      </c>
      <c r="Q143" s="1016" t="str">
        <f t="shared" si="130"/>
        <v/>
      </c>
      <c r="R143" s="214" t="str">
        <f t="shared" si="131"/>
        <v/>
      </c>
      <c r="S143" s="1125" t="str">
        <f t="shared" si="132"/>
        <v/>
      </c>
      <c r="T143" s="236" t="str">
        <f t="shared" si="133"/>
        <v/>
      </c>
      <c r="V143" s="642" t="e">
        <f>INDEX('Barge Gauging Data'!$B$26:$V$56,MATCH($C143,'Barge Gauging Data'!$B$26:$B$56,0),$V$18)</f>
        <v>#N/A</v>
      </c>
      <c r="W143" s="642" t="e">
        <f>INDEX('Barge Gauging Data'!$B$26:$V$56,MATCH($C143,'Barge Gauging Data'!$B$26:$B$56,0),$W$18)</f>
        <v>#N/A</v>
      </c>
      <c r="X143" s="642" t="e">
        <f>INDEX('Barge Gauging Data'!$B$26:$V$56,MATCH($C143,'Barge Gauging Data'!$B$26:$B$56,0),$X$18)</f>
        <v>#N/A</v>
      </c>
      <c r="Y143" s="642" t="e">
        <f>INDEX('Barge Gauging Data'!$B$26:$V$56,MATCH($C143,'Barge Gauging Data'!$B$26:$B$56,0),$Y$18)</f>
        <v>#N/A</v>
      </c>
      <c r="Z143" s="642" t="e">
        <f>INDEX('Barge Gauging Data'!$B$26:$V$56,MATCH($C143,'Barge Gauging Data'!$B$26:$B$56,0),$Z$18)</f>
        <v>#N/A</v>
      </c>
      <c r="AB143" s="642" t="e">
        <f>INDEX(API1DENST_2,MATCH($C143,'Barge Gauging Data'!$B$27:$B$56,0),1)</f>
        <v>#N/A</v>
      </c>
      <c r="AC143" s="642" t="e">
        <f t="shared" si="84"/>
        <v>#N/A</v>
      </c>
      <c r="AE143" s="661" t="e">
        <f t="shared" si="85"/>
        <v>#VALUE!</v>
      </c>
      <c r="AF143" s="661" t="e">
        <f t="shared" si="86"/>
        <v>#VALUE!</v>
      </c>
      <c r="AH143" s="662" t="str">
        <f t="shared" si="82"/>
        <v/>
      </c>
      <c r="AI143" s="662" t="str">
        <f t="shared" si="83"/>
        <v/>
      </c>
      <c r="AJ143" s="663">
        <f t="shared" si="87"/>
        <v>192.4571</v>
      </c>
      <c r="AK143" s="660">
        <f t="shared" si="88"/>
        <v>0.24379999999999999</v>
      </c>
      <c r="AL143" s="660" t="e">
        <f t="shared" si="89"/>
        <v>#VALUE!</v>
      </c>
      <c r="AM143" s="664" t="e">
        <f t="shared" si="90"/>
        <v>#VALUE!</v>
      </c>
      <c r="AN143" s="664" t="e">
        <f t="shared" si="91"/>
        <v>#VALUE!</v>
      </c>
      <c r="AO143" s="665" t="e">
        <f t="shared" si="92"/>
        <v>#VALUE!</v>
      </c>
      <c r="AP143" s="666" t="e">
        <f t="shared" si="93"/>
        <v>#VALUE!</v>
      </c>
      <c r="AQ143" s="660" t="e">
        <f t="shared" si="94"/>
        <v>#VALUE!</v>
      </c>
      <c r="AR143" s="667" t="e">
        <f t="shared" si="95"/>
        <v>#VALUE!</v>
      </c>
      <c r="AS143" s="667" t="e">
        <f t="shared" si="96"/>
        <v>#VALUE!</v>
      </c>
      <c r="AT143" s="668" t="e">
        <f t="shared" si="97"/>
        <v>#VALUE!</v>
      </c>
      <c r="AU143" s="667" t="e">
        <f t="shared" si="98"/>
        <v>#VALUE!</v>
      </c>
      <c r="AV143" s="669" t="e">
        <f t="shared" si="99"/>
        <v>#VALUE!</v>
      </c>
      <c r="AW143" s="667" t="e">
        <f t="shared" si="100"/>
        <v>#VALUE!</v>
      </c>
      <c r="AX143" s="667" t="e">
        <f t="shared" si="101"/>
        <v>#VALUE!</v>
      </c>
      <c r="AY143" s="660" t="e">
        <f t="shared" si="102"/>
        <v>#VALUE!</v>
      </c>
      <c r="AZ143" s="670" t="e">
        <f t="shared" si="103"/>
        <v>#VALUE!</v>
      </c>
      <c r="BB143" s="662" t="e">
        <f>INDEX('Barge Gauging Data'!$B$26:$V$56,MATCH($C143,'Barge Gauging Data'!$B$26:$B$56,0),$BB$18)</f>
        <v>#N/A</v>
      </c>
      <c r="BC143" s="662" t="e">
        <f>INDEX('Barge Gauging Data'!$B$26:$V$56,MATCH($C143,'Barge Gauging Data'!$B$26:$B$56,0),$BC$18)</f>
        <v>#N/A</v>
      </c>
      <c r="BD143" s="662" t="e">
        <f>INDEX('Barge Gauging Data'!$B$26:$V$56,MATCH($C143,'Barge Gauging Data'!$B$26:$B$56,0),$BD$18)</f>
        <v>#N/A</v>
      </c>
      <c r="BE143" s="662" t="e">
        <f>INDEX('Barge Gauging Data'!$B$26:$V$56,MATCH($C143,'Barge Gauging Data'!$B$26:$B$56,0),$BE$18)</f>
        <v>#N/A</v>
      </c>
    </row>
    <row r="144" spans="1:57" hidden="1">
      <c r="A144" s="641" t="str">
        <f t="shared" si="119"/>
        <v>N</v>
      </c>
      <c r="C144" s="235" t="str">
        <f t="array" ref="C144">IF(OR($E$136="",SUMPRODUCT(('Barge Gauging Data'!$C$27:$C$56=$E$136)*('Barge Gauging Data'!$D$27:$D$56=NOMY))&lt;ROWS($C$137:$C144)),"",INDEX('Barge Gauging Data'!$B$27:$B$56,SMALL(IF(('Barge Gauging Data'!$C$27:$C$56=$E$136)+('Barge Gauging Data'!$D$27:$D$56=NOMY)=2,ROW('Barge Gauging Data'!$B$27:$B$56)-ROW('Barge Gauging Data'!$C$26)),ROW()-ROW(C$136))))</f>
        <v/>
      </c>
      <c r="D144" s="211" t="str">
        <f>IF(OR($C144="",$C144=0),"",INDEX('Barge Gauging Data'!$B$26:$V$56,MATCH($C144,'Barge Gauging Data'!$B$27:$B$56,0)+1,2))</f>
        <v/>
      </c>
      <c r="E144" s="1016" t="str">
        <f t="shared" si="120"/>
        <v/>
      </c>
      <c r="F144" s="1016" t="str">
        <f t="shared" si="121"/>
        <v/>
      </c>
      <c r="G144" s="1016" t="str">
        <f t="shared" si="122"/>
        <v/>
      </c>
      <c r="H144" s="1016" t="str">
        <f t="shared" si="122"/>
        <v/>
      </c>
      <c r="I144" s="211" t="str">
        <f t="shared" si="123"/>
        <v/>
      </c>
      <c r="J144" s="1016" t="str">
        <f t="shared" si="124"/>
        <v/>
      </c>
      <c r="K144" s="213" t="str">
        <f t="shared" si="125"/>
        <v/>
      </c>
      <c r="L144" s="212" t="str">
        <f t="shared" si="126"/>
        <v/>
      </c>
      <c r="M144" s="1125" t="str">
        <f>IF(OR($C144="",$C144=0),"",INDEX(API1DENST_2,MATCH($C144,'Barge Gauging Data'!$B$27:$B$56,0),$AA$1))</f>
        <v/>
      </c>
      <c r="N144" s="212" t="str">
        <f t="shared" si="127"/>
        <v/>
      </c>
      <c r="O144" s="1016" t="str">
        <f t="shared" si="128"/>
        <v/>
      </c>
      <c r="P144" s="1125" t="str">
        <f t="shared" si="129"/>
        <v/>
      </c>
      <c r="Q144" s="1016" t="str">
        <f t="shared" si="130"/>
        <v/>
      </c>
      <c r="R144" s="214" t="str">
        <f t="shared" si="131"/>
        <v/>
      </c>
      <c r="S144" s="1125" t="str">
        <f t="shared" si="132"/>
        <v/>
      </c>
      <c r="T144" s="236" t="str">
        <f t="shared" si="133"/>
        <v/>
      </c>
      <c r="V144" s="642" t="e">
        <f>INDEX('Barge Gauging Data'!$B$26:$V$56,MATCH($C144,'Barge Gauging Data'!$B$26:$B$56,0),$V$18)</f>
        <v>#N/A</v>
      </c>
      <c r="W144" s="642" t="e">
        <f>INDEX('Barge Gauging Data'!$B$26:$V$56,MATCH($C144,'Barge Gauging Data'!$B$26:$B$56,0),$W$18)</f>
        <v>#N/A</v>
      </c>
      <c r="X144" s="642" t="e">
        <f>INDEX('Barge Gauging Data'!$B$26:$V$56,MATCH($C144,'Barge Gauging Data'!$B$26:$B$56,0),$X$18)</f>
        <v>#N/A</v>
      </c>
      <c r="Y144" s="642" t="e">
        <f>INDEX('Barge Gauging Data'!$B$26:$V$56,MATCH($C144,'Barge Gauging Data'!$B$26:$B$56,0),$Y$18)</f>
        <v>#N/A</v>
      </c>
      <c r="Z144" s="642" t="e">
        <f>INDEX('Barge Gauging Data'!$B$26:$V$56,MATCH($C144,'Barge Gauging Data'!$B$26:$B$56,0),$Z$18)</f>
        <v>#N/A</v>
      </c>
      <c r="AB144" s="642" t="e">
        <f>INDEX(API1DENST_2,MATCH($C144,'Barge Gauging Data'!$B$27:$B$56,0),1)</f>
        <v>#N/A</v>
      </c>
      <c r="AC144" s="642" t="e">
        <f t="shared" si="84"/>
        <v>#N/A</v>
      </c>
      <c r="AE144" s="661" t="e">
        <f t="shared" si="85"/>
        <v>#VALUE!</v>
      </c>
      <c r="AF144" s="661" t="e">
        <f t="shared" si="86"/>
        <v>#VALUE!</v>
      </c>
      <c r="AH144" s="662" t="str">
        <f t="shared" si="82"/>
        <v/>
      </c>
      <c r="AI144" s="662" t="str">
        <f t="shared" si="83"/>
        <v/>
      </c>
      <c r="AJ144" s="663">
        <f t="shared" si="87"/>
        <v>192.4571</v>
      </c>
      <c r="AK144" s="660">
        <f t="shared" si="88"/>
        <v>0.24379999999999999</v>
      </c>
      <c r="AL144" s="660" t="e">
        <f t="shared" si="89"/>
        <v>#VALUE!</v>
      </c>
      <c r="AM144" s="664" t="e">
        <f t="shared" si="90"/>
        <v>#VALUE!</v>
      </c>
      <c r="AN144" s="664" t="e">
        <f t="shared" si="91"/>
        <v>#VALUE!</v>
      </c>
      <c r="AO144" s="665" t="e">
        <f t="shared" si="92"/>
        <v>#VALUE!</v>
      </c>
      <c r="AP144" s="666" t="e">
        <f t="shared" si="93"/>
        <v>#VALUE!</v>
      </c>
      <c r="AQ144" s="660" t="e">
        <f t="shared" si="94"/>
        <v>#VALUE!</v>
      </c>
      <c r="AR144" s="667" t="e">
        <f t="shared" si="95"/>
        <v>#VALUE!</v>
      </c>
      <c r="AS144" s="667" t="e">
        <f t="shared" si="96"/>
        <v>#VALUE!</v>
      </c>
      <c r="AT144" s="668" t="e">
        <f t="shared" si="97"/>
        <v>#VALUE!</v>
      </c>
      <c r="AU144" s="667" t="e">
        <f t="shared" si="98"/>
        <v>#VALUE!</v>
      </c>
      <c r="AV144" s="669" t="e">
        <f t="shared" si="99"/>
        <v>#VALUE!</v>
      </c>
      <c r="AW144" s="667" t="e">
        <f t="shared" si="100"/>
        <v>#VALUE!</v>
      </c>
      <c r="AX144" s="667" t="e">
        <f t="shared" si="101"/>
        <v>#VALUE!</v>
      </c>
      <c r="AY144" s="660" t="e">
        <f t="shared" si="102"/>
        <v>#VALUE!</v>
      </c>
      <c r="AZ144" s="670" t="e">
        <f t="shared" si="103"/>
        <v>#VALUE!</v>
      </c>
      <c r="BB144" s="662" t="e">
        <f>INDEX('Barge Gauging Data'!$B$26:$V$56,MATCH($C144,'Barge Gauging Data'!$B$26:$B$56,0),$BB$18)</f>
        <v>#N/A</v>
      </c>
      <c r="BC144" s="662" t="e">
        <f>INDEX('Barge Gauging Data'!$B$26:$V$56,MATCH($C144,'Barge Gauging Data'!$B$26:$B$56,0),$BC$18)</f>
        <v>#N/A</v>
      </c>
      <c r="BD144" s="662" t="e">
        <f>INDEX('Barge Gauging Data'!$B$26:$V$56,MATCH($C144,'Barge Gauging Data'!$B$26:$B$56,0),$BD$18)</f>
        <v>#N/A</v>
      </c>
      <c r="BE144" s="662" t="e">
        <f>INDEX('Barge Gauging Data'!$B$26:$V$56,MATCH($C144,'Barge Gauging Data'!$B$26:$B$56,0),$BE$18)</f>
        <v>#N/A</v>
      </c>
    </row>
    <row r="145" spans="1:57" hidden="1">
      <c r="A145" s="641" t="str">
        <f t="shared" si="119"/>
        <v>N</v>
      </c>
      <c r="C145" s="235" t="str">
        <f t="array" ref="C145">IF(OR($E$136="",SUMPRODUCT(('Barge Gauging Data'!$C$27:$C$56=$E$136)*('Barge Gauging Data'!$D$27:$D$56=NOMY))&lt;ROWS($C$137:$C145)),"",INDEX('Barge Gauging Data'!$B$27:$B$56,SMALL(IF(('Barge Gauging Data'!$C$27:$C$56=$E$136)+('Barge Gauging Data'!$D$27:$D$56=NOMY)=2,ROW('Barge Gauging Data'!$B$27:$B$56)-ROW('Barge Gauging Data'!$C$26)),ROW()-ROW(C$136))))</f>
        <v/>
      </c>
      <c r="D145" s="211" t="str">
        <f>IF(OR($C145="",$C145=0),"",INDEX('Barge Gauging Data'!$B$26:$V$56,MATCH($C145,'Barge Gauging Data'!$B$27:$B$56,0)+1,2))</f>
        <v/>
      </c>
      <c r="E145" s="1016" t="str">
        <f t="shared" si="120"/>
        <v/>
      </c>
      <c r="F145" s="1016" t="str">
        <f t="shared" si="121"/>
        <v/>
      </c>
      <c r="G145" s="1016" t="str">
        <f t="shared" si="122"/>
        <v/>
      </c>
      <c r="H145" s="1016" t="str">
        <f t="shared" si="122"/>
        <v/>
      </c>
      <c r="I145" s="211" t="str">
        <f t="shared" si="123"/>
        <v/>
      </c>
      <c r="J145" s="1016" t="str">
        <f t="shared" si="124"/>
        <v/>
      </c>
      <c r="K145" s="213" t="str">
        <f t="shared" si="125"/>
        <v/>
      </c>
      <c r="L145" s="212" t="str">
        <f t="shared" si="126"/>
        <v/>
      </c>
      <c r="M145" s="1125" t="str">
        <f>IF(OR($C145="",$C145=0),"",INDEX(API1DENST_2,MATCH($C145,'Barge Gauging Data'!$B$27:$B$56,0),$AA$1))</f>
        <v/>
      </c>
      <c r="N145" s="212" t="str">
        <f t="shared" si="127"/>
        <v/>
      </c>
      <c r="O145" s="1016" t="str">
        <f t="shared" si="128"/>
        <v/>
      </c>
      <c r="P145" s="1125" t="str">
        <f t="shared" si="129"/>
        <v/>
      </c>
      <c r="Q145" s="1016" t="str">
        <f t="shared" si="130"/>
        <v/>
      </c>
      <c r="R145" s="214" t="str">
        <f t="shared" si="131"/>
        <v/>
      </c>
      <c r="S145" s="1125" t="str">
        <f t="shared" si="132"/>
        <v/>
      </c>
      <c r="T145" s="236" t="str">
        <f t="shared" si="133"/>
        <v/>
      </c>
      <c r="V145" s="642" t="e">
        <f>INDEX('Barge Gauging Data'!$B$26:$V$56,MATCH($C145,'Barge Gauging Data'!$B$26:$B$56,0),$V$18)</f>
        <v>#N/A</v>
      </c>
      <c r="W145" s="642" t="e">
        <f>INDEX('Barge Gauging Data'!$B$26:$V$56,MATCH($C145,'Barge Gauging Data'!$B$26:$B$56,0),$W$18)</f>
        <v>#N/A</v>
      </c>
      <c r="X145" s="642" t="e">
        <f>INDEX('Barge Gauging Data'!$B$26:$V$56,MATCH($C145,'Barge Gauging Data'!$B$26:$B$56,0),$X$18)</f>
        <v>#N/A</v>
      </c>
      <c r="Y145" s="642" t="e">
        <f>INDEX('Barge Gauging Data'!$B$26:$V$56,MATCH($C145,'Barge Gauging Data'!$B$26:$B$56,0),$Y$18)</f>
        <v>#N/A</v>
      </c>
      <c r="Z145" s="642" t="e">
        <f>INDEX('Barge Gauging Data'!$B$26:$V$56,MATCH($C145,'Barge Gauging Data'!$B$26:$B$56,0),$Z$18)</f>
        <v>#N/A</v>
      </c>
      <c r="AB145" s="642" t="e">
        <f>INDEX(API1DENST_2,MATCH($C145,'Barge Gauging Data'!$B$27:$B$56,0),1)</f>
        <v>#N/A</v>
      </c>
      <c r="AC145" s="642" t="e">
        <f t="shared" si="84"/>
        <v>#N/A</v>
      </c>
      <c r="AE145" s="661" t="e">
        <f t="shared" si="85"/>
        <v>#VALUE!</v>
      </c>
      <c r="AF145" s="661" t="e">
        <f t="shared" si="86"/>
        <v>#VALUE!</v>
      </c>
      <c r="AH145" s="662" t="str">
        <f t="shared" si="82"/>
        <v/>
      </c>
      <c r="AI145" s="662" t="str">
        <f t="shared" si="83"/>
        <v/>
      </c>
      <c r="AJ145" s="663">
        <f t="shared" si="87"/>
        <v>192.4571</v>
      </c>
      <c r="AK145" s="660">
        <f t="shared" si="88"/>
        <v>0.24379999999999999</v>
      </c>
      <c r="AL145" s="660" t="e">
        <f t="shared" si="89"/>
        <v>#VALUE!</v>
      </c>
      <c r="AM145" s="664" t="e">
        <f t="shared" si="90"/>
        <v>#VALUE!</v>
      </c>
      <c r="AN145" s="664" t="e">
        <f t="shared" si="91"/>
        <v>#VALUE!</v>
      </c>
      <c r="AO145" s="665" t="e">
        <f t="shared" si="92"/>
        <v>#VALUE!</v>
      </c>
      <c r="AP145" s="666" t="e">
        <f t="shared" si="93"/>
        <v>#VALUE!</v>
      </c>
      <c r="AQ145" s="660" t="e">
        <f t="shared" si="94"/>
        <v>#VALUE!</v>
      </c>
      <c r="AR145" s="667" t="e">
        <f t="shared" si="95"/>
        <v>#VALUE!</v>
      </c>
      <c r="AS145" s="667" t="e">
        <f t="shared" si="96"/>
        <v>#VALUE!</v>
      </c>
      <c r="AT145" s="668" t="e">
        <f t="shared" si="97"/>
        <v>#VALUE!</v>
      </c>
      <c r="AU145" s="667" t="e">
        <f t="shared" si="98"/>
        <v>#VALUE!</v>
      </c>
      <c r="AV145" s="669" t="e">
        <f t="shared" si="99"/>
        <v>#VALUE!</v>
      </c>
      <c r="AW145" s="667" t="e">
        <f t="shared" si="100"/>
        <v>#VALUE!</v>
      </c>
      <c r="AX145" s="667" t="e">
        <f t="shared" si="101"/>
        <v>#VALUE!</v>
      </c>
      <c r="AY145" s="660" t="e">
        <f t="shared" si="102"/>
        <v>#VALUE!</v>
      </c>
      <c r="AZ145" s="670" t="e">
        <f t="shared" si="103"/>
        <v>#VALUE!</v>
      </c>
      <c r="BB145" s="662" t="e">
        <f>INDEX('Barge Gauging Data'!$B$26:$V$56,MATCH($C145,'Barge Gauging Data'!$B$26:$B$56,0),$BB$18)</f>
        <v>#N/A</v>
      </c>
      <c r="BC145" s="662" t="e">
        <f>INDEX('Barge Gauging Data'!$B$26:$V$56,MATCH($C145,'Barge Gauging Data'!$B$26:$B$56,0),$BC$18)</f>
        <v>#N/A</v>
      </c>
      <c r="BD145" s="662" t="e">
        <f>INDEX('Barge Gauging Data'!$B$26:$V$56,MATCH($C145,'Barge Gauging Data'!$B$26:$B$56,0),$BD$18)</f>
        <v>#N/A</v>
      </c>
      <c r="BE145" s="662" t="e">
        <f>INDEX('Barge Gauging Data'!$B$26:$V$56,MATCH($C145,'Barge Gauging Data'!$B$26:$B$56,0),$BE$18)</f>
        <v>#N/A</v>
      </c>
    </row>
    <row r="146" spans="1:57" hidden="1">
      <c r="A146" s="641" t="str">
        <f t="shared" si="119"/>
        <v>N</v>
      </c>
      <c r="C146" s="235" t="str">
        <f t="array" ref="C146">IF(OR($E$136="",SUMPRODUCT(('Barge Gauging Data'!$C$27:$C$56=$E$136)*('Barge Gauging Data'!$D$27:$D$56=NOMY))&lt;ROWS($C$137:$C146)),"",INDEX('Barge Gauging Data'!$B$27:$B$56,SMALL(IF(('Barge Gauging Data'!$C$27:$C$56=$E$136)+('Barge Gauging Data'!$D$27:$D$56=NOMY)=2,ROW('Barge Gauging Data'!$B$27:$B$56)-ROW('Barge Gauging Data'!$C$26)),ROW()-ROW(C$136))))</f>
        <v/>
      </c>
      <c r="D146" s="211" t="str">
        <f>IF(OR($C146="",$C146=0),"",INDEX('Barge Gauging Data'!$B$26:$V$56,MATCH($C146,'Barge Gauging Data'!$B$27:$B$56,0)+1,2))</f>
        <v/>
      </c>
      <c r="E146" s="1016" t="str">
        <f t="shared" si="120"/>
        <v/>
      </c>
      <c r="F146" s="1016" t="str">
        <f t="shared" si="121"/>
        <v/>
      </c>
      <c r="G146" s="1016" t="str">
        <f t="shared" si="122"/>
        <v/>
      </c>
      <c r="H146" s="1016" t="str">
        <f t="shared" si="122"/>
        <v/>
      </c>
      <c r="I146" s="211" t="str">
        <f t="shared" si="123"/>
        <v/>
      </c>
      <c r="J146" s="1016" t="str">
        <f t="shared" si="124"/>
        <v/>
      </c>
      <c r="K146" s="213" t="str">
        <f t="shared" si="125"/>
        <v/>
      </c>
      <c r="L146" s="212" t="str">
        <f t="shared" si="126"/>
        <v/>
      </c>
      <c r="M146" s="1125" t="str">
        <f>IF(OR($C146="",$C146=0),"",INDEX(API1DENST_2,MATCH($C146,'Barge Gauging Data'!$B$27:$B$56,0),$AA$1))</f>
        <v/>
      </c>
      <c r="N146" s="212" t="str">
        <f t="shared" si="127"/>
        <v/>
      </c>
      <c r="O146" s="1016" t="str">
        <f t="shared" si="128"/>
        <v/>
      </c>
      <c r="P146" s="1125" t="str">
        <f t="shared" si="129"/>
        <v/>
      </c>
      <c r="Q146" s="1016" t="str">
        <f t="shared" si="130"/>
        <v/>
      </c>
      <c r="R146" s="214" t="str">
        <f t="shared" si="131"/>
        <v/>
      </c>
      <c r="S146" s="1125" t="str">
        <f t="shared" si="132"/>
        <v/>
      </c>
      <c r="T146" s="236" t="str">
        <f t="shared" si="133"/>
        <v/>
      </c>
      <c r="V146" s="642" t="e">
        <f>INDEX('Barge Gauging Data'!$B$26:$V$56,MATCH($C146,'Barge Gauging Data'!$B$26:$B$56,0),$V$18)</f>
        <v>#N/A</v>
      </c>
      <c r="W146" s="642" t="e">
        <f>INDEX('Barge Gauging Data'!$B$26:$V$56,MATCH($C146,'Barge Gauging Data'!$B$26:$B$56,0),$W$18)</f>
        <v>#N/A</v>
      </c>
      <c r="X146" s="642" t="e">
        <f>INDEX('Barge Gauging Data'!$B$26:$V$56,MATCH($C146,'Barge Gauging Data'!$B$26:$B$56,0),$X$18)</f>
        <v>#N/A</v>
      </c>
      <c r="Y146" s="642" t="e">
        <f>INDEX('Barge Gauging Data'!$B$26:$V$56,MATCH($C146,'Barge Gauging Data'!$B$26:$B$56,0),$Y$18)</f>
        <v>#N/A</v>
      </c>
      <c r="Z146" s="642" t="e">
        <f>INDEX('Barge Gauging Data'!$B$26:$V$56,MATCH($C146,'Barge Gauging Data'!$B$26:$B$56,0),$Z$18)</f>
        <v>#N/A</v>
      </c>
      <c r="AB146" s="642" t="e">
        <f>INDEX(API1DENST_2,MATCH($C146,'Barge Gauging Data'!$B$27:$B$56,0),1)</f>
        <v>#N/A</v>
      </c>
      <c r="AC146" s="642" t="e">
        <f t="shared" si="84"/>
        <v>#N/A</v>
      </c>
      <c r="AE146" s="661" t="e">
        <f t="shared" si="85"/>
        <v>#VALUE!</v>
      </c>
      <c r="AF146" s="661" t="e">
        <f t="shared" si="86"/>
        <v>#VALUE!</v>
      </c>
      <c r="AH146" s="662" t="str">
        <f t="shared" si="82"/>
        <v/>
      </c>
      <c r="AI146" s="662" t="str">
        <f t="shared" si="83"/>
        <v/>
      </c>
      <c r="AJ146" s="663">
        <f t="shared" si="87"/>
        <v>192.4571</v>
      </c>
      <c r="AK146" s="660">
        <f t="shared" si="88"/>
        <v>0.24379999999999999</v>
      </c>
      <c r="AL146" s="660" t="e">
        <f t="shared" si="89"/>
        <v>#VALUE!</v>
      </c>
      <c r="AM146" s="664" t="e">
        <f t="shared" si="90"/>
        <v>#VALUE!</v>
      </c>
      <c r="AN146" s="664" t="e">
        <f t="shared" si="91"/>
        <v>#VALUE!</v>
      </c>
      <c r="AO146" s="665" t="e">
        <f t="shared" si="92"/>
        <v>#VALUE!</v>
      </c>
      <c r="AP146" s="666" t="e">
        <f t="shared" si="93"/>
        <v>#VALUE!</v>
      </c>
      <c r="AQ146" s="660" t="e">
        <f t="shared" si="94"/>
        <v>#VALUE!</v>
      </c>
      <c r="AR146" s="667" t="e">
        <f t="shared" si="95"/>
        <v>#VALUE!</v>
      </c>
      <c r="AS146" s="667" t="e">
        <f t="shared" si="96"/>
        <v>#VALUE!</v>
      </c>
      <c r="AT146" s="668" t="e">
        <f t="shared" si="97"/>
        <v>#VALUE!</v>
      </c>
      <c r="AU146" s="667" t="e">
        <f t="shared" si="98"/>
        <v>#VALUE!</v>
      </c>
      <c r="AV146" s="669" t="e">
        <f t="shared" si="99"/>
        <v>#VALUE!</v>
      </c>
      <c r="AW146" s="667" t="e">
        <f t="shared" si="100"/>
        <v>#VALUE!</v>
      </c>
      <c r="AX146" s="667" t="e">
        <f t="shared" si="101"/>
        <v>#VALUE!</v>
      </c>
      <c r="AY146" s="660" t="e">
        <f t="shared" si="102"/>
        <v>#VALUE!</v>
      </c>
      <c r="AZ146" s="670" t="e">
        <f t="shared" si="103"/>
        <v>#VALUE!</v>
      </c>
      <c r="BB146" s="662" t="e">
        <f>INDEX('Barge Gauging Data'!$B$26:$V$56,MATCH($C146,'Barge Gauging Data'!$B$26:$B$56,0),$BB$18)</f>
        <v>#N/A</v>
      </c>
      <c r="BC146" s="662" t="e">
        <f>INDEX('Barge Gauging Data'!$B$26:$V$56,MATCH($C146,'Barge Gauging Data'!$B$26:$B$56,0),$BC$18)</f>
        <v>#N/A</v>
      </c>
      <c r="BD146" s="662" t="e">
        <f>INDEX('Barge Gauging Data'!$B$26:$V$56,MATCH($C146,'Barge Gauging Data'!$B$26:$B$56,0),$BD$18)</f>
        <v>#N/A</v>
      </c>
      <c r="BE146" s="662" t="e">
        <f>INDEX('Barge Gauging Data'!$B$26:$V$56,MATCH($C146,'Barge Gauging Data'!$B$26:$B$56,0),$BE$18)</f>
        <v>#N/A</v>
      </c>
    </row>
    <row r="147" spans="1:57" hidden="1">
      <c r="A147" s="641" t="str">
        <f t="shared" si="119"/>
        <v>N</v>
      </c>
      <c r="C147" s="235" t="str">
        <f t="array" ref="C147">IF(OR($E$136="",SUMPRODUCT(('Barge Gauging Data'!$C$27:$C$56=$E$136)*('Barge Gauging Data'!$D$27:$D$56=NOMY))&lt;ROWS($C$137:$C147)),"",INDEX('Barge Gauging Data'!$B$27:$B$56,SMALL(IF(('Barge Gauging Data'!$C$27:$C$56=$E$136)+('Barge Gauging Data'!$D$27:$D$56=NOMY)=2,ROW('Barge Gauging Data'!$B$27:$B$56)-ROW('Barge Gauging Data'!$C$26)),ROW()-ROW(C$136))))</f>
        <v/>
      </c>
      <c r="D147" s="211" t="str">
        <f>IF(OR($C147="",$C147=0),"",INDEX('Barge Gauging Data'!$B$26:$V$56,MATCH($C147,'Barge Gauging Data'!$B$27:$B$56,0)+1,2))</f>
        <v/>
      </c>
      <c r="E147" s="1016" t="str">
        <f t="shared" si="120"/>
        <v/>
      </c>
      <c r="F147" s="1016" t="str">
        <f t="shared" si="121"/>
        <v/>
      </c>
      <c r="G147" s="1016" t="str">
        <f t="shared" si="122"/>
        <v/>
      </c>
      <c r="H147" s="1016" t="str">
        <f t="shared" si="122"/>
        <v/>
      </c>
      <c r="I147" s="211" t="str">
        <f t="shared" si="123"/>
        <v/>
      </c>
      <c r="J147" s="1016" t="str">
        <f t="shared" si="124"/>
        <v/>
      </c>
      <c r="K147" s="213" t="str">
        <f t="shared" si="125"/>
        <v/>
      </c>
      <c r="L147" s="212" t="str">
        <f t="shared" si="126"/>
        <v/>
      </c>
      <c r="M147" s="1125" t="str">
        <f>IF(OR($C147="",$C147=0),"",INDEX(API1DENST_2,MATCH($C147,'Barge Gauging Data'!$B$27:$B$56,0),$AA$1))</f>
        <v/>
      </c>
      <c r="N147" s="212" t="str">
        <f t="shared" si="127"/>
        <v/>
      </c>
      <c r="O147" s="1016" t="str">
        <f t="shared" si="128"/>
        <v/>
      </c>
      <c r="P147" s="1125" t="str">
        <f t="shared" si="129"/>
        <v/>
      </c>
      <c r="Q147" s="1016" t="str">
        <f t="shared" si="130"/>
        <v/>
      </c>
      <c r="R147" s="214" t="str">
        <f t="shared" si="131"/>
        <v/>
      </c>
      <c r="S147" s="1125" t="str">
        <f t="shared" si="132"/>
        <v/>
      </c>
      <c r="T147" s="236" t="str">
        <f t="shared" si="133"/>
        <v/>
      </c>
      <c r="V147" s="642" t="e">
        <f>INDEX('Barge Gauging Data'!$B$26:$V$56,MATCH($C147,'Barge Gauging Data'!$B$26:$B$56,0),$V$18)</f>
        <v>#N/A</v>
      </c>
      <c r="W147" s="642" t="e">
        <f>INDEX('Barge Gauging Data'!$B$26:$V$56,MATCH($C147,'Barge Gauging Data'!$B$26:$B$56,0),$W$18)</f>
        <v>#N/A</v>
      </c>
      <c r="X147" s="642" t="e">
        <f>INDEX('Barge Gauging Data'!$B$26:$V$56,MATCH($C147,'Barge Gauging Data'!$B$26:$B$56,0),$X$18)</f>
        <v>#N/A</v>
      </c>
      <c r="Y147" s="642" t="e">
        <f>INDEX('Barge Gauging Data'!$B$26:$V$56,MATCH($C147,'Barge Gauging Data'!$B$26:$B$56,0),$Y$18)</f>
        <v>#N/A</v>
      </c>
      <c r="Z147" s="642" t="e">
        <f>INDEX('Barge Gauging Data'!$B$26:$V$56,MATCH($C147,'Barge Gauging Data'!$B$26:$B$56,0),$Z$18)</f>
        <v>#N/A</v>
      </c>
      <c r="AB147" s="642" t="e">
        <f>INDEX(API1DENST_2,MATCH($C147,'Barge Gauging Data'!$B$27:$B$56,0),1)</f>
        <v>#N/A</v>
      </c>
      <c r="AC147" s="642" t="e">
        <f t="shared" si="84"/>
        <v>#N/A</v>
      </c>
      <c r="AE147" s="661" t="e">
        <f t="shared" si="85"/>
        <v>#VALUE!</v>
      </c>
      <c r="AF147" s="661" t="e">
        <f t="shared" si="86"/>
        <v>#VALUE!</v>
      </c>
      <c r="AH147" s="662" t="str">
        <f t="shared" si="82"/>
        <v/>
      </c>
      <c r="AI147" s="662" t="str">
        <f t="shared" si="83"/>
        <v/>
      </c>
      <c r="AJ147" s="663">
        <f t="shared" si="87"/>
        <v>192.4571</v>
      </c>
      <c r="AK147" s="660">
        <f t="shared" si="88"/>
        <v>0.24379999999999999</v>
      </c>
      <c r="AL147" s="660" t="e">
        <f t="shared" si="89"/>
        <v>#VALUE!</v>
      </c>
      <c r="AM147" s="664" t="e">
        <f t="shared" si="90"/>
        <v>#VALUE!</v>
      </c>
      <c r="AN147" s="664" t="e">
        <f t="shared" si="91"/>
        <v>#VALUE!</v>
      </c>
      <c r="AO147" s="665" t="e">
        <f t="shared" si="92"/>
        <v>#VALUE!</v>
      </c>
      <c r="AP147" s="666" t="e">
        <f t="shared" si="93"/>
        <v>#VALUE!</v>
      </c>
      <c r="AQ147" s="660" t="e">
        <f t="shared" si="94"/>
        <v>#VALUE!</v>
      </c>
      <c r="AR147" s="667" t="e">
        <f t="shared" si="95"/>
        <v>#VALUE!</v>
      </c>
      <c r="AS147" s="667" t="e">
        <f t="shared" si="96"/>
        <v>#VALUE!</v>
      </c>
      <c r="AT147" s="668" t="e">
        <f t="shared" si="97"/>
        <v>#VALUE!</v>
      </c>
      <c r="AU147" s="667" t="e">
        <f t="shared" si="98"/>
        <v>#VALUE!</v>
      </c>
      <c r="AV147" s="669" t="e">
        <f t="shared" si="99"/>
        <v>#VALUE!</v>
      </c>
      <c r="AW147" s="667" t="e">
        <f t="shared" si="100"/>
        <v>#VALUE!</v>
      </c>
      <c r="AX147" s="667" t="e">
        <f t="shared" si="101"/>
        <v>#VALUE!</v>
      </c>
      <c r="AY147" s="660" t="e">
        <f t="shared" si="102"/>
        <v>#VALUE!</v>
      </c>
      <c r="AZ147" s="670" t="e">
        <f t="shared" si="103"/>
        <v>#VALUE!</v>
      </c>
      <c r="BB147" s="662" t="e">
        <f>INDEX('Barge Gauging Data'!$B$26:$V$56,MATCH($C147,'Barge Gauging Data'!$B$26:$B$56,0),$BB$18)</f>
        <v>#N/A</v>
      </c>
      <c r="BC147" s="662" t="e">
        <f>INDEX('Barge Gauging Data'!$B$26:$V$56,MATCH($C147,'Barge Gauging Data'!$B$26:$B$56,0),$BC$18)</f>
        <v>#N/A</v>
      </c>
      <c r="BD147" s="662" t="e">
        <f>INDEX('Barge Gauging Data'!$B$26:$V$56,MATCH($C147,'Barge Gauging Data'!$B$26:$B$56,0),$BD$18)</f>
        <v>#N/A</v>
      </c>
      <c r="BE147" s="662" t="e">
        <f>INDEX('Barge Gauging Data'!$B$26:$V$56,MATCH($C147,'Barge Gauging Data'!$B$26:$B$56,0),$BE$18)</f>
        <v>#N/A</v>
      </c>
    </row>
    <row r="148" spans="1:57" hidden="1">
      <c r="A148" s="641" t="str">
        <f t="shared" si="119"/>
        <v>N</v>
      </c>
      <c r="C148" s="235" t="str">
        <f t="array" ref="C148">IF(OR($E$136="",SUMPRODUCT(('Barge Gauging Data'!$C$27:$C$56=$E$136)*('Barge Gauging Data'!$D$27:$D$56=NOMY))&lt;ROWS($C$137:$C148)),"",INDEX('Barge Gauging Data'!$B$27:$B$56,SMALL(IF(('Barge Gauging Data'!$C$27:$C$56=$E$136)+('Barge Gauging Data'!$D$27:$D$56=NOMY)=2,ROW('Barge Gauging Data'!$B$27:$B$56)-ROW('Barge Gauging Data'!$C$26)),ROW()-ROW(C$136))))</f>
        <v/>
      </c>
      <c r="D148" s="211" t="str">
        <f>IF(OR($C148="",$C148=0),"",INDEX('Barge Gauging Data'!$B$26:$V$56,MATCH($C148,'Barge Gauging Data'!$B$27:$B$56,0)+1,2))</f>
        <v/>
      </c>
      <c r="E148" s="1016" t="str">
        <f t="shared" si="120"/>
        <v/>
      </c>
      <c r="F148" s="1016" t="str">
        <f t="shared" si="121"/>
        <v/>
      </c>
      <c r="G148" s="1016" t="str">
        <f t="shared" si="122"/>
        <v/>
      </c>
      <c r="H148" s="1016" t="str">
        <f t="shared" si="122"/>
        <v/>
      </c>
      <c r="I148" s="211" t="str">
        <f t="shared" si="123"/>
        <v/>
      </c>
      <c r="J148" s="1016" t="str">
        <f t="shared" si="124"/>
        <v/>
      </c>
      <c r="K148" s="213" t="str">
        <f t="shared" si="125"/>
        <v/>
      </c>
      <c r="L148" s="212" t="str">
        <f t="shared" si="126"/>
        <v/>
      </c>
      <c r="M148" s="1125" t="str">
        <f>IF(OR($C148="",$C148=0),"",INDEX(API1DENST_2,MATCH($C148,'Barge Gauging Data'!$B$27:$B$56,0),$AA$1))</f>
        <v/>
      </c>
      <c r="N148" s="212" t="str">
        <f t="shared" si="127"/>
        <v/>
      </c>
      <c r="O148" s="1016" t="str">
        <f t="shared" si="128"/>
        <v/>
      </c>
      <c r="P148" s="1125" t="str">
        <f t="shared" si="129"/>
        <v/>
      </c>
      <c r="Q148" s="1016" t="str">
        <f t="shared" si="130"/>
        <v/>
      </c>
      <c r="R148" s="214" t="str">
        <f t="shared" si="131"/>
        <v/>
      </c>
      <c r="S148" s="1125" t="str">
        <f t="shared" si="132"/>
        <v/>
      </c>
      <c r="T148" s="236" t="str">
        <f t="shared" si="133"/>
        <v/>
      </c>
      <c r="V148" s="642" t="e">
        <f>INDEX('Barge Gauging Data'!$B$26:$V$56,MATCH($C148,'Barge Gauging Data'!$B$26:$B$56,0),$V$18)</f>
        <v>#N/A</v>
      </c>
      <c r="W148" s="642" t="e">
        <f>INDEX('Barge Gauging Data'!$B$26:$V$56,MATCH($C148,'Barge Gauging Data'!$B$26:$B$56,0),$W$18)</f>
        <v>#N/A</v>
      </c>
      <c r="X148" s="642" t="e">
        <f>INDEX('Barge Gauging Data'!$B$26:$V$56,MATCH($C148,'Barge Gauging Data'!$B$26:$B$56,0),$X$18)</f>
        <v>#N/A</v>
      </c>
      <c r="Y148" s="642" t="e">
        <f>INDEX('Barge Gauging Data'!$B$26:$V$56,MATCH($C148,'Barge Gauging Data'!$B$26:$B$56,0),$Y$18)</f>
        <v>#N/A</v>
      </c>
      <c r="Z148" s="642" t="e">
        <f>INDEX('Barge Gauging Data'!$B$26:$V$56,MATCH($C148,'Barge Gauging Data'!$B$26:$B$56,0),$Z$18)</f>
        <v>#N/A</v>
      </c>
      <c r="AB148" s="642" t="e">
        <f>INDEX(API1DENST_2,MATCH($C148,'Barge Gauging Data'!$B$27:$B$56,0),1)</f>
        <v>#N/A</v>
      </c>
      <c r="AC148" s="642" t="e">
        <f t="shared" si="84"/>
        <v>#N/A</v>
      </c>
      <c r="AE148" s="661" t="e">
        <f t="shared" si="85"/>
        <v>#VALUE!</v>
      </c>
      <c r="AF148" s="661" t="e">
        <f t="shared" si="86"/>
        <v>#VALUE!</v>
      </c>
      <c r="AH148" s="662" t="str">
        <f t="shared" si="82"/>
        <v/>
      </c>
      <c r="AI148" s="662" t="str">
        <f t="shared" si="83"/>
        <v/>
      </c>
      <c r="AJ148" s="663">
        <f t="shared" si="87"/>
        <v>192.4571</v>
      </c>
      <c r="AK148" s="660">
        <f t="shared" si="88"/>
        <v>0.24379999999999999</v>
      </c>
      <c r="AL148" s="660" t="e">
        <f t="shared" si="89"/>
        <v>#VALUE!</v>
      </c>
      <c r="AM148" s="664" t="e">
        <f t="shared" si="90"/>
        <v>#VALUE!</v>
      </c>
      <c r="AN148" s="664" t="e">
        <f t="shared" si="91"/>
        <v>#VALUE!</v>
      </c>
      <c r="AO148" s="665" t="e">
        <f t="shared" si="92"/>
        <v>#VALUE!</v>
      </c>
      <c r="AP148" s="666" t="e">
        <f t="shared" si="93"/>
        <v>#VALUE!</v>
      </c>
      <c r="AQ148" s="660" t="e">
        <f t="shared" si="94"/>
        <v>#VALUE!</v>
      </c>
      <c r="AR148" s="667" t="e">
        <f t="shared" si="95"/>
        <v>#VALUE!</v>
      </c>
      <c r="AS148" s="667" t="e">
        <f t="shared" si="96"/>
        <v>#VALUE!</v>
      </c>
      <c r="AT148" s="668" t="e">
        <f t="shared" si="97"/>
        <v>#VALUE!</v>
      </c>
      <c r="AU148" s="667" t="e">
        <f t="shared" si="98"/>
        <v>#VALUE!</v>
      </c>
      <c r="AV148" s="669" t="e">
        <f t="shared" si="99"/>
        <v>#VALUE!</v>
      </c>
      <c r="AW148" s="667" t="e">
        <f t="shared" si="100"/>
        <v>#VALUE!</v>
      </c>
      <c r="AX148" s="667" t="e">
        <f t="shared" si="101"/>
        <v>#VALUE!</v>
      </c>
      <c r="AY148" s="660" t="e">
        <f t="shared" si="102"/>
        <v>#VALUE!</v>
      </c>
      <c r="AZ148" s="670" t="e">
        <f t="shared" si="103"/>
        <v>#VALUE!</v>
      </c>
      <c r="BB148" s="662" t="e">
        <f>INDEX('Barge Gauging Data'!$B$26:$V$56,MATCH($C148,'Barge Gauging Data'!$B$26:$B$56,0),$BB$18)</f>
        <v>#N/A</v>
      </c>
      <c r="BC148" s="662" t="e">
        <f>INDEX('Barge Gauging Data'!$B$26:$V$56,MATCH($C148,'Barge Gauging Data'!$B$26:$B$56,0),$BC$18)</f>
        <v>#N/A</v>
      </c>
      <c r="BD148" s="662" t="e">
        <f>INDEX('Barge Gauging Data'!$B$26:$V$56,MATCH($C148,'Barge Gauging Data'!$B$26:$B$56,0),$BD$18)</f>
        <v>#N/A</v>
      </c>
      <c r="BE148" s="662" t="e">
        <f>INDEX('Barge Gauging Data'!$B$26:$V$56,MATCH($C148,'Barge Gauging Data'!$B$26:$B$56,0),$BE$18)</f>
        <v>#N/A</v>
      </c>
    </row>
    <row r="149" spans="1:57" hidden="1">
      <c r="A149" s="641" t="str">
        <f t="shared" si="119"/>
        <v>N</v>
      </c>
      <c r="C149" s="235" t="str">
        <f t="array" ref="C149">IF(OR($E$136="",SUMPRODUCT(('Barge Gauging Data'!$C$27:$C$56=$E$136)*('Barge Gauging Data'!$D$27:$D$56=NOMY))&lt;ROWS($C$137:$C149)),"",INDEX('Barge Gauging Data'!$B$27:$B$56,SMALL(IF(('Barge Gauging Data'!$C$27:$C$56=$E$136)+('Barge Gauging Data'!$D$27:$D$56=NOMY)=2,ROW('Barge Gauging Data'!$B$27:$B$56)-ROW('Barge Gauging Data'!$C$26)),ROW()-ROW(C$136))))</f>
        <v/>
      </c>
      <c r="D149" s="211" t="str">
        <f>IF(OR($C149="",$C149=0),"",INDEX('Barge Gauging Data'!$B$26:$V$56,MATCH($C149,'Barge Gauging Data'!$B$27:$B$56,0)+1,2))</f>
        <v/>
      </c>
      <c r="E149" s="1016" t="str">
        <f t="shared" si="120"/>
        <v/>
      </c>
      <c r="F149" s="1016" t="str">
        <f t="shared" si="121"/>
        <v/>
      </c>
      <c r="G149" s="1016" t="str">
        <f t="shared" si="122"/>
        <v/>
      </c>
      <c r="H149" s="1016" t="str">
        <f t="shared" si="122"/>
        <v/>
      </c>
      <c r="I149" s="211" t="str">
        <f t="shared" si="123"/>
        <v/>
      </c>
      <c r="J149" s="1016" t="str">
        <f t="shared" si="124"/>
        <v/>
      </c>
      <c r="K149" s="213" t="str">
        <f t="shared" si="125"/>
        <v/>
      </c>
      <c r="L149" s="212" t="str">
        <f t="shared" si="126"/>
        <v/>
      </c>
      <c r="M149" s="1125" t="str">
        <f>IF(OR($C149="",$C149=0),"",INDEX(API1DENST_2,MATCH($C149,'Barge Gauging Data'!$B$27:$B$56,0),$AA$1))</f>
        <v/>
      </c>
      <c r="N149" s="212" t="str">
        <f t="shared" si="127"/>
        <v/>
      </c>
      <c r="O149" s="1016" t="str">
        <f t="shared" si="128"/>
        <v/>
      </c>
      <c r="P149" s="1125" t="str">
        <f t="shared" si="129"/>
        <v/>
      </c>
      <c r="Q149" s="1016" t="str">
        <f t="shared" si="130"/>
        <v/>
      </c>
      <c r="R149" s="214" t="str">
        <f t="shared" si="131"/>
        <v/>
      </c>
      <c r="S149" s="1125" t="str">
        <f t="shared" si="132"/>
        <v/>
      </c>
      <c r="T149" s="236" t="str">
        <f t="shared" si="133"/>
        <v/>
      </c>
      <c r="V149" s="642" t="e">
        <f>INDEX('Barge Gauging Data'!$B$26:$V$56,MATCH($C149,'Barge Gauging Data'!$B$26:$B$56,0),$V$18)</f>
        <v>#N/A</v>
      </c>
      <c r="W149" s="642" t="e">
        <f>INDEX('Barge Gauging Data'!$B$26:$V$56,MATCH($C149,'Barge Gauging Data'!$B$26:$B$56,0),$W$18)</f>
        <v>#N/A</v>
      </c>
      <c r="X149" s="642" t="e">
        <f>INDEX('Barge Gauging Data'!$B$26:$V$56,MATCH($C149,'Barge Gauging Data'!$B$26:$B$56,0),$X$18)</f>
        <v>#N/A</v>
      </c>
      <c r="Y149" s="642" t="e">
        <f>INDEX('Barge Gauging Data'!$B$26:$V$56,MATCH($C149,'Barge Gauging Data'!$B$26:$B$56,0),$Y$18)</f>
        <v>#N/A</v>
      </c>
      <c r="Z149" s="642" t="e">
        <f>INDEX('Barge Gauging Data'!$B$26:$V$56,MATCH($C149,'Barge Gauging Data'!$B$26:$B$56,0),$Z$18)</f>
        <v>#N/A</v>
      </c>
      <c r="AB149" s="642" t="e">
        <f>INDEX(API1DENST_2,MATCH($C149,'Barge Gauging Data'!$B$27:$B$56,0),1)</f>
        <v>#N/A</v>
      </c>
      <c r="AC149" s="642" t="e">
        <f t="shared" si="84"/>
        <v>#N/A</v>
      </c>
      <c r="AE149" s="661" t="e">
        <f t="shared" si="85"/>
        <v>#VALUE!</v>
      </c>
      <c r="AF149" s="661" t="e">
        <f t="shared" si="86"/>
        <v>#VALUE!</v>
      </c>
      <c r="AH149" s="662" t="str">
        <f t="shared" si="82"/>
        <v/>
      </c>
      <c r="AI149" s="662" t="str">
        <f t="shared" si="83"/>
        <v/>
      </c>
      <c r="AJ149" s="663">
        <f t="shared" si="87"/>
        <v>192.4571</v>
      </c>
      <c r="AK149" s="660">
        <f t="shared" si="88"/>
        <v>0.24379999999999999</v>
      </c>
      <c r="AL149" s="660" t="e">
        <f t="shared" si="89"/>
        <v>#VALUE!</v>
      </c>
      <c r="AM149" s="664" t="e">
        <f t="shared" si="90"/>
        <v>#VALUE!</v>
      </c>
      <c r="AN149" s="664" t="e">
        <f t="shared" si="91"/>
        <v>#VALUE!</v>
      </c>
      <c r="AO149" s="665" t="e">
        <f t="shared" si="92"/>
        <v>#VALUE!</v>
      </c>
      <c r="AP149" s="666" t="e">
        <f t="shared" si="93"/>
        <v>#VALUE!</v>
      </c>
      <c r="AQ149" s="660" t="e">
        <f t="shared" si="94"/>
        <v>#VALUE!</v>
      </c>
      <c r="AR149" s="667" t="e">
        <f t="shared" si="95"/>
        <v>#VALUE!</v>
      </c>
      <c r="AS149" s="667" t="e">
        <f t="shared" si="96"/>
        <v>#VALUE!</v>
      </c>
      <c r="AT149" s="668" t="e">
        <f t="shared" si="97"/>
        <v>#VALUE!</v>
      </c>
      <c r="AU149" s="667" t="e">
        <f t="shared" si="98"/>
        <v>#VALUE!</v>
      </c>
      <c r="AV149" s="669" t="e">
        <f t="shared" si="99"/>
        <v>#VALUE!</v>
      </c>
      <c r="AW149" s="667" t="e">
        <f t="shared" si="100"/>
        <v>#VALUE!</v>
      </c>
      <c r="AX149" s="667" t="e">
        <f t="shared" si="101"/>
        <v>#VALUE!</v>
      </c>
      <c r="AY149" s="660" t="e">
        <f t="shared" si="102"/>
        <v>#VALUE!</v>
      </c>
      <c r="AZ149" s="670" t="e">
        <f t="shared" si="103"/>
        <v>#VALUE!</v>
      </c>
      <c r="BB149" s="662" t="e">
        <f>INDEX('Barge Gauging Data'!$B$26:$V$56,MATCH($C149,'Barge Gauging Data'!$B$26:$B$56,0),$BB$18)</f>
        <v>#N/A</v>
      </c>
      <c r="BC149" s="662" t="e">
        <f>INDEX('Barge Gauging Data'!$B$26:$V$56,MATCH($C149,'Barge Gauging Data'!$B$26:$B$56,0),$BC$18)</f>
        <v>#N/A</v>
      </c>
      <c r="BD149" s="662" t="e">
        <f>INDEX('Barge Gauging Data'!$B$26:$V$56,MATCH($C149,'Barge Gauging Data'!$B$26:$B$56,0),$BD$18)</f>
        <v>#N/A</v>
      </c>
      <c r="BE149" s="662" t="e">
        <f>INDEX('Barge Gauging Data'!$B$26:$V$56,MATCH($C149,'Barge Gauging Data'!$B$26:$B$56,0),$BE$18)</f>
        <v>#N/A</v>
      </c>
    </row>
    <row r="150" spans="1:57" hidden="1">
      <c r="A150" s="641" t="str">
        <f t="shared" si="119"/>
        <v>N</v>
      </c>
      <c r="C150" s="235" t="str">
        <f t="array" ref="C150">IF(OR($E$136="",SUMPRODUCT(('Barge Gauging Data'!$C$27:$C$56=$E$136)*('Barge Gauging Data'!$D$27:$D$56=NOMY))&lt;ROWS($C$137:$C150)),"",INDEX('Barge Gauging Data'!$B$27:$B$56,SMALL(IF(('Barge Gauging Data'!$C$27:$C$56=$E$136)+('Barge Gauging Data'!$D$27:$D$56=NOMY)=2,ROW('Barge Gauging Data'!$B$27:$B$56)-ROW('Barge Gauging Data'!$C$26)),ROW()-ROW(C$136))))</f>
        <v/>
      </c>
      <c r="D150" s="211" t="str">
        <f>IF(OR($C150="",$C150=0),"",INDEX('Barge Gauging Data'!$B$26:$V$56,MATCH($C150,'Barge Gauging Data'!$B$27:$B$56,0)+1,2))</f>
        <v/>
      </c>
      <c r="E150" s="1016" t="str">
        <f t="shared" si="120"/>
        <v/>
      </c>
      <c r="F150" s="1016" t="str">
        <f t="shared" si="121"/>
        <v/>
      </c>
      <c r="G150" s="1016" t="str">
        <f t="shared" si="122"/>
        <v/>
      </c>
      <c r="H150" s="1016" t="str">
        <f t="shared" si="122"/>
        <v/>
      </c>
      <c r="I150" s="211" t="str">
        <f t="shared" si="123"/>
        <v/>
      </c>
      <c r="J150" s="1016" t="str">
        <f t="shared" si="124"/>
        <v/>
      </c>
      <c r="K150" s="213" t="str">
        <f t="shared" si="125"/>
        <v/>
      </c>
      <c r="L150" s="212" t="str">
        <f t="shared" si="126"/>
        <v/>
      </c>
      <c r="M150" s="1125" t="str">
        <f>IF(OR($C150="",$C150=0),"",INDEX(API1DENST_2,MATCH($C150,'Barge Gauging Data'!$B$27:$B$56,0),$AA$1))</f>
        <v/>
      </c>
      <c r="N150" s="212" t="str">
        <f t="shared" si="127"/>
        <v/>
      </c>
      <c r="O150" s="1016" t="str">
        <f t="shared" si="128"/>
        <v/>
      </c>
      <c r="P150" s="1125" t="str">
        <f t="shared" si="129"/>
        <v/>
      </c>
      <c r="Q150" s="1016" t="str">
        <f t="shared" si="130"/>
        <v/>
      </c>
      <c r="R150" s="214" t="str">
        <f t="shared" si="131"/>
        <v/>
      </c>
      <c r="S150" s="1125" t="str">
        <f t="shared" si="132"/>
        <v/>
      </c>
      <c r="T150" s="236" t="str">
        <f t="shared" si="133"/>
        <v/>
      </c>
      <c r="V150" s="642" t="e">
        <f>INDEX('Barge Gauging Data'!$B$26:$V$56,MATCH($C150,'Barge Gauging Data'!$B$26:$B$56,0),$V$18)</f>
        <v>#N/A</v>
      </c>
      <c r="W150" s="642" t="e">
        <f>INDEX('Barge Gauging Data'!$B$26:$V$56,MATCH($C150,'Barge Gauging Data'!$B$26:$B$56,0),$W$18)</f>
        <v>#N/A</v>
      </c>
      <c r="X150" s="642" t="e">
        <f>INDEX('Barge Gauging Data'!$B$26:$V$56,MATCH($C150,'Barge Gauging Data'!$B$26:$B$56,0),$X$18)</f>
        <v>#N/A</v>
      </c>
      <c r="Y150" s="642" t="e">
        <f>INDEX('Barge Gauging Data'!$B$26:$V$56,MATCH($C150,'Barge Gauging Data'!$B$26:$B$56,0),$Y$18)</f>
        <v>#N/A</v>
      </c>
      <c r="Z150" s="642" t="e">
        <f>INDEX('Barge Gauging Data'!$B$26:$V$56,MATCH($C150,'Barge Gauging Data'!$B$26:$B$56,0),$Z$18)</f>
        <v>#N/A</v>
      </c>
      <c r="AB150" s="642" t="e">
        <f>INDEX(API1DENST_2,MATCH($C150,'Barge Gauging Data'!$B$27:$B$56,0),1)</f>
        <v>#N/A</v>
      </c>
      <c r="AC150" s="642" t="e">
        <f t="shared" si="84"/>
        <v>#N/A</v>
      </c>
      <c r="AE150" s="661" t="e">
        <f t="shared" si="85"/>
        <v>#VALUE!</v>
      </c>
      <c r="AF150" s="661" t="e">
        <f t="shared" si="86"/>
        <v>#VALUE!</v>
      </c>
      <c r="AH150" s="662" t="str">
        <f t="shared" si="82"/>
        <v/>
      </c>
      <c r="AI150" s="662" t="str">
        <f t="shared" si="83"/>
        <v/>
      </c>
      <c r="AJ150" s="663">
        <f t="shared" si="87"/>
        <v>192.4571</v>
      </c>
      <c r="AK150" s="660">
        <f t="shared" si="88"/>
        <v>0.24379999999999999</v>
      </c>
      <c r="AL150" s="660" t="e">
        <f t="shared" si="89"/>
        <v>#VALUE!</v>
      </c>
      <c r="AM150" s="664" t="e">
        <f t="shared" si="90"/>
        <v>#VALUE!</v>
      </c>
      <c r="AN150" s="664" t="e">
        <f t="shared" si="91"/>
        <v>#VALUE!</v>
      </c>
      <c r="AO150" s="665" t="e">
        <f t="shared" si="92"/>
        <v>#VALUE!</v>
      </c>
      <c r="AP150" s="666" t="e">
        <f t="shared" si="93"/>
        <v>#VALUE!</v>
      </c>
      <c r="AQ150" s="660" t="e">
        <f t="shared" si="94"/>
        <v>#VALUE!</v>
      </c>
      <c r="AR150" s="667" t="e">
        <f t="shared" si="95"/>
        <v>#VALUE!</v>
      </c>
      <c r="AS150" s="667" t="e">
        <f t="shared" si="96"/>
        <v>#VALUE!</v>
      </c>
      <c r="AT150" s="668" t="e">
        <f t="shared" si="97"/>
        <v>#VALUE!</v>
      </c>
      <c r="AU150" s="667" t="e">
        <f t="shared" si="98"/>
        <v>#VALUE!</v>
      </c>
      <c r="AV150" s="669" t="e">
        <f t="shared" si="99"/>
        <v>#VALUE!</v>
      </c>
      <c r="AW150" s="667" t="e">
        <f t="shared" si="100"/>
        <v>#VALUE!</v>
      </c>
      <c r="AX150" s="667" t="e">
        <f t="shared" si="101"/>
        <v>#VALUE!</v>
      </c>
      <c r="AY150" s="660" t="e">
        <f t="shared" si="102"/>
        <v>#VALUE!</v>
      </c>
      <c r="AZ150" s="670" t="e">
        <f t="shared" si="103"/>
        <v>#VALUE!</v>
      </c>
      <c r="BB150" s="662" t="e">
        <f>INDEX('Barge Gauging Data'!$B$26:$V$56,MATCH($C150,'Barge Gauging Data'!$B$26:$B$56,0),$BB$18)</f>
        <v>#N/A</v>
      </c>
      <c r="BC150" s="662" t="e">
        <f>INDEX('Barge Gauging Data'!$B$26:$V$56,MATCH($C150,'Barge Gauging Data'!$B$26:$B$56,0),$BC$18)</f>
        <v>#N/A</v>
      </c>
      <c r="BD150" s="662" t="e">
        <f>INDEX('Barge Gauging Data'!$B$26:$V$56,MATCH($C150,'Barge Gauging Data'!$B$26:$B$56,0),$BD$18)</f>
        <v>#N/A</v>
      </c>
      <c r="BE150" s="662" t="e">
        <f>INDEX('Barge Gauging Data'!$B$26:$V$56,MATCH($C150,'Barge Gauging Data'!$B$26:$B$56,0),$BE$18)</f>
        <v>#N/A</v>
      </c>
    </row>
    <row r="151" spans="1:57" hidden="1">
      <c r="A151" s="641" t="str">
        <f t="shared" si="119"/>
        <v>N</v>
      </c>
      <c r="C151" s="235" t="str">
        <f t="array" ref="C151">IF(OR($E$136="",SUMPRODUCT(('Barge Gauging Data'!$C$27:$C$56=$E$136)*('Barge Gauging Data'!$D$27:$D$56=NOMY))&lt;ROWS($C$137:$C151)),"",INDEX('Barge Gauging Data'!$B$27:$B$56,SMALL(IF(('Barge Gauging Data'!$C$27:$C$56=$E$136)+('Barge Gauging Data'!$D$27:$D$56=NOMY)=2,ROW('Barge Gauging Data'!$B$27:$B$56)-ROW('Barge Gauging Data'!$C$26)),ROW()-ROW(C$136))))</f>
        <v/>
      </c>
      <c r="D151" s="211" t="str">
        <f>IF(OR($C151="",$C151=0),"",INDEX('Barge Gauging Data'!$B$26:$V$56,MATCH($C151,'Barge Gauging Data'!$B$27:$B$56,0)+1,2))</f>
        <v/>
      </c>
      <c r="E151" s="1016" t="str">
        <f t="shared" si="120"/>
        <v/>
      </c>
      <c r="F151" s="1016" t="str">
        <f t="shared" si="121"/>
        <v/>
      </c>
      <c r="G151" s="1016" t="str">
        <f t="shared" si="122"/>
        <v/>
      </c>
      <c r="H151" s="1016" t="str">
        <f t="shared" si="122"/>
        <v/>
      </c>
      <c r="I151" s="211" t="str">
        <f t="shared" si="123"/>
        <v/>
      </c>
      <c r="J151" s="1016" t="str">
        <f t="shared" si="124"/>
        <v/>
      </c>
      <c r="K151" s="213" t="str">
        <f t="shared" si="125"/>
        <v/>
      </c>
      <c r="L151" s="212" t="str">
        <f t="shared" si="126"/>
        <v/>
      </c>
      <c r="M151" s="1125" t="str">
        <f>IF(OR($C151="",$C151=0),"",INDEX(API1DENST_2,MATCH($C151,'Barge Gauging Data'!$B$27:$B$56,0),$AA$1))</f>
        <v/>
      </c>
      <c r="N151" s="212" t="str">
        <f t="shared" si="127"/>
        <v/>
      </c>
      <c r="O151" s="1016" t="str">
        <f t="shared" si="128"/>
        <v/>
      </c>
      <c r="P151" s="1125" t="str">
        <f t="shared" si="129"/>
        <v/>
      </c>
      <c r="Q151" s="1016" t="str">
        <f t="shared" si="130"/>
        <v/>
      </c>
      <c r="R151" s="214" t="str">
        <f t="shared" si="131"/>
        <v/>
      </c>
      <c r="S151" s="1125" t="str">
        <f t="shared" si="132"/>
        <v/>
      </c>
      <c r="T151" s="236" t="str">
        <f t="shared" si="133"/>
        <v/>
      </c>
      <c r="V151" s="642" t="e">
        <f>INDEX('Barge Gauging Data'!$B$26:$V$56,MATCH($C151,'Barge Gauging Data'!$B$26:$B$56,0),$V$18)</f>
        <v>#N/A</v>
      </c>
      <c r="W151" s="642" t="e">
        <f>INDEX('Barge Gauging Data'!$B$26:$V$56,MATCH($C151,'Barge Gauging Data'!$B$26:$B$56,0),$W$18)</f>
        <v>#N/A</v>
      </c>
      <c r="X151" s="642" t="e">
        <f>INDEX('Barge Gauging Data'!$B$26:$V$56,MATCH($C151,'Barge Gauging Data'!$B$26:$B$56,0),$X$18)</f>
        <v>#N/A</v>
      </c>
      <c r="Y151" s="642" t="e">
        <f>INDEX('Barge Gauging Data'!$B$26:$V$56,MATCH($C151,'Barge Gauging Data'!$B$26:$B$56,0),$Y$18)</f>
        <v>#N/A</v>
      </c>
      <c r="Z151" s="642" t="e">
        <f>INDEX('Barge Gauging Data'!$B$26:$V$56,MATCH($C151,'Barge Gauging Data'!$B$26:$B$56,0),$Z$18)</f>
        <v>#N/A</v>
      </c>
      <c r="AB151" s="642" t="e">
        <f>INDEX(API1DENST_2,MATCH($C151,'Barge Gauging Data'!$B$27:$B$56,0),1)</f>
        <v>#N/A</v>
      </c>
      <c r="AC151" s="642" t="e">
        <f t="shared" si="84"/>
        <v>#N/A</v>
      </c>
      <c r="AE151" s="661" t="e">
        <f t="shared" si="85"/>
        <v>#VALUE!</v>
      </c>
      <c r="AF151" s="661" t="e">
        <f t="shared" si="86"/>
        <v>#VALUE!</v>
      </c>
      <c r="AH151" s="662" t="str">
        <f t="shared" si="82"/>
        <v/>
      </c>
      <c r="AI151" s="662" t="str">
        <f t="shared" si="83"/>
        <v/>
      </c>
      <c r="AJ151" s="663">
        <f t="shared" si="87"/>
        <v>192.4571</v>
      </c>
      <c r="AK151" s="660">
        <f t="shared" si="88"/>
        <v>0.24379999999999999</v>
      </c>
      <c r="AL151" s="660" t="e">
        <f t="shared" si="89"/>
        <v>#VALUE!</v>
      </c>
      <c r="AM151" s="664" t="e">
        <f t="shared" si="90"/>
        <v>#VALUE!</v>
      </c>
      <c r="AN151" s="664" t="e">
        <f t="shared" si="91"/>
        <v>#VALUE!</v>
      </c>
      <c r="AO151" s="665" t="e">
        <f t="shared" si="92"/>
        <v>#VALUE!</v>
      </c>
      <c r="AP151" s="666" t="e">
        <f t="shared" si="93"/>
        <v>#VALUE!</v>
      </c>
      <c r="AQ151" s="660" t="e">
        <f t="shared" si="94"/>
        <v>#VALUE!</v>
      </c>
      <c r="AR151" s="667" t="e">
        <f t="shared" si="95"/>
        <v>#VALUE!</v>
      </c>
      <c r="AS151" s="667" t="e">
        <f t="shared" si="96"/>
        <v>#VALUE!</v>
      </c>
      <c r="AT151" s="668" t="e">
        <f t="shared" si="97"/>
        <v>#VALUE!</v>
      </c>
      <c r="AU151" s="667" t="e">
        <f t="shared" si="98"/>
        <v>#VALUE!</v>
      </c>
      <c r="AV151" s="669" t="e">
        <f t="shared" si="99"/>
        <v>#VALUE!</v>
      </c>
      <c r="AW151" s="667" t="e">
        <f t="shared" si="100"/>
        <v>#VALUE!</v>
      </c>
      <c r="AX151" s="667" t="e">
        <f t="shared" si="101"/>
        <v>#VALUE!</v>
      </c>
      <c r="AY151" s="660" t="e">
        <f t="shared" si="102"/>
        <v>#VALUE!</v>
      </c>
      <c r="AZ151" s="670" t="e">
        <f t="shared" si="103"/>
        <v>#VALUE!</v>
      </c>
      <c r="BB151" s="662" t="e">
        <f>INDEX('Barge Gauging Data'!$B$26:$V$56,MATCH($C151,'Barge Gauging Data'!$B$26:$B$56,0),$BB$18)</f>
        <v>#N/A</v>
      </c>
      <c r="BC151" s="662" t="e">
        <f>INDEX('Barge Gauging Data'!$B$26:$V$56,MATCH($C151,'Barge Gauging Data'!$B$26:$B$56,0),$BC$18)</f>
        <v>#N/A</v>
      </c>
      <c r="BD151" s="662" t="e">
        <f>INDEX('Barge Gauging Data'!$B$26:$V$56,MATCH($C151,'Barge Gauging Data'!$B$26:$B$56,0),$BD$18)</f>
        <v>#N/A</v>
      </c>
      <c r="BE151" s="662" t="e">
        <f>INDEX('Barge Gauging Data'!$B$26:$V$56,MATCH($C151,'Barge Gauging Data'!$B$26:$B$56,0),$BE$18)</f>
        <v>#N/A</v>
      </c>
    </row>
    <row r="152" spans="1:57" hidden="1">
      <c r="A152" s="641" t="str">
        <f t="shared" si="119"/>
        <v>N</v>
      </c>
      <c r="C152" s="235" t="str">
        <f t="array" ref="C152">IF(OR($E$136="",SUMPRODUCT(('Barge Gauging Data'!$C$27:$C$56=$E$136)*('Barge Gauging Data'!$D$27:$D$56=NOMY))&lt;ROWS($C$137:$C152)),"",INDEX('Barge Gauging Data'!$B$27:$B$56,SMALL(IF(('Barge Gauging Data'!$C$27:$C$56=$E$136)+('Barge Gauging Data'!$D$27:$D$56=NOMY)=2,ROW('Barge Gauging Data'!$B$27:$B$56)-ROW('Barge Gauging Data'!$C$26)),ROW()-ROW(C$136))))</f>
        <v/>
      </c>
      <c r="D152" s="211" t="str">
        <f>IF(OR($C152="",$C152=0),"",INDEX('Barge Gauging Data'!$B$26:$V$56,MATCH($C152,'Barge Gauging Data'!$B$27:$B$56,0)+1,2))</f>
        <v/>
      </c>
      <c r="E152" s="1016" t="str">
        <f t="shared" si="120"/>
        <v/>
      </c>
      <c r="F152" s="1016" t="str">
        <f t="shared" si="121"/>
        <v/>
      </c>
      <c r="G152" s="1016" t="str">
        <f t="shared" si="122"/>
        <v/>
      </c>
      <c r="H152" s="1016" t="str">
        <f t="shared" si="122"/>
        <v/>
      </c>
      <c r="I152" s="211" t="str">
        <f t="shared" si="123"/>
        <v/>
      </c>
      <c r="J152" s="1016" t="str">
        <f t="shared" si="124"/>
        <v/>
      </c>
      <c r="K152" s="213" t="str">
        <f t="shared" si="125"/>
        <v/>
      </c>
      <c r="L152" s="212" t="str">
        <f t="shared" si="126"/>
        <v/>
      </c>
      <c r="M152" s="1125" t="str">
        <f>IF(OR($C152="",$C152=0),"",INDEX(API1DENST_2,MATCH($C152,'Barge Gauging Data'!$B$27:$B$56,0),$AA$1))</f>
        <v/>
      </c>
      <c r="N152" s="212" t="str">
        <f t="shared" si="127"/>
        <v/>
      </c>
      <c r="O152" s="1016" t="str">
        <f t="shared" si="128"/>
        <v/>
      </c>
      <c r="P152" s="1125" t="str">
        <f t="shared" si="129"/>
        <v/>
      </c>
      <c r="Q152" s="1016" t="str">
        <f t="shared" si="130"/>
        <v/>
      </c>
      <c r="R152" s="214" t="str">
        <f t="shared" si="131"/>
        <v/>
      </c>
      <c r="S152" s="1125" t="str">
        <f t="shared" si="132"/>
        <v/>
      </c>
      <c r="T152" s="236" t="str">
        <f t="shared" si="133"/>
        <v/>
      </c>
      <c r="V152" s="642" t="e">
        <f>INDEX('Barge Gauging Data'!$B$26:$V$56,MATCH($C152,'Barge Gauging Data'!$B$26:$B$56,0),$V$18)</f>
        <v>#N/A</v>
      </c>
      <c r="W152" s="642" t="e">
        <f>INDEX('Barge Gauging Data'!$B$26:$V$56,MATCH($C152,'Barge Gauging Data'!$B$26:$B$56,0),$W$18)</f>
        <v>#N/A</v>
      </c>
      <c r="X152" s="642" t="e">
        <f>INDEX('Barge Gauging Data'!$B$26:$V$56,MATCH($C152,'Barge Gauging Data'!$B$26:$B$56,0),$X$18)</f>
        <v>#N/A</v>
      </c>
      <c r="Y152" s="642" t="e">
        <f>INDEX('Barge Gauging Data'!$B$26:$V$56,MATCH($C152,'Barge Gauging Data'!$B$26:$B$56,0),$Y$18)</f>
        <v>#N/A</v>
      </c>
      <c r="Z152" s="642" t="e">
        <f>INDEX('Barge Gauging Data'!$B$26:$V$56,MATCH($C152,'Barge Gauging Data'!$B$26:$B$56,0),$Z$18)</f>
        <v>#N/A</v>
      </c>
      <c r="AB152" s="642" t="e">
        <f>INDEX(API1DENST_2,MATCH($C152,'Barge Gauging Data'!$B$27:$B$56,0),1)</f>
        <v>#N/A</v>
      </c>
      <c r="AC152" s="642" t="e">
        <f t="shared" si="84"/>
        <v>#N/A</v>
      </c>
      <c r="AE152" s="661" t="e">
        <f t="shared" si="85"/>
        <v>#VALUE!</v>
      </c>
      <c r="AF152" s="661" t="e">
        <f t="shared" si="86"/>
        <v>#VALUE!</v>
      </c>
      <c r="AH152" s="662" t="str">
        <f t="shared" si="82"/>
        <v/>
      </c>
      <c r="AI152" s="662" t="str">
        <f t="shared" si="83"/>
        <v/>
      </c>
      <c r="AJ152" s="663">
        <f t="shared" si="87"/>
        <v>192.4571</v>
      </c>
      <c r="AK152" s="660">
        <f t="shared" si="88"/>
        <v>0.24379999999999999</v>
      </c>
      <c r="AL152" s="660" t="e">
        <f t="shared" si="89"/>
        <v>#VALUE!</v>
      </c>
      <c r="AM152" s="664" t="e">
        <f t="shared" si="90"/>
        <v>#VALUE!</v>
      </c>
      <c r="AN152" s="664" t="e">
        <f t="shared" si="91"/>
        <v>#VALUE!</v>
      </c>
      <c r="AO152" s="665" t="e">
        <f t="shared" si="92"/>
        <v>#VALUE!</v>
      </c>
      <c r="AP152" s="666" t="e">
        <f t="shared" si="93"/>
        <v>#VALUE!</v>
      </c>
      <c r="AQ152" s="660" t="e">
        <f t="shared" si="94"/>
        <v>#VALUE!</v>
      </c>
      <c r="AR152" s="667" t="e">
        <f t="shared" si="95"/>
        <v>#VALUE!</v>
      </c>
      <c r="AS152" s="667" t="e">
        <f t="shared" si="96"/>
        <v>#VALUE!</v>
      </c>
      <c r="AT152" s="668" t="e">
        <f t="shared" si="97"/>
        <v>#VALUE!</v>
      </c>
      <c r="AU152" s="667" t="e">
        <f t="shared" si="98"/>
        <v>#VALUE!</v>
      </c>
      <c r="AV152" s="669" t="e">
        <f t="shared" si="99"/>
        <v>#VALUE!</v>
      </c>
      <c r="AW152" s="667" t="e">
        <f t="shared" si="100"/>
        <v>#VALUE!</v>
      </c>
      <c r="AX152" s="667" t="e">
        <f t="shared" si="101"/>
        <v>#VALUE!</v>
      </c>
      <c r="AY152" s="660" t="e">
        <f t="shared" si="102"/>
        <v>#VALUE!</v>
      </c>
      <c r="AZ152" s="670" t="e">
        <f t="shared" si="103"/>
        <v>#VALUE!</v>
      </c>
      <c r="BB152" s="662" t="e">
        <f>INDEX('Barge Gauging Data'!$B$26:$V$56,MATCH($C152,'Barge Gauging Data'!$B$26:$B$56,0),$BB$18)</f>
        <v>#N/A</v>
      </c>
      <c r="BC152" s="662" t="e">
        <f>INDEX('Barge Gauging Data'!$B$26:$V$56,MATCH($C152,'Barge Gauging Data'!$B$26:$B$56,0),$BC$18)</f>
        <v>#N/A</v>
      </c>
      <c r="BD152" s="662" t="e">
        <f>INDEX('Barge Gauging Data'!$B$26:$V$56,MATCH($C152,'Barge Gauging Data'!$B$26:$B$56,0),$BD$18)</f>
        <v>#N/A</v>
      </c>
      <c r="BE152" s="662" t="e">
        <f>INDEX('Barge Gauging Data'!$B$26:$V$56,MATCH($C152,'Barge Gauging Data'!$B$26:$B$56,0),$BE$18)</f>
        <v>#N/A</v>
      </c>
    </row>
    <row r="153" spans="1:57" hidden="1">
      <c r="A153" s="641" t="str">
        <f t="shared" si="119"/>
        <v>N</v>
      </c>
      <c r="C153" s="235" t="str">
        <f t="array" ref="C153">IF(OR($E$136="",SUMPRODUCT(('Barge Gauging Data'!$C$27:$C$56=$E$136)*('Barge Gauging Data'!$D$27:$D$56=NOMY))&lt;ROWS($C$137:$C153)),"",INDEX('Barge Gauging Data'!$B$27:$B$56,SMALL(IF(('Barge Gauging Data'!$C$27:$C$56=$E$136)+('Barge Gauging Data'!$D$27:$D$56=NOMY)=2,ROW('Barge Gauging Data'!$B$27:$B$56)-ROW('Barge Gauging Data'!$C$26)),ROW()-ROW(C$136))))</f>
        <v/>
      </c>
      <c r="D153" s="211" t="str">
        <f>IF(OR($C153="",$C153=0),"",INDEX('Barge Gauging Data'!$B$26:$V$56,MATCH($C153,'Barge Gauging Data'!$B$27:$B$56,0)+1,2))</f>
        <v/>
      </c>
      <c r="E153" s="1016" t="str">
        <f t="shared" si="120"/>
        <v/>
      </c>
      <c r="F153" s="1016" t="str">
        <f t="shared" si="121"/>
        <v/>
      </c>
      <c r="G153" s="1016" t="str">
        <f t="shared" si="122"/>
        <v/>
      </c>
      <c r="H153" s="1016" t="str">
        <f t="shared" si="122"/>
        <v/>
      </c>
      <c r="I153" s="211" t="str">
        <f t="shared" si="123"/>
        <v/>
      </c>
      <c r="J153" s="1016" t="str">
        <f t="shared" si="124"/>
        <v/>
      </c>
      <c r="K153" s="213" t="str">
        <f t="shared" si="125"/>
        <v/>
      </c>
      <c r="L153" s="212" t="str">
        <f t="shared" si="126"/>
        <v/>
      </c>
      <c r="M153" s="1125" t="str">
        <f>IF(OR($C153="",$C153=0),"",INDEX(API1DENST_2,MATCH($C153,'Barge Gauging Data'!$B$27:$B$56,0),$AA$1))</f>
        <v/>
      </c>
      <c r="N153" s="212" t="str">
        <f t="shared" si="127"/>
        <v/>
      </c>
      <c r="O153" s="1016" t="str">
        <f t="shared" si="128"/>
        <v/>
      </c>
      <c r="P153" s="1125" t="str">
        <f t="shared" si="129"/>
        <v/>
      </c>
      <c r="Q153" s="1016" t="str">
        <f t="shared" si="130"/>
        <v/>
      </c>
      <c r="R153" s="214" t="str">
        <f t="shared" si="131"/>
        <v/>
      </c>
      <c r="S153" s="1125" t="str">
        <f t="shared" si="132"/>
        <v/>
      </c>
      <c r="T153" s="236" t="str">
        <f t="shared" si="133"/>
        <v/>
      </c>
      <c r="V153" s="642" t="e">
        <f>INDEX('Barge Gauging Data'!$B$26:$V$56,MATCH($C153,'Barge Gauging Data'!$B$26:$B$56,0),$V$18)</f>
        <v>#N/A</v>
      </c>
      <c r="W153" s="642" t="e">
        <f>INDEX('Barge Gauging Data'!$B$26:$V$56,MATCH($C153,'Barge Gauging Data'!$B$26:$B$56,0),$W$18)</f>
        <v>#N/A</v>
      </c>
      <c r="X153" s="642" t="e">
        <f>INDEX('Barge Gauging Data'!$B$26:$V$56,MATCH($C153,'Barge Gauging Data'!$B$26:$B$56,0),$X$18)</f>
        <v>#N/A</v>
      </c>
      <c r="Y153" s="642" t="e">
        <f>INDEX('Barge Gauging Data'!$B$26:$V$56,MATCH($C153,'Barge Gauging Data'!$B$26:$B$56,0),$Y$18)</f>
        <v>#N/A</v>
      </c>
      <c r="Z153" s="642" t="e">
        <f>INDEX('Barge Gauging Data'!$B$26:$V$56,MATCH($C153,'Barge Gauging Data'!$B$26:$B$56,0),$Z$18)</f>
        <v>#N/A</v>
      </c>
      <c r="AB153" s="642" t="e">
        <f>INDEX(API1DENST_2,MATCH($C153,'Barge Gauging Data'!$B$27:$B$56,0),1)</f>
        <v>#N/A</v>
      </c>
      <c r="AC153" s="642" t="e">
        <f t="shared" si="84"/>
        <v>#N/A</v>
      </c>
      <c r="AE153" s="661" t="e">
        <f t="shared" si="85"/>
        <v>#VALUE!</v>
      </c>
      <c r="AF153" s="661" t="e">
        <f t="shared" si="86"/>
        <v>#VALUE!</v>
      </c>
      <c r="AH153" s="662" t="str">
        <f t="shared" si="82"/>
        <v/>
      </c>
      <c r="AI153" s="662" t="str">
        <f t="shared" si="83"/>
        <v/>
      </c>
      <c r="AJ153" s="663">
        <f t="shared" si="87"/>
        <v>192.4571</v>
      </c>
      <c r="AK153" s="660">
        <f t="shared" si="88"/>
        <v>0.24379999999999999</v>
      </c>
      <c r="AL153" s="660" t="e">
        <f t="shared" si="89"/>
        <v>#VALUE!</v>
      </c>
      <c r="AM153" s="664" t="e">
        <f t="shared" si="90"/>
        <v>#VALUE!</v>
      </c>
      <c r="AN153" s="664" t="e">
        <f t="shared" si="91"/>
        <v>#VALUE!</v>
      </c>
      <c r="AO153" s="665" t="e">
        <f t="shared" si="92"/>
        <v>#VALUE!</v>
      </c>
      <c r="AP153" s="666" t="e">
        <f t="shared" si="93"/>
        <v>#VALUE!</v>
      </c>
      <c r="AQ153" s="660" t="e">
        <f t="shared" si="94"/>
        <v>#VALUE!</v>
      </c>
      <c r="AR153" s="667" t="e">
        <f t="shared" si="95"/>
        <v>#VALUE!</v>
      </c>
      <c r="AS153" s="667" t="e">
        <f t="shared" si="96"/>
        <v>#VALUE!</v>
      </c>
      <c r="AT153" s="668" t="e">
        <f t="shared" si="97"/>
        <v>#VALUE!</v>
      </c>
      <c r="AU153" s="667" t="e">
        <f t="shared" si="98"/>
        <v>#VALUE!</v>
      </c>
      <c r="AV153" s="669" t="e">
        <f t="shared" si="99"/>
        <v>#VALUE!</v>
      </c>
      <c r="AW153" s="667" t="e">
        <f t="shared" si="100"/>
        <v>#VALUE!</v>
      </c>
      <c r="AX153" s="667" t="e">
        <f t="shared" si="101"/>
        <v>#VALUE!</v>
      </c>
      <c r="AY153" s="660" t="e">
        <f t="shared" si="102"/>
        <v>#VALUE!</v>
      </c>
      <c r="AZ153" s="670" t="e">
        <f t="shared" si="103"/>
        <v>#VALUE!</v>
      </c>
      <c r="BB153" s="662" t="e">
        <f>INDEX('Barge Gauging Data'!$B$26:$V$56,MATCH($C153,'Barge Gauging Data'!$B$26:$B$56,0),$BB$18)</f>
        <v>#N/A</v>
      </c>
      <c r="BC153" s="662" t="e">
        <f>INDEX('Barge Gauging Data'!$B$26:$V$56,MATCH($C153,'Barge Gauging Data'!$B$26:$B$56,0),$BC$18)</f>
        <v>#N/A</v>
      </c>
      <c r="BD153" s="662" t="e">
        <f>INDEX('Barge Gauging Data'!$B$26:$V$56,MATCH($C153,'Barge Gauging Data'!$B$26:$B$56,0),$BD$18)</f>
        <v>#N/A</v>
      </c>
      <c r="BE153" s="662" t="e">
        <f>INDEX('Barge Gauging Data'!$B$26:$V$56,MATCH($C153,'Barge Gauging Data'!$B$26:$B$56,0),$BE$18)</f>
        <v>#N/A</v>
      </c>
    </row>
    <row r="154" spans="1:57" hidden="1">
      <c r="A154" s="641" t="str">
        <f t="shared" si="119"/>
        <v>N</v>
      </c>
      <c r="C154" s="235" t="str">
        <f t="array" ref="C154">IF(OR($E$136="",SUMPRODUCT(('Barge Gauging Data'!$C$27:$C$56=$E$136)*('Barge Gauging Data'!$D$27:$D$56=NOMY))&lt;ROWS($C$137:$C154)),"",INDEX('Barge Gauging Data'!$B$27:$B$56,SMALL(IF(('Barge Gauging Data'!$C$27:$C$56=$E$136)+('Barge Gauging Data'!$D$27:$D$56=NOMY)=2,ROW('Barge Gauging Data'!$B$27:$B$56)-ROW('Barge Gauging Data'!$C$26)),ROW()-ROW(C$136))))</f>
        <v/>
      </c>
      <c r="D154" s="211" t="str">
        <f>IF(OR($C154="",$C154=0),"",INDEX('Barge Gauging Data'!$B$26:$V$56,MATCH($C154,'Barge Gauging Data'!$B$27:$B$56,0)+1,2))</f>
        <v/>
      </c>
      <c r="E154" s="1016" t="str">
        <f t="shared" si="120"/>
        <v/>
      </c>
      <c r="F154" s="1016" t="str">
        <f t="shared" si="121"/>
        <v/>
      </c>
      <c r="G154" s="1016" t="str">
        <f t="shared" si="122"/>
        <v/>
      </c>
      <c r="H154" s="1016" t="str">
        <f t="shared" si="122"/>
        <v/>
      </c>
      <c r="I154" s="211" t="str">
        <f t="shared" si="123"/>
        <v/>
      </c>
      <c r="J154" s="1016" t="str">
        <f t="shared" si="124"/>
        <v/>
      </c>
      <c r="K154" s="213" t="str">
        <f t="shared" si="125"/>
        <v/>
      </c>
      <c r="L154" s="212" t="str">
        <f t="shared" si="126"/>
        <v/>
      </c>
      <c r="M154" s="1125" t="str">
        <f>IF(OR($C154="",$C154=0),"",INDEX(API1DENST_2,MATCH($C154,'Barge Gauging Data'!$B$27:$B$56,0),$AA$1))</f>
        <v/>
      </c>
      <c r="N154" s="212" t="str">
        <f t="shared" si="127"/>
        <v/>
      </c>
      <c r="O154" s="1016" t="str">
        <f t="shared" si="128"/>
        <v/>
      </c>
      <c r="P154" s="1125" t="str">
        <f t="shared" si="129"/>
        <v/>
      </c>
      <c r="Q154" s="1016" t="str">
        <f t="shared" si="130"/>
        <v/>
      </c>
      <c r="R154" s="214" t="str">
        <f t="shared" si="131"/>
        <v/>
      </c>
      <c r="S154" s="1125" t="str">
        <f t="shared" si="132"/>
        <v/>
      </c>
      <c r="T154" s="236" t="str">
        <f t="shared" si="133"/>
        <v/>
      </c>
      <c r="V154" s="642" t="e">
        <f>INDEX('Barge Gauging Data'!$B$26:$V$56,MATCH($C154,'Barge Gauging Data'!$B$26:$B$56,0),$V$18)</f>
        <v>#N/A</v>
      </c>
      <c r="W154" s="642" t="e">
        <f>INDEX('Barge Gauging Data'!$B$26:$V$56,MATCH($C154,'Barge Gauging Data'!$B$26:$B$56,0),$W$18)</f>
        <v>#N/A</v>
      </c>
      <c r="X154" s="642" t="e">
        <f>INDEX('Barge Gauging Data'!$B$26:$V$56,MATCH($C154,'Barge Gauging Data'!$B$26:$B$56,0),$X$18)</f>
        <v>#N/A</v>
      </c>
      <c r="Y154" s="642" t="e">
        <f>INDEX('Barge Gauging Data'!$B$26:$V$56,MATCH($C154,'Barge Gauging Data'!$B$26:$B$56,0),$Y$18)</f>
        <v>#N/A</v>
      </c>
      <c r="Z154" s="642" t="e">
        <f>INDEX('Barge Gauging Data'!$B$26:$V$56,MATCH($C154,'Barge Gauging Data'!$B$26:$B$56,0),$Z$18)</f>
        <v>#N/A</v>
      </c>
      <c r="AB154" s="642" t="e">
        <f>INDEX(API1DENST_2,MATCH($C154,'Barge Gauging Data'!$B$27:$B$56,0),1)</f>
        <v>#N/A</v>
      </c>
      <c r="AC154" s="642" t="e">
        <f t="shared" si="84"/>
        <v>#N/A</v>
      </c>
      <c r="AE154" s="661" t="e">
        <f t="shared" si="85"/>
        <v>#VALUE!</v>
      </c>
      <c r="AF154" s="661" t="e">
        <f t="shared" si="86"/>
        <v>#VALUE!</v>
      </c>
      <c r="AH154" s="662" t="str">
        <f t="shared" si="82"/>
        <v/>
      </c>
      <c r="AI154" s="662" t="str">
        <f t="shared" si="83"/>
        <v/>
      </c>
      <c r="AJ154" s="663">
        <f t="shared" si="87"/>
        <v>192.4571</v>
      </c>
      <c r="AK154" s="660">
        <f t="shared" si="88"/>
        <v>0.24379999999999999</v>
      </c>
      <c r="AL154" s="660" t="e">
        <f t="shared" si="89"/>
        <v>#VALUE!</v>
      </c>
      <c r="AM154" s="664" t="e">
        <f t="shared" si="90"/>
        <v>#VALUE!</v>
      </c>
      <c r="AN154" s="664" t="e">
        <f t="shared" si="91"/>
        <v>#VALUE!</v>
      </c>
      <c r="AO154" s="665" t="e">
        <f t="shared" si="92"/>
        <v>#VALUE!</v>
      </c>
      <c r="AP154" s="666" t="e">
        <f t="shared" si="93"/>
        <v>#VALUE!</v>
      </c>
      <c r="AQ154" s="660" t="e">
        <f t="shared" si="94"/>
        <v>#VALUE!</v>
      </c>
      <c r="AR154" s="667" t="e">
        <f t="shared" si="95"/>
        <v>#VALUE!</v>
      </c>
      <c r="AS154" s="667" t="e">
        <f t="shared" si="96"/>
        <v>#VALUE!</v>
      </c>
      <c r="AT154" s="668" t="e">
        <f t="shared" si="97"/>
        <v>#VALUE!</v>
      </c>
      <c r="AU154" s="667" t="e">
        <f t="shared" si="98"/>
        <v>#VALUE!</v>
      </c>
      <c r="AV154" s="669" t="e">
        <f t="shared" si="99"/>
        <v>#VALUE!</v>
      </c>
      <c r="AW154" s="667" t="e">
        <f t="shared" si="100"/>
        <v>#VALUE!</v>
      </c>
      <c r="AX154" s="667" t="e">
        <f t="shared" si="101"/>
        <v>#VALUE!</v>
      </c>
      <c r="AY154" s="660" t="e">
        <f t="shared" si="102"/>
        <v>#VALUE!</v>
      </c>
      <c r="AZ154" s="670" t="e">
        <f t="shared" si="103"/>
        <v>#VALUE!</v>
      </c>
      <c r="BB154" s="662" t="e">
        <f>INDEX('Barge Gauging Data'!$B$26:$V$56,MATCH($C154,'Barge Gauging Data'!$B$26:$B$56,0),$BB$18)</f>
        <v>#N/A</v>
      </c>
      <c r="BC154" s="662" t="e">
        <f>INDEX('Barge Gauging Data'!$B$26:$V$56,MATCH($C154,'Barge Gauging Data'!$B$26:$B$56,0),$BC$18)</f>
        <v>#N/A</v>
      </c>
      <c r="BD154" s="662" t="e">
        <f>INDEX('Barge Gauging Data'!$B$26:$V$56,MATCH($C154,'Barge Gauging Data'!$B$26:$B$56,0),$BD$18)</f>
        <v>#N/A</v>
      </c>
      <c r="BE154" s="662" t="e">
        <f>INDEX('Barge Gauging Data'!$B$26:$V$56,MATCH($C154,'Barge Gauging Data'!$B$26:$B$56,0),$BE$18)</f>
        <v>#N/A</v>
      </c>
    </row>
    <row r="155" spans="1:57" hidden="1">
      <c r="A155" s="641" t="str">
        <f t="shared" si="119"/>
        <v>N</v>
      </c>
      <c r="C155" s="235" t="str">
        <f t="array" ref="C155">IF(OR($E$136="",SUMPRODUCT(('Barge Gauging Data'!$C$27:$C$56=$E$136)*('Barge Gauging Data'!$D$27:$D$56=NOMY))&lt;ROWS($C$137:$C155)),"",INDEX('Barge Gauging Data'!$B$27:$B$56,SMALL(IF(('Barge Gauging Data'!$C$27:$C$56=$E$136)+('Barge Gauging Data'!$D$27:$D$56=NOMY)=2,ROW('Barge Gauging Data'!$B$27:$B$56)-ROW('Barge Gauging Data'!$C$26)),ROW()-ROW(C$136))))</f>
        <v/>
      </c>
      <c r="D155" s="211" t="str">
        <f>IF(OR($C155="",$C155=0),"",INDEX('Barge Gauging Data'!$B$26:$V$56,MATCH($C155,'Barge Gauging Data'!$B$27:$B$56,0)+1,2))</f>
        <v/>
      </c>
      <c r="E155" s="1016" t="str">
        <f t="shared" si="120"/>
        <v/>
      </c>
      <c r="F155" s="1016" t="str">
        <f t="shared" si="121"/>
        <v/>
      </c>
      <c r="G155" s="1016" t="str">
        <f t="shared" si="122"/>
        <v/>
      </c>
      <c r="H155" s="1016" t="str">
        <f t="shared" si="122"/>
        <v/>
      </c>
      <c r="I155" s="211" t="str">
        <f t="shared" si="123"/>
        <v/>
      </c>
      <c r="J155" s="1016" t="str">
        <f t="shared" si="124"/>
        <v/>
      </c>
      <c r="K155" s="213" t="str">
        <f t="shared" si="125"/>
        <v/>
      </c>
      <c r="L155" s="212" t="str">
        <f t="shared" si="126"/>
        <v/>
      </c>
      <c r="M155" s="1125" t="str">
        <f>IF(OR($C155="",$C155=0),"",INDEX(API1DENST_2,MATCH($C155,'Barge Gauging Data'!$B$27:$B$56,0),$AA$1))</f>
        <v/>
      </c>
      <c r="N155" s="212" t="str">
        <f t="shared" si="127"/>
        <v/>
      </c>
      <c r="O155" s="1016" t="str">
        <f t="shared" si="128"/>
        <v/>
      </c>
      <c r="P155" s="1125" t="str">
        <f t="shared" si="129"/>
        <v/>
      </c>
      <c r="Q155" s="1016" t="str">
        <f t="shared" si="130"/>
        <v/>
      </c>
      <c r="R155" s="214" t="str">
        <f t="shared" si="131"/>
        <v/>
      </c>
      <c r="S155" s="1125" t="str">
        <f t="shared" si="132"/>
        <v/>
      </c>
      <c r="T155" s="236" t="str">
        <f t="shared" si="133"/>
        <v/>
      </c>
      <c r="V155" s="642" t="e">
        <f>INDEX('Barge Gauging Data'!$B$26:$V$56,MATCH($C155,'Barge Gauging Data'!$B$26:$B$56,0),$V$18)</f>
        <v>#N/A</v>
      </c>
      <c r="W155" s="642" t="e">
        <f>INDEX('Barge Gauging Data'!$B$26:$V$56,MATCH($C155,'Barge Gauging Data'!$B$26:$B$56,0),$W$18)</f>
        <v>#N/A</v>
      </c>
      <c r="X155" s="642" t="e">
        <f>INDEX('Barge Gauging Data'!$B$26:$V$56,MATCH($C155,'Barge Gauging Data'!$B$26:$B$56,0),$X$18)</f>
        <v>#N/A</v>
      </c>
      <c r="Y155" s="642" t="e">
        <f>INDEX('Barge Gauging Data'!$B$26:$V$56,MATCH($C155,'Barge Gauging Data'!$B$26:$B$56,0),$Y$18)</f>
        <v>#N/A</v>
      </c>
      <c r="Z155" s="642" t="e">
        <f>INDEX('Barge Gauging Data'!$B$26:$V$56,MATCH($C155,'Barge Gauging Data'!$B$26:$B$56,0),$Z$18)</f>
        <v>#N/A</v>
      </c>
      <c r="AB155" s="642" t="e">
        <f>INDEX(API1DENST_2,MATCH($C155,'Barge Gauging Data'!$B$27:$B$56,0),1)</f>
        <v>#N/A</v>
      </c>
      <c r="AC155" s="642" t="e">
        <f t="shared" si="84"/>
        <v>#N/A</v>
      </c>
      <c r="AE155" s="661" t="e">
        <f t="shared" si="85"/>
        <v>#VALUE!</v>
      </c>
      <c r="AF155" s="661" t="e">
        <f t="shared" si="86"/>
        <v>#VALUE!</v>
      </c>
      <c r="AH155" s="662" t="str">
        <f t="shared" si="82"/>
        <v/>
      </c>
      <c r="AI155" s="662" t="str">
        <f t="shared" si="83"/>
        <v/>
      </c>
      <c r="AJ155" s="663">
        <f t="shared" si="87"/>
        <v>192.4571</v>
      </c>
      <c r="AK155" s="660">
        <f t="shared" si="88"/>
        <v>0.24379999999999999</v>
      </c>
      <c r="AL155" s="660" t="e">
        <f t="shared" si="89"/>
        <v>#VALUE!</v>
      </c>
      <c r="AM155" s="664" t="e">
        <f t="shared" si="90"/>
        <v>#VALUE!</v>
      </c>
      <c r="AN155" s="664" t="e">
        <f t="shared" si="91"/>
        <v>#VALUE!</v>
      </c>
      <c r="AO155" s="665" t="e">
        <f t="shared" si="92"/>
        <v>#VALUE!</v>
      </c>
      <c r="AP155" s="666" t="e">
        <f t="shared" si="93"/>
        <v>#VALUE!</v>
      </c>
      <c r="AQ155" s="660" t="e">
        <f t="shared" si="94"/>
        <v>#VALUE!</v>
      </c>
      <c r="AR155" s="667" t="e">
        <f t="shared" si="95"/>
        <v>#VALUE!</v>
      </c>
      <c r="AS155" s="667" t="e">
        <f t="shared" si="96"/>
        <v>#VALUE!</v>
      </c>
      <c r="AT155" s="668" t="e">
        <f t="shared" si="97"/>
        <v>#VALUE!</v>
      </c>
      <c r="AU155" s="667" t="e">
        <f t="shared" si="98"/>
        <v>#VALUE!</v>
      </c>
      <c r="AV155" s="669" t="e">
        <f t="shared" si="99"/>
        <v>#VALUE!</v>
      </c>
      <c r="AW155" s="667" t="e">
        <f t="shared" si="100"/>
        <v>#VALUE!</v>
      </c>
      <c r="AX155" s="667" t="e">
        <f t="shared" si="101"/>
        <v>#VALUE!</v>
      </c>
      <c r="AY155" s="660" t="e">
        <f t="shared" si="102"/>
        <v>#VALUE!</v>
      </c>
      <c r="AZ155" s="670" t="e">
        <f t="shared" si="103"/>
        <v>#VALUE!</v>
      </c>
      <c r="BB155" s="662" t="e">
        <f>INDEX('Barge Gauging Data'!$B$26:$V$56,MATCH($C155,'Barge Gauging Data'!$B$26:$B$56,0),$BB$18)</f>
        <v>#N/A</v>
      </c>
      <c r="BC155" s="662" t="e">
        <f>INDEX('Barge Gauging Data'!$B$26:$V$56,MATCH($C155,'Barge Gauging Data'!$B$26:$B$56,0),$BC$18)</f>
        <v>#N/A</v>
      </c>
      <c r="BD155" s="662" t="e">
        <f>INDEX('Barge Gauging Data'!$B$26:$V$56,MATCH($C155,'Barge Gauging Data'!$B$26:$B$56,0),$BD$18)</f>
        <v>#N/A</v>
      </c>
      <c r="BE155" s="662" t="e">
        <f>INDEX('Barge Gauging Data'!$B$26:$V$56,MATCH($C155,'Barge Gauging Data'!$B$26:$B$56,0),$BE$18)</f>
        <v>#N/A</v>
      </c>
    </row>
    <row r="156" spans="1:57" hidden="1">
      <c r="A156" s="641" t="str">
        <f t="shared" si="119"/>
        <v>N</v>
      </c>
      <c r="C156" s="237" t="str">
        <f t="array" ref="C156">IF(OR($E$136="",SUMPRODUCT(('Barge Gauging Data'!$C$27:$C$56=$E$136)*('Barge Gauging Data'!$D$27:$D$56=NOMY))&lt;ROWS($C$137:$C156)),"",INDEX('Barge Gauging Data'!$B$27:$B$56,SMALL(IF(('Barge Gauging Data'!$C$27:$C$56=$E$136)+('Barge Gauging Data'!$D$27:$D$56=NOMY)=2,ROW('Barge Gauging Data'!$B$27:$B$56)-ROW('Barge Gauging Data'!$C$26)),ROW()-ROW(C$136))))</f>
        <v/>
      </c>
      <c r="D156" s="238" t="str">
        <f>IF(OR($C156="",$C156=0),"",INDEX('Barge Gauging Data'!$B$26:$V$56,MATCH($C156,'Barge Gauging Data'!$B$27:$B$56,0)+1,2))</f>
        <v/>
      </c>
      <c r="E156" s="1017" t="str">
        <f t="shared" si="120"/>
        <v/>
      </c>
      <c r="F156" s="1017" t="str">
        <f t="shared" si="121"/>
        <v/>
      </c>
      <c r="G156" s="1017" t="str">
        <f t="shared" si="122"/>
        <v/>
      </c>
      <c r="H156" s="1017" t="str">
        <f t="shared" si="122"/>
        <v/>
      </c>
      <c r="I156" s="238" t="str">
        <f t="shared" si="123"/>
        <v/>
      </c>
      <c r="J156" s="1017" t="str">
        <f t="shared" si="124"/>
        <v/>
      </c>
      <c r="K156" s="240" t="str">
        <f t="shared" si="125"/>
        <v/>
      </c>
      <c r="L156" s="239" t="str">
        <f t="shared" si="126"/>
        <v/>
      </c>
      <c r="M156" s="1126" t="str">
        <f>IF(OR($C156="",$C156=0),"",INDEX(API1DENST_2,MATCH($C156,'Barge Gauging Data'!$B$27:$B$56,0),$AA$1))</f>
        <v/>
      </c>
      <c r="N156" s="239" t="str">
        <f t="shared" si="127"/>
        <v/>
      </c>
      <c r="O156" s="1017" t="str">
        <f t="shared" si="128"/>
        <v/>
      </c>
      <c r="P156" s="1126" t="str">
        <f t="shared" si="129"/>
        <v/>
      </c>
      <c r="Q156" s="1017" t="str">
        <f t="shared" si="130"/>
        <v/>
      </c>
      <c r="R156" s="241" t="str">
        <f t="shared" si="131"/>
        <v/>
      </c>
      <c r="S156" s="1126" t="str">
        <f t="shared" si="132"/>
        <v/>
      </c>
      <c r="T156" s="242" t="str">
        <f t="shared" si="133"/>
        <v/>
      </c>
      <c r="V156" s="642" t="e">
        <f>INDEX('Barge Gauging Data'!$B$26:$V$56,MATCH($C156,'Barge Gauging Data'!$B$26:$B$56,0),$V$18)</f>
        <v>#N/A</v>
      </c>
      <c r="W156" s="642" t="e">
        <f>INDEX('Barge Gauging Data'!$B$26:$V$56,MATCH($C156,'Barge Gauging Data'!$B$26:$B$56,0),$W$18)</f>
        <v>#N/A</v>
      </c>
      <c r="X156" s="642" t="e">
        <f>INDEX('Barge Gauging Data'!$B$26:$V$56,MATCH($C156,'Barge Gauging Data'!$B$26:$B$56,0),$X$18)</f>
        <v>#N/A</v>
      </c>
      <c r="Y156" s="642" t="e">
        <f>INDEX('Barge Gauging Data'!$B$26:$V$56,MATCH($C156,'Barge Gauging Data'!$B$26:$B$56,0),$Y$18)</f>
        <v>#N/A</v>
      </c>
      <c r="Z156" s="642" t="e">
        <f>INDEX('Barge Gauging Data'!$B$26:$V$56,MATCH($C156,'Barge Gauging Data'!$B$26:$B$56,0),$Z$18)</f>
        <v>#N/A</v>
      </c>
      <c r="AB156" s="642" t="e">
        <f>INDEX(API1DENST_2,MATCH($C156,'Barge Gauging Data'!$B$27:$B$56,0),1)</f>
        <v>#N/A</v>
      </c>
      <c r="AC156" s="642" t="e">
        <f t="shared" si="84"/>
        <v>#N/A</v>
      </c>
      <c r="AE156" s="661" t="e">
        <f t="shared" si="85"/>
        <v>#VALUE!</v>
      </c>
      <c r="AF156" s="661" t="e">
        <f t="shared" si="86"/>
        <v>#VALUE!</v>
      </c>
      <c r="AH156" s="662" t="str">
        <f t="shared" si="82"/>
        <v/>
      </c>
      <c r="AI156" s="662" t="str">
        <f t="shared" si="83"/>
        <v/>
      </c>
      <c r="AJ156" s="663">
        <f t="shared" si="87"/>
        <v>192.4571</v>
      </c>
      <c r="AK156" s="660">
        <f t="shared" si="88"/>
        <v>0.24379999999999999</v>
      </c>
      <c r="AL156" s="660" t="e">
        <f t="shared" si="89"/>
        <v>#VALUE!</v>
      </c>
      <c r="AM156" s="664" t="e">
        <f t="shared" si="90"/>
        <v>#VALUE!</v>
      </c>
      <c r="AN156" s="664" t="e">
        <f t="shared" si="91"/>
        <v>#VALUE!</v>
      </c>
      <c r="AO156" s="665" t="e">
        <f t="shared" si="92"/>
        <v>#VALUE!</v>
      </c>
      <c r="AP156" s="666" t="e">
        <f t="shared" si="93"/>
        <v>#VALUE!</v>
      </c>
      <c r="AQ156" s="660" t="e">
        <f t="shared" si="94"/>
        <v>#VALUE!</v>
      </c>
      <c r="AR156" s="667" t="e">
        <f t="shared" si="95"/>
        <v>#VALUE!</v>
      </c>
      <c r="AS156" s="667" t="e">
        <f t="shared" si="96"/>
        <v>#VALUE!</v>
      </c>
      <c r="AT156" s="668" t="e">
        <f t="shared" si="97"/>
        <v>#VALUE!</v>
      </c>
      <c r="AU156" s="667" t="e">
        <f t="shared" si="98"/>
        <v>#VALUE!</v>
      </c>
      <c r="AV156" s="669" t="e">
        <f t="shared" si="99"/>
        <v>#VALUE!</v>
      </c>
      <c r="AW156" s="667" t="e">
        <f t="shared" si="100"/>
        <v>#VALUE!</v>
      </c>
      <c r="AX156" s="667" t="e">
        <f t="shared" si="101"/>
        <v>#VALUE!</v>
      </c>
      <c r="AY156" s="660" t="e">
        <f t="shared" si="102"/>
        <v>#VALUE!</v>
      </c>
      <c r="AZ156" s="670" t="e">
        <f t="shared" si="103"/>
        <v>#VALUE!</v>
      </c>
      <c r="BB156" s="662" t="e">
        <f>INDEX('Barge Gauging Data'!$B$26:$V$56,MATCH($C156,'Barge Gauging Data'!$B$26:$B$56,0),$BB$18)</f>
        <v>#N/A</v>
      </c>
      <c r="BC156" s="662" t="e">
        <f>INDEX('Barge Gauging Data'!$B$26:$V$56,MATCH($C156,'Barge Gauging Data'!$B$26:$B$56,0),$BC$18)</f>
        <v>#N/A</v>
      </c>
      <c r="BD156" s="662" t="e">
        <f>INDEX('Barge Gauging Data'!$B$26:$V$56,MATCH($C156,'Barge Gauging Data'!$B$26:$B$56,0),$BD$18)</f>
        <v>#N/A</v>
      </c>
      <c r="BE156" s="662" t="e">
        <f>INDEX('Barge Gauging Data'!$B$26:$V$56,MATCH($C156,'Barge Gauging Data'!$B$26:$B$56,0),$BE$18)</f>
        <v>#N/A</v>
      </c>
    </row>
    <row r="157" spans="1:57">
      <c r="A157" s="641" t="str">
        <f>A136</f>
        <v>Y</v>
      </c>
      <c r="C157" s="671"/>
      <c r="D157" s="671"/>
      <c r="E157" s="672"/>
      <c r="F157" s="672"/>
      <c r="G157" s="672"/>
      <c r="H157" s="1501"/>
      <c r="I157" s="671"/>
      <c r="J157" s="672"/>
      <c r="K157" s="673"/>
      <c r="L157" s="672"/>
      <c r="M157" s="674"/>
      <c r="N157" s="672"/>
      <c r="O157" s="672"/>
      <c r="P157" s="1127"/>
      <c r="Q157" s="672"/>
      <c r="R157" s="675"/>
      <c r="S157" s="1137" t="s">
        <v>401</v>
      </c>
      <c r="T157" s="621">
        <f>SUM(T137:T156)</f>
        <v>65.495000000000005</v>
      </c>
      <c r="V157" s="619">
        <f>SUM(Q137:Q156)</f>
        <v>78.521999999999991</v>
      </c>
      <c r="W157" s="619">
        <f>SUM(R137:R156)</f>
        <v>65.581999999999994</v>
      </c>
      <c r="X157" s="719"/>
      <c r="Y157" s="719"/>
      <c r="Z157" s="719"/>
      <c r="AA157" s="676"/>
      <c r="AB157" s="719"/>
      <c r="AC157" s="719"/>
      <c r="AD157" s="676"/>
      <c r="AE157" s="720"/>
      <c r="AF157" s="720"/>
      <c r="AG157" s="676"/>
      <c r="AH157" s="721"/>
      <c r="AI157" s="721"/>
      <c r="AJ157" s="722"/>
      <c r="AK157" s="723"/>
      <c r="AL157" s="723"/>
      <c r="AM157" s="724"/>
      <c r="AN157" s="724"/>
      <c r="AO157" s="725"/>
      <c r="AP157" s="726"/>
      <c r="AQ157" s="723"/>
      <c r="AR157" s="727"/>
      <c r="AS157" s="727"/>
      <c r="AT157" s="728"/>
      <c r="AU157" s="727"/>
      <c r="AV157" s="729"/>
      <c r="AW157" s="727"/>
      <c r="AX157" s="727"/>
      <c r="AY157" s="723"/>
      <c r="AZ157" s="730"/>
      <c r="BA157" s="676"/>
      <c r="BB157" s="721"/>
      <c r="BC157" s="721"/>
      <c r="BD157" s="721"/>
      <c r="BE157" s="721"/>
    </row>
    <row r="158" spans="1:57" s="702" customFormat="1" ht="5.25" hidden="1">
      <c r="A158" s="702" t="str">
        <f>IF(A159="N",A159,IF(COUNTIF($A$21:$A156,"Y")&gt;0,A159,"N"))</f>
        <v>N</v>
      </c>
      <c r="C158" s="704"/>
      <c r="D158" s="704"/>
      <c r="E158" s="704"/>
      <c r="F158" s="704"/>
      <c r="G158" s="704"/>
      <c r="H158" s="704"/>
      <c r="I158" s="704"/>
      <c r="J158" s="705"/>
      <c r="K158" s="705"/>
      <c r="L158" s="705"/>
      <c r="M158" s="705"/>
      <c r="N158" s="705"/>
      <c r="O158" s="705"/>
      <c r="P158" s="1128"/>
      <c r="Q158" s="705"/>
      <c r="R158" s="705"/>
      <c r="S158" s="1136"/>
      <c r="T158" s="706"/>
      <c r="V158" s="707"/>
      <c r="W158" s="707"/>
      <c r="X158" s="707"/>
      <c r="Y158" s="707"/>
      <c r="Z158" s="707"/>
      <c r="AA158" s="707"/>
      <c r="AB158" s="707"/>
      <c r="AC158" s="707"/>
      <c r="AD158" s="707"/>
      <c r="AE158" s="708"/>
      <c r="AF158" s="708"/>
      <c r="AG158" s="707"/>
      <c r="AH158" s="709"/>
      <c r="AI158" s="709"/>
      <c r="AJ158" s="710"/>
      <c r="AK158" s="711"/>
      <c r="AL158" s="711"/>
      <c r="AM158" s="712"/>
      <c r="AN158" s="712"/>
      <c r="AO158" s="713"/>
      <c r="AP158" s="714"/>
      <c r="AQ158" s="711"/>
      <c r="AR158" s="715"/>
      <c r="AS158" s="715"/>
      <c r="AT158" s="716"/>
      <c r="AU158" s="715"/>
      <c r="AV158" s="717"/>
      <c r="AW158" s="715"/>
      <c r="AX158" s="715"/>
      <c r="AY158" s="711"/>
      <c r="AZ158" s="718"/>
      <c r="BA158" s="707"/>
      <c r="BB158" s="709"/>
      <c r="BC158" s="709"/>
      <c r="BD158" s="709"/>
      <c r="BE158" s="709"/>
    </row>
    <row r="159" spans="1:57" ht="15.75" hidden="1">
      <c r="A159" s="641" t="str">
        <f>A160</f>
        <v>N</v>
      </c>
      <c r="C159" s="2802" t="s">
        <v>162</v>
      </c>
      <c r="D159" s="2803"/>
      <c r="E159" s="2804" t="str">
        <f>"("&amp;INDEX($Z$2:$Z$4,GRADECHNO_2,1)&amp;")"</f>
        <v>(Distillates)</v>
      </c>
      <c r="F159" s="2805"/>
      <c r="G159" s="2805"/>
      <c r="H159" s="2825"/>
      <c r="I159" s="2806"/>
      <c r="J159" s="698"/>
      <c r="K159" s="699"/>
      <c r="L159" s="700"/>
      <c r="M159" s="699"/>
      <c r="N159" s="699"/>
      <c r="O159" s="700"/>
      <c r="P159" s="1129"/>
      <c r="Q159" s="700"/>
      <c r="R159" s="703"/>
      <c r="S159" s="1129"/>
      <c r="T159" s="703"/>
      <c r="V159" s="731"/>
      <c r="W159" s="731"/>
      <c r="X159" s="731"/>
      <c r="Y159" s="731"/>
      <c r="Z159" s="731"/>
      <c r="AA159" s="676"/>
      <c r="AB159" s="731"/>
      <c r="AC159" s="731"/>
      <c r="AD159" s="676"/>
      <c r="AE159" s="732"/>
      <c r="AF159" s="732"/>
      <c r="AG159" s="676"/>
      <c r="AH159" s="733"/>
      <c r="AI159" s="733"/>
      <c r="AJ159" s="734"/>
      <c r="AK159" s="735"/>
      <c r="AL159" s="735"/>
      <c r="AM159" s="736"/>
      <c r="AN159" s="736"/>
      <c r="AO159" s="737"/>
      <c r="AP159" s="738"/>
      <c r="AQ159" s="735"/>
      <c r="AR159" s="739"/>
      <c r="AS159" s="739"/>
      <c r="AT159" s="740"/>
      <c r="AU159" s="739"/>
      <c r="AV159" s="741"/>
      <c r="AW159" s="739"/>
      <c r="AX159" s="739"/>
      <c r="AY159" s="735"/>
      <c r="AZ159" s="742"/>
      <c r="BA159" s="676"/>
      <c r="BB159" s="733"/>
      <c r="BC159" s="733"/>
      <c r="BD159" s="733"/>
      <c r="BE159" s="733"/>
    </row>
    <row r="160" spans="1:57" hidden="1">
      <c r="A160" s="641" t="str">
        <f>IF(C160="","N","Y")</f>
        <v>N</v>
      </c>
      <c r="C160" s="622" t="str">
        <f t="array" ref="C160">IF(SUMPRODUCT((ISERROR(MATCH('Barge Gauging Data'!$C$27:$C$56,IF(GRADECHNO_2=2,RESIDUALS,IF(GRADECHNO_2=3,DISTILLATES,GRADESLIST)),0))=FALSE)*('Barge Gauging Data'!$D$27:$D$56=NOMN)*1)&lt;ROWS($C$160:$C160),"",INDEX('Barge Gauging Data'!$B$27:$B$56,SMALL(IF(((ISERROR(MATCH('Barge Gauging Data'!$C$27:$C$56,IF(GRADECHNO_2=2,RESIDUALS,IF(GRADECHNO_2=3,DISTILLATES,GRADESLIST)),0))=FALSE)+('Barge Gauging Data'!$D$27:$D$56=NOMN))=2,ROW('Barge Gauging Data'!$B$27:$B$56)-ROW('Barge Gauging Data'!$C$26)),ROW()-ROW(C$159))))</f>
        <v/>
      </c>
      <c r="D160" s="623" t="str">
        <f>IF(OR($C160="",$C160=0),"",INDEX('Barge Gauging Data'!$B$26:$V$56,MATCH($C160,'Barge Gauging Data'!$B$27:$B$56,0)+1,2))</f>
        <v/>
      </c>
      <c r="E160" s="1018" t="str">
        <f t="shared" ref="E160:E189" si="134">IF(ISERROR(V160),"",IF(OR($C160="",$C160=0),"",IF(ISTEXT(V160),V160,IF($AB$1=1,V160*UNITOR_2,INT(V160*UNITOR_2)&amp;"'-"&amp;TRIM(TEXT(ROUND(MOD(V160*UNITOR_2,1)*12,1),"# ???/???"))&amp;""""))))</f>
        <v/>
      </c>
      <c r="F160" s="1018" t="str">
        <f t="shared" ref="F160:F189" si="135">IF(ISERROR(W160),"",IF(OR($C160="",$C160=0),"",IF(ISTEXT(W160),W160,IF($AB$1=1,W160*UNITOR_2,INT(W160*UNITOR_2)&amp;"'-"&amp;TRIM(TEXT(ROUND(MOD(W160*UNITOR_2,1)*12,1),"# ???/???"))&amp;""""))))</f>
        <v/>
      </c>
      <c r="G160" s="1018" t="str">
        <f t="shared" ref="G160:H189" si="136">IF(ISERROR(X160),"",IF(OR($C160="",$C160=0),"",IF(ISTEXT(X160),X160,IF($AB$1=1,X160*UNITOR_2,INT(X160*UNITOR_2)&amp;"'-"&amp;TRIM(TEXT(ROUND(MOD(X160*UNITOR_2,1)*12,1),"# ???/???"))&amp;""""))))</f>
        <v/>
      </c>
      <c r="H160" s="1018" t="str">
        <f t="shared" si="136"/>
        <v/>
      </c>
      <c r="I160" s="623" t="str">
        <f t="shared" ref="I160:I189" si="137">IF(ISERROR($BB160),"",IF(OR($C160="",$C160=0,$BB160=0),"",$BB160))</f>
        <v/>
      </c>
      <c r="J160" s="1016" t="str">
        <f t="shared" ref="J160:J189" si="138">IF(ISERROR($BC160),"",IF(OR($C160="",$C160=0,$BC160=""),"",IF(ISTEXT($BC160),$BC160,$BC160*IF($AA$1=B1SEL_2,1,IF($AA$1=2,FBBLS,1/FBBLS)))))</f>
        <v/>
      </c>
      <c r="K160" s="213" t="str">
        <f t="shared" ref="K160:K189" si="139">IF(ISERROR($BD160),"",IF(OR($C160="",$C160=0,$BD160=""),0,IF(ISTEXT($BD160),$BD160,$BD160*IF($AB$1=W1SEL_2,1,IF($AB$1=2,FINCH,1/FINCH)))))</f>
        <v/>
      </c>
      <c r="L160" s="212" t="str">
        <f t="shared" ref="L160:L189" si="140">IF(ISERROR($BE160),"",IF(OR($C160="",$C160=0,$BE160=""),0,IF(ISTEXT($BE160),$BE160,$BE160*IF($AA$1=B1SEL_2,1,IF($AA$1=2,FBBLS,1/FBBLS)))))</f>
        <v/>
      </c>
      <c r="M160" s="1125" t="str">
        <f>IF(OR($C160="",$C160=0),"",INDEX(API1DENST_2,MATCH($C160,'Barge Gauging Data'!$B$27:$B$56,0),$AA$1))</f>
        <v/>
      </c>
      <c r="N160" s="212" t="str">
        <f t="shared" ref="N160:N189" si="141">IF(ISERROR(Z160),"",IF(OR($C160="",$C160=0,Z160=""),"",IF(ISTEXT(Z160),Z160,IF($AA$1=T1SEL_2,Z160,IF($AA$1=2,(Z160*9/5)+32,(Z160-32)*5/9)))))</f>
        <v/>
      </c>
      <c r="O160" s="1016" t="str">
        <f t="shared" ref="O160:O163" si="142">IF(OR(J160="",L160=""),"",IF(ISTEXT(J160),"N/A",IF(ISTEXT(L160),J160,J160-L160)))</f>
        <v/>
      </c>
      <c r="P160" s="1125" t="str">
        <f t="shared" ref="P160:P163" si="143">IF(OR(M160="",N160=""),"",IF(OR(ISTEXT(M160),ISTEXT(N160)),"N/A",IF($AA$1=1,ROUND(EXP(-AF160*(N160-15)*(1+0.8*AF160*(N160-15))),5),AZ160)))</f>
        <v/>
      </c>
      <c r="Q160" s="1016" t="str">
        <f t="shared" ref="Q160:Q163" si="144">IF(OR(M160="",N160=""),"",IF(OR(ISTEXT(M160),ISTEXT(N160)),"N/A",ROUND(O160*P160,3)))</f>
        <v/>
      </c>
      <c r="R160" s="214" t="str">
        <f t="shared" ref="R160:R163" si="145">IF(M160="","",IF($AA$1=1,IF(ISTEXT(Q160),"N/A",ROUND(Q160*M160,3)),IF(ISTEXT(T160),"N/A",ROUND(T160*AC160,3))))</f>
        <v/>
      </c>
      <c r="S160" s="1125" t="str">
        <f t="shared" ref="S160:S163" si="146">IF(M160="","",IF($AA$1=1,ROUND(M160-0.0011,5),ROUND((1.00122697*(141.5/(M160+131.5))-1.22269727*10^-3)*8.32823*42/2204.62,5+2)))</f>
        <v/>
      </c>
      <c r="T160" s="236" t="str">
        <f t="shared" ref="T160:T163" si="147">IF(OR(M160="",N160=""),"",IF(ISTEXT(Q160),"N/A",IF($AA$1=1,ROUND((Q160*(M160-0.0011)),3),ROUND(Q160*S160,3))))</f>
        <v/>
      </c>
      <c r="V160" s="642" t="e">
        <f>INDEX('Barge Gauging Data'!$B$26:$V$56,MATCH($C160,'Barge Gauging Data'!$B$26:$B$56,0),$V$18)</f>
        <v>#N/A</v>
      </c>
      <c r="W160" s="642" t="e">
        <f>INDEX('Barge Gauging Data'!$B$26:$V$56,MATCH($C160,'Barge Gauging Data'!$B$26:$B$56,0),$W$18)</f>
        <v>#N/A</v>
      </c>
      <c r="X160" s="642" t="e">
        <f>INDEX('Barge Gauging Data'!$B$26:$V$56,MATCH($C160,'Barge Gauging Data'!$B$26:$B$56,0),$X$18)</f>
        <v>#N/A</v>
      </c>
      <c r="Y160" s="642" t="e">
        <f>INDEX('Barge Gauging Data'!$B$26:$V$56,MATCH($C160,'Barge Gauging Data'!$B$26:$B$56,0),$Y$18)</f>
        <v>#N/A</v>
      </c>
      <c r="Z160" s="642" t="e">
        <f>INDEX('Barge Gauging Data'!$B$26:$V$56,MATCH($C160,'Barge Gauging Data'!$B$26:$B$56,0),$Z$18)</f>
        <v>#N/A</v>
      </c>
      <c r="AB160" s="642" t="e">
        <f>INDEX(API1DENST_2,MATCH($C160,'Barge Gauging Data'!$B$27:$B$56,0),1)</f>
        <v>#N/A</v>
      </c>
      <c r="AC160" s="642" t="e">
        <f t="shared" si="84"/>
        <v>#N/A</v>
      </c>
      <c r="AE160" s="661" t="e">
        <f t="shared" si="85"/>
        <v>#VALUE!</v>
      </c>
      <c r="AF160" s="661" t="e">
        <f t="shared" si="86"/>
        <v>#VALUE!</v>
      </c>
      <c r="AH160" s="662" t="str">
        <f t="shared" si="82"/>
        <v/>
      </c>
      <c r="AI160" s="662" t="str">
        <f t="shared" si="83"/>
        <v/>
      </c>
      <c r="AJ160" s="663">
        <f t="shared" si="87"/>
        <v>192.4571</v>
      </c>
      <c r="AK160" s="660">
        <f t="shared" si="88"/>
        <v>0.24379999999999999</v>
      </c>
      <c r="AL160" s="660" t="e">
        <f t="shared" si="89"/>
        <v>#VALUE!</v>
      </c>
      <c r="AM160" s="664" t="e">
        <f t="shared" si="90"/>
        <v>#VALUE!</v>
      </c>
      <c r="AN160" s="664" t="e">
        <f t="shared" si="91"/>
        <v>#VALUE!</v>
      </c>
      <c r="AO160" s="665" t="e">
        <f t="shared" si="92"/>
        <v>#VALUE!</v>
      </c>
      <c r="AP160" s="666" t="e">
        <f t="shared" si="93"/>
        <v>#VALUE!</v>
      </c>
      <c r="AQ160" s="660" t="e">
        <f t="shared" si="94"/>
        <v>#VALUE!</v>
      </c>
      <c r="AR160" s="667" t="e">
        <f t="shared" si="95"/>
        <v>#VALUE!</v>
      </c>
      <c r="AS160" s="667" t="e">
        <f t="shared" si="96"/>
        <v>#VALUE!</v>
      </c>
      <c r="AT160" s="668" t="e">
        <f t="shared" si="97"/>
        <v>#VALUE!</v>
      </c>
      <c r="AU160" s="667" t="e">
        <f t="shared" si="98"/>
        <v>#VALUE!</v>
      </c>
      <c r="AV160" s="669" t="e">
        <f t="shared" si="99"/>
        <v>#VALUE!</v>
      </c>
      <c r="AW160" s="667" t="e">
        <f t="shared" si="100"/>
        <v>#VALUE!</v>
      </c>
      <c r="AX160" s="667" t="e">
        <f t="shared" si="101"/>
        <v>#VALUE!</v>
      </c>
      <c r="AY160" s="660" t="e">
        <f t="shared" si="102"/>
        <v>#VALUE!</v>
      </c>
      <c r="AZ160" s="670" t="e">
        <f t="shared" si="103"/>
        <v>#VALUE!</v>
      </c>
      <c r="BB160" s="662" t="e">
        <f>INDEX('Barge Gauging Data'!$B$26:$V$56,MATCH($C160,'Barge Gauging Data'!$B$26:$B$56,0),$BB$18)</f>
        <v>#N/A</v>
      </c>
      <c r="BC160" s="662" t="e">
        <f>INDEX('Barge Gauging Data'!$B$26:$V$56,MATCH($C160,'Barge Gauging Data'!$B$26:$B$56,0),$BC$18)</f>
        <v>#N/A</v>
      </c>
      <c r="BD160" s="662" t="e">
        <f>INDEX('Barge Gauging Data'!$B$26:$V$56,MATCH($C160,'Barge Gauging Data'!$B$26:$B$56,0),$BD$18)</f>
        <v>#N/A</v>
      </c>
      <c r="BE160" s="662" t="e">
        <f>INDEX('Barge Gauging Data'!$B$26:$V$56,MATCH($C160,'Barge Gauging Data'!$B$26:$B$56,0),$BE$18)</f>
        <v>#N/A</v>
      </c>
    </row>
    <row r="161" spans="1:57" hidden="1">
      <c r="A161" s="641" t="str">
        <f t="shared" ref="A161:A189" si="148">IF(C161="","N","Y")</f>
        <v>N</v>
      </c>
      <c r="C161" s="235" t="str">
        <f t="array" ref="C161">IF(SUMPRODUCT((ISERROR(MATCH('Barge Gauging Data'!$C$27:$C$56,IF(GRADECHNO_2=2,RESIDUALS,IF(GRADECHNO_2=3,DISTILLATES,GRADESLIST)),0))=FALSE)*('Barge Gauging Data'!$D$27:$D$56=NOMN)*1)&lt;ROWS($C$160:$C161),"",INDEX('Barge Gauging Data'!$B$27:$B$56,SMALL(IF(((ISERROR(MATCH('Barge Gauging Data'!$C$27:$C$56,IF(GRADECHNO_2=2,RESIDUALS,IF(GRADECHNO_2=3,DISTILLATES,GRADESLIST)),0))=FALSE)+('Barge Gauging Data'!$D$27:$D$56=NOMN))=2,ROW('Barge Gauging Data'!$B$27:$B$56)-ROW('Barge Gauging Data'!$C$26)),ROW()-ROW(C$159))))</f>
        <v/>
      </c>
      <c r="D161" s="211" t="str">
        <f>IF(OR($C161="",$C161=0),"",INDEX('Barge Gauging Data'!$B$26:$V$56,MATCH($C161,'Barge Gauging Data'!$B$27:$B$56,0)+1,2))</f>
        <v/>
      </c>
      <c r="E161" s="1016" t="str">
        <f t="shared" si="134"/>
        <v/>
      </c>
      <c r="F161" s="1016" t="str">
        <f t="shared" si="135"/>
        <v/>
      </c>
      <c r="G161" s="1016" t="str">
        <f t="shared" si="136"/>
        <v/>
      </c>
      <c r="H161" s="1016" t="str">
        <f t="shared" si="136"/>
        <v/>
      </c>
      <c r="I161" s="211" t="str">
        <f t="shared" si="137"/>
        <v/>
      </c>
      <c r="J161" s="1016" t="str">
        <f t="shared" si="138"/>
        <v/>
      </c>
      <c r="K161" s="213" t="str">
        <f t="shared" si="139"/>
        <v/>
      </c>
      <c r="L161" s="212" t="str">
        <f t="shared" si="140"/>
        <v/>
      </c>
      <c r="M161" s="1125" t="str">
        <f>IF(OR($C161="",$C161=0),"",INDEX(API1DENST_2,MATCH($C161,'Barge Gauging Data'!$B$27:$B$56,0),$AA$1))</f>
        <v/>
      </c>
      <c r="N161" s="212" t="str">
        <f t="shared" si="141"/>
        <v/>
      </c>
      <c r="O161" s="1016" t="str">
        <f t="shared" si="142"/>
        <v/>
      </c>
      <c r="P161" s="1125" t="str">
        <f t="shared" si="143"/>
        <v/>
      </c>
      <c r="Q161" s="1016" t="str">
        <f t="shared" si="144"/>
        <v/>
      </c>
      <c r="R161" s="214" t="str">
        <f t="shared" si="145"/>
        <v/>
      </c>
      <c r="S161" s="1125" t="str">
        <f t="shared" si="146"/>
        <v/>
      </c>
      <c r="T161" s="236" t="str">
        <f t="shared" si="147"/>
        <v/>
      </c>
      <c r="V161" s="642" t="e">
        <f>INDEX('Barge Gauging Data'!$B$26:$V$56,MATCH($C161,'Barge Gauging Data'!$B$26:$B$56,0),$V$18)</f>
        <v>#N/A</v>
      </c>
      <c r="W161" s="642" t="e">
        <f>INDEX('Barge Gauging Data'!$B$26:$V$56,MATCH($C161,'Barge Gauging Data'!$B$26:$B$56,0),$W$18)</f>
        <v>#N/A</v>
      </c>
      <c r="X161" s="642" t="e">
        <f>INDEX('Barge Gauging Data'!$B$26:$V$56,MATCH($C161,'Barge Gauging Data'!$B$26:$B$56,0),$X$18)</f>
        <v>#N/A</v>
      </c>
      <c r="Y161" s="642" t="e">
        <f>INDEX('Barge Gauging Data'!$B$26:$V$56,MATCH($C161,'Barge Gauging Data'!$B$26:$B$56,0),$Y$18)</f>
        <v>#N/A</v>
      </c>
      <c r="Z161" s="642" t="e">
        <f>INDEX('Barge Gauging Data'!$B$26:$V$56,MATCH($C161,'Barge Gauging Data'!$B$26:$B$56,0),$Z$18)</f>
        <v>#N/A</v>
      </c>
      <c r="AB161" s="642" t="e">
        <f>INDEX(API1DENST_2,MATCH($C161,'Barge Gauging Data'!$B$27:$B$56,0),1)</f>
        <v>#N/A</v>
      </c>
      <c r="AC161" s="642" t="e">
        <f t="shared" si="84"/>
        <v>#N/A</v>
      </c>
      <c r="AE161" s="661" t="e">
        <f t="shared" si="85"/>
        <v>#VALUE!</v>
      </c>
      <c r="AF161" s="661" t="e">
        <f t="shared" si="86"/>
        <v>#VALUE!</v>
      </c>
      <c r="AH161" s="662" t="str">
        <f t="shared" si="82"/>
        <v/>
      </c>
      <c r="AI161" s="662" t="str">
        <f t="shared" si="83"/>
        <v/>
      </c>
      <c r="AJ161" s="663">
        <f t="shared" si="87"/>
        <v>192.4571</v>
      </c>
      <c r="AK161" s="660">
        <f t="shared" si="88"/>
        <v>0.24379999999999999</v>
      </c>
      <c r="AL161" s="660" t="e">
        <f t="shared" si="89"/>
        <v>#VALUE!</v>
      </c>
      <c r="AM161" s="664" t="e">
        <f t="shared" si="90"/>
        <v>#VALUE!</v>
      </c>
      <c r="AN161" s="664" t="e">
        <f t="shared" si="91"/>
        <v>#VALUE!</v>
      </c>
      <c r="AO161" s="665" t="e">
        <f t="shared" si="92"/>
        <v>#VALUE!</v>
      </c>
      <c r="AP161" s="666" t="e">
        <f t="shared" si="93"/>
        <v>#VALUE!</v>
      </c>
      <c r="AQ161" s="660" t="e">
        <f t="shared" si="94"/>
        <v>#VALUE!</v>
      </c>
      <c r="AR161" s="667" t="e">
        <f t="shared" si="95"/>
        <v>#VALUE!</v>
      </c>
      <c r="AS161" s="667" t="e">
        <f t="shared" si="96"/>
        <v>#VALUE!</v>
      </c>
      <c r="AT161" s="668" t="e">
        <f t="shared" si="97"/>
        <v>#VALUE!</v>
      </c>
      <c r="AU161" s="667" t="e">
        <f t="shared" si="98"/>
        <v>#VALUE!</v>
      </c>
      <c r="AV161" s="669" t="e">
        <f t="shared" si="99"/>
        <v>#VALUE!</v>
      </c>
      <c r="AW161" s="667" t="e">
        <f t="shared" si="100"/>
        <v>#VALUE!</v>
      </c>
      <c r="AX161" s="667" t="e">
        <f t="shared" si="101"/>
        <v>#VALUE!</v>
      </c>
      <c r="AY161" s="660" t="e">
        <f t="shared" si="102"/>
        <v>#VALUE!</v>
      </c>
      <c r="AZ161" s="670" t="e">
        <f t="shared" si="103"/>
        <v>#VALUE!</v>
      </c>
      <c r="BB161" s="662" t="e">
        <f>INDEX('Barge Gauging Data'!$B$26:$V$56,MATCH($C161,'Barge Gauging Data'!$B$26:$B$56,0),$BB$18)</f>
        <v>#N/A</v>
      </c>
      <c r="BC161" s="662" t="e">
        <f>INDEX('Barge Gauging Data'!$B$26:$V$56,MATCH($C161,'Barge Gauging Data'!$B$26:$B$56,0),$BC$18)</f>
        <v>#N/A</v>
      </c>
      <c r="BD161" s="662" t="e">
        <f>INDEX('Barge Gauging Data'!$B$26:$V$56,MATCH($C161,'Barge Gauging Data'!$B$26:$B$56,0),$BD$18)</f>
        <v>#N/A</v>
      </c>
      <c r="BE161" s="662" t="e">
        <f>INDEX('Barge Gauging Data'!$B$26:$V$56,MATCH($C161,'Barge Gauging Data'!$B$26:$B$56,0),$BE$18)</f>
        <v>#N/A</v>
      </c>
    </row>
    <row r="162" spans="1:57" hidden="1">
      <c r="A162" s="641" t="str">
        <f t="shared" si="148"/>
        <v>N</v>
      </c>
      <c r="C162" s="235" t="str">
        <f t="array" ref="C162">IF(SUMPRODUCT((ISERROR(MATCH('Barge Gauging Data'!$C$27:$C$56,IF(GRADECHNO_2=2,RESIDUALS,IF(GRADECHNO_2=3,DISTILLATES,GRADESLIST)),0))=FALSE)*('Barge Gauging Data'!$D$27:$D$56=NOMN)*1)&lt;ROWS($C$160:$C162),"",INDEX('Barge Gauging Data'!$B$27:$B$56,SMALL(IF(((ISERROR(MATCH('Barge Gauging Data'!$C$27:$C$56,IF(GRADECHNO_2=2,RESIDUALS,IF(GRADECHNO_2=3,DISTILLATES,GRADESLIST)),0))=FALSE)+('Barge Gauging Data'!$D$27:$D$56=NOMN))=2,ROW('Barge Gauging Data'!$B$27:$B$56)-ROW('Barge Gauging Data'!$C$26)),ROW()-ROW(C$159))))</f>
        <v/>
      </c>
      <c r="D162" s="211" t="str">
        <f>IF(OR($C162="",$C162=0),"",INDEX('Barge Gauging Data'!$B$26:$V$56,MATCH($C162,'Barge Gauging Data'!$B$27:$B$56,0)+1,2))</f>
        <v/>
      </c>
      <c r="E162" s="1016" t="str">
        <f t="shared" si="134"/>
        <v/>
      </c>
      <c r="F162" s="1016" t="str">
        <f t="shared" si="135"/>
        <v/>
      </c>
      <c r="G162" s="1016" t="str">
        <f t="shared" si="136"/>
        <v/>
      </c>
      <c r="H162" s="1016" t="str">
        <f t="shared" si="136"/>
        <v/>
      </c>
      <c r="I162" s="211" t="str">
        <f t="shared" si="137"/>
        <v/>
      </c>
      <c r="J162" s="1016" t="str">
        <f t="shared" si="138"/>
        <v/>
      </c>
      <c r="K162" s="213" t="str">
        <f t="shared" si="139"/>
        <v/>
      </c>
      <c r="L162" s="212" t="str">
        <f t="shared" si="140"/>
        <v/>
      </c>
      <c r="M162" s="1125" t="str">
        <f>IF(OR($C162="",$C162=0),"",INDEX(API1DENST_2,MATCH($C162,'Barge Gauging Data'!$B$27:$B$56,0),$AA$1))</f>
        <v/>
      </c>
      <c r="N162" s="212" t="str">
        <f t="shared" si="141"/>
        <v/>
      </c>
      <c r="O162" s="1016" t="str">
        <f t="shared" si="142"/>
        <v/>
      </c>
      <c r="P162" s="1125" t="str">
        <f t="shared" si="143"/>
        <v/>
      </c>
      <c r="Q162" s="1016" t="str">
        <f t="shared" si="144"/>
        <v/>
      </c>
      <c r="R162" s="214" t="str">
        <f t="shared" si="145"/>
        <v/>
      </c>
      <c r="S162" s="1125" t="str">
        <f t="shared" si="146"/>
        <v/>
      </c>
      <c r="T162" s="236" t="str">
        <f t="shared" si="147"/>
        <v/>
      </c>
      <c r="V162" s="642" t="e">
        <f>INDEX('Barge Gauging Data'!$B$26:$V$56,MATCH($C162,'Barge Gauging Data'!$B$26:$B$56,0),$V$18)</f>
        <v>#N/A</v>
      </c>
      <c r="W162" s="642" t="e">
        <f>INDEX('Barge Gauging Data'!$B$26:$V$56,MATCH($C162,'Barge Gauging Data'!$B$26:$B$56,0),$W$18)</f>
        <v>#N/A</v>
      </c>
      <c r="X162" s="642" t="e">
        <f>INDEX('Barge Gauging Data'!$B$26:$V$56,MATCH($C162,'Barge Gauging Data'!$B$26:$B$56,0),$X$18)</f>
        <v>#N/A</v>
      </c>
      <c r="Y162" s="642" t="e">
        <f>INDEX('Barge Gauging Data'!$B$26:$V$56,MATCH($C162,'Barge Gauging Data'!$B$26:$B$56,0),$Y$18)</f>
        <v>#N/A</v>
      </c>
      <c r="Z162" s="642" t="e">
        <f>INDEX('Barge Gauging Data'!$B$26:$V$56,MATCH($C162,'Barge Gauging Data'!$B$26:$B$56,0),$Z$18)</f>
        <v>#N/A</v>
      </c>
      <c r="AB162" s="642" t="e">
        <f>INDEX(API1DENST_2,MATCH($C162,'Barge Gauging Data'!$B$27:$B$56,0),1)</f>
        <v>#N/A</v>
      </c>
      <c r="AC162" s="642" t="e">
        <f t="shared" si="84"/>
        <v>#N/A</v>
      </c>
      <c r="AE162" s="661" t="e">
        <f t="shared" si="85"/>
        <v>#VALUE!</v>
      </c>
      <c r="AF162" s="661" t="e">
        <f t="shared" si="86"/>
        <v>#VALUE!</v>
      </c>
      <c r="AH162" s="662" t="str">
        <f t="shared" ref="AH162:AH189" si="149">N162</f>
        <v/>
      </c>
      <c r="AI162" s="662" t="str">
        <f t="shared" ref="AI162:AI189" si="150">M162</f>
        <v/>
      </c>
      <c r="AJ162" s="663">
        <f t="shared" si="87"/>
        <v>192.4571</v>
      </c>
      <c r="AK162" s="660">
        <f t="shared" si="88"/>
        <v>0.24379999999999999</v>
      </c>
      <c r="AL162" s="660" t="e">
        <f t="shared" si="89"/>
        <v>#VALUE!</v>
      </c>
      <c r="AM162" s="664" t="e">
        <f t="shared" si="90"/>
        <v>#VALUE!</v>
      </c>
      <c r="AN162" s="664" t="e">
        <f t="shared" si="91"/>
        <v>#VALUE!</v>
      </c>
      <c r="AO162" s="665" t="e">
        <f t="shared" si="92"/>
        <v>#VALUE!</v>
      </c>
      <c r="AP162" s="666" t="e">
        <f t="shared" si="93"/>
        <v>#VALUE!</v>
      </c>
      <c r="AQ162" s="660" t="e">
        <f t="shared" si="94"/>
        <v>#VALUE!</v>
      </c>
      <c r="AR162" s="667" t="e">
        <f t="shared" si="95"/>
        <v>#VALUE!</v>
      </c>
      <c r="AS162" s="667" t="e">
        <f t="shared" si="96"/>
        <v>#VALUE!</v>
      </c>
      <c r="AT162" s="668" t="e">
        <f t="shared" si="97"/>
        <v>#VALUE!</v>
      </c>
      <c r="AU162" s="667" t="e">
        <f t="shared" si="98"/>
        <v>#VALUE!</v>
      </c>
      <c r="AV162" s="669" t="e">
        <f t="shared" si="99"/>
        <v>#VALUE!</v>
      </c>
      <c r="AW162" s="667" t="e">
        <f t="shared" si="100"/>
        <v>#VALUE!</v>
      </c>
      <c r="AX162" s="667" t="e">
        <f t="shared" si="101"/>
        <v>#VALUE!</v>
      </c>
      <c r="AY162" s="660" t="e">
        <f t="shared" si="102"/>
        <v>#VALUE!</v>
      </c>
      <c r="AZ162" s="670" t="e">
        <f t="shared" si="103"/>
        <v>#VALUE!</v>
      </c>
      <c r="BB162" s="662" t="e">
        <f>INDEX('Barge Gauging Data'!$B$26:$V$56,MATCH($C162,'Barge Gauging Data'!$B$26:$B$56,0),$BB$18)</f>
        <v>#N/A</v>
      </c>
      <c r="BC162" s="662" t="e">
        <f>INDEX('Barge Gauging Data'!$B$26:$V$56,MATCH($C162,'Barge Gauging Data'!$B$26:$B$56,0),$BC$18)</f>
        <v>#N/A</v>
      </c>
      <c r="BD162" s="662" t="e">
        <f>INDEX('Barge Gauging Data'!$B$26:$V$56,MATCH($C162,'Barge Gauging Data'!$B$26:$B$56,0),$BD$18)</f>
        <v>#N/A</v>
      </c>
      <c r="BE162" s="662" t="e">
        <f>INDEX('Barge Gauging Data'!$B$26:$V$56,MATCH($C162,'Barge Gauging Data'!$B$26:$B$56,0),$BE$18)</f>
        <v>#N/A</v>
      </c>
    </row>
    <row r="163" spans="1:57" hidden="1">
      <c r="A163" s="641" t="str">
        <f t="shared" si="148"/>
        <v>N</v>
      </c>
      <c r="C163" s="235" t="str">
        <f t="array" ref="C163">IF(SUMPRODUCT((ISERROR(MATCH('Barge Gauging Data'!$C$27:$C$56,IF(GRADECHNO_2=2,RESIDUALS,IF(GRADECHNO_2=3,DISTILLATES,GRADESLIST)),0))=FALSE)*('Barge Gauging Data'!$D$27:$D$56=NOMN)*1)&lt;ROWS($C$160:$C163),"",INDEX('Barge Gauging Data'!$B$27:$B$56,SMALL(IF(((ISERROR(MATCH('Barge Gauging Data'!$C$27:$C$56,IF(GRADECHNO_2=2,RESIDUALS,IF(GRADECHNO_2=3,DISTILLATES,GRADESLIST)),0))=FALSE)+('Barge Gauging Data'!$D$27:$D$56=NOMN))=2,ROW('Barge Gauging Data'!$B$27:$B$56)-ROW('Barge Gauging Data'!$C$26)),ROW()-ROW(C$159))))</f>
        <v/>
      </c>
      <c r="D163" s="211" t="str">
        <f>IF(OR($C163="",$C163=0),"",INDEX('Barge Gauging Data'!$B$26:$V$56,MATCH($C163,'Barge Gauging Data'!$B$27:$B$56,0)+1,2))</f>
        <v/>
      </c>
      <c r="E163" s="1016" t="str">
        <f t="shared" si="134"/>
        <v/>
      </c>
      <c r="F163" s="1016" t="str">
        <f t="shared" si="135"/>
        <v/>
      </c>
      <c r="G163" s="1016" t="str">
        <f t="shared" si="136"/>
        <v/>
      </c>
      <c r="H163" s="1016" t="str">
        <f t="shared" si="136"/>
        <v/>
      </c>
      <c r="I163" s="211" t="str">
        <f t="shared" si="137"/>
        <v/>
      </c>
      <c r="J163" s="1016" t="str">
        <f t="shared" si="138"/>
        <v/>
      </c>
      <c r="K163" s="213" t="str">
        <f t="shared" si="139"/>
        <v/>
      </c>
      <c r="L163" s="212" t="str">
        <f t="shared" si="140"/>
        <v/>
      </c>
      <c r="M163" s="1125" t="str">
        <f>IF(OR($C163="",$C163=0),"",INDEX(API1DENST_2,MATCH($C163,'Barge Gauging Data'!$B$27:$B$56,0),$AA$1))</f>
        <v/>
      </c>
      <c r="N163" s="212" t="str">
        <f t="shared" si="141"/>
        <v/>
      </c>
      <c r="O163" s="1016" t="str">
        <f t="shared" si="142"/>
        <v/>
      </c>
      <c r="P163" s="1125" t="str">
        <f t="shared" si="143"/>
        <v/>
      </c>
      <c r="Q163" s="1016" t="str">
        <f t="shared" si="144"/>
        <v/>
      </c>
      <c r="R163" s="214" t="str">
        <f t="shared" si="145"/>
        <v/>
      </c>
      <c r="S163" s="1125" t="str">
        <f t="shared" si="146"/>
        <v/>
      </c>
      <c r="T163" s="236" t="str">
        <f t="shared" si="147"/>
        <v/>
      </c>
      <c r="V163" s="642" t="e">
        <f>INDEX('Barge Gauging Data'!$B$26:$V$56,MATCH($C163,'Barge Gauging Data'!$B$26:$B$56,0),$V$18)</f>
        <v>#N/A</v>
      </c>
      <c r="W163" s="642" t="e">
        <f>INDEX('Barge Gauging Data'!$B$26:$V$56,MATCH($C163,'Barge Gauging Data'!$B$26:$B$56,0),$W$18)</f>
        <v>#N/A</v>
      </c>
      <c r="X163" s="642" t="e">
        <f>INDEX('Barge Gauging Data'!$B$26:$V$56,MATCH($C163,'Barge Gauging Data'!$B$26:$B$56,0),$X$18)</f>
        <v>#N/A</v>
      </c>
      <c r="Y163" s="642" t="e">
        <f>INDEX('Barge Gauging Data'!$B$26:$V$56,MATCH($C163,'Barge Gauging Data'!$B$26:$B$56,0),$Y$18)</f>
        <v>#N/A</v>
      </c>
      <c r="Z163" s="642" t="e">
        <f>INDEX('Barge Gauging Data'!$B$26:$V$56,MATCH($C163,'Barge Gauging Data'!$B$26:$B$56,0),$Z$18)</f>
        <v>#N/A</v>
      </c>
      <c r="AB163" s="642" t="e">
        <f>INDEX(API1DENST_2,MATCH($C163,'Barge Gauging Data'!$B$27:$B$56,0),1)</f>
        <v>#N/A</v>
      </c>
      <c r="AC163" s="642" t="e">
        <f t="shared" ref="AC163:AC231" si="151">((INT((AB163/(1.0001506*AB163-0.0012202))*10000)+0.5)/10000)</f>
        <v>#N/A</v>
      </c>
      <c r="AE163" s="661" t="e">
        <f t="shared" ref="AE163:AE231" si="152">ROUND(+M163/2*1000,0)*2</f>
        <v>#VALUE!</v>
      </c>
      <c r="AF163" s="661" t="e">
        <f t="shared" ref="AF163:AF231" si="153">ROUND(186.9696/(AE163*AE163)+(0.4862/AE163),8)</f>
        <v>#VALUE!</v>
      </c>
      <c r="AH163" s="662" t="str">
        <f t="shared" si="149"/>
        <v/>
      </c>
      <c r="AI163" s="662" t="str">
        <f t="shared" si="150"/>
        <v/>
      </c>
      <c r="AJ163" s="663">
        <f t="shared" ref="AJ163:AJ231" si="154">IF(AND(AI163&gt;=0,AI163&lt;=37),103.872,IF(AND(AI163&gt;=48,AI163&lt;=52),-0.0018684,IF(AND(AI163&gt;=37.1,AI163&lt;=47.9),330.301,IF(AND(AI163&gt;=52.1),192.4571))))</f>
        <v>192.4571</v>
      </c>
      <c r="AK163" s="660">
        <f t="shared" ref="AK163:AK231" si="155">IF(AND(AI163&gt;=0,AI163&lt;=37),0.2701,IF(AND(AI163&gt;=48,AJ163&lt;=52),1489.067,IF(AND(AI163&gt;=37.1,AI163&lt;=47.9),0,IF(AI163&gt;=52.1,0.2438))))</f>
        <v>0.24379999999999999</v>
      </c>
      <c r="AL163" s="660" t="e">
        <f t="shared" ref="AL163:AL231" si="156">ROUND(141360.198/(AI163+131.5),2)</f>
        <v>#VALUE!</v>
      </c>
      <c r="AM163" s="664" t="e">
        <f t="shared" ref="AM163:AM231" si="157">TRUNC(AJ163/AL163,8)</f>
        <v>#VALUE!</v>
      </c>
      <c r="AN163" s="664" t="e">
        <f t="shared" ref="AN163:AN231" si="158">TRUNC(AM163/AL163,10)</f>
        <v>#VALUE!</v>
      </c>
      <c r="AO163" s="665" t="e">
        <f t="shared" ref="AO163:AO231" si="159">TRUNC(AK163/AL163,10)</f>
        <v>#VALUE!</v>
      </c>
      <c r="AP163" s="666" t="e">
        <f t="shared" ref="AP163:AP231" si="160">IF(AND(AI163&gt;=48,AI163&lt;=52),ROUND(AW163+AJ163,7),ROUND(AN163+AO163,7))</f>
        <v>#VALUE!</v>
      </c>
      <c r="AQ163" s="660" t="e">
        <f t="shared" ref="AQ163:AQ231" si="161">AH163-60</f>
        <v>#VALUE!</v>
      </c>
      <c r="AR163" s="667" t="e">
        <f t="shared" ref="AR163:AR231" si="162">TRUNC(AP163*AQ163,8)</f>
        <v>#VALUE!</v>
      </c>
      <c r="AS163" s="667" t="e">
        <f t="shared" ref="AS163:AS231" si="163">TRUNC(0.8*AR163,8)</f>
        <v>#VALUE!</v>
      </c>
      <c r="AT163" s="668" t="e">
        <f t="shared" ref="AT163:AT231" si="164">TRUNC(0.8*AP163^2*AQ163^2,8)</f>
        <v>#VALUE!</v>
      </c>
      <c r="AU163" s="667" t="e">
        <f t="shared" ref="AU163:AU231" si="165">-AR163-AT163</f>
        <v>#VALUE!</v>
      </c>
      <c r="AV163" s="669" t="e">
        <f t="shared" ref="AV163:AV231" si="166">TRUNC(AK163/AL163,5)</f>
        <v>#VALUE!</v>
      </c>
      <c r="AW163" s="667" t="e">
        <f t="shared" ref="AW163:AW231" si="167">ROUND(AV163/AL163,8)</f>
        <v>#VALUE!</v>
      </c>
      <c r="AX163" s="667" t="e">
        <f t="shared" ref="AX163:AX231" si="168">ROUND(AW163+AJ163,8)</f>
        <v>#VALUE!</v>
      </c>
      <c r="AY163" s="660" t="e">
        <f t="shared" ref="AY163:AY231" si="169">IF(AND(AI163&gt;=48,AI163&lt;=52),AX163,AP163)</f>
        <v>#VALUE!</v>
      </c>
      <c r="AZ163" s="670" t="e">
        <f t="shared" ref="AZ163:AZ231" si="170">ROUND(EXP(AU163),5)</f>
        <v>#VALUE!</v>
      </c>
      <c r="BB163" s="662" t="e">
        <f>INDEX('Barge Gauging Data'!$B$26:$V$56,MATCH($C163,'Barge Gauging Data'!$B$26:$B$56,0),$BB$18)</f>
        <v>#N/A</v>
      </c>
      <c r="BC163" s="662" t="e">
        <f>INDEX('Barge Gauging Data'!$B$26:$V$56,MATCH($C163,'Barge Gauging Data'!$B$26:$B$56,0),$BC$18)</f>
        <v>#N/A</v>
      </c>
      <c r="BD163" s="662" t="e">
        <f>INDEX('Barge Gauging Data'!$B$26:$V$56,MATCH($C163,'Barge Gauging Data'!$B$26:$B$56,0),$BD$18)</f>
        <v>#N/A</v>
      </c>
      <c r="BE163" s="662" t="e">
        <f>INDEX('Barge Gauging Data'!$B$26:$V$56,MATCH($C163,'Barge Gauging Data'!$B$26:$B$56,0),$BE$18)</f>
        <v>#N/A</v>
      </c>
    </row>
    <row r="164" spans="1:57" hidden="1">
      <c r="A164" s="641" t="str">
        <f t="shared" si="148"/>
        <v>N</v>
      </c>
      <c r="C164" s="235" t="str">
        <f t="array" ref="C164">IF(SUMPRODUCT((ISERROR(MATCH('Barge Gauging Data'!$C$27:$C$56,IF(GRADECHNO_2=2,RESIDUALS,IF(GRADECHNO_2=3,DISTILLATES,GRADESLIST)),0))=FALSE)*('Barge Gauging Data'!$D$27:$D$56=NOMN)*1)&lt;ROWS($C$160:$C164),"",INDEX('Barge Gauging Data'!$B$27:$B$56,SMALL(IF(((ISERROR(MATCH('Barge Gauging Data'!$C$27:$C$56,IF(GRADECHNO_2=2,RESIDUALS,IF(GRADECHNO_2=3,DISTILLATES,GRADESLIST)),0))=FALSE)+('Barge Gauging Data'!$D$27:$D$56=NOMN))=2,ROW('Barge Gauging Data'!$B$27:$B$56)-ROW('Barge Gauging Data'!$C$26)),ROW()-ROW(C$159))))</f>
        <v/>
      </c>
      <c r="D164" s="211" t="str">
        <f>IF(OR($C164="",$C164=0),"",INDEX('Barge Gauging Data'!$B$26:$V$56,MATCH($C164,'Barge Gauging Data'!$B$27:$B$56,0)+1,2))</f>
        <v/>
      </c>
      <c r="E164" s="1016" t="str">
        <f t="shared" si="134"/>
        <v/>
      </c>
      <c r="F164" s="1016" t="str">
        <f t="shared" si="135"/>
        <v/>
      </c>
      <c r="G164" s="1016" t="str">
        <f t="shared" si="136"/>
        <v/>
      </c>
      <c r="H164" s="1016" t="str">
        <f t="shared" si="136"/>
        <v/>
      </c>
      <c r="I164" s="211" t="str">
        <f t="shared" si="137"/>
        <v/>
      </c>
      <c r="J164" s="1016" t="str">
        <f t="shared" si="138"/>
        <v/>
      </c>
      <c r="K164" s="213" t="str">
        <f t="shared" si="139"/>
        <v/>
      </c>
      <c r="L164" s="212" t="str">
        <f t="shared" si="140"/>
        <v/>
      </c>
      <c r="M164" s="1125" t="str">
        <f>IF(OR($C164="",$C164=0),"",INDEX(API1DENST_2,MATCH($C164,'Barge Gauging Data'!$B$27:$B$56,0),$AA$1))</f>
        <v/>
      </c>
      <c r="N164" s="212" t="str">
        <f t="shared" si="141"/>
        <v/>
      </c>
      <c r="O164" s="1016" t="str">
        <f>IF(OR(J164="",L164=""),"",IF(ISTEXT(J164),"N/A",IF(ISTEXT(L164),J164,J164-L164)))</f>
        <v/>
      </c>
      <c r="P164" s="1125" t="str">
        <f>IF(OR(M164="",N164=""),"",IF(OR(ISTEXT(M164),ISTEXT(N164)),"N/A",IF($AA$1=1,ROUND(EXP(-AF164*(N164-15)*(1+0.8*AF164*(N164-15))),5),AZ164)))</f>
        <v/>
      </c>
      <c r="Q164" s="1016" t="str">
        <f>IF(OR(M164="",N164=""),"",IF(OR(ISTEXT(M164),ISTEXT(N164)),"N/A",ROUND(O164*P164,3)))</f>
        <v/>
      </c>
      <c r="R164" s="214" t="str">
        <f>IF(M164="","",IF($AA$1=1,IF(ISTEXT(Q164),"N/A",ROUND(Q164*M164,3)),IF(ISTEXT(T164),"N/A",ROUND(T164*AC164,3))))</f>
        <v/>
      </c>
      <c r="S164" s="1125" t="str">
        <f t="shared" ref="S164" si="171">IF(M164="","",IF($AA$1=1,ROUND(M164-0.0011,5),ROUND((1.00122697*(141.5/(M164+131.5))-1.22269727*10^-3)*8.32823*42/2204.62,5+2)))</f>
        <v/>
      </c>
      <c r="T164" s="236" t="str">
        <f>IF(OR(M164="",N164=""),"",IF(ISTEXT(Q164),"N/A",IF($AA$1=1,ROUND((Q164*(M164-0.0011)),3),ROUND(Q164*S164,3))))</f>
        <v/>
      </c>
      <c r="V164" s="642" t="e">
        <f>INDEX('Barge Gauging Data'!$B$26:$V$56,MATCH($C164,'Barge Gauging Data'!$B$26:$B$56,0),$V$18)</f>
        <v>#N/A</v>
      </c>
      <c r="W164" s="642" t="e">
        <f>INDEX('Barge Gauging Data'!$B$26:$V$56,MATCH($C164,'Barge Gauging Data'!$B$26:$B$56,0),$W$18)</f>
        <v>#N/A</v>
      </c>
      <c r="X164" s="642" t="e">
        <f>INDEX('Barge Gauging Data'!$B$26:$V$56,MATCH($C164,'Barge Gauging Data'!$B$26:$B$56,0),$X$18)</f>
        <v>#N/A</v>
      </c>
      <c r="Y164" s="642" t="e">
        <f>INDEX('Barge Gauging Data'!$B$26:$V$56,MATCH($C164,'Barge Gauging Data'!$B$26:$B$56,0),$Y$18)</f>
        <v>#N/A</v>
      </c>
      <c r="Z164" s="642" t="e">
        <f>INDEX('Barge Gauging Data'!$B$26:$V$56,MATCH($C164,'Barge Gauging Data'!$B$26:$B$56,0),$Z$18)</f>
        <v>#N/A</v>
      </c>
      <c r="AB164" s="642" t="e">
        <f>INDEX(API1DENST_2,MATCH($C164,'Barge Gauging Data'!$B$27:$B$56,0),1)</f>
        <v>#N/A</v>
      </c>
      <c r="AC164" s="642" t="e">
        <f t="shared" si="151"/>
        <v>#N/A</v>
      </c>
      <c r="AE164" s="661" t="e">
        <f t="shared" si="152"/>
        <v>#VALUE!</v>
      </c>
      <c r="AF164" s="661" t="e">
        <f t="shared" si="153"/>
        <v>#VALUE!</v>
      </c>
      <c r="AH164" s="662" t="str">
        <f t="shared" si="149"/>
        <v/>
      </c>
      <c r="AI164" s="662" t="str">
        <f t="shared" si="150"/>
        <v/>
      </c>
      <c r="AJ164" s="663">
        <f t="shared" si="154"/>
        <v>192.4571</v>
      </c>
      <c r="AK164" s="660">
        <f t="shared" si="155"/>
        <v>0.24379999999999999</v>
      </c>
      <c r="AL164" s="660" t="e">
        <f t="shared" si="156"/>
        <v>#VALUE!</v>
      </c>
      <c r="AM164" s="664" t="e">
        <f t="shared" si="157"/>
        <v>#VALUE!</v>
      </c>
      <c r="AN164" s="664" t="e">
        <f t="shared" si="158"/>
        <v>#VALUE!</v>
      </c>
      <c r="AO164" s="665" t="e">
        <f t="shared" si="159"/>
        <v>#VALUE!</v>
      </c>
      <c r="AP164" s="666" t="e">
        <f t="shared" si="160"/>
        <v>#VALUE!</v>
      </c>
      <c r="AQ164" s="660" t="e">
        <f t="shared" si="161"/>
        <v>#VALUE!</v>
      </c>
      <c r="AR164" s="667" t="e">
        <f t="shared" si="162"/>
        <v>#VALUE!</v>
      </c>
      <c r="AS164" s="667" t="e">
        <f t="shared" si="163"/>
        <v>#VALUE!</v>
      </c>
      <c r="AT164" s="668" t="e">
        <f t="shared" si="164"/>
        <v>#VALUE!</v>
      </c>
      <c r="AU164" s="667" t="e">
        <f t="shared" si="165"/>
        <v>#VALUE!</v>
      </c>
      <c r="AV164" s="669" t="e">
        <f t="shared" si="166"/>
        <v>#VALUE!</v>
      </c>
      <c r="AW164" s="667" t="e">
        <f t="shared" si="167"/>
        <v>#VALUE!</v>
      </c>
      <c r="AX164" s="667" t="e">
        <f t="shared" si="168"/>
        <v>#VALUE!</v>
      </c>
      <c r="AY164" s="660" t="e">
        <f t="shared" si="169"/>
        <v>#VALUE!</v>
      </c>
      <c r="AZ164" s="670" t="e">
        <f t="shared" si="170"/>
        <v>#VALUE!</v>
      </c>
      <c r="BB164" s="662" t="e">
        <f>INDEX('Barge Gauging Data'!$B$26:$V$56,MATCH($C164,'Barge Gauging Data'!$B$26:$B$56,0),$BB$18)</f>
        <v>#N/A</v>
      </c>
      <c r="BC164" s="662" t="e">
        <f>INDEX('Barge Gauging Data'!$B$26:$V$56,MATCH($C164,'Barge Gauging Data'!$B$26:$B$56,0),$BC$18)</f>
        <v>#N/A</v>
      </c>
      <c r="BD164" s="662" t="e">
        <f>INDEX('Barge Gauging Data'!$B$26:$V$56,MATCH($C164,'Barge Gauging Data'!$B$26:$B$56,0),$BD$18)</f>
        <v>#N/A</v>
      </c>
      <c r="BE164" s="662" t="e">
        <f>INDEX('Barge Gauging Data'!$B$26:$V$56,MATCH($C164,'Barge Gauging Data'!$B$26:$B$56,0),$BE$18)</f>
        <v>#N/A</v>
      </c>
    </row>
    <row r="165" spans="1:57" hidden="1">
      <c r="A165" s="641" t="str">
        <f t="shared" si="148"/>
        <v>N</v>
      </c>
      <c r="C165" s="235" t="str">
        <f t="array" ref="C165">IF(SUMPRODUCT((ISERROR(MATCH('Barge Gauging Data'!$C$27:$C$56,IF(GRADECHNO_2=2,RESIDUALS,IF(GRADECHNO_2=3,DISTILLATES,GRADESLIST)),0))=FALSE)*('Barge Gauging Data'!$D$27:$D$56=NOMN)*1)&lt;ROWS($C$160:$C165),"",INDEX('Barge Gauging Data'!$B$27:$B$56,SMALL(IF(((ISERROR(MATCH('Barge Gauging Data'!$C$27:$C$56,IF(GRADECHNO_2=2,RESIDUALS,IF(GRADECHNO_2=3,DISTILLATES,GRADESLIST)),0))=FALSE)+('Barge Gauging Data'!$D$27:$D$56=NOMN))=2,ROW('Barge Gauging Data'!$B$27:$B$56)-ROW('Barge Gauging Data'!$C$26)),ROW()-ROW(C$159))))</f>
        <v/>
      </c>
      <c r="D165" s="211" t="str">
        <f>IF(OR($C165="",$C165=0),"",INDEX('Barge Gauging Data'!$B$26:$V$56,MATCH($C165,'Barge Gauging Data'!$B$27:$B$56,0)+1,2))</f>
        <v/>
      </c>
      <c r="E165" s="1016" t="str">
        <f t="shared" si="134"/>
        <v/>
      </c>
      <c r="F165" s="1016" t="str">
        <f t="shared" si="135"/>
        <v/>
      </c>
      <c r="G165" s="1016" t="str">
        <f t="shared" si="136"/>
        <v/>
      </c>
      <c r="H165" s="1016" t="str">
        <f t="shared" si="136"/>
        <v/>
      </c>
      <c r="I165" s="211" t="str">
        <f t="shared" si="137"/>
        <v/>
      </c>
      <c r="J165" s="1016" t="str">
        <f t="shared" si="138"/>
        <v/>
      </c>
      <c r="K165" s="213" t="str">
        <f t="shared" si="139"/>
        <v/>
      </c>
      <c r="L165" s="212" t="str">
        <f t="shared" si="140"/>
        <v/>
      </c>
      <c r="M165" s="1125" t="str">
        <f>IF(OR($C165="",$C165=0),"",INDEX(API1DENST_2,MATCH($C165,'Barge Gauging Data'!$B$27:$B$56,0),$AA$1))</f>
        <v/>
      </c>
      <c r="N165" s="212" t="str">
        <f t="shared" si="141"/>
        <v/>
      </c>
      <c r="O165" s="1016" t="str">
        <f t="shared" ref="O165:O189" si="172">IF(OR(J165="",L165=""),"",IF(ISTEXT(J165),"N/A",IF(ISTEXT(L165),J165,J165-L165)))</f>
        <v/>
      </c>
      <c r="P165" s="1125" t="str">
        <f t="shared" ref="P165:P189" si="173">IF(OR(M165="",N165=""),"",IF(OR(ISTEXT(M165),ISTEXT(N165)),"N/A",IF($AA$1=1,ROUND(EXP(-AF165*(N165-15)*(1+0.8*AF165*(N165-15))),5),AZ165)))</f>
        <v/>
      </c>
      <c r="Q165" s="1016" t="str">
        <f t="shared" ref="Q165:Q189" si="174">IF(OR(M165="",N165=""),"",IF(OR(ISTEXT(M165),ISTEXT(N165)),"N/A",ROUND(O165*P165,3)))</f>
        <v/>
      </c>
      <c r="R165" s="214" t="str">
        <f t="shared" ref="R165:R189" si="175">IF(M165="","",IF($AA$1=1,IF(ISTEXT(Q165),"N/A",ROUND(Q165*M165,3)),IF(ISTEXT(T165),"N/A",ROUND(T165*AC165,3))))</f>
        <v/>
      </c>
      <c r="S165" s="1125" t="str">
        <f t="shared" ref="S165:S189" si="176">IF(M165="","",IF($AA$1=1,ROUND(M165-0.0011,5),ROUND((1.00122697*(141.5/(M165+131.5))-1.22269727*10^-3)*8.32823*42/2204.62,5+2)))</f>
        <v/>
      </c>
      <c r="T165" s="236" t="str">
        <f t="shared" ref="T165:T189" si="177">IF(OR(M165="",N165=""),"",IF(ISTEXT(Q165),"N/A",IF($AA$1=1,ROUND((Q165*(M165-0.0011)),3),ROUND(Q165*S165,3))))</f>
        <v/>
      </c>
      <c r="V165" s="642" t="e">
        <f>INDEX('Barge Gauging Data'!$B$26:$V$56,MATCH($C165,'Barge Gauging Data'!$B$26:$B$56,0),$V$18)</f>
        <v>#N/A</v>
      </c>
      <c r="W165" s="642" t="e">
        <f>INDEX('Barge Gauging Data'!$B$26:$V$56,MATCH($C165,'Barge Gauging Data'!$B$26:$B$56,0),$W$18)</f>
        <v>#N/A</v>
      </c>
      <c r="X165" s="642" t="e">
        <f>INDEX('Barge Gauging Data'!$B$26:$V$56,MATCH($C165,'Barge Gauging Data'!$B$26:$B$56,0),$X$18)</f>
        <v>#N/A</v>
      </c>
      <c r="Y165" s="642" t="e">
        <f>INDEX('Barge Gauging Data'!$B$26:$V$56,MATCH($C165,'Barge Gauging Data'!$B$26:$B$56,0),$Y$18)</f>
        <v>#N/A</v>
      </c>
      <c r="Z165" s="642" t="e">
        <f>INDEX('Barge Gauging Data'!$B$26:$V$56,MATCH($C165,'Barge Gauging Data'!$B$26:$B$56,0),$Z$18)</f>
        <v>#N/A</v>
      </c>
      <c r="AB165" s="642" t="e">
        <f>INDEX(API1DENST_2,MATCH($C165,'Barge Gauging Data'!$B$27:$B$56,0),1)</f>
        <v>#N/A</v>
      </c>
      <c r="AC165" s="642" t="e">
        <f t="shared" si="151"/>
        <v>#N/A</v>
      </c>
      <c r="AE165" s="661" t="e">
        <f t="shared" si="152"/>
        <v>#VALUE!</v>
      </c>
      <c r="AF165" s="661" t="e">
        <f t="shared" si="153"/>
        <v>#VALUE!</v>
      </c>
      <c r="AH165" s="662" t="str">
        <f t="shared" si="149"/>
        <v/>
      </c>
      <c r="AI165" s="662" t="str">
        <f t="shared" si="150"/>
        <v/>
      </c>
      <c r="AJ165" s="663">
        <f t="shared" si="154"/>
        <v>192.4571</v>
      </c>
      <c r="AK165" s="660">
        <f t="shared" si="155"/>
        <v>0.24379999999999999</v>
      </c>
      <c r="AL165" s="660" t="e">
        <f t="shared" si="156"/>
        <v>#VALUE!</v>
      </c>
      <c r="AM165" s="664" t="e">
        <f t="shared" si="157"/>
        <v>#VALUE!</v>
      </c>
      <c r="AN165" s="664" t="e">
        <f t="shared" si="158"/>
        <v>#VALUE!</v>
      </c>
      <c r="AO165" s="665" t="e">
        <f t="shared" si="159"/>
        <v>#VALUE!</v>
      </c>
      <c r="AP165" s="666" t="e">
        <f t="shared" si="160"/>
        <v>#VALUE!</v>
      </c>
      <c r="AQ165" s="660" t="e">
        <f t="shared" si="161"/>
        <v>#VALUE!</v>
      </c>
      <c r="AR165" s="667" t="e">
        <f t="shared" si="162"/>
        <v>#VALUE!</v>
      </c>
      <c r="AS165" s="667" t="e">
        <f t="shared" si="163"/>
        <v>#VALUE!</v>
      </c>
      <c r="AT165" s="668" t="e">
        <f t="shared" si="164"/>
        <v>#VALUE!</v>
      </c>
      <c r="AU165" s="667" t="e">
        <f t="shared" si="165"/>
        <v>#VALUE!</v>
      </c>
      <c r="AV165" s="669" t="e">
        <f t="shared" si="166"/>
        <v>#VALUE!</v>
      </c>
      <c r="AW165" s="667" t="e">
        <f t="shared" si="167"/>
        <v>#VALUE!</v>
      </c>
      <c r="AX165" s="667" t="e">
        <f t="shared" si="168"/>
        <v>#VALUE!</v>
      </c>
      <c r="AY165" s="660" t="e">
        <f t="shared" si="169"/>
        <v>#VALUE!</v>
      </c>
      <c r="AZ165" s="670" t="e">
        <f t="shared" si="170"/>
        <v>#VALUE!</v>
      </c>
      <c r="BB165" s="662" t="e">
        <f>INDEX('Barge Gauging Data'!$B$26:$V$56,MATCH($C165,'Barge Gauging Data'!$B$26:$B$56,0),$BB$18)</f>
        <v>#N/A</v>
      </c>
      <c r="BC165" s="662" t="e">
        <f>INDEX('Barge Gauging Data'!$B$26:$V$56,MATCH($C165,'Barge Gauging Data'!$B$26:$B$56,0),$BC$18)</f>
        <v>#N/A</v>
      </c>
      <c r="BD165" s="662" t="e">
        <f>INDEX('Barge Gauging Data'!$B$26:$V$56,MATCH($C165,'Barge Gauging Data'!$B$26:$B$56,0),$BD$18)</f>
        <v>#N/A</v>
      </c>
      <c r="BE165" s="662" t="e">
        <f>INDEX('Barge Gauging Data'!$B$26:$V$56,MATCH($C165,'Barge Gauging Data'!$B$26:$B$56,0),$BE$18)</f>
        <v>#N/A</v>
      </c>
    </row>
    <row r="166" spans="1:57" hidden="1">
      <c r="A166" s="641" t="str">
        <f t="shared" si="148"/>
        <v>N</v>
      </c>
      <c r="C166" s="235" t="str">
        <f t="array" ref="C166">IF(SUMPRODUCT((ISERROR(MATCH('Barge Gauging Data'!$C$27:$C$56,IF(GRADECHNO_2=2,RESIDUALS,IF(GRADECHNO_2=3,DISTILLATES,GRADESLIST)),0))=FALSE)*('Barge Gauging Data'!$D$27:$D$56=NOMN)*1)&lt;ROWS($C$160:$C166),"",INDEX('Barge Gauging Data'!$B$27:$B$56,SMALL(IF(((ISERROR(MATCH('Barge Gauging Data'!$C$27:$C$56,IF(GRADECHNO_2=2,RESIDUALS,IF(GRADECHNO_2=3,DISTILLATES,GRADESLIST)),0))=FALSE)+('Barge Gauging Data'!$D$27:$D$56=NOMN))=2,ROW('Barge Gauging Data'!$B$27:$B$56)-ROW('Barge Gauging Data'!$C$26)),ROW()-ROW(C$159))))</f>
        <v/>
      </c>
      <c r="D166" s="211" t="str">
        <f>IF(OR($C166="",$C166=0),"",INDEX('Barge Gauging Data'!$B$26:$V$56,MATCH($C166,'Barge Gauging Data'!$B$27:$B$56,0)+1,2))</f>
        <v/>
      </c>
      <c r="E166" s="1016" t="str">
        <f t="shared" si="134"/>
        <v/>
      </c>
      <c r="F166" s="1016" t="str">
        <f t="shared" si="135"/>
        <v/>
      </c>
      <c r="G166" s="1016" t="str">
        <f t="shared" si="136"/>
        <v/>
      </c>
      <c r="H166" s="1016" t="str">
        <f t="shared" si="136"/>
        <v/>
      </c>
      <c r="I166" s="211" t="str">
        <f t="shared" si="137"/>
        <v/>
      </c>
      <c r="J166" s="1016" t="str">
        <f t="shared" si="138"/>
        <v/>
      </c>
      <c r="K166" s="213" t="str">
        <f t="shared" si="139"/>
        <v/>
      </c>
      <c r="L166" s="212" t="str">
        <f t="shared" si="140"/>
        <v/>
      </c>
      <c r="M166" s="1125" t="str">
        <f>IF(OR($C166="",$C166=0),"",INDEX(API1DENST_2,MATCH($C166,'Barge Gauging Data'!$B$27:$B$56,0),$AA$1))</f>
        <v/>
      </c>
      <c r="N166" s="212" t="str">
        <f t="shared" si="141"/>
        <v/>
      </c>
      <c r="O166" s="1016" t="str">
        <f t="shared" si="172"/>
        <v/>
      </c>
      <c r="P166" s="1125" t="str">
        <f t="shared" si="173"/>
        <v/>
      </c>
      <c r="Q166" s="1016" t="str">
        <f t="shared" si="174"/>
        <v/>
      </c>
      <c r="R166" s="214" t="str">
        <f t="shared" si="175"/>
        <v/>
      </c>
      <c r="S166" s="1125" t="str">
        <f t="shared" si="176"/>
        <v/>
      </c>
      <c r="T166" s="236" t="str">
        <f t="shared" si="177"/>
        <v/>
      </c>
      <c r="V166" s="642" t="e">
        <f>INDEX('Barge Gauging Data'!$B$26:$V$56,MATCH($C166,'Barge Gauging Data'!$B$26:$B$56,0),$V$18)</f>
        <v>#N/A</v>
      </c>
      <c r="W166" s="642" t="e">
        <f>INDEX('Barge Gauging Data'!$B$26:$V$56,MATCH($C166,'Barge Gauging Data'!$B$26:$B$56,0),$W$18)</f>
        <v>#N/A</v>
      </c>
      <c r="X166" s="642" t="e">
        <f>INDEX('Barge Gauging Data'!$B$26:$V$56,MATCH($C166,'Barge Gauging Data'!$B$26:$B$56,0),$X$18)</f>
        <v>#N/A</v>
      </c>
      <c r="Y166" s="642" t="e">
        <f>INDEX('Barge Gauging Data'!$B$26:$V$56,MATCH($C166,'Barge Gauging Data'!$B$26:$B$56,0),$Y$18)</f>
        <v>#N/A</v>
      </c>
      <c r="Z166" s="642" t="e">
        <f>INDEX('Barge Gauging Data'!$B$26:$V$56,MATCH($C166,'Barge Gauging Data'!$B$26:$B$56,0),$Z$18)</f>
        <v>#N/A</v>
      </c>
      <c r="AB166" s="642" t="e">
        <f>INDEX(API1DENST_2,MATCH($C166,'Barge Gauging Data'!$B$27:$B$56,0),1)</f>
        <v>#N/A</v>
      </c>
      <c r="AC166" s="642" t="e">
        <f t="shared" si="151"/>
        <v>#N/A</v>
      </c>
      <c r="AE166" s="661" t="e">
        <f t="shared" si="152"/>
        <v>#VALUE!</v>
      </c>
      <c r="AF166" s="661" t="e">
        <f t="shared" si="153"/>
        <v>#VALUE!</v>
      </c>
      <c r="AH166" s="662" t="str">
        <f t="shared" si="149"/>
        <v/>
      </c>
      <c r="AI166" s="662" t="str">
        <f t="shared" si="150"/>
        <v/>
      </c>
      <c r="AJ166" s="663">
        <f t="shared" si="154"/>
        <v>192.4571</v>
      </c>
      <c r="AK166" s="660">
        <f t="shared" si="155"/>
        <v>0.24379999999999999</v>
      </c>
      <c r="AL166" s="660" t="e">
        <f t="shared" si="156"/>
        <v>#VALUE!</v>
      </c>
      <c r="AM166" s="664" t="e">
        <f t="shared" si="157"/>
        <v>#VALUE!</v>
      </c>
      <c r="AN166" s="664" t="e">
        <f t="shared" si="158"/>
        <v>#VALUE!</v>
      </c>
      <c r="AO166" s="665" t="e">
        <f t="shared" si="159"/>
        <v>#VALUE!</v>
      </c>
      <c r="AP166" s="666" t="e">
        <f t="shared" si="160"/>
        <v>#VALUE!</v>
      </c>
      <c r="AQ166" s="660" t="e">
        <f t="shared" si="161"/>
        <v>#VALUE!</v>
      </c>
      <c r="AR166" s="667" t="e">
        <f t="shared" si="162"/>
        <v>#VALUE!</v>
      </c>
      <c r="AS166" s="667" t="e">
        <f t="shared" si="163"/>
        <v>#VALUE!</v>
      </c>
      <c r="AT166" s="668" t="e">
        <f t="shared" si="164"/>
        <v>#VALUE!</v>
      </c>
      <c r="AU166" s="667" t="e">
        <f t="shared" si="165"/>
        <v>#VALUE!</v>
      </c>
      <c r="AV166" s="669" t="e">
        <f t="shared" si="166"/>
        <v>#VALUE!</v>
      </c>
      <c r="AW166" s="667" t="e">
        <f t="shared" si="167"/>
        <v>#VALUE!</v>
      </c>
      <c r="AX166" s="667" t="e">
        <f t="shared" si="168"/>
        <v>#VALUE!</v>
      </c>
      <c r="AY166" s="660" t="e">
        <f t="shared" si="169"/>
        <v>#VALUE!</v>
      </c>
      <c r="AZ166" s="670" t="e">
        <f t="shared" si="170"/>
        <v>#VALUE!</v>
      </c>
      <c r="BB166" s="662" t="e">
        <f>INDEX('Barge Gauging Data'!$B$26:$V$56,MATCH($C166,'Barge Gauging Data'!$B$26:$B$56,0),$BB$18)</f>
        <v>#N/A</v>
      </c>
      <c r="BC166" s="662" t="e">
        <f>INDEX('Barge Gauging Data'!$B$26:$V$56,MATCH($C166,'Barge Gauging Data'!$B$26:$B$56,0),$BC$18)</f>
        <v>#N/A</v>
      </c>
      <c r="BD166" s="662" t="e">
        <f>INDEX('Barge Gauging Data'!$B$26:$V$56,MATCH($C166,'Barge Gauging Data'!$B$26:$B$56,0),$BD$18)</f>
        <v>#N/A</v>
      </c>
      <c r="BE166" s="662" t="e">
        <f>INDEX('Barge Gauging Data'!$B$26:$V$56,MATCH($C166,'Barge Gauging Data'!$B$26:$B$56,0),$BE$18)</f>
        <v>#N/A</v>
      </c>
    </row>
    <row r="167" spans="1:57" hidden="1">
      <c r="A167" s="641" t="str">
        <f t="shared" si="148"/>
        <v>N</v>
      </c>
      <c r="C167" s="235" t="str">
        <f t="array" ref="C167">IF(SUMPRODUCT((ISERROR(MATCH('Barge Gauging Data'!$C$27:$C$56,IF(GRADECHNO_2=2,RESIDUALS,IF(GRADECHNO_2=3,DISTILLATES,GRADESLIST)),0))=FALSE)*('Barge Gauging Data'!$D$27:$D$56=NOMN)*1)&lt;ROWS($C$160:$C167),"",INDEX('Barge Gauging Data'!$B$27:$B$56,SMALL(IF(((ISERROR(MATCH('Barge Gauging Data'!$C$27:$C$56,IF(GRADECHNO_2=2,RESIDUALS,IF(GRADECHNO_2=3,DISTILLATES,GRADESLIST)),0))=FALSE)+('Barge Gauging Data'!$D$27:$D$56=NOMN))=2,ROW('Barge Gauging Data'!$B$27:$B$56)-ROW('Barge Gauging Data'!$C$26)),ROW()-ROW(C$159))))</f>
        <v/>
      </c>
      <c r="D167" s="211" t="str">
        <f>IF(OR($C167="",$C167=0),"",INDEX('Barge Gauging Data'!$B$26:$V$56,MATCH($C167,'Barge Gauging Data'!$B$27:$B$56,0)+1,2))</f>
        <v/>
      </c>
      <c r="E167" s="1016" t="str">
        <f t="shared" si="134"/>
        <v/>
      </c>
      <c r="F167" s="1016" t="str">
        <f t="shared" si="135"/>
        <v/>
      </c>
      <c r="G167" s="1016" t="str">
        <f t="shared" si="136"/>
        <v/>
      </c>
      <c r="H167" s="1016" t="str">
        <f t="shared" si="136"/>
        <v/>
      </c>
      <c r="I167" s="211" t="str">
        <f t="shared" si="137"/>
        <v/>
      </c>
      <c r="J167" s="1016" t="str">
        <f t="shared" si="138"/>
        <v/>
      </c>
      <c r="K167" s="213" t="str">
        <f t="shared" si="139"/>
        <v/>
      </c>
      <c r="L167" s="212" t="str">
        <f t="shared" si="140"/>
        <v/>
      </c>
      <c r="M167" s="1125" t="str">
        <f>IF(OR($C167="",$C167=0),"",INDEX(API1DENST_2,MATCH($C167,'Barge Gauging Data'!$B$27:$B$56,0),$AA$1))</f>
        <v/>
      </c>
      <c r="N167" s="212" t="str">
        <f t="shared" si="141"/>
        <v/>
      </c>
      <c r="O167" s="1016" t="str">
        <f t="shared" si="172"/>
        <v/>
      </c>
      <c r="P167" s="1125" t="str">
        <f t="shared" si="173"/>
        <v/>
      </c>
      <c r="Q167" s="1016" t="str">
        <f t="shared" si="174"/>
        <v/>
      </c>
      <c r="R167" s="214" t="str">
        <f t="shared" si="175"/>
        <v/>
      </c>
      <c r="S167" s="1125" t="str">
        <f t="shared" si="176"/>
        <v/>
      </c>
      <c r="T167" s="236" t="str">
        <f t="shared" si="177"/>
        <v/>
      </c>
      <c r="V167" s="642" t="e">
        <f>INDEX('Barge Gauging Data'!$B$26:$V$56,MATCH($C167,'Barge Gauging Data'!$B$26:$B$56,0),$V$18)</f>
        <v>#N/A</v>
      </c>
      <c r="W167" s="642" t="e">
        <f>INDEX('Barge Gauging Data'!$B$26:$V$56,MATCH($C167,'Barge Gauging Data'!$B$26:$B$56,0),$W$18)</f>
        <v>#N/A</v>
      </c>
      <c r="X167" s="642" t="e">
        <f>INDEX('Barge Gauging Data'!$B$26:$V$56,MATCH($C167,'Barge Gauging Data'!$B$26:$B$56,0),$X$18)</f>
        <v>#N/A</v>
      </c>
      <c r="Y167" s="642" t="e">
        <f>INDEX('Barge Gauging Data'!$B$26:$V$56,MATCH($C167,'Barge Gauging Data'!$B$26:$B$56,0),$Y$18)</f>
        <v>#N/A</v>
      </c>
      <c r="Z167" s="642" t="e">
        <f>INDEX('Barge Gauging Data'!$B$26:$V$56,MATCH($C167,'Barge Gauging Data'!$B$26:$B$56,0),$Z$18)</f>
        <v>#N/A</v>
      </c>
      <c r="AB167" s="642" t="e">
        <f>INDEX(API1DENST_2,MATCH($C167,'Barge Gauging Data'!$B$27:$B$56,0),1)</f>
        <v>#N/A</v>
      </c>
      <c r="AC167" s="642" t="e">
        <f t="shared" si="151"/>
        <v>#N/A</v>
      </c>
      <c r="AE167" s="661" t="e">
        <f t="shared" si="152"/>
        <v>#VALUE!</v>
      </c>
      <c r="AF167" s="661" t="e">
        <f t="shared" si="153"/>
        <v>#VALUE!</v>
      </c>
      <c r="AH167" s="662" t="str">
        <f t="shared" si="149"/>
        <v/>
      </c>
      <c r="AI167" s="662" t="str">
        <f t="shared" si="150"/>
        <v/>
      </c>
      <c r="AJ167" s="663">
        <f t="shared" si="154"/>
        <v>192.4571</v>
      </c>
      <c r="AK167" s="660">
        <f t="shared" si="155"/>
        <v>0.24379999999999999</v>
      </c>
      <c r="AL167" s="660" t="e">
        <f t="shared" si="156"/>
        <v>#VALUE!</v>
      </c>
      <c r="AM167" s="664" t="e">
        <f t="shared" si="157"/>
        <v>#VALUE!</v>
      </c>
      <c r="AN167" s="664" t="e">
        <f t="shared" si="158"/>
        <v>#VALUE!</v>
      </c>
      <c r="AO167" s="665" t="e">
        <f t="shared" si="159"/>
        <v>#VALUE!</v>
      </c>
      <c r="AP167" s="666" t="e">
        <f t="shared" si="160"/>
        <v>#VALUE!</v>
      </c>
      <c r="AQ167" s="660" t="e">
        <f t="shared" si="161"/>
        <v>#VALUE!</v>
      </c>
      <c r="AR167" s="667" t="e">
        <f t="shared" si="162"/>
        <v>#VALUE!</v>
      </c>
      <c r="AS167" s="667" t="e">
        <f t="shared" si="163"/>
        <v>#VALUE!</v>
      </c>
      <c r="AT167" s="668" t="e">
        <f t="shared" si="164"/>
        <v>#VALUE!</v>
      </c>
      <c r="AU167" s="667" t="e">
        <f t="shared" si="165"/>
        <v>#VALUE!</v>
      </c>
      <c r="AV167" s="669" t="e">
        <f t="shared" si="166"/>
        <v>#VALUE!</v>
      </c>
      <c r="AW167" s="667" t="e">
        <f t="shared" si="167"/>
        <v>#VALUE!</v>
      </c>
      <c r="AX167" s="667" t="e">
        <f t="shared" si="168"/>
        <v>#VALUE!</v>
      </c>
      <c r="AY167" s="660" t="e">
        <f t="shared" si="169"/>
        <v>#VALUE!</v>
      </c>
      <c r="AZ167" s="670" t="e">
        <f t="shared" si="170"/>
        <v>#VALUE!</v>
      </c>
      <c r="BB167" s="662" t="e">
        <f>INDEX('Barge Gauging Data'!$B$26:$V$56,MATCH($C167,'Barge Gauging Data'!$B$26:$B$56,0),$BB$18)</f>
        <v>#N/A</v>
      </c>
      <c r="BC167" s="662" t="e">
        <f>INDEX('Barge Gauging Data'!$B$26:$V$56,MATCH($C167,'Barge Gauging Data'!$B$26:$B$56,0),$BC$18)</f>
        <v>#N/A</v>
      </c>
      <c r="BD167" s="662" t="e">
        <f>INDEX('Barge Gauging Data'!$B$26:$V$56,MATCH($C167,'Barge Gauging Data'!$B$26:$B$56,0),$BD$18)</f>
        <v>#N/A</v>
      </c>
      <c r="BE167" s="662" t="e">
        <f>INDEX('Barge Gauging Data'!$B$26:$V$56,MATCH($C167,'Barge Gauging Data'!$B$26:$B$56,0),$BE$18)</f>
        <v>#N/A</v>
      </c>
    </row>
    <row r="168" spans="1:57" hidden="1">
      <c r="A168" s="641" t="str">
        <f t="shared" si="148"/>
        <v>N</v>
      </c>
      <c r="C168" s="235" t="str">
        <f t="array" ref="C168">IF(SUMPRODUCT((ISERROR(MATCH('Barge Gauging Data'!$C$27:$C$56,IF(GRADECHNO_2=2,RESIDUALS,IF(GRADECHNO_2=3,DISTILLATES,GRADESLIST)),0))=FALSE)*('Barge Gauging Data'!$D$27:$D$56=NOMN)*1)&lt;ROWS($C$160:$C168),"",INDEX('Barge Gauging Data'!$B$27:$B$56,SMALL(IF(((ISERROR(MATCH('Barge Gauging Data'!$C$27:$C$56,IF(GRADECHNO_2=2,RESIDUALS,IF(GRADECHNO_2=3,DISTILLATES,GRADESLIST)),0))=FALSE)+('Barge Gauging Data'!$D$27:$D$56=NOMN))=2,ROW('Barge Gauging Data'!$B$27:$B$56)-ROW('Barge Gauging Data'!$C$26)),ROW()-ROW(C$159))))</f>
        <v/>
      </c>
      <c r="D168" s="211" t="str">
        <f>IF(OR($C168="",$C168=0),"",INDEX('Barge Gauging Data'!$B$26:$V$56,MATCH($C168,'Barge Gauging Data'!$B$27:$B$56,0)+1,2))</f>
        <v/>
      </c>
      <c r="E168" s="1016" t="str">
        <f t="shared" si="134"/>
        <v/>
      </c>
      <c r="F168" s="1016" t="str">
        <f t="shared" si="135"/>
        <v/>
      </c>
      <c r="G168" s="1016" t="str">
        <f t="shared" si="136"/>
        <v/>
      </c>
      <c r="H168" s="1016" t="str">
        <f t="shared" si="136"/>
        <v/>
      </c>
      <c r="I168" s="211" t="str">
        <f t="shared" si="137"/>
        <v/>
      </c>
      <c r="J168" s="1016" t="str">
        <f t="shared" si="138"/>
        <v/>
      </c>
      <c r="K168" s="213" t="str">
        <f t="shared" si="139"/>
        <v/>
      </c>
      <c r="L168" s="212" t="str">
        <f t="shared" si="140"/>
        <v/>
      </c>
      <c r="M168" s="1125" t="str">
        <f>IF(OR($C168="",$C168=0),"",INDEX(API1DENST_2,MATCH($C168,'Barge Gauging Data'!$B$27:$B$56,0),$AA$1))</f>
        <v/>
      </c>
      <c r="N168" s="212" t="str">
        <f t="shared" si="141"/>
        <v/>
      </c>
      <c r="O168" s="1016" t="str">
        <f t="shared" si="172"/>
        <v/>
      </c>
      <c r="P168" s="1125" t="str">
        <f t="shared" si="173"/>
        <v/>
      </c>
      <c r="Q168" s="1016" t="str">
        <f t="shared" si="174"/>
        <v/>
      </c>
      <c r="R168" s="214" t="str">
        <f t="shared" si="175"/>
        <v/>
      </c>
      <c r="S168" s="1125" t="str">
        <f t="shared" si="176"/>
        <v/>
      </c>
      <c r="T168" s="236" t="str">
        <f t="shared" si="177"/>
        <v/>
      </c>
      <c r="V168" s="642" t="e">
        <f>INDEX('Barge Gauging Data'!$B$26:$V$56,MATCH($C168,'Barge Gauging Data'!$B$26:$B$56,0),$V$18)</f>
        <v>#N/A</v>
      </c>
      <c r="W168" s="642" t="e">
        <f>INDEX('Barge Gauging Data'!$B$26:$V$56,MATCH($C168,'Barge Gauging Data'!$B$26:$B$56,0),$W$18)</f>
        <v>#N/A</v>
      </c>
      <c r="X168" s="642" t="e">
        <f>INDEX('Barge Gauging Data'!$B$26:$V$56,MATCH($C168,'Barge Gauging Data'!$B$26:$B$56,0),$X$18)</f>
        <v>#N/A</v>
      </c>
      <c r="Y168" s="642" t="e">
        <f>INDEX('Barge Gauging Data'!$B$26:$V$56,MATCH($C168,'Barge Gauging Data'!$B$26:$B$56,0),$Y$18)</f>
        <v>#N/A</v>
      </c>
      <c r="Z168" s="642" t="e">
        <f>INDEX('Barge Gauging Data'!$B$26:$V$56,MATCH($C168,'Barge Gauging Data'!$B$26:$B$56,0),$Z$18)</f>
        <v>#N/A</v>
      </c>
      <c r="AB168" s="642" t="e">
        <f>INDEX(API1DENST_2,MATCH($C168,'Barge Gauging Data'!$B$27:$B$56,0),1)</f>
        <v>#N/A</v>
      </c>
      <c r="AC168" s="642" t="e">
        <f t="shared" si="151"/>
        <v>#N/A</v>
      </c>
      <c r="AE168" s="661" t="e">
        <f t="shared" si="152"/>
        <v>#VALUE!</v>
      </c>
      <c r="AF168" s="661" t="e">
        <f t="shared" si="153"/>
        <v>#VALUE!</v>
      </c>
      <c r="AH168" s="662" t="str">
        <f t="shared" si="149"/>
        <v/>
      </c>
      <c r="AI168" s="662" t="str">
        <f t="shared" si="150"/>
        <v/>
      </c>
      <c r="AJ168" s="663">
        <f t="shared" si="154"/>
        <v>192.4571</v>
      </c>
      <c r="AK168" s="660">
        <f t="shared" si="155"/>
        <v>0.24379999999999999</v>
      </c>
      <c r="AL168" s="660" t="e">
        <f t="shared" si="156"/>
        <v>#VALUE!</v>
      </c>
      <c r="AM168" s="664" t="e">
        <f t="shared" si="157"/>
        <v>#VALUE!</v>
      </c>
      <c r="AN168" s="664" t="e">
        <f t="shared" si="158"/>
        <v>#VALUE!</v>
      </c>
      <c r="AO168" s="665" t="e">
        <f t="shared" si="159"/>
        <v>#VALUE!</v>
      </c>
      <c r="AP168" s="666" t="e">
        <f t="shared" si="160"/>
        <v>#VALUE!</v>
      </c>
      <c r="AQ168" s="660" t="e">
        <f t="shared" si="161"/>
        <v>#VALUE!</v>
      </c>
      <c r="AR168" s="667" t="e">
        <f t="shared" si="162"/>
        <v>#VALUE!</v>
      </c>
      <c r="AS168" s="667" t="e">
        <f t="shared" si="163"/>
        <v>#VALUE!</v>
      </c>
      <c r="AT168" s="668" t="e">
        <f t="shared" si="164"/>
        <v>#VALUE!</v>
      </c>
      <c r="AU168" s="667" t="e">
        <f t="shared" si="165"/>
        <v>#VALUE!</v>
      </c>
      <c r="AV168" s="669" t="e">
        <f t="shared" si="166"/>
        <v>#VALUE!</v>
      </c>
      <c r="AW168" s="667" t="e">
        <f t="shared" si="167"/>
        <v>#VALUE!</v>
      </c>
      <c r="AX168" s="667" t="e">
        <f t="shared" si="168"/>
        <v>#VALUE!</v>
      </c>
      <c r="AY168" s="660" t="e">
        <f t="shared" si="169"/>
        <v>#VALUE!</v>
      </c>
      <c r="AZ168" s="670" t="e">
        <f t="shared" si="170"/>
        <v>#VALUE!</v>
      </c>
      <c r="BB168" s="662" t="e">
        <f>INDEX('Barge Gauging Data'!$B$26:$V$56,MATCH($C168,'Barge Gauging Data'!$B$26:$B$56,0),$BB$18)</f>
        <v>#N/A</v>
      </c>
      <c r="BC168" s="662" t="e">
        <f>INDEX('Barge Gauging Data'!$B$26:$V$56,MATCH($C168,'Barge Gauging Data'!$B$26:$B$56,0),$BC$18)</f>
        <v>#N/A</v>
      </c>
      <c r="BD168" s="662" t="e">
        <f>INDEX('Barge Gauging Data'!$B$26:$V$56,MATCH($C168,'Barge Gauging Data'!$B$26:$B$56,0),$BD$18)</f>
        <v>#N/A</v>
      </c>
      <c r="BE168" s="662" t="e">
        <f>INDEX('Barge Gauging Data'!$B$26:$V$56,MATCH($C168,'Barge Gauging Data'!$B$26:$B$56,0),$BE$18)</f>
        <v>#N/A</v>
      </c>
    </row>
    <row r="169" spans="1:57" hidden="1">
      <c r="A169" s="641" t="str">
        <f t="shared" si="148"/>
        <v>N</v>
      </c>
      <c r="C169" s="235" t="str">
        <f t="array" ref="C169">IF(SUMPRODUCT((ISERROR(MATCH('Barge Gauging Data'!$C$27:$C$56,IF(GRADECHNO_2=2,RESIDUALS,IF(GRADECHNO_2=3,DISTILLATES,GRADESLIST)),0))=FALSE)*('Barge Gauging Data'!$D$27:$D$56=NOMN)*1)&lt;ROWS($C$160:$C169),"",INDEX('Barge Gauging Data'!$B$27:$B$56,SMALL(IF(((ISERROR(MATCH('Barge Gauging Data'!$C$27:$C$56,IF(GRADECHNO_2=2,RESIDUALS,IF(GRADECHNO_2=3,DISTILLATES,GRADESLIST)),0))=FALSE)+('Barge Gauging Data'!$D$27:$D$56=NOMN))=2,ROW('Barge Gauging Data'!$B$27:$B$56)-ROW('Barge Gauging Data'!$C$26)),ROW()-ROW(C$159))))</f>
        <v/>
      </c>
      <c r="D169" s="211" t="str">
        <f>IF(OR($C169="",$C169=0),"",INDEX('Barge Gauging Data'!$B$26:$V$56,MATCH($C169,'Barge Gauging Data'!$B$27:$B$56,0)+1,2))</f>
        <v/>
      </c>
      <c r="E169" s="1016" t="str">
        <f t="shared" si="134"/>
        <v/>
      </c>
      <c r="F169" s="1016" t="str">
        <f t="shared" si="135"/>
        <v/>
      </c>
      <c r="G169" s="1016" t="str">
        <f t="shared" si="136"/>
        <v/>
      </c>
      <c r="H169" s="1016" t="str">
        <f t="shared" si="136"/>
        <v/>
      </c>
      <c r="I169" s="211" t="str">
        <f t="shared" si="137"/>
        <v/>
      </c>
      <c r="J169" s="1016" t="str">
        <f t="shared" si="138"/>
        <v/>
      </c>
      <c r="K169" s="213" t="str">
        <f t="shared" si="139"/>
        <v/>
      </c>
      <c r="L169" s="212" t="str">
        <f t="shared" si="140"/>
        <v/>
      </c>
      <c r="M169" s="1125" t="str">
        <f>IF(OR($C169="",$C169=0),"",INDEX(API1DENST_2,MATCH($C169,'Barge Gauging Data'!$B$27:$B$56,0),$AA$1))</f>
        <v/>
      </c>
      <c r="N169" s="212" t="str">
        <f t="shared" si="141"/>
        <v/>
      </c>
      <c r="O169" s="1016" t="str">
        <f t="shared" si="172"/>
        <v/>
      </c>
      <c r="P169" s="1125" t="str">
        <f t="shared" si="173"/>
        <v/>
      </c>
      <c r="Q169" s="1016" t="str">
        <f t="shared" si="174"/>
        <v/>
      </c>
      <c r="R169" s="214" t="str">
        <f t="shared" si="175"/>
        <v/>
      </c>
      <c r="S169" s="1125" t="str">
        <f t="shared" si="176"/>
        <v/>
      </c>
      <c r="T169" s="236" t="str">
        <f t="shared" si="177"/>
        <v/>
      </c>
      <c r="V169" s="642" t="e">
        <f>INDEX('Barge Gauging Data'!$B$26:$V$56,MATCH($C169,'Barge Gauging Data'!$B$26:$B$56,0),$V$18)</f>
        <v>#N/A</v>
      </c>
      <c r="W169" s="642" t="e">
        <f>INDEX('Barge Gauging Data'!$B$26:$V$56,MATCH($C169,'Barge Gauging Data'!$B$26:$B$56,0),$W$18)</f>
        <v>#N/A</v>
      </c>
      <c r="X169" s="642" t="e">
        <f>INDEX('Barge Gauging Data'!$B$26:$V$56,MATCH($C169,'Barge Gauging Data'!$B$26:$B$56,0),$X$18)</f>
        <v>#N/A</v>
      </c>
      <c r="Y169" s="642" t="e">
        <f>INDEX('Barge Gauging Data'!$B$26:$V$56,MATCH($C169,'Barge Gauging Data'!$B$26:$B$56,0),$Y$18)</f>
        <v>#N/A</v>
      </c>
      <c r="Z169" s="642" t="e">
        <f>INDEX('Barge Gauging Data'!$B$26:$V$56,MATCH($C169,'Barge Gauging Data'!$B$26:$B$56,0),$Z$18)</f>
        <v>#N/A</v>
      </c>
      <c r="AB169" s="642" t="e">
        <f>INDEX(API1DENST_2,MATCH($C169,'Barge Gauging Data'!$B$27:$B$56,0),1)</f>
        <v>#N/A</v>
      </c>
      <c r="AC169" s="642" t="e">
        <f t="shared" si="151"/>
        <v>#N/A</v>
      </c>
      <c r="AE169" s="661" t="e">
        <f t="shared" si="152"/>
        <v>#VALUE!</v>
      </c>
      <c r="AF169" s="661" t="e">
        <f t="shared" si="153"/>
        <v>#VALUE!</v>
      </c>
      <c r="AH169" s="662" t="str">
        <f t="shared" si="149"/>
        <v/>
      </c>
      <c r="AI169" s="662" t="str">
        <f t="shared" si="150"/>
        <v/>
      </c>
      <c r="AJ169" s="663">
        <f t="shared" si="154"/>
        <v>192.4571</v>
      </c>
      <c r="AK169" s="660">
        <f t="shared" si="155"/>
        <v>0.24379999999999999</v>
      </c>
      <c r="AL169" s="660" t="e">
        <f t="shared" si="156"/>
        <v>#VALUE!</v>
      </c>
      <c r="AM169" s="664" t="e">
        <f t="shared" si="157"/>
        <v>#VALUE!</v>
      </c>
      <c r="AN169" s="664" t="e">
        <f t="shared" si="158"/>
        <v>#VALUE!</v>
      </c>
      <c r="AO169" s="665" t="e">
        <f t="shared" si="159"/>
        <v>#VALUE!</v>
      </c>
      <c r="AP169" s="666" t="e">
        <f t="shared" si="160"/>
        <v>#VALUE!</v>
      </c>
      <c r="AQ169" s="660" t="e">
        <f t="shared" si="161"/>
        <v>#VALUE!</v>
      </c>
      <c r="AR169" s="667" t="e">
        <f t="shared" si="162"/>
        <v>#VALUE!</v>
      </c>
      <c r="AS169" s="667" t="e">
        <f t="shared" si="163"/>
        <v>#VALUE!</v>
      </c>
      <c r="AT169" s="668" t="e">
        <f t="shared" si="164"/>
        <v>#VALUE!</v>
      </c>
      <c r="AU169" s="667" t="e">
        <f t="shared" si="165"/>
        <v>#VALUE!</v>
      </c>
      <c r="AV169" s="669" t="e">
        <f t="shared" si="166"/>
        <v>#VALUE!</v>
      </c>
      <c r="AW169" s="667" t="e">
        <f t="shared" si="167"/>
        <v>#VALUE!</v>
      </c>
      <c r="AX169" s="667" t="e">
        <f t="shared" si="168"/>
        <v>#VALUE!</v>
      </c>
      <c r="AY169" s="660" t="e">
        <f t="shared" si="169"/>
        <v>#VALUE!</v>
      </c>
      <c r="AZ169" s="670" t="e">
        <f t="shared" si="170"/>
        <v>#VALUE!</v>
      </c>
      <c r="BB169" s="662" t="e">
        <f>INDEX('Barge Gauging Data'!$B$26:$V$56,MATCH($C169,'Barge Gauging Data'!$B$26:$B$56,0),$BB$18)</f>
        <v>#N/A</v>
      </c>
      <c r="BC169" s="662" t="e">
        <f>INDEX('Barge Gauging Data'!$B$26:$V$56,MATCH($C169,'Barge Gauging Data'!$B$26:$B$56,0),$BC$18)</f>
        <v>#N/A</v>
      </c>
      <c r="BD169" s="662" t="e">
        <f>INDEX('Barge Gauging Data'!$B$26:$V$56,MATCH($C169,'Barge Gauging Data'!$B$26:$B$56,0),$BD$18)</f>
        <v>#N/A</v>
      </c>
      <c r="BE169" s="662" t="e">
        <f>INDEX('Barge Gauging Data'!$B$26:$V$56,MATCH($C169,'Barge Gauging Data'!$B$26:$B$56,0),$BE$18)</f>
        <v>#N/A</v>
      </c>
    </row>
    <row r="170" spans="1:57" hidden="1">
      <c r="A170" s="641" t="str">
        <f t="shared" si="148"/>
        <v>N</v>
      </c>
      <c r="C170" s="235" t="str">
        <f t="array" ref="C170">IF(SUMPRODUCT((ISERROR(MATCH('Barge Gauging Data'!$C$27:$C$56,IF(GRADECHNO_2=2,RESIDUALS,IF(GRADECHNO_2=3,DISTILLATES,GRADESLIST)),0))=FALSE)*('Barge Gauging Data'!$D$27:$D$56=NOMN)*1)&lt;ROWS($C$160:$C170),"",INDEX('Barge Gauging Data'!$B$27:$B$56,SMALL(IF(((ISERROR(MATCH('Barge Gauging Data'!$C$27:$C$56,IF(GRADECHNO_2=2,RESIDUALS,IF(GRADECHNO_2=3,DISTILLATES,GRADESLIST)),0))=FALSE)+('Barge Gauging Data'!$D$27:$D$56=NOMN))=2,ROW('Barge Gauging Data'!$B$27:$B$56)-ROW('Barge Gauging Data'!$C$26)),ROW()-ROW(C$159))))</f>
        <v/>
      </c>
      <c r="D170" s="211" t="str">
        <f>IF(OR($C170="",$C170=0),"",INDEX('Barge Gauging Data'!$B$26:$V$56,MATCH($C170,'Barge Gauging Data'!$B$27:$B$56,0)+1,2))</f>
        <v/>
      </c>
      <c r="E170" s="1016" t="str">
        <f t="shared" si="134"/>
        <v/>
      </c>
      <c r="F170" s="1016" t="str">
        <f t="shared" si="135"/>
        <v/>
      </c>
      <c r="G170" s="1016" t="str">
        <f t="shared" si="136"/>
        <v/>
      </c>
      <c r="H170" s="1016" t="str">
        <f t="shared" si="136"/>
        <v/>
      </c>
      <c r="I170" s="211" t="str">
        <f t="shared" si="137"/>
        <v/>
      </c>
      <c r="J170" s="1016" t="str">
        <f t="shared" si="138"/>
        <v/>
      </c>
      <c r="K170" s="213" t="str">
        <f t="shared" si="139"/>
        <v/>
      </c>
      <c r="L170" s="212" t="str">
        <f t="shared" si="140"/>
        <v/>
      </c>
      <c r="M170" s="1125" t="str">
        <f>IF(OR($C170="",$C170=0),"",INDEX(API1DENST_2,MATCH($C170,'Barge Gauging Data'!$B$27:$B$56,0),$AA$1))</f>
        <v/>
      </c>
      <c r="N170" s="212" t="str">
        <f t="shared" si="141"/>
        <v/>
      </c>
      <c r="O170" s="1016" t="str">
        <f t="shared" si="172"/>
        <v/>
      </c>
      <c r="P170" s="1125" t="str">
        <f t="shared" si="173"/>
        <v/>
      </c>
      <c r="Q170" s="1016" t="str">
        <f t="shared" si="174"/>
        <v/>
      </c>
      <c r="R170" s="214" t="str">
        <f t="shared" si="175"/>
        <v/>
      </c>
      <c r="S170" s="1125" t="str">
        <f t="shared" si="176"/>
        <v/>
      </c>
      <c r="T170" s="236" t="str">
        <f t="shared" si="177"/>
        <v/>
      </c>
      <c r="V170" s="642" t="e">
        <f>INDEX('Barge Gauging Data'!$B$26:$V$56,MATCH($C170,'Barge Gauging Data'!$B$26:$B$56,0),$V$18)</f>
        <v>#N/A</v>
      </c>
      <c r="W170" s="642" t="e">
        <f>INDEX('Barge Gauging Data'!$B$26:$V$56,MATCH($C170,'Barge Gauging Data'!$B$26:$B$56,0),$W$18)</f>
        <v>#N/A</v>
      </c>
      <c r="X170" s="642" t="e">
        <f>INDEX('Barge Gauging Data'!$B$26:$V$56,MATCH($C170,'Barge Gauging Data'!$B$26:$B$56,0),$X$18)</f>
        <v>#N/A</v>
      </c>
      <c r="Y170" s="642" t="e">
        <f>INDEX('Barge Gauging Data'!$B$26:$V$56,MATCH($C170,'Barge Gauging Data'!$B$26:$B$56,0),$Y$18)</f>
        <v>#N/A</v>
      </c>
      <c r="Z170" s="642" t="e">
        <f>INDEX('Barge Gauging Data'!$B$26:$V$56,MATCH($C170,'Barge Gauging Data'!$B$26:$B$56,0),$Z$18)</f>
        <v>#N/A</v>
      </c>
      <c r="AB170" s="642" t="e">
        <f>INDEX(API1DENST_2,MATCH($C170,'Barge Gauging Data'!$B$27:$B$56,0),1)</f>
        <v>#N/A</v>
      </c>
      <c r="AC170" s="642" t="e">
        <f t="shared" si="151"/>
        <v>#N/A</v>
      </c>
      <c r="AE170" s="661" t="e">
        <f t="shared" si="152"/>
        <v>#VALUE!</v>
      </c>
      <c r="AF170" s="661" t="e">
        <f t="shared" si="153"/>
        <v>#VALUE!</v>
      </c>
      <c r="AH170" s="662" t="str">
        <f t="shared" si="149"/>
        <v/>
      </c>
      <c r="AI170" s="662" t="str">
        <f t="shared" si="150"/>
        <v/>
      </c>
      <c r="AJ170" s="663">
        <f t="shared" si="154"/>
        <v>192.4571</v>
      </c>
      <c r="AK170" s="660">
        <f t="shared" si="155"/>
        <v>0.24379999999999999</v>
      </c>
      <c r="AL170" s="660" t="e">
        <f t="shared" si="156"/>
        <v>#VALUE!</v>
      </c>
      <c r="AM170" s="664" t="e">
        <f t="shared" si="157"/>
        <v>#VALUE!</v>
      </c>
      <c r="AN170" s="664" t="e">
        <f t="shared" si="158"/>
        <v>#VALUE!</v>
      </c>
      <c r="AO170" s="665" t="e">
        <f t="shared" si="159"/>
        <v>#VALUE!</v>
      </c>
      <c r="AP170" s="666" t="e">
        <f t="shared" si="160"/>
        <v>#VALUE!</v>
      </c>
      <c r="AQ170" s="660" t="e">
        <f t="shared" si="161"/>
        <v>#VALUE!</v>
      </c>
      <c r="AR170" s="667" t="e">
        <f t="shared" si="162"/>
        <v>#VALUE!</v>
      </c>
      <c r="AS170" s="667" t="e">
        <f t="shared" si="163"/>
        <v>#VALUE!</v>
      </c>
      <c r="AT170" s="668" t="e">
        <f t="shared" si="164"/>
        <v>#VALUE!</v>
      </c>
      <c r="AU170" s="667" t="e">
        <f t="shared" si="165"/>
        <v>#VALUE!</v>
      </c>
      <c r="AV170" s="669" t="e">
        <f t="shared" si="166"/>
        <v>#VALUE!</v>
      </c>
      <c r="AW170" s="667" t="e">
        <f t="shared" si="167"/>
        <v>#VALUE!</v>
      </c>
      <c r="AX170" s="667" t="e">
        <f t="shared" si="168"/>
        <v>#VALUE!</v>
      </c>
      <c r="AY170" s="660" t="e">
        <f t="shared" si="169"/>
        <v>#VALUE!</v>
      </c>
      <c r="AZ170" s="670" t="e">
        <f t="shared" si="170"/>
        <v>#VALUE!</v>
      </c>
      <c r="BB170" s="662" t="e">
        <f>INDEX('Barge Gauging Data'!$B$26:$V$56,MATCH($C170,'Barge Gauging Data'!$B$26:$B$56,0),$BB$18)</f>
        <v>#N/A</v>
      </c>
      <c r="BC170" s="662" t="e">
        <f>INDEX('Barge Gauging Data'!$B$26:$V$56,MATCH($C170,'Barge Gauging Data'!$B$26:$B$56,0),$BC$18)</f>
        <v>#N/A</v>
      </c>
      <c r="BD170" s="662" t="e">
        <f>INDEX('Barge Gauging Data'!$B$26:$V$56,MATCH($C170,'Barge Gauging Data'!$B$26:$B$56,0),$BD$18)</f>
        <v>#N/A</v>
      </c>
      <c r="BE170" s="662" t="e">
        <f>INDEX('Barge Gauging Data'!$B$26:$V$56,MATCH($C170,'Barge Gauging Data'!$B$26:$B$56,0),$BE$18)</f>
        <v>#N/A</v>
      </c>
    </row>
    <row r="171" spans="1:57" hidden="1">
      <c r="A171" s="641" t="str">
        <f t="shared" si="148"/>
        <v>N</v>
      </c>
      <c r="C171" s="235" t="str">
        <f t="array" ref="C171">IF(SUMPRODUCT((ISERROR(MATCH('Barge Gauging Data'!$C$27:$C$56,IF(GRADECHNO_2=2,RESIDUALS,IF(GRADECHNO_2=3,DISTILLATES,GRADESLIST)),0))=FALSE)*('Barge Gauging Data'!$D$27:$D$56=NOMN)*1)&lt;ROWS($C$160:$C171),"",INDEX('Barge Gauging Data'!$B$27:$B$56,SMALL(IF(((ISERROR(MATCH('Barge Gauging Data'!$C$27:$C$56,IF(GRADECHNO_2=2,RESIDUALS,IF(GRADECHNO_2=3,DISTILLATES,GRADESLIST)),0))=FALSE)+('Barge Gauging Data'!$D$27:$D$56=NOMN))=2,ROW('Barge Gauging Data'!$B$27:$B$56)-ROW('Barge Gauging Data'!$C$26)),ROW()-ROW(C$159))))</f>
        <v/>
      </c>
      <c r="D171" s="211" t="str">
        <f>IF(OR($C171="",$C171=0),"",INDEX('Barge Gauging Data'!$B$26:$V$56,MATCH($C171,'Barge Gauging Data'!$B$27:$B$56,0)+1,2))</f>
        <v/>
      </c>
      <c r="E171" s="1016" t="str">
        <f t="shared" si="134"/>
        <v/>
      </c>
      <c r="F171" s="1016" t="str">
        <f t="shared" si="135"/>
        <v/>
      </c>
      <c r="G171" s="1016" t="str">
        <f t="shared" si="136"/>
        <v/>
      </c>
      <c r="H171" s="1016" t="str">
        <f t="shared" si="136"/>
        <v/>
      </c>
      <c r="I171" s="211" t="str">
        <f t="shared" si="137"/>
        <v/>
      </c>
      <c r="J171" s="1016" t="str">
        <f t="shared" si="138"/>
        <v/>
      </c>
      <c r="K171" s="213" t="str">
        <f t="shared" si="139"/>
        <v/>
      </c>
      <c r="L171" s="212" t="str">
        <f t="shared" si="140"/>
        <v/>
      </c>
      <c r="M171" s="1125" t="str">
        <f>IF(OR($C171="",$C171=0),"",INDEX(API1DENST_2,MATCH($C171,'Barge Gauging Data'!$B$27:$B$56,0),$AA$1))</f>
        <v/>
      </c>
      <c r="N171" s="212" t="str">
        <f t="shared" si="141"/>
        <v/>
      </c>
      <c r="O171" s="1016" t="str">
        <f t="shared" si="172"/>
        <v/>
      </c>
      <c r="P171" s="1125" t="str">
        <f t="shared" si="173"/>
        <v/>
      </c>
      <c r="Q171" s="1016" t="str">
        <f t="shared" si="174"/>
        <v/>
      </c>
      <c r="R171" s="214" t="str">
        <f t="shared" si="175"/>
        <v/>
      </c>
      <c r="S171" s="1125" t="str">
        <f t="shared" si="176"/>
        <v/>
      </c>
      <c r="T171" s="236" t="str">
        <f t="shared" si="177"/>
        <v/>
      </c>
      <c r="V171" s="642" t="e">
        <f>INDEX('Barge Gauging Data'!$B$26:$V$56,MATCH($C171,'Barge Gauging Data'!$B$26:$B$56,0),$V$18)</f>
        <v>#N/A</v>
      </c>
      <c r="W171" s="642" t="e">
        <f>INDEX('Barge Gauging Data'!$B$26:$V$56,MATCH($C171,'Barge Gauging Data'!$B$26:$B$56,0),$W$18)</f>
        <v>#N/A</v>
      </c>
      <c r="X171" s="642" t="e">
        <f>INDEX('Barge Gauging Data'!$B$26:$V$56,MATCH($C171,'Barge Gauging Data'!$B$26:$B$56,0),$X$18)</f>
        <v>#N/A</v>
      </c>
      <c r="Y171" s="642" t="e">
        <f>INDEX('Barge Gauging Data'!$B$26:$V$56,MATCH($C171,'Barge Gauging Data'!$B$26:$B$56,0),$Y$18)</f>
        <v>#N/A</v>
      </c>
      <c r="Z171" s="642" t="e">
        <f>INDEX('Barge Gauging Data'!$B$26:$V$56,MATCH($C171,'Barge Gauging Data'!$B$26:$B$56,0),$Z$18)</f>
        <v>#N/A</v>
      </c>
      <c r="AB171" s="642" t="e">
        <f>INDEX(API1DENST_2,MATCH($C171,'Barge Gauging Data'!$B$27:$B$56,0),1)</f>
        <v>#N/A</v>
      </c>
      <c r="AC171" s="642" t="e">
        <f t="shared" si="151"/>
        <v>#N/A</v>
      </c>
      <c r="AE171" s="661" t="e">
        <f t="shared" si="152"/>
        <v>#VALUE!</v>
      </c>
      <c r="AF171" s="661" t="e">
        <f t="shared" si="153"/>
        <v>#VALUE!</v>
      </c>
      <c r="AH171" s="662" t="str">
        <f t="shared" si="149"/>
        <v/>
      </c>
      <c r="AI171" s="662" t="str">
        <f t="shared" si="150"/>
        <v/>
      </c>
      <c r="AJ171" s="663">
        <f t="shared" si="154"/>
        <v>192.4571</v>
      </c>
      <c r="AK171" s="660">
        <f t="shared" si="155"/>
        <v>0.24379999999999999</v>
      </c>
      <c r="AL171" s="660" t="e">
        <f t="shared" si="156"/>
        <v>#VALUE!</v>
      </c>
      <c r="AM171" s="664" t="e">
        <f t="shared" si="157"/>
        <v>#VALUE!</v>
      </c>
      <c r="AN171" s="664" t="e">
        <f t="shared" si="158"/>
        <v>#VALUE!</v>
      </c>
      <c r="AO171" s="665" t="e">
        <f t="shared" si="159"/>
        <v>#VALUE!</v>
      </c>
      <c r="AP171" s="666" t="e">
        <f t="shared" si="160"/>
        <v>#VALUE!</v>
      </c>
      <c r="AQ171" s="660" t="e">
        <f t="shared" si="161"/>
        <v>#VALUE!</v>
      </c>
      <c r="AR171" s="667" t="e">
        <f t="shared" si="162"/>
        <v>#VALUE!</v>
      </c>
      <c r="AS171" s="667" t="e">
        <f t="shared" si="163"/>
        <v>#VALUE!</v>
      </c>
      <c r="AT171" s="668" t="e">
        <f t="shared" si="164"/>
        <v>#VALUE!</v>
      </c>
      <c r="AU171" s="667" t="e">
        <f t="shared" si="165"/>
        <v>#VALUE!</v>
      </c>
      <c r="AV171" s="669" t="e">
        <f t="shared" si="166"/>
        <v>#VALUE!</v>
      </c>
      <c r="AW171" s="667" t="e">
        <f t="shared" si="167"/>
        <v>#VALUE!</v>
      </c>
      <c r="AX171" s="667" t="e">
        <f t="shared" si="168"/>
        <v>#VALUE!</v>
      </c>
      <c r="AY171" s="660" t="e">
        <f t="shared" si="169"/>
        <v>#VALUE!</v>
      </c>
      <c r="AZ171" s="670" t="e">
        <f t="shared" si="170"/>
        <v>#VALUE!</v>
      </c>
      <c r="BB171" s="662" t="e">
        <f>INDEX('Barge Gauging Data'!$B$26:$V$56,MATCH($C171,'Barge Gauging Data'!$B$26:$B$56,0),$BB$18)</f>
        <v>#N/A</v>
      </c>
      <c r="BC171" s="662" t="e">
        <f>INDEX('Barge Gauging Data'!$B$26:$V$56,MATCH($C171,'Barge Gauging Data'!$B$26:$B$56,0),$BC$18)</f>
        <v>#N/A</v>
      </c>
      <c r="BD171" s="662" t="e">
        <f>INDEX('Barge Gauging Data'!$B$26:$V$56,MATCH($C171,'Barge Gauging Data'!$B$26:$B$56,0),$BD$18)</f>
        <v>#N/A</v>
      </c>
      <c r="BE171" s="662" t="e">
        <f>INDEX('Barge Gauging Data'!$B$26:$V$56,MATCH($C171,'Barge Gauging Data'!$B$26:$B$56,0),$BE$18)</f>
        <v>#N/A</v>
      </c>
    </row>
    <row r="172" spans="1:57" hidden="1">
      <c r="A172" s="641" t="str">
        <f t="shared" si="148"/>
        <v>N</v>
      </c>
      <c r="C172" s="235" t="str">
        <f t="array" ref="C172">IF(SUMPRODUCT((ISERROR(MATCH('Barge Gauging Data'!$C$27:$C$56,IF(GRADECHNO_2=2,RESIDUALS,IF(GRADECHNO_2=3,DISTILLATES,GRADESLIST)),0))=FALSE)*('Barge Gauging Data'!$D$27:$D$56=NOMN)*1)&lt;ROWS($C$160:$C172),"",INDEX('Barge Gauging Data'!$B$27:$B$56,SMALL(IF(((ISERROR(MATCH('Barge Gauging Data'!$C$27:$C$56,IF(GRADECHNO_2=2,RESIDUALS,IF(GRADECHNO_2=3,DISTILLATES,GRADESLIST)),0))=FALSE)+('Barge Gauging Data'!$D$27:$D$56=NOMN))=2,ROW('Barge Gauging Data'!$B$27:$B$56)-ROW('Barge Gauging Data'!$C$26)),ROW()-ROW(C$159))))</f>
        <v/>
      </c>
      <c r="D172" s="211" t="str">
        <f>IF(OR($C172="",$C172=0),"",INDEX('Barge Gauging Data'!$B$26:$V$56,MATCH($C172,'Barge Gauging Data'!$B$27:$B$56,0)+1,2))</f>
        <v/>
      </c>
      <c r="E172" s="1016" t="str">
        <f t="shared" si="134"/>
        <v/>
      </c>
      <c r="F172" s="1016" t="str">
        <f t="shared" si="135"/>
        <v/>
      </c>
      <c r="G172" s="1016" t="str">
        <f t="shared" si="136"/>
        <v/>
      </c>
      <c r="H172" s="1016" t="str">
        <f t="shared" si="136"/>
        <v/>
      </c>
      <c r="I172" s="211" t="str">
        <f t="shared" si="137"/>
        <v/>
      </c>
      <c r="J172" s="1016" t="str">
        <f t="shared" si="138"/>
        <v/>
      </c>
      <c r="K172" s="213" t="str">
        <f t="shared" si="139"/>
        <v/>
      </c>
      <c r="L172" s="212" t="str">
        <f t="shared" si="140"/>
        <v/>
      </c>
      <c r="M172" s="1125" t="str">
        <f>IF(OR($C172="",$C172=0),"",INDEX(API1DENST_2,MATCH($C172,'Barge Gauging Data'!$B$27:$B$56,0),$AA$1))</f>
        <v/>
      </c>
      <c r="N172" s="212" t="str">
        <f t="shared" si="141"/>
        <v/>
      </c>
      <c r="O172" s="1016" t="str">
        <f t="shared" si="172"/>
        <v/>
      </c>
      <c r="P172" s="1125" t="str">
        <f t="shared" si="173"/>
        <v/>
      </c>
      <c r="Q172" s="1016" t="str">
        <f t="shared" si="174"/>
        <v/>
      </c>
      <c r="R172" s="214" t="str">
        <f t="shared" si="175"/>
        <v/>
      </c>
      <c r="S172" s="1125" t="str">
        <f t="shared" si="176"/>
        <v/>
      </c>
      <c r="T172" s="236" t="str">
        <f t="shared" si="177"/>
        <v/>
      </c>
      <c r="V172" s="642" t="e">
        <f>INDEX('Barge Gauging Data'!$B$26:$V$56,MATCH($C172,'Barge Gauging Data'!$B$26:$B$56,0),$V$18)</f>
        <v>#N/A</v>
      </c>
      <c r="W172" s="642" t="e">
        <f>INDEX('Barge Gauging Data'!$B$26:$V$56,MATCH($C172,'Barge Gauging Data'!$B$26:$B$56,0),$W$18)</f>
        <v>#N/A</v>
      </c>
      <c r="X172" s="642" t="e">
        <f>INDEX('Barge Gauging Data'!$B$26:$V$56,MATCH($C172,'Barge Gauging Data'!$B$26:$B$56,0),$X$18)</f>
        <v>#N/A</v>
      </c>
      <c r="Y172" s="642" t="e">
        <f>INDEX('Barge Gauging Data'!$B$26:$V$56,MATCH($C172,'Barge Gauging Data'!$B$26:$B$56,0),$Y$18)</f>
        <v>#N/A</v>
      </c>
      <c r="Z172" s="642" t="e">
        <f>INDEX('Barge Gauging Data'!$B$26:$V$56,MATCH($C172,'Barge Gauging Data'!$B$26:$B$56,0),$Z$18)</f>
        <v>#N/A</v>
      </c>
      <c r="AB172" s="642" t="e">
        <f>INDEX(API1DENST_2,MATCH($C172,'Barge Gauging Data'!$B$27:$B$56,0),1)</f>
        <v>#N/A</v>
      </c>
      <c r="AC172" s="642" t="e">
        <f t="shared" si="151"/>
        <v>#N/A</v>
      </c>
      <c r="AE172" s="661" t="e">
        <f t="shared" si="152"/>
        <v>#VALUE!</v>
      </c>
      <c r="AF172" s="661" t="e">
        <f t="shared" si="153"/>
        <v>#VALUE!</v>
      </c>
      <c r="AH172" s="662" t="str">
        <f t="shared" si="149"/>
        <v/>
      </c>
      <c r="AI172" s="662" t="str">
        <f t="shared" si="150"/>
        <v/>
      </c>
      <c r="AJ172" s="663">
        <f t="shared" si="154"/>
        <v>192.4571</v>
      </c>
      <c r="AK172" s="660">
        <f t="shared" si="155"/>
        <v>0.24379999999999999</v>
      </c>
      <c r="AL172" s="660" t="e">
        <f t="shared" si="156"/>
        <v>#VALUE!</v>
      </c>
      <c r="AM172" s="664" t="e">
        <f t="shared" si="157"/>
        <v>#VALUE!</v>
      </c>
      <c r="AN172" s="664" t="e">
        <f t="shared" si="158"/>
        <v>#VALUE!</v>
      </c>
      <c r="AO172" s="665" t="e">
        <f t="shared" si="159"/>
        <v>#VALUE!</v>
      </c>
      <c r="AP172" s="666" t="e">
        <f t="shared" si="160"/>
        <v>#VALUE!</v>
      </c>
      <c r="AQ172" s="660" t="e">
        <f t="shared" si="161"/>
        <v>#VALUE!</v>
      </c>
      <c r="AR172" s="667" t="e">
        <f t="shared" si="162"/>
        <v>#VALUE!</v>
      </c>
      <c r="AS172" s="667" t="e">
        <f t="shared" si="163"/>
        <v>#VALUE!</v>
      </c>
      <c r="AT172" s="668" t="e">
        <f t="shared" si="164"/>
        <v>#VALUE!</v>
      </c>
      <c r="AU172" s="667" t="e">
        <f t="shared" si="165"/>
        <v>#VALUE!</v>
      </c>
      <c r="AV172" s="669" t="e">
        <f t="shared" si="166"/>
        <v>#VALUE!</v>
      </c>
      <c r="AW172" s="667" t="e">
        <f t="shared" si="167"/>
        <v>#VALUE!</v>
      </c>
      <c r="AX172" s="667" t="e">
        <f t="shared" si="168"/>
        <v>#VALUE!</v>
      </c>
      <c r="AY172" s="660" t="e">
        <f t="shared" si="169"/>
        <v>#VALUE!</v>
      </c>
      <c r="AZ172" s="670" t="e">
        <f t="shared" si="170"/>
        <v>#VALUE!</v>
      </c>
      <c r="BB172" s="662" t="e">
        <f>INDEX('Barge Gauging Data'!$B$26:$V$56,MATCH($C172,'Barge Gauging Data'!$B$26:$B$56,0),$BB$18)</f>
        <v>#N/A</v>
      </c>
      <c r="BC172" s="662" t="e">
        <f>INDEX('Barge Gauging Data'!$B$26:$V$56,MATCH($C172,'Barge Gauging Data'!$B$26:$B$56,0),$BC$18)</f>
        <v>#N/A</v>
      </c>
      <c r="BD172" s="662" t="e">
        <f>INDEX('Barge Gauging Data'!$B$26:$V$56,MATCH($C172,'Barge Gauging Data'!$B$26:$B$56,0),$BD$18)</f>
        <v>#N/A</v>
      </c>
      <c r="BE172" s="662" t="e">
        <f>INDEX('Barge Gauging Data'!$B$26:$V$56,MATCH($C172,'Barge Gauging Data'!$B$26:$B$56,0),$BE$18)</f>
        <v>#N/A</v>
      </c>
    </row>
    <row r="173" spans="1:57" hidden="1">
      <c r="A173" s="641" t="str">
        <f t="shared" si="148"/>
        <v>N</v>
      </c>
      <c r="C173" s="235" t="str">
        <f t="array" ref="C173">IF(SUMPRODUCT((ISERROR(MATCH('Barge Gauging Data'!$C$27:$C$56,IF(GRADECHNO_2=2,RESIDUALS,IF(GRADECHNO_2=3,DISTILLATES,GRADESLIST)),0))=FALSE)*('Barge Gauging Data'!$D$27:$D$56=NOMN)*1)&lt;ROWS($C$160:$C173),"",INDEX('Barge Gauging Data'!$B$27:$B$56,SMALL(IF(((ISERROR(MATCH('Barge Gauging Data'!$C$27:$C$56,IF(GRADECHNO_2=2,RESIDUALS,IF(GRADECHNO_2=3,DISTILLATES,GRADESLIST)),0))=FALSE)+('Barge Gauging Data'!$D$27:$D$56=NOMN))=2,ROW('Barge Gauging Data'!$B$27:$B$56)-ROW('Barge Gauging Data'!$C$26)),ROW()-ROW(C$159))))</f>
        <v/>
      </c>
      <c r="D173" s="211" t="str">
        <f>IF(OR($C173="",$C173=0),"",INDEX('Barge Gauging Data'!$B$26:$V$56,MATCH($C173,'Barge Gauging Data'!$B$27:$B$56,0)+1,2))</f>
        <v/>
      </c>
      <c r="E173" s="1016" t="str">
        <f t="shared" si="134"/>
        <v/>
      </c>
      <c r="F173" s="1016" t="str">
        <f t="shared" si="135"/>
        <v/>
      </c>
      <c r="G173" s="1016" t="str">
        <f t="shared" si="136"/>
        <v/>
      </c>
      <c r="H173" s="1016" t="str">
        <f t="shared" si="136"/>
        <v/>
      </c>
      <c r="I173" s="211" t="str">
        <f t="shared" si="137"/>
        <v/>
      </c>
      <c r="J173" s="1016" t="str">
        <f t="shared" si="138"/>
        <v/>
      </c>
      <c r="K173" s="213" t="str">
        <f t="shared" si="139"/>
        <v/>
      </c>
      <c r="L173" s="212" t="str">
        <f t="shared" si="140"/>
        <v/>
      </c>
      <c r="M173" s="1125" t="str">
        <f>IF(OR($C173="",$C173=0),"",INDEX(API1DENST_2,MATCH($C173,'Barge Gauging Data'!$B$27:$B$56,0),$AA$1))</f>
        <v/>
      </c>
      <c r="N173" s="212" t="str">
        <f t="shared" si="141"/>
        <v/>
      </c>
      <c r="O173" s="1016" t="str">
        <f t="shared" si="172"/>
        <v/>
      </c>
      <c r="P173" s="1125" t="str">
        <f t="shared" si="173"/>
        <v/>
      </c>
      <c r="Q173" s="1016" t="str">
        <f t="shared" si="174"/>
        <v/>
      </c>
      <c r="R173" s="214" t="str">
        <f t="shared" si="175"/>
        <v/>
      </c>
      <c r="S173" s="1125" t="str">
        <f t="shared" si="176"/>
        <v/>
      </c>
      <c r="T173" s="236" t="str">
        <f t="shared" si="177"/>
        <v/>
      </c>
      <c r="V173" s="642" t="e">
        <f>INDEX('Barge Gauging Data'!$B$26:$V$56,MATCH($C173,'Barge Gauging Data'!$B$26:$B$56,0),$V$18)</f>
        <v>#N/A</v>
      </c>
      <c r="W173" s="642" t="e">
        <f>INDEX('Barge Gauging Data'!$B$26:$V$56,MATCH($C173,'Barge Gauging Data'!$B$26:$B$56,0),$W$18)</f>
        <v>#N/A</v>
      </c>
      <c r="X173" s="642" t="e">
        <f>INDEX('Barge Gauging Data'!$B$26:$V$56,MATCH($C173,'Barge Gauging Data'!$B$26:$B$56,0),$X$18)</f>
        <v>#N/A</v>
      </c>
      <c r="Y173" s="642" t="e">
        <f>INDEX('Barge Gauging Data'!$B$26:$V$56,MATCH($C173,'Barge Gauging Data'!$B$26:$B$56,0),$Y$18)</f>
        <v>#N/A</v>
      </c>
      <c r="Z173" s="642" t="e">
        <f>INDEX('Barge Gauging Data'!$B$26:$V$56,MATCH($C173,'Barge Gauging Data'!$B$26:$B$56,0),$Z$18)</f>
        <v>#N/A</v>
      </c>
      <c r="AB173" s="642" t="e">
        <f>INDEX(API1DENST_2,MATCH($C173,'Barge Gauging Data'!$B$27:$B$56,0),1)</f>
        <v>#N/A</v>
      </c>
      <c r="AC173" s="642" t="e">
        <f t="shared" si="151"/>
        <v>#N/A</v>
      </c>
      <c r="AE173" s="661" t="e">
        <f t="shared" si="152"/>
        <v>#VALUE!</v>
      </c>
      <c r="AF173" s="661" t="e">
        <f t="shared" si="153"/>
        <v>#VALUE!</v>
      </c>
      <c r="AH173" s="662" t="str">
        <f t="shared" si="149"/>
        <v/>
      </c>
      <c r="AI173" s="662" t="str">
        <f t="shared" si="150"/>
        <v/>
      </c>
      <c r="AJ173" s="663">
        <f t="shared" si="154"/>
        <v>192.4571</v>
      </c>
      <c r="AK173" s="660">
        <f t="shared" si="155"/>
        <v>0.24379999999999999</v>
      </c>
      <c r="AL173" s="660" t="e">
        <f t="shared" si="156"/>
        <v>#VALUE!</v>
      </c>
      <c r="AM173" s="664" t="e">
        <f t="shared" si="157"/>
        <v>#VALUE!</v>
      </c>
      <c r="AN173" s="664" t="e">
        <f t="shared" si="158"/>
        <v>#VALUE!</v>
      </c>
      <c r="AO173" s="665" t="e">
        <f t="shared" si="159"/>
        <v>#VALUE!</v>
      </c>
      <c r="AP173" s="666" t="e">
        <f t="shared" si="160"/>
        <v>#VALUE!</v>
      </c>
      <c r="AQ173" s="660" t="e">
        <f t="shared" si="161"/>
        <v>#VALUE!</v>
      </c>
      <c r="AR173" s="667" t="e">
        <f t="shared" si="162"/>
        <v>#VALUE!</v>
      </c>
      <c r="AS173" s="667" t="e">
        <f t="shared" si="163"/>
        <v>#VALUE!</v>
      </c>
      <c r="AT173" s="668" t="e">
        <f t="shared" si="164"/>
        <v>#VALUE!</v>
      </c>
      <c r="AU173" s="667" t="e">
        <f t="shared" si="165"/>
        <v>#VALUE!</v>
      </c>
      <c r="AV173" s="669" t="e">
        <f t="shared" si="166"/>
        <v>#VALUE!</v>
      </c>
      <c r="AW173" s="667" t="e">
        <f t="shared" si="167"/>
        <v>#VALUE!</v>
      </c>
      <c r="AX173" s="667" t="e">
        <f t="shared" si="168"/>
        <v>#VALUE!</v>
      </c>
      <c r="AY173" s="660" t="e">
        <f t="shared" si="169"/>
        <v>#VALUE!</v>
      </c>
      <c r="AZ173" s="670" t="e">
        <f t="shared" si="170"/>
        <v>#VALUE!</v>
      </c>
      <c r="BB173" s="662" t="e">
        <f>INDEX('Barge Gauging Data'!$B$26:$V$56,MATCH($C173,'Barge Gauging Data'!$B$26:$B$56,0),$BB$18)</f>
        <v>#N/A</v>
      </c>
      <c r="BC173" s="662" t="e">
        <f>INDEX('Barge Gauging Data'!$B$26:$V$56,MATCH($C173,'Barge Gauging Data'!$B$26:$B$56,0),$BC$18)</f>
        <v>#N/A</v>
      </c>
      <c r="BD173" s="662" t="e">
        <f>INDEX('Barge Gauging Data'!$B$26:$V$56,MATCH($C173,'Barge Gauging Data'!$B$26:$B$56,0),$BD$18)</f>
        <v>#N/A</v>
      </c>
      <c r="BE173" s="662" t="e">
        <f>INDEX('Barge Gauging Data'!$B$26:$V$56,MATCH($C173,'Barge Gauging Data'!$B$26:$B$56,0),$BE$18)</f>
        <v>#N/A</v>
      </c>
    </row>
    <row r="174" spans="1:57" hidden="1">
      <c r="A174" s="641" t="str">
        <f t="shared" si="148"/>
        <v>N</v>
      </c>
      <c r="C174" s="235" t="str">
        <f t="array" ref="C174">IF(SUMPRODUCT((ISERROR(MATCH('Barge Gauging Data'!$C$27:$C$56,IF(GRADECHNO_2=2,RESIDUALS,IF(GRADECHNO_2=3,DISTILLATES,GRADESLIST)),0))=FALSE)*('Barge Gauging Data'!$D$27:$D$56=NOMN)*1)&lt;ROWS($C$160:$C174),"",INDEX('Barge Gauging Data'!$B$27:$B$56,SMALL(IF(((ISERROR(MATCH('Barge Gauging Data'!$C$27:$C$56,IF(GRADECHNO_2=2,RESIDUALS,IF(GRADECHNO_2=3,DISTILLATES,GRADESLIST)),0))=FALSE)+('Barge Gauging Data'!$D$27:$D$56=NOMN))=2,ROW('Barge Gauging Data'!$B$27:$B$56)-ROW('Barge Gauging Data'!$C$26)),ROW()-ROW(C$159))))</f>
        <v/>
      </c>
      <c r="D174" s="211" t="str">
        <f>IF(OR($C174="",$C174=0),"",INDEX('Barge Gauging Data'!$B$26:$V$56,MATCH($C174,'Barge Gauging Data'!$B$27:$B$56,0)+1,2))</f>
        <v/>
      </c>
      <c r="E174" s="1016" t="str">
        <f t="shared" si="134"/>
        <v/>
      </c>
      <c r="F174" s="1016" t="str">
        <f t="shared" si="135"/>
        <v/>
      </c>
      <c r="G174" s="1016" t="str">
        <f t="shared" si="136"/>
        <v/>
      </c>
      <c r="H174" s="1016" t="str">
        <f t="shared" si="136"/>
        <v/>
      </c>
      <c r="I174" s="211" t="str">
        <f t="shared" si="137"/>
        <v/>
      </c>
      <c r="J174" s="1016" t="str">
        <f t="shared" si="138"/>
        <v/>
      </c>
      <c r="K174" s="213" t="str">
        <f t="shared" si="139"/>
        <v/>
      </c>
      <c r="L174" s="212" t="str">
        <f t="shared" si="140"/>
        <v/>
      </c>
      <c r="M174" s="1125" t="str">
        <f>IF(OR($C174="",$C174=0),"",INDEX(API1DENST_2,MATCH($C174,'Barge Gauging Data'!$B$27:$B$56,0),$AA$1))</f>
        <v/>
      </c>
      <c r="N174" s="212" t="str">
        <f t="shared" si="141"/>
        <v/>
      </c>
      <c r="O174" s="1016" t="str">
        <f t="shared" si="172"/>
        <v/>
      </c>
      <c r="P174" s="1125" t="str">
        <f t="shared" si="173"/>
        <v/>
      </c>
      <c r="Q174" s="1016" t="str">
        <f t="shared" si="174"/>
        <v/>
      </c>
      <c r="R174" s="214" t="str">
        <f t="shared" si="175"/>
        <v/>
      </c>
      <c r="S174" s="1125" t="str">
        <f t="shared" si="176"/>
        <v/>
      </c>
      <c r="T174" s="236" t="str">
        <f t="shared" si="177"/>
        <v/>
      </c>
      <c r="V174" s="642" t="e">
        <f>INDEX('Barge Gauging Data'!$B$26:$V$56,MATCH($C174,'Barge Gauging Data'!$B$26:$B$56,0),$V$18)</f>
        <v>#N/A</v>
      </c>
      <c r="W174" s="642" t="e">
        <f>INDEX('Barge Gauging Data'!$B$26:$V$56,MATCH($C174,'Barge Gauging Data'!$B$26:$B$56,0),$W$18)</f>
        <v>#N/A</v>
      </c>
      <c r="X174" s="642" t="e">
        <f>INDEX('Barge Gauging Data'!$B$26:$V$56,MATCH($C174,'Barge Gauging Data'!$B$26:$B$56,0),$X$18)</f>
        <v>#N/A</v>
      </c>
      <c r="Y174" s="642" t="e">
        <f>INDEX('Barge Gauging Data'!$B$26:$V$56,MATCH($C174,'Barge Gauging Data'!$B$26:$B$56,0),$Y$18)</f>
        <v>#N/A</v>
      </c>
      <c r="Z174" s="642" t="e">
        <f>INDEX('Barge Gauging Data'!$B$26:$V$56,MATCH($C174,'Barge Gauging Data'!$B$26:$B$56,0),$Z$18)</f>
        <v>#N/A</v>
      </c>
      <c r="AB174" s="642" t="e">
        <f>INDEX(API1DENST_2,MATCH($C174,'Barge Gauging Data'!$B$27:$B$56,0),1)</f>
        <v>#N/A</v>
      </c>
      <c r="AC174" s="642" t="e">
        <f t="shared" si="151"/>
        <v>#N/A</v>
      </c>
      <c r="AE174" s="661" t="e">
        <f t="shared" si="152"/>
        <v>#VALUE!</v>
      </c>
      <c r="AF174" s="661" t="e">
        <f t="shared" si="153"/>
        <v>#VALUE!</v>
      </c>
      <c r="AH174" s="662" t="str">
        <f t="shared" si="149"/>
        <v/>
      </c>
      <c r="AI174" s="662" t="str">
        <f t="shared" si="150"/>
        <v/>
      </c>
      <c r="AJ174" s="663">
        <f t="shared" si="154"/>
        <v>192.4571</v>
      </c>
      <c r="AK174" s="660">
        <f t="shared" si="155"/>
        <v>0.24379999999999999</v>
      </c>
      <c r="AL174" s="660" t="e">
        <f t="shared" si="156"/>
        <v>#VALUE!</v>
      </c>
      <c r="AM174" s="664" t="e">
        <f t="shared" si="157"/>
        <v>#VALUE!</v>
      </c>
      <c r="AN174" s="664" t="e">
        <f t="shared" si="158"/>
        <v>#VALUE!</v>
      </c>
      <c r="AO174" s="665" t="e">
        <f t="shared" si="159"/>
        <v>#VALUE!</v>
      </c>
      <c r="AP174" s="666" t="e">
        <f t="shared" si="160"/>
        <v>#VALUE!</v>
      </c>
      <c r="AQ174" s="660" t="e">
        <f t="shared" si="161"/>
        <v>#VALUE!</v>
      </c>
      <c r="AR174" s="667" t="e">
        <f t="shared" si="162"/>
        <v>#VALUE!</v>
      </c>
      <c r="AS174" s="667" t="e">
        <f t="shared" si="163"/>
        <v>#VALUE!</v>
      </c>
      <c r="AT174" s="668" t="e">
        <f t="shared" si="164"/>
        <v>#VALUE!</v>
      </c>
      <c r="AU174" s="667" t="e">
        <f t="shared" si="165"/>
        <v>#VALUE!</v>
      </c>
      <c r="AV174" s="669" t="e">
        <f t="shared" si="166"/>
        <v>#VALUE!</v>
      </c>
      <c r="AW174" s="667" t="e">
        <f t="shared" si="167"/>
        <v>#VALUE!</v>
      </c>
      <c r="AX174" s="667" t="e">
        <f t="shared" si="168"/>
        <v>#VALUE!</v>
      </c>
      <c r="AY174" s="660" t="e">
        <f t="shared" si="169"/>
        <v>#VALUE!</v>
      </c>
      <c r="AZ174" s="670" t="e">
        <f t="shared" si="170"/>
        <v>#VALUE!</v>
      </c>
      <c r="BB174" s="662" t="e">
        <f>INDEX('Barge Gauging Data'!$B$26:$V$56,MATCH($C174,'Barge Gauging Data'!$B$26:$B$56,0),$BB$18)</f>
        <v>#N/A</v>
      </c>
      <c r="BC174" s="662" t="e">
        <f>INDEX('Barge Gauging Data'!$B$26:$V$56,MATCH($C174,'Barge Gauging Data'!$B$26:$B$56,0),$BC$18)</f>
        <v>#N/A</v>
      </c>
      <c r="BD174" s="662" t="e">
        <f>INDEX('Barge Gauging Data'!$B$26:$V$56,MATCH($C174,'Barge Gauging Data'!$B$26:$B$56,0),$BD$18)</f>
        <v>#N/A</v>
      </c>
      <c r="BE174" s="662" t="e">
        <f>INDEX('Barge Gauging Data'!$B$26:$V$56,MATCH($C174,'Barge Gauging Data'!$B$26:$B$56,0),$BE$18)</f>
        <v>#N/A</v>
      </c>
    </row>
    <row r="175" spans="1:57" hidden="1">
      <c r="A175" s="641" t="str">
        <f t="shared" si="148"/>
        <v>N</v>
      </c>
      <c r="C175" s="235" t="str">
        <f t="array" ref="C175">IF(SUMPRODUCT((ISERROR(MATCH('Barge Gauging Data'!$C$27:$C$56,IF(GRADECHNO_2=2,RESIDUALS,IF(GRADECHNO_2=3,DISTILLATES,GRADESLIST)),0))=FALSE)*('Barge Gauging Data'!$D$27:$D$56=NOMN)*1)&lt;ROWS($C$160:$C175),"",INDEX('Barge Gauging Data'!$B$27:$B$56,SMALL(IF(((ISERROR(MATCH('Barge Gauging Data'!$C$27:$C$56,IF(GRADECHNO_2=2,RESIDUALS,IF(GRADECHNO_2=3,DISTILLATES,GRADESLIST)),0))=FALSE)+('Barge Gauging Data'!$D$27:$D$56=NOMN))=2,ROW('Barge Gauging Data'!$B$27:$B$56)-ROW('Barge Gauging Data'!$C$26)),ROW()-ROW(C$159))))</f>
        <v/>
      </c>
      <c r="D175" s="211" t="str">
        <f>IF(OR($C175="",$C175=0),"",INDEX('Barge Gauging Data'!$B$26:$V$56,MATCH($C175,'Barge Gauging Data'!$B$27:$B$56,0)+1,2))</f>
        <v/>
      </c>
      <c r="E175" s="1016" t="str">
        <f t="shared" si="134"/>
        <v/>
      </c>
      <c r="F175" s="1016" t="str">
        <f t="shared" si="135"/>
        <v/>
      </c>
      <c r="G175" s="1016" t="str">
        <f t="shared" si="136"/>
        <v/>
      </c>
      <c r="H175" s="1016" t="str">
        <f t="shared" si="136"/>
        <v/>
      </c>
      <c r="I175" s="211" t="str">
        <f t="shared" si="137"/>
        <v/>
      </c>
      <c r="J175" s="1016" t="str">
        <f t="shared" si="138"/>
        <v/>
      </c>
      <c r="K175" s="213" t="str">
        <f t="shared" si="139"/>
        <v/>
      </c>
      <c r="L175" s="212" t="str">
        <f t="shared" si="140"/>
        <v/>
      </c>
      <c r="M175" s="1125" t="str">
        <f>IF(OR($C175="",$C175=0),"",INDEX(API1DENST_2,MATCH($C175,'Barge Gauging Data'!$B$27:$B$56,0),$AA$1))</f>
        <v/>
      </c>
      <c r="N175" s="212" t="str">
        <f t="shared" si="141"/>
        <v/>
      </c>
      <c r="O175" s="1016" t="str">
        <f t="shared" si="172"/>
        <v/>
      </c>
      <c r="P175" s="1125" t="str">
        <f t="shared" si="173"/>
        <v/>
      </c>
      <c r="Q175" s="1016" t="str">
        <f t="shared" si="174"/>
        <v/>
      </c>
      <c r="R175" s="214" t="str">
        <f t="shared" si="175"/>
        <v/>
      </c>
      <c r="S175" s="1125" t="str">
        <f t="shared" si="176"/>
        <v/>
      </c>
      <c r="T175" s="236" t="str">
        <f t="shared" si="177"/>
        <v/>
      </c>
      <c r="V175" s="642" t="e">
        <f>INDEX('Barge Gauging Data'!$B$26:$V$56,MATCH($C175,'Barge Gauging Data'!$B$26:$B$56,0),$V$18)</f>
        <v>#N/A</v>
      </c>
      <c r="W175" s="642" t="e">
        <f>INDEX('Barge Gauging Data'!$B$26:$V$56,MATCH($C175,'Barge Gauging Data'!$B$26:$B$56,0),$W$18)</f>
        <v>#N/A</v>
      </c>
      <c r="X175" s="642" t="e">
        <f>INDEX('Barge Gauging Data'!$B$26:$V$56,MATCH($C175,'Barge Gauging Data'!$B$26:$B$56,0),$X$18)</f>
        <v>#N/A</v>
      </c>
      <c r="Y175" s="642" t="e">
        <f>INDEX('Barge Gauging Data'!$B$26:$V$56,MATCH($C175,'Barge Gauging Data'!$B$26:$B$56,0),$Y$18)</f>
        <v>#N/A</v>
      </c>
      <c r="Z175" s="642" t="e">
        <f>INDEX('Barge Gauging Data'!$B$26:$V$56,MATCH($C175,'Barge Gauging Data'!$B$26:$B$56,0),$Z$18)</f>
        <v>#N/A</v>
      </c>
      <c r="AB175" s="642" t="e">
        <f>INDEX(API1DENST_2,MATCH($C175,'Barge Gauging Data'!$B$27:$B$56,0),1)</f>
        <v>#N/A</v>
      </c>
      <c r="AC175" s="642" t="e">
        <f t="shared" si="151"/>
        <v>#N/A</v>
      </c>
      <c r="AE175" s="661" t="e">
        <f t="shared" si="152"/>
        <v>#VALUE!</v>
      </c>
      <c r="AF175" s="661" t="e">
        <f t="shared" si="153"/>
        <v>#VALUE!</v>
      </c>
      <c r="AH175" s="662" t="str">
        <f t="shared" si="149"/>
        <v/>
      </c>
      <c r="AI175" s="662" t="str">
        <f t="shared" si="150"/>
        <v/>
      </c>
      <c r="AJ175" s="663">
        <f t="shared" si="154"/>
        <v>192.4571</v>
      </c>
      <c r="AK175" s="660">
        <f t="shared" si="155"/>
        <v>0.24379999999999999</v>
      </c>
      <c r="AL175" s="660" t="e">
        <f t="shared" si="156"/>
        <v>#VALUE!</v>
      </c>
      <c r="AM175" s="664" t="e">
        <f t="shared" si="157"/>
        <v>#VALUE!</v>
      </c>
      <c r="AN175" s="664" t="e">
        <f t="shared" si="158"/>
        <v>#VALUE!</v>
      </c>
      <c r="AO175" s="665" t="e">
        <f t="shared" si="159"/>
        <v>#VALUE!</v>
      </c>
      <c r="AP175" s="666" t="e">
        <f t="shared" si="160"/>
        <v>#VALUE!</v>
      </c>
      <c r="AQ175" s="660" t="e">
        <f t="shared" si="161"/>
        <v>#VALUE!</v>
      </c>
      <c r="AR175" s="667" t="e">
        <f t="shared" si="162"/>
        <v>#VALUE!</v>
      </c>
      <c r="AS175" s="667" t="e">
        <f t="shared" si="163"/>
        <v>#VALUE!</v>
      </c>
      <c r="AT175" s="668" t="e">
        <f t="shared" si="164"/>
        <v>#VALUE!</v>
      </c>
      <c r="AU175" s="667" t="e">
        <f t="shared" si="165"/>
        <v>#VALUE!</v>
      </c>
      <c r="AV175" s="669" t="e">
        <f t="shared" si="166"/>
        <v>#VALUE!</v>
      </c>
      <c r="AW175" s="667" t="e">
        <f t="shared" si="167"/>
        <v>#VALUE!</v>
      </c>
      <c r="AX175" s="667" t="e">
        <f t="shared" si="168"/>
        <v>#VALUE!</v>
      </c>
      <c r="AY175" s="660" t="e">
        <f t="shared" si="169"/>
        <v>#VALUE!</v>
      </c>
      <c r="AZ175" s="670" t="e">
        <f t="shared" si="170"/>
        <v>#VALUE!</v>
      </c>
      <c r="BB175" s="662" t="e">
        <f>INDEX('Barge Gauging Data'!$B$26:$V$56,MATCH($C175,'Barge Gauging Data'!$B$26:$B$56,0),$BB$18)</f>
        <v>#N/A</v>
      </c>
      <c r="BC175" s="662" t="e">
        <f>INDEX('Barge Gauging Data'!$B$26:$V$56,MATCH($C175,'Barge Gauging Data'!$B$26:$B$56,0),$BC$18)</f>
        <v>#N/A</v>
      </c>
      <c r="BD175" s="662" t="e">
        <f>INDEX('Barge Gauging Data'!$B$26:$V$56,MATCH($C175,'Barge Gauging Data'!$B$26:$B$56,0),$BD$18)</f>
        <v>#N/A</v>
      </c>
      <c r="BE175" s="662" t="e">
        <f>INDEX('Barge Gauging Data'!$B$26:$V$56,MATCH($C175,'Barge Gauging Data'!$B$26:$B$56,0),$BE$18)</f>
        <v>#N/A</v>
      </c>
    </row>
    <row r="176" spans="1:57" hidden="1">
      <c r="A176" s="641" t="str">
        <f t="shared" si="148"/>
        <v>N</v>
      </c>
      <c r="C176" s="235" t="str">
        <f t="array" ref="C176">IF(SUMPRODUCT((ISERROR(MATCH('Barge Gauging Data'!$C$27:$C$56,IF(GRADECHNO_2=2,RESIDUALS,IF(GRADECHNO_2=3,DISTILLATES,GRADESLIST)),0))=FALSE)*('Barge Gauging Data'!$D$27:$D$56=NOMN)*1)&lt;ROWS($C$160:$C176),"",INDEX('Barge Gauging Data'!$B$27:$B$56,SMALL(IF(((ISERROR(MATCH('Barge Gauging Data'!$C$27:$C$56,IF(GRADECHNO_2=2,RESIDUALS,IF(GRADECHNO_2=3,DISTILLATES,GRADESLIST)),0))=FALSE)+('Barge Gauging Data'!$D$27:$D$56=NOMN))=2,ROW('Barge Gauging Data'!$B$27:$B$56)-ROW('Barge Gauging Data'!$C$26)),ROW()-ROW(C$159))))</f>
        <v/>
      </c>
      <c r="D176" s="211" t="str">
        <f>IF(OR($C176="",$C176=0),"",INDEX('Barge Gauging Data'!$B$26:$V$56,MATCH($C176,'Barge Gauging Data'!$B$27:$B$56,0)+1,2))</f>
        <v/>
      </c>
      <c r="E176" s="1016" t="str">
        <f t="shared" si="134"/>
        <v/>
      </c>
      <c r="F176" s="1016" t="str">
        <f t="shared" si="135"/>
        <v/>
      </c>
      <c r="G176" s="1016" t="str">
        <f t="shared" si="136"/>
        <v/>
      </c>
      <c r="H176" s="1016" t="str">
        <f t="shared" si="136"/>
        <v/>
      </c>
      <c r="I176" s="211" t="str">
        <f t="shared" si="137"/>
        <v/>
      </c>
      <c r="J176" s="1016" t="str">
        <f t="shared" si="138"/>
        <v/>
      </c>
      <c r="K176" s="213" t="str">
        <f t="shared" si="139"/>
        <v/>
      </c>
      <c r="L176" s="212" t="str">
        <f t="shared" si="140"/>
        <v/>
      </c>
      <c r="M176" s="1125" t="str">
        <f>IF(OR($C176="",$C176=0),"",INDEX(API1DENST_2,MATCH($C176,'Barge Gauging Data'!$B$27:$B$56,0),$AA$1))</f>
        <v/>
      </c>
      <c r="N176" s="212" t="str">
        <f t="shared" si="141"/>
        <v/>
      </c>
      <c r="O176" s="1016" t="str">
        <f t="shared" si="172"/>
        <v/>
      </c>
      <c r="P176" s="1125" t="str">
        <f t="shared" si="173"/>
        <v/>
      </c>
      <c r="Q176" s="1016" t="str">
        <f t="shared" si="174"/>
        <v/>
      </c>
      <c r="R176" s="214" t="str">
        <f t="shared" si="175"/>
        <v/>
      </c>
      <c r="S176" s="1125" t="str">
        <f t="shared" si="176"/>
        <v/>
      </c>
      <c r="T176" s="236" t="str">
        <f t="shared" si="177"/>
        <v/>
      </c>
      <c r="V176" s="642" t="e">
        <f>INDEX('Barge Gauging Data'!$B$26:$V$56,MATCH($C176,'Barge Gauging Data'!$B$26:$B$56,0),$V$18)</f>
        <v>#N/A</v>
      </c>
      <c r="W176" s="642" t="e">
        <f>INDEX('Barge Gauging Data'!$B$26:$V$56,MATCH($C176,'Barge Gauging Data'!$B$26:$B$56,0),$W$18)</f>
        <v>#N/A</v>
      </c>
      <c r="X176" s="642" t="e">
        <f>INDEX('Barge Gauging Data'!$B$26:$V$56,MATCH($C176,'Barge Gauging Data'!$B$26:$B$56,0),$X$18)</f>
        <v>#N/A</v>
      </c>
      <c r="Y176" s="642" t="e">
        <f>INDEX('Barge Gauging Data'!$B$26:$V$56,MATCH($C176,'Barge Gauging Data'!$B$26:$B$56,0),$Y$18)</f>
        <v>#N/A</v>
      </c>
      <c r="Z176" s="642" t="e">
        <f>INDEX('Barge Gauging Data'!$B$26:$V$56,MATCH($C176,'Barge Gauging Data'!$B$26:$B$56,0),$Z$18)</f>
        <v>#N/A</v>
      </c>
      <c r="AB176" s="642" t="e">
        <f>INDEX(API1DENST_2,MATCH($C176,'Barge Gauging Data'!$B$27:$B$56,0),1)</f>
        <v>#N/A</v>
      </c>
      <c r="AC176" s="642" t="e">
        <f t="shared" si="151"/>
        <v>#N/A</v>
      </c>
      <c r="AE176" s="661" t="e">
        <f t="shared" si="152"/>
        <v>#VALUE!</v>
      </c>
      <c r="AF176" s="661" t="e">
        <f t="shared" si="153"/>
        <v>#VALUE!</v>
      </c>
      <c r="AH176" s="662" t="str">
        <f t="shared" si="149"/>
        <v/>
      </c>
      <c r="AI176" s="662" t="str">
        <f t="shared" si="150"/>
        <v/>
      </c>
      <c r="AJ176" s="663">
        <f t="shared" si="154"/>
        <v>192.4571</v>
      </c>
      <c r="AK176" s="660">
        <f t="shared" si="155"/>
        <v>0.24379999999999999</v>
      </c>
      <c r="AL176" s="660" t="e">
        <f t="shared" si="156"/>
        <v>#VALUE!</v>
      </c>
      <c r="AM176" s="664" t="e">
        <f t="shared" si="157"/>
        <v>#VALUE!</v>
      </c>
      <c r="AN176" s="664" t="e">
        <f t="shared" si="158"/>
        <v>#VALUE!</v>
      </c>
      <c r="AO176" s="665" t="e">
        <f t="shared" si="159"/>
        <v>#VALUE!</v>
      </c>
      <c r="AP176" s="666" t="e">
        <f t="shared" si="160"/>
        <v>#VALUE!</v>
      </c>
      <c r="AQ176" s="660" t="e">
        <f t="shared" si="161"/>
        <v>#VALUE!</v>
      </c>
      <c r="AR176" s="667" t="e">
        <f t="shared" si="162"/>
        <v>#VALUE!</v>
      </c>
      <c r="AS176" s="667" t="e">
        <f t="shared" si="163"/>
        <v>#VALUE!</v>
      </c>
      <c r="AT176" s="668" t="e">
        <f t="shared" si="164"/>
        <v>#VALUE!</v>
      </c>
      <c r="AU176" s="667" t="e">
        <f t="shared" si="165"/>
        <v>#VALUE!</v>
      </c>
      <c r="AV176" s="669" t="e">
        <f t="shared" si="166"/>
        <v>#VALUE!</v>
      </c>
      <c r="AW176" s="667" t="e">
        <f t="shared" si="167"/>
        <v>#VALUE!</v>
      </c>
      <c r="AX176" s="667" t="e">
        <f t="shared" si="168"/>
        <v>#VALUE!</v>
      </c>
      <c r="AY176" s="660" t="e">
        <f t="shared" si="169"/>
        <v>#VALUE!</v>
      </c>
      <c r="AZ176" s="670" t="e">
        <f t="shared" si="170"/>
        <v>#VALUE!</v>
      </c>
      <c r="BB176" s="662" t="e">
        <f>INDEX('Barge Gauging Data'!$B$26:$V$56,MATCH($C176,'Barge Gauging Data'!$B$26:$B$56,0),$BB$18)</f>
        <v>#N/A</v>
      </c>
      <c r="BC176" s="662" t="e">
        <f>INDEX('Barge Gauging Data'!$B$26:$V$56,MATCH($C176,'Barge Gauging Data'!$B$26:$B$56,0),$BC$18)</f>
        <v>#N/A</v>
      </c>
      <c r="BD176" s="662" t="e">
        <f>INDEX('Barge Gauging Data'!$B$26:$V$56,MATCH($C176,'Barge Gauging Data'!$B$26:$B$56,0),$BD$18)</f>
        <v>#N/A</v>
      </c>
      <c r="BE176" s="662" t="e">
        <f>INDEX('Barge Gauging Data'!$B$26:$V$56,MATCH($C176,'Barge Gauging Data'!$B$26:$B$56,0),$BE$18)</f>
        <v>#N/A</v>
      </c>
    </row>
    <row r="177" spans="1:57" hidden="1">
      <c r="A177" s="641" t="str">
        <f t="shared" si="148"/>
        <v>N</v>
      </c>
      <c r="C177" s="235" t="str">
        <f t="array" ref="C177">IF(SUMPRODUCT((ISERROR(MATCH('Barge Gauging Data'!$C$27:$C$56,IF(GRADECHNO_2=2,RESIDUALS,IF(GRADECHNO_2=3,DISTILLATES,GRADESLIST)),0))=FALSE)*('Barge Gauging Data'!$D$27:$D$56=NOMN)*1)&lt;ROWS($C$160:$C177),"",INDEX('Barge Gauging Data'!$B$27:$B$56,SMALL(IF(((ISERROR(MATCH('Barge Gauging Data'!$C$27:$C$56,IF(GRADECHNO_2=2,RESIDUALS,IF(GRADECHNO_2=3,DISTILLATES,GRADESLIST)),0))=FALSE)+('Barge Gauging Data'!$D$27:$D$56=NOMN))=2,ROW('Barge Gauging Data'!$B$27:$B$56)-ROW('Barge Gauging Data'!$C$26)),ROW()-ROW(C$159))))</f>
        <v/>
      </c>
      <c r="D177" s="211" t="str">
        <f>IF(OR($C177="",$C177=0),"",INDEX('Barge Gauging Data'!$B$26:$V$56,MATCH($C177,'Barge Gauging Data'!$B$27:$B$56,0)+1,2))</f>
        <v/>
      </c>
      <c r="E177" s="1016" t="str">
        <f t="shared" si="134"/>
        <v/>
      </c>
      <c r="F177" s="1016" t="str">
        <f t="shared" si="135"/>
        <v/>
      </c>
      <c r="G177" s="1016" t="str">
        <f t="shared" si="136"/>
        <v/>
      </c>
      <c r="H177" s="1016" t="str">
        <f t="shared" si="136"/>
        <v/>
      </c>
      <c r="I177" s="211" t="str">
        <f t="shared" si="137"/>
        <v/>
      </c>
      <c r="J177" s="1016" t="str">
        <f t="shared" si="138"/>
        <v/>
      </c>
      <c r="K177" s="213" t="str">
        <f t="shared" si="139"/>
        <v/>
      </c>
      <c r="L177" s="212" t="str">
        <f t="shared" si="140"/>
        <v/>
      </c>
      <c r="M177" s="1125" t="str">
        <f>IF(OR($C177="",$C177=0),"",INDEX(API1DENST_2,MATCH($C177,'Barge Gauging Data'!$B$27:$B$56,0),$AA$1))</f>
        <v/>
      </c>
      <c r="N177" s="212" t="str">
        <f t="shared" si="141"/>
        <v/>
      </c>
      <c r="O177" s="1016" t="str">
        <f t="shared" si="172"/>
        <v/>
      </c>
      <c r="P177" s="1125" t="str">
        <f t="shared" si="173"/>
        <v/>
      </c>
      <c r="Q177" s="1016" t="str">
        <f t="shared" si="174"/>
        <v/>
      </c>
      <c r="R177" s="214" t="str">
        <f t="shared" si="175"/>
        <v/>
      </c>
      <c r="S177" s="1125" t="str">
        <f t="shared" si="176"/>
        <v/>
      </c>
      <c r="T177" s="236" t="str">
        <f t="shared" si="177"/>
        <v/>
      </c>
      <c r="V177" s="642" t="e">
        <f>INDEX('Barge Gauging Data'!$B$26:$V$56,MATCH($C177,'Barge Gauging Data'!$B$26:$B$56,0),$V$18)</f>
        <v>#N/A</v>
      </c>
      <c r="W177" s="642" t="e">
        <f>INDEX('Barge Gauging Data'!$B$26:$V$56,MATCH($C177,'Barge Gauging Data'!$B$26:$B$56,0),$W$18)</f>
        <v>#N/A</v>
      </c>
      <c r="X177" s="642" t="e">
        <f>INDEX('Barge Gauging Data'!$B$26:$V$56,MATCH($C177,'Barge Gauging Data'!$B$26:$B$56,0),$X$18)</f>
        <v>#N/A</v>
      </c>
      <c r="Y177" s="642" t="e">
        <f>INDEX('Barge Gauging Data'!$B$26:$V$56,MATCH($C177,'Barge Gauging Data'!$B$26:$B$56,0),$Y$18)</f>
        <v>#N/A</v>
      </c>
      <c r="Z177" s="642" t="e">
        <f>INDEX('Barge Gauging Data'!$B$26:$V$56,MATCH($C177,'Barge Gauging Data'!$B$26:$B$56,0),$Z$18)</f>
        <v>#N/A</v>
      </c>
      <c r="AB177" s="642" t="e">
        <f>INDEX(API1DENST_2,MATCH($C177,'Barge Gauging Data'!$B$27:$B$56,0),1)</f>
        <v>#N/A</v>
      </c>
      <c r="AC177" s="642" t="e">
        <f t="shared" si="151"/>
        <v>#N/A</v>
      </c>
      <c r="AE177" s="661" t="e">
        <f t="shared" si="152"/>
        <v>#VALUE!</v>
      </c>
      <c r="AF177" s="661" t="e">
        <f t="shared" si="153"/>
        <v>#VALUE!</v>
      </c>
      <c r="AH177" s="662" t="str">
        <f t="shared" si="149"/>
        <v/>
      </c>
      <c r="AI177" s="662" t="str">
        <f t="shared" si="150"/>
        <v/>
      </c>
      <c r="AJ177" s="663">
        <f t="shared" si="154"/>
        <v>192.4571</v>
      </c>
      <c r="AK177" s="660">
        <f t="shared" si="155"/>
        <v>0.24379999999999999</v>
      </c>
      <c r="AL177" s="660" t="e">
        <f t="shared" si="156"/>
        <v>#VALUE!</v>
      </c>
      <c r="AM177" s="664" t="e">
        <f t="shared" si="157"/>
        <v>#VALUE!</v>
      </c>
      <c r="AN177" s="664" t="e">
        <f t="shared" si="158"/>
        <v>#VALUE!</v>
      </c>
      <c r="AO177" s="665" t="e">
        <f t="shared" si="159"/>
        <v>#VALUE!</v>
      </c>
      <c r="AP177" s="666" t="e">
        <f t="shared" si="160"/>
        <v>#VALUE!</v>
      </c>
      <c r="AQ177" s="660" t="e">
        <f t="shared" si="161"/>
        <v>#VALUE!</v>
      </c>
      <c r="AR177" s="667" t="e">
        <f t="shared" si="162"/>
        <v>#VALUE!</v>
      </c>
      <c r="AS177" s="667" t="e">
        <f t="shared" si="163"/>
        <v>#VALUE!</v>
      </c>
      <c r="AT177" s="668" t="e">
        <f t="shared" si="164"/>
        <v>#VALUE!</v>
      </c>
      <c r="AU177" s="667" t="e">
        <f t="shared" si="165"/>
        <v>#VALUE!</v>
      </c>
      <c r="AV177" s="669" t="e">
        <f t="shared" si="166"/>
        <v>#VALUE!</v>
      </c>
      <c r="AW177" s="667" t="e">
        <f t="shared" si="167"/>
        <v>#VALUE!</v>
      </c>
      <c r="AX177" s="667" t="e">
        <f t="shared" si="168"/>
        <v>#VALUE!</v>
      </c>
      <c r="AY177" s="660" t="e">
        <f t="shared" si="169"/>
        <v>#VALUE!</v>
      </c>
      <c r="AZ177" s="670" t="e">
        <f t="shared" si="170"/>
        <v>#VALUE!</v>
      </c>
      <c r="BB177" s="662" t="e">
        <f>INDEX('Barge Gauging Data'!$B$26:$V$56,MATCH($C177,'Barge Gauging Data'!$B$26:$B$56,0),$BB$18)</f>
        <v>#N/A</v>
      </c>
      <c r="BC177" s="662" t="e">
        <f>INDEX('Barge Gauging Data'!$B$26:$V$56,MATCH($C177,'Barge Gauging Data'!$B$26:$B$56,0),$BC$18)</f>
        <v>#N/A</v>
      </c>
      <c r="BD177" s="662" t="e">
        <f>INDEX('Barge Gauging Data'!$B$26:$V$56,MATCH($C177,'Barge Gauging Data'!$B$26:$B$56,0),$BD$18)</f>
        <v>#N/A</v>
      </c>
      <c r="BE177" s="662" t="e">
        <f>INDEX('Barge Gauging Data'!$B$26:$V$56,MATCH($C177,'Barge Gauging Data'!$B$26:$B$56,0),$BE$18)</f>
        <v>#N/A</v>
      </c>
    </row>
    <row r="178" spans="1:57" hidden="1">
      <c r="A178" s="641" t="str">
        <f t="shared" si="148"/>
        <v>N</v>
      </c>
      <c r="C178" s="235" t="str">
        <f t="array" ref="C178">IF(SUMPRODUCT((ISERROR(MATCH('Barge Gauging Data'!$C$27:$C$56,IF(GRADECHNO_2=2,RESIDUALS,IF(GRADECHNO_2=3,DISTILLATES,GRADESLIST)),0))=FALSE)*('Barge Gauging Data'!$D$27:$D$56=NOMN)*1)&lt;ROWS($C$160:$C178),"",INDEX('Barge Gauging Data'!$B$27:$B$56,SMALL(IF(((ISERROR(MATCH('Barge Gauging Data'!$C$27:$C$56,IF(GRADECHNO_2=2,RESIDUALS,IF(GRADECHNO_2=3,DISTILLATES,GRADESLIST)),0))=FALSE)+('Barge Gauging Data'!$D$27:$D$56=NOMN))=2,ROW('Barge Gauging Data'!$B$27:$B$56)-ROW('Barge Gauging Data'!$C$26)),ROW()-ROW(C$159))))</f>
        <v/>
      </c>
      <c r="D178" s="211" t="str">
        <f>IF(OR($C178="",$C178=0),"",INDEX('Barge Gauging Data'!$B$26:$V$56,MATCH($C178,'Barge Gauging Data'!$B$27:$B$56,0)+1,2))</f>
        <v/>
      </c>
      <c r="E178" s="1016" t="str">
        <f t="shared" si="134"/>
        <v/>
      </c>
      <c r="F178" s="1016" t="str">
        <f t="shared" si="135"/>
        <v/>
      </c>
      <c r="G178" s="1016" t="str">
        <f t="shared" si="136"/>
        <v/>
      </c>
      <c r="H178" s="1016" t="str">
        <f t="shared" si="136"/>
        <v/>
      </c>
      <c r="I178" s="211" t="str">
        <f t="shared" si="137"/>
        <v/>
      </c>
      <c r="J178" s="1016" t="str">
        <f t="shared" si="138"/>
        <v/>
      </c>
      <c r="K178" s="213" t="str">
        <f t="shared" si="139"/>
        <v/>
      </c>
      <c r="L178" s="212" t="str">
        <f t="shared" si="140"/>
        <v/>
      </c>
      <c r="M178" s="1125" t="str">
        <f>IF(OR($C178="",$C178=0),"",INDEX(API1DENST_2,MATCH($C178,'Barge Gauging Data'!$B$27:$B$56,0),$AA$1))</f>
        <v/>
      </c>
      <c r="N178" s="212" t="str">
        <f t="shared" si="141"/>
        <v/>
      </c>
      <c r="O178" s="1016" t="str">
        <f t="shared" si="172"/>
        <v/>
      </c>
      <c r="P178" s="1125" t="str">
        <f t="shared" si="173"/>
        <v/>
      </c>
      <c r="Q178" s="1016" t="str">
        <f t="shared" si="174"/>
        <v/>
      </c>
      <c r="R178" s="214" t="str">
        <f t="shared" si="175"/>
        <v/>
      </c>
      <c r="S178" s="1125" t="str">
        <f t="shared" si="176"/>
        <v/>
      </c>
      <c r="T178" s="236" t="str">
        <f t="shared" si="177"/>
        <v/>
      </c>
      <c r="V178" s="642" t="e">
        <f>INDEX('Barge Gauging Data'!$B$26:$V$56,MATCH($C178,'Barge Gauging Data'!$B$26:$B$56,0),$V$18)</f>
        <v>#N/A</v>
      </c>
      <c r="W178" s="642" t="e">
        <f>INDEX('Barge Gauging Data'!$B$26:$V$56,MATCH($C178,'Barge Gauging Data'!$B$26:$B$56,0),$W$18)</f>
        <v>#N/A</v>
      </c>
      <c r="X178" s="642" t="e">
        <f>INDEX('Barge Gauging Data'!$B$26:$V$56,MATCH($C178,'Barge Gauging Data'!$B$26:$B$56,0),$X$18)</f>
        <v>#N/A</v>
      </c>
      <c r="Y178" s="642" t="e">
        <f>INDEX('Barge Gauging Data'!$B$26:$V$56,MATCH($C178,'Barge Gauging Data'!$B$26:$B$56,0),$Y$18)</f>
        <v>#N/A</v>
      </c>
      <c r="Z178" s="642" t="e">
        <f>INDEX('Barge Gauging Data'!$B$26:$V$56,MATCH($C178,'Barge Gauging Data'!$B$26:$B$56,0),$Z$18)</f>
        <v>#N/A</v>
      </c>
      <c r="AB178" s="642" t="e">
        <f>INDEX(API1DENST_2,MATCH($C178,'Barge Gauging Data'!$B$27:$B$56,0),1)</f>
        <v>#N/A</v>
      </c>
      <c r="AC178" s="642" t="e">
        <f t="shared" si="151"/>
        <v>#N/A</v>
      </c>
      <c r="AE178" s="661" t="e">
        <f t="shared" si="152"/>
        <v>#VALUE!</v>
      </c>
      <c r="AF178" s="661" t="e">
        <f t="shared" si="153"/>
        <v>#VALUE!</v>
      </c>
      <c r="AH178" s="662" t="str">
        <f t="shared" si="149"/>
        <v/>
      </c>
      <c r="AI178" s="662" t="str">
        <f t="shared" si="150"/>
        <v/>
      </c>
      <c r="AJ178" s="663">
        <f t="shared" si="154"/>
        <v>192.4571</v>
      </c>
      <c r="AK178" s="660">
        <f t="shared" si="155"/>
        <v>0.24379999999999999</v>
      </c>
      <c r="AL178" s="660" t="e">
        <f t="shared" si="156"/>
        <v>#VALUE!</v>
      </c>
      <c r="AM178" s="664" t="e">
        <f t="shared" si="157"/>
        <v>#VALUE!</v>
      </c>
      <c r="AN178" s="664" t="e">
        <f t="shared" si="158"/>
        <v>#VALUE!</v>
      </c>
      <c r="AO178" s="665" t="e">
        <f t="shared" si="159"/>
        <v>#VALUE!</v>
      </c>
      <c r="AP178" s="666" t="e">
        <f t="shared" si="160"/>
        <v>#VALUE!</v>
      </c>
      <c r="AQ178" s="660" t="e">
        <f t="shared" si="161"/>
        <v>#VALUE!</v>
      </c>
      <c r="AR178" s="667" t="e">
        <f t="shared" si="162"/>
        <v>#VALUE!</v>
      </c>
      <c r="AS178" s="667" t="e">
        <f t="shared" si="163"/>
        <v>#VALUE!</v>
      </c>
      <c r="AT178" s="668" t="e">
        <f t="shared" si="164"/>
        <v>#VALUE!</v>
      </c>
      <c r="AU178" s="667" t="e">
        <f t="shared" si="165"/>
        <v>#VALUE!</v>
      </c>
      <c r="AV178" s="669" t="e">
        <f t="shared" si="166"/>
        <v>#VALUE!</v>
      </c>
      <c r="AW178" s="667" t="e">
        <f t="shared" si="167"/>
        <v>#VALUE!</v>
      </c>
      <c r="AX178" s="667" t="e">
        <f t="shared" si="168"/>
        <v>#VALUE!</v>
      </c>
      <c r="AY178" s="660" t="e">
        <f t="shared" si="169"/>
        <v>#VALUE!</v>
      </c>
      <c r="AZ178" s="670" t="e">
        <f t="shared" si="170"/>
        <v>#VALUE!</v>
      </c>
      <c r="BB178" s="662" t="e">
        <f>INDEX('Barge Gauging Data'!$B$26:$V$56,MATCH($C178,'Barge Gauging Data'!$B$26:$B$56,0),$BB$18)</f>
        <v>#N/A</v>
      </c>
      <c r="BC178" s="662" t="e">
        <f>INDEX('Barge Gauging Data'!$B$26:$V$56,MATCH($C178,'Barge Gauging Data'!$B$26:$B$56,0),$BC$18)</f>
        <v>#N/A</v>
      </c>
      <c r="BD178" s="662" t="e">
        <f>INDEX('Barge Gauging Data'!$B$26:$V$56,MATCH($C178,'Barge Gauging Data'!$B$26:$B$56,0),$BD$18)</f>
        <v>#N/A</v>
      </c>
      <c r="BE178" s="662" t="e">
        <f>INDEX('Barge Gauging Data'!$B$26:$V$56,MATCH($C178,'Barge Gauging Data'!$B$26:$B$56,0),$BE$18)</f>
        <v>#N/A</v>
      </c>
    </row>
    <row r="179" spans="1:57" hidden="1">
      <c r="A179" s="641" t="str">
        <f t="shared" si="148"/>
        <v>N</v>
      </c>
      <c r="C179" s="235" t="str">
        <f t="array" ref="C179">IF(SUMPRODUCT((ISERROR(MATCH('Barge Gauging Data'!$C$27:$C$56,IF(GRADECHNO_2=2,RESIDUALS,IF(GRADECHNO_2=3,DISTILLATES,GRADESLIST)),0))=FALSE)*('Barge Gauging Data'!$D$27:$D$56=NOMN)*1)&lt;ROWS($C$160:$C179),"",INDEX('Barge Gauging Data'!$B$27:$B$56,SMALL(IF(((ISERROR(MATCH('Barge Gauging Data'!$C$27:$C$56,IF(GRADECHNO_2=2,RESIDUALS,IF(GRADECHNO_2=3,DISTILLATES,GRADESLIST)),0))=FALSE)+('Barge Gauging Data'!$D$27:$D$56=NOMN))=2,ROW('Barge Gauging Data'!$B$27:$B$56)-ROW('Barge Gauging Data'!$C$26)),ROW()-ROW(C$159))))</f>
        <v/>
      </c>
      <c r="D179" s="211" t="str">
        <f>IF(OR($C179="",$C179=0),"",INDEX('Barge Gauging Data'!$B$26:$V$56,MATCH($C179,'Barge Gauging Data'!$B$27:$B$56,0)+1,2))</f>
        <v/>
      </c>
      <c r="E179" s="1016" t="str">
        <f t="shared" si="134"/>
        <v/>
      </c>
      <c r="F179" s="1016" t="str">
        <f t="shared" si="135"/>
        <v/>
      </c>
      <c r="G179" s="1016" t="str">
        <f t="shared" si="136"/>
        <v/>
      </c>
      <c r="H179" s="1016" t="str">
        <f t="shared" si="136"/>
        <v/>
      </c>
      <c r="I179" s="211" t="str">
        <f t="shared" si="137"/>
        <v/>
      </c>
      <c r="J179" s="1016" t="str">
        <f t="shared" si="138"/>
        <v/>
      </c>
      <c r="K179" s="213" t="str">
        <f t="shared" si="139"/>
        <v/>
      </c>
      <c r="L179" s="212" t="str">
        <f t="shared" si="140"/>
        <v/>
      </c>
      <c r="M179" s="1125" t="str">
        <f>IF(OR($C179="",$C179=0),"",INDEX(API1DENST_2,MATCH($C179,'Barge Gauging Data'!$B$27:$B$56,0),$AA$1))</f>
        <v/>
      </c>
      <c r="N179" s="212" t="str">
        <f t="shared" si="141"/>
        <v/>
      </c>
      <c r="O179" s="1016" t="str">
        <f t="shared" si="172"/>
        <v/>
      </c>
      <c r="P179" s="1125" t="str">
        <f t="shared" si="173"/>
        <v/>
      </c>
      <c r="Q179" s="1016" t="str">
        <f t="shared" si="174"/>
        <v/>
      </c>
      <c r="R179" s="214" t="str">
        <f t="shared" si="175"/>
        <v/>
      </c>
      <c r="S179" s="1125" t="str">
        <f t="shared" si="176"/>
        <v/>
      </c>
      <c r="T179" s="236" t="str">
        <f t="shared" si="177"/>
        <v/>
      </c>
      <c r="V179" s="642" t="e">
        <f>INDEX('Barge Gauging Data'!$B$26:$V$56,MATCH($C179,'Barge Gauging Data'!$B$26:$B$56,0),$V$18)</f>
        <v>#N/A</v>
      </c>
      <c r="W179" s="642" t="e">
        <f>INDEX('Barge Gauging Data'!$B$26:$V$56,MATCH($C179,'Barge Gauging Data'!$B$26:$B$56,0),$W$18)</f>
        <v>#N/A</v>
      </c>
      <c r="X179" s="642" t="e">
        <f>INDEX('Barge Gauging Data'!$B$26:$V$56,MATCH($C179,'Barge Gauging Data'!$B$26:$B$56,0),$X$18)</f>
        <v>#N/A</v>
      </c>
      <c r="Y179" s="642" t="e">
        <f>INDEX('Barge Gauging Data'!$B$26:$V$56,MATCH($C179,'Barge Gauging Data'!$B$26:$B$56,0),$Y$18)</f>
        <v>#N/A</v>
      </c>
      <c r="Z179" s="642" t="e">
        <f>INDEX('Barge Gauging Data'!$B$26:$V$56,MATCH($C179,'Barge Gauging Data'!$B$26:$B$56,0),$Z$18)</f>
        <v>#N/A</v>
      </c>
      <c r="AB179" s="642" t="e">
        <f>INDEX(API1DENST_2,MATCH($C179,'Barge Gauging Data'!$B$27:$B$56,0),1)</f>
        <v>#N/A</v>
      </c>
      <c r="AC179" s="642" t="e">
        <f t="shared" si="151"/>
        <v>#N/A</v>
      </c>
      <c r="AE179" s="661" t="e">
        <f t="shared" si="152"/>
        <v>#VALUE!</v>
      </c>
      <c r="AF179" s="661" t="e">
        <f t="shared" si="153"/>
        <v>#VALUE!</v>
      </c>
      <c r="AH179" s="662" t="str">
        <f t="shared" si="149"/>
        <v/>
      </c>
      <c r="AI179" s="662" t="str">
        <f t="shared" si="150"/>
        <v/>
      </c>
      <c r="AJ179" s="663">
        <f t="shared" si="154"/>
        <v>192.4571</v>
      </c>
      <c r="AK179" s="660">
        <f t="shared" si="155"/>
        <v>0.24379999999999999</v>
      </c>
      <c r="AL179" s="660" t="e">
        <f t="shared" si="156"/>
        <v>#VALUE!</v>
      </c>
      <c r="AM179" s="664" t="e">
        <f t="shared" si="157"/>
        <v>#VALUE!</v>
      </c>
      <c r="AN179" s="664" t="e">
        <f t="shared" si="158"/>
        <v>#VALUE!</v>
      </c>
      <c r="AO179" s="665" t="e">
        <f t="shared" si="159"/>
        <v>#VALUE!</v>
      </c>
      <c r="AP179" s="666" t="e">
        <f t="shared" si="160"/>
        <v>#VALUE!</v>
      </c>
      <c r="AQ179" s="660" t="e">
        <f t="shared" si="161"/>
        <v>#VALUE!</v>
      </c>
      <c r="AR179" s="667" t="e">
        <f t="shared" si="162"/>
        <v>#VALUE!</v>
      </c>
      <c r="AS179" s="667" t="e">
        <f t="shared" si="163"/>
        <v>#VALUE!</v>
      </c>
      <c r="AT179" s="668" t="e">
        <f t="shared" si="164"/>
        <v>#VALUE!</v>
      </c>
      <c r="AU179" s="667" t="e">
        <f t="shared" si="165"/>
        <v>#VALUE!</v>
      </c>
      <c r="AV179" s="669" t="e">
        <f t="shared" si="166"/>
        <v>#VALUE!</v>
      </c>
      <c r="AW179" s="667" t="e">
        <f t="shared" si="167"/>
        <v>#VALUE!</v>
      </c>
      <c r="AX179" s="667" t="e">
        <f t="shared" si="168"/>
        <v>#VALUE!</v>
      </c>
      <c r="AY179" s="660" t="e">
        <f t="shared" si="169"/>
        <v>#VALUE!</v>
      </c>
      <c r="AZ179" s="670" t="e">
        <f t="shared" si="170"/>
        <v>#VALUE!</v>
      </c>
      <c r="BB179" s="662" t="e">
        <f>INDEX('Barge Gauging Data'!$B$26:$V$56,MATCH($C179,'Barge Gauging Data'!$B$26:$B$56,0),$BB$18)</f>
        <v>#N/A</v>
      </c>
      <c r="BC179" s="662" t="e">
        <f>INDEX('Barge Gauging Data'!$B$26:$V$56,MATCH($C179,'Barge Gauging Data'!$B$26:$B$56,0),$BC$18)</f>
        <v>#N/A</v>
      </c>
      <c r="BD179" s="662" t="e">
        <f>INDEX('Barge Gauging Data'!$B$26:$V$56,MATCH($C179,'Barge Gauging Data'!$B$26:$B$56,0),$BD$18)</f>
        <v>#N/A</v>
      </c>
      <c r="BE179" s="662" t="e">
        <f>INDEX('Barge Gauging Data'!$B$26:$V$56,MATCH($C179,'Barge Gauging Data'!$B$26:$B$56,0),$BE$18)</f>
        <v>#N/A</v>
      </c>
    </row>
    <row r="180" spans="1:57" hidden="1">
      <c r="A180" s="641" t="str">
        <f t="shared" si="148"/>
        <v>N</v>
      </c>
      <c r="C180" s="235" t="str">
        <f t="array" ref="C180">IF(SUMPRODUCT((ISERROR(MATCH('Barge Gauging Data'!$C$27:$C$56,IF(GRADECHNO_2=2,RESIDUALS,IF(GRADECHNO_2=3,DISTILLATES,GRADESLIST)),0))=FALSE)*('Barge Gauging Data'!$D$27:$D$56=NOMN)*1)&lt;ROWS($C$160:$C180),"",INDEX('Barge Gauging Data'!$B$27:$B$56,SMALL(IF(((ISERROR(MATCH('Barge Gauging Data'!$C$27:$C$56,IF(GRADECHNO_2=2,RESIDUALS,IF(GRADECHNO_2=3,DISTILLATES,GRADESLIST)),0))=FALSE)+('Barge Gauging Data'!$D$27:$D$56=NOMN))=2,ROW('Barge Gauging Data'!$B$27:$B$56)-ROW('Barge Gauging Data'!$C$26)),ROW()-ROW(C$159))))</f>
        <v/>
      </c>
      <c r="D180" s="211" t="str">
        <f>IF(OR($C180="",$C180=0),"",INDEX('Barge Gauging Data'!$B$26:$V$56,MATCH($C180,'Barge Gauging Data'!$B$27:$B$56,0)+1,2))</f>
        <v/>
      </c>
      <c r="E180" s="1016" t="str">
        <f t="shared" si="134"/>
        <v/>
      </c>
      <c r="F180" s="1016" t="str">
        <f t="shared" si="135"/>
        <v/>
      </c>
      <c r="G180" s="1016" t="str">
        <f t="shared" si="136"/>
        <v/>
      </c>
      <c r="H180" s="1016" t="str">
        <f t="shared" si="136"/>
        <v/>
      </c>
      <c r="I180" s="211" t="str">
        <f t="shared" si="137"/>
        <v/>
      </c>
      <c r="J180" s="1016" t="str">
        <f t="shared" si="138"/>
        <v/>
      </c>
      <c r="K180" s="213" t="str">
        <f t="shared" si="139"/>
        <v/>
      </c>
      <c r="L180" s="212" t="str">
        <f t="shared" si="140"/>
        <v/>
      </c>
      <c r="M180" s="1125" t="str">
        <f>IF(OR($C180="",$C180=0),"",INDEX(API1DENST_2,MATCH($C180,'Barge Gauging Data'!$B$27:$B$56,0),$AA$1))</f>
        <v/>
      </c>
      <c r="N180" s="212" t="str">
        <f t="shared" si="141"/>
        <v/>
      </c>
      <c r="O180" s="1016" t="str">
        <f t="shared" si="172"/>
        <v/>
      </c>
      <c r="P180" s="1125" t="str">
        <f t="shared" si="173"/>
        <v/>
      </c>
      <c r="Q180" s="1016" t="str">
        <f t="shared" si="174"/>
        <v/>
      </c>
      <c r="R180" s="214" t="str">
        <f t="shared" si="175"/>
        <v/>
      </c>
      <c r="S180" s="1125" t="str">
        <f t="shared" si="176"/>
        <v/>
      </c>
      <c r="T180" s="236" t="str">
        <f t="shared" si="177"/>
        <v/>
      </c>
      <c r="V180" s="642" t="e">
        <f>INDEX('Barge Gauging Data'!$B$26:$V$56,MATCH($C180,'Barge Gauging Data'!$B$26:$B$56,0),$V$18)</f>
        <v>#N/A</v>
      </c>
      <c r="W180" s="642" t="e">
        <f>INDEX('Barge Gauging Data'!$B$26:$V$56,MATCH($C180,'Barge Gauging Data'!$B$26:$B$56,0),$W$18)</f>
        <v>#N/A</v>
      </c>
      <c r="X180" s="642" t="e">
        <f>INDEX('Barge Gauging Data'!$B$26:$V$56,MATCH($C180,'Barge Gauging Data'!$B$26:$B$56,0),$X$18)</f>
        <v>#N/A</v>
      </c>
      <c r="Y180" s="642" t="e">
        <f>INDEX('Barge Gauging Data'!$B$26:$V$56,MATCH($C180,'Barge Gauging Data'!$B$26:$B$56,0),$Y$18)</f>
        <v>#N/A</v>
      </c>
      <c r="Z180" s="642" t="e">
        <f>INDEX('Barge Gauging Data'!$B$26:$V$56,MATCH($C180,'Barge Gauging Data'!$B$26:$B$56,0),$Z$18)</f>
        <v>#N/A</v>
      </c>
      <c r="AB180" s="642" t="e">
        <f>INDEX(API1DENST_2,MATCH($C180,'Barge Gauging Data'!$B$27:$B$56,0),1)</f>
        <v>#N/A</v>
      </c>
      <c r="AC180" s="642" t="e">
        <f t="shared" si="151"/>
        <v>#N/A</v>
      </c>
      <c r="AE180" s="661" t="e">
        <f t="shared" si="152"/>
        <v>#VALUE!</v>
      </c>
      <c r="AF180" s="661" t="e">
        <f t="shared" si="153"/>
        <v>#VALUE!</v>
      </c>
      <c r="AH180" s="662" t="str">
        <f t="shared" si="149"/>
        <v/>
      </c>
      <c r="AI180" s="662" t="str">
        <f t="shared" si="150"/>
        <v/>
      </c>
      <c r="AJ180" s="663">
        <f t="shared" si="154"/>
        <v>192.4571</v>
      </c>
      <c r="AK180" s="660">
        <f t="shared" si="155"/>
        <v>0.24379999999999999</v>
      </c>
      <c r="AL180" s="660" t="e">
        <f t="shared" si="156"/>
        <v>#VALUE!</v>
      </c>
      <c r="AM180" s="664" t="e">
        <f t="shared" si="157"/>
        <v>#VALUE!</v>
      </c>
      <c r="AN180" s="664" t="e">
        <f t="shared" si="158"/>
        <v>#VALUE!</v>
      </c>
      <c r="AO180" s="665" t="e">
        <f t="shared" si="159"/>
        <v>#VALUE!</v>
      </c>
      <c r="AP180" s="666" t="e">
        <f t="shared" si="160"/>
        <v>#VALUE!</v>
      </c>
      <c r="AQ180" s="660" t="e">
        <f t="shared" si="161"/>
        <v>#VALUE!</v>
      </c>
      <c r="AR180" s="667" t="e">
        <f t="shared" si="162"/>
        <v>#VALUE!</v>
      </c>
      <c r="AS180" s="667" t="e">
        <f t="shared" si="163"/>
        <v>#VALUE!</v>
      </c>
      <c r="AT180" s="668" t="e">
        <f t="shared" si="164"/>
        <v>#VALUE!</v>
      </c>
      <c r="AU180" s="667" t="e">
        <f t="shared" si="165"/>
        <v>#VALUE!</v>
      </c>
      <c r="AV180" s="669" t="e">
        <f t="shared" si="166"/>
        <v>#VALUE!</v>
      </c>
      <c r="AW180" s="667" t="e">
        <f t="shared" si="167"/>
        <v>#VALUE!</v>
      </c>
      <c r="AX180" s="667" t="e">
        <f t="shared" si="168"/>
        <v>#VALUE!</v>
      </c>
      <c r="AY180" s="660" t="e">
        <f t="shared" si="169"/>
        <v>#VALUE!</v>
      </c>
      <c r="AZ180" s="670" t="e">
        <f t="shared" si="170"/>
        <v>#VALUE!</v>
      </c>
      <c r="BB180" s="662" t="e">
        <f>INDEX('Barge Gauging Data'!$B$26:$V$56,MATCH($C180,'Barge Gauging Data'!$B$26:$B$56,0),$BB$18)</f>
        <v>#N/A</v>
      </c>
      <c r="BC180" s="662" t="e">
        <f>INDEX('Barge Gauging Data'!$B$26:$V$56,MATCH($C180,'Barge Gauging Data'!$B$26:$B$56,0),$BC$18)</f>
        <v>#N/A</v>
      </c>
      <c r="BD180" s="662" t="e">
        <f>INDEX('Barge Gauging Data'!$B$26:$V$56,MATCH($C180,'Barge Gauging Data'!$B$26:$B$56,0),$BD$18)</f>
        <v>#N/A</v>
      </c>
      <c r="BE180" s="662" t="e">
        <f>INDEX('Barge Gauging Data'!$B$26:$V$56,MATCH($C180,'Barge Gauging Data'!$B$26:$B$56,0),$BE$18)</f>
        <v>#N/A</v>
      </c>
    </row>
    <row r="181" spans="1:57" hidden="1">
      <c r="A181" s="641" t="str">
        <f t="shared" si="148"/>
        <v>N</v>
      </c>
      <c r="C181" s="235" t="str">
        <f t="array" ref="C181">IF(SUMPRODUCT((ISERROR(MATCH('Barge Gauging Data'!$C$27:$C$56,IF(GRADECHNO_2=2,RESIDUALS,IF(GRADECHNO_2=3,DISTILLATES,GRADESLIST)),0))=FALSE)*('Barge Gauging Data'!$D$27:$D$56=NOMN)*1)&lt;ROWS($C$160:$C181),"",INDEX('Barge Gauging Data'!$B$27:$B$56,SMALL(IF(((ISERROR(MATCH('Barge Gauging Data'!$C$27:$C$56,IF(GRADECHNO_2=2,RESIDUALS,IF(GRADECHNO_2=3,DISTILLATES,GRADESLIST)),0))=FALSE)+('Barge Gauging Data'!$D$27:$D$56=NOMN))=2,ROW('Barge Gauging Data'!$B$27:$B$56)-ROW('Barge Gauging Data'!$C$26)),ROW()-ROW(C$159))))</f>
        <v/>
      </c>
      <c r="D181" s="211" t="str">
        <f>IF(OR($C181="",$C181=0),"",INDEX('Barge Gauging Data'!$B$26:$V$56,MATCH($C181,'Barge Gauging Data'!$B$27:$B$56,0)+1,2))</f>
        <v/>
      </c>
      <c r="E181" s="1016" t="str">
        <f t="shared" si="134"/>
        <v/>
      </c>
      <c r="F181" s="1016" t="str">
        <f t="shared" si="135"/>
        <v/>
      </c>
      <c r="G181" s="1016" t="str">
        <f t="shared" si="136"/>
        <v/>
      </c>
      <c r="H181" s="1016" t="str">
        <f t="shared" si="136"/>
        <v/>
      </c>
      <c r="I181" s="211" t="str">
        <f t="shared" si="137"/>
        <v/>
      </c>
      <c r="J181" s="1016" t="str">
        <f t="shared" si="138"/>
        <v/>
      </c>
      <c r="K181" s="213" t="str">
        <f t="shared" si="139"/>
        <v/>
      </c>
      <c r="L181" s="212" t="str">
        <f t="shared" si="140"/>
        <v/>
      </c>
      <c r="M181" s="1125" t="str">
        <f>IF(OR($C181="",$C181=0),"",INDEX(API1DENST_2,MATCH($C181,'Barge Gauging Data'!$B$27:$B$56,0),$AA$1))</f>
        <v/>
      </c>
      <c r="N181" s="212" t="str">
        <f t="shared" si="141"/>
        <v/>
      </c>
      <c r="O181" s="1016" t="str">
        <f t="shared" si="172"/>
        <v/>
      </c>
      <c r="P181" s="1125" t="str">
        <f t="shared" si="173"/>
        <v/>
      </c>
      <c r="Q181" s="1016" t="str">
        <f t="shared" si="174"/>
        <v/>
      </c>
      <c r="R181" s="214" t="str">
        <f t="shared" si="175"/>
        <v/>
      </c>
      <c r="S181" s="1125" t="str">
        <f t="shared" si="176"/>
        <v/>
      </c>
      <c r="T181" s="236" t="str">
        <f t="shared" si="177"/>
        <v/>
      </c>
      <c r="V181" s="642" t="e">
        <f>INDEX('Barge Gauging Data'!$B$26:$V$56,MATCH($C181,'Barge Gauging Data'!$B$26:$B$56,0),$V$18)</f>
        <v>#N/A</v>
      </c>
      <c r="W181" s="642" t="e">
        <f>INDEX('Barge Gauging Data'!$B$26:$V$56,MATCH($C181,'Barge Gauging Data'!$B$26:$B$56,0),$W$18)</f>
        <v>#N/A</v>
      </c>
      <c r="X181" s="642" t="e">
        <f>INDEX('Barge Gauging Data'!$B$26:$V$56,MATCH($C181,'Barge Gauging Data'!$B$26:$B$56,0),$X$18)</f>
        <v>#N/A</v>
      </c>
      <c r="Y181" s="642" t="e">
        <f>INDEX('Barge Gauging Data'!$B$26:$V$56,MATCH($C181,'Barge Gauging Data'!$B$26:$B$56,0),$Y$18)</f>
        <v>#N/A</v>
      </c>
      <c r="Z181" s="642" t="e">
        <f>INDEX('Barge Gauging Data'!$B$26:$V$56,MATCH($C181,'Barge Gauging Data'!$B$26:$B$56,0),$Z$18)</f>
        <v>#N/A</v>
      </c>
      <c r="AB181" s="642" t="e">
        <f>INDEX(API1DENST_2,MATCH($C181,'Barge Gauging Data'!$B$27:$B$56,0),1)</f>
        <v>#N/A</v>
      </c>
      <c r="AC181" s="642" t="e">
        <f t="shared" si="151"/>
        <v>#N/A</v>
      </c>
      <c r="AE181" s="661" t="e">
        <f t="shared" si="152"/>
        <v>#VALUE!</v>
      </c>
      <c r="AF181" s="661" t="e">
        <f t="shared" si="153"/>
        <v>#VALUE!</v>
      </c>
      <c r="AH181" s="662" t="str">
        <f t="shared" si="149"/>
        <v/>
      </c>
      <c r="AI181" s="662" t="str">
        <f t="shared" si="150"/>
        <v/>
      </c>
      <c r="AJ181" s="663">
        <f t="shared" si="154"/>
        <v>192.4571</v>
      </c>
      <c r="AK181" s="660">
        <f t="shared" si="155"/>
        <v>0.24379999999999999</v>
      </c>
      <c r="AL181" s="660" t="e">
        <f t="shared" si="156"/>
        <v>#VALUE!</v>
      </c>
      <c r="AM181" s="664" t="e">
        <f t="shared" si="157"/>
        <v>#VALUE!</v>
      </c>
      <c r="AN181" s="664" t="e">
        <f t="shared" si="158"/>
        <v>#VALUE!</v>
      </c>
      <c r="AO181" s="665" t="e">
        <f t="shared" si="159"/>
        <v>#VALUE!</v>
      </c>
      <c r="AP181" s="666" t="e">
        <f t="shared" si="160"/>
        <v>#VALUE!</v>
      </c>
      <c r="AQ181" s="660" t="e">
        <f t="shared" si="161"/>
        <v>#VALUE!</v>
      </c>
      <c r="AR181" s="667" t="e">
        <f t="shared" si="162"/>
        <v>#VALUE!</v>
      </c>
      <c r="AS181" s="667" t="e">
        <f t="shared" si="163"/>
        <v>#VALUE!</v>
      </c>
      <c r="AT181" s="668" t="e">
        <f t="shared" si="164"/>
        <v>#VALUE!</v>
      </c>
      <c r="AU181" s="667" t="e">
        <f t="shared" si="165"/>
        <v>#VALUE!</v>
      </c>
      <c r="AV181" s="669" t="e">
        <f t="shared" si="166"/>
        <v>#VALUE!</v>
      </c>
      <c r="AW181" s="667" t="e">
        <f t="shared" si="167"/>
        <v>#VALUE!</v>
      </c>
      <c r="AX181" s="667" t="e">
        <f t="shared" si="168"/>
        <v>#VALUE!</v>
      </c>
      <c r="AY181" s="660" t="e">
        <f t="shared" si="169"/>
        <v>#VALUE!</v>
      </c>
      <c r="AZ181" s="670" t="e">
        <f t="shared" si="170"/>
        <v>#VALUE!</v>
      </c>
      <c r="BB181" s="662" t="e">
        <f>INDEX('Barge Gauging Data'!$B$26:$V$56,MATCH($C181,'Barge Gauging Data'!$B$26:$B$56,0),$BB$18)</f>
        <v>#N/A</v>
      </c>
      <c r="BC181" s="662" t="e">
        <f>INDEX('Barge Gauging Data'!$B$26:$V$56,MATCH($C181,'Barge Gauging Data'!$B$26:$B$56,0),$BC$18)</f>
        <v>#N/A</v>
      </c>
      <c r="BD181" s="662" t="e">
        <f>INDEX('Barge Gauging Data'!$B$26:$V$56,MATCH($C181,'Barge Gauging Data'!$B$26:$B$56,0),$BD$18)</f>
        <v>#N/A</v>
      </c>
      <c r="BE181" s="662" t="e">
        <f>INDEX('Barge Gauging Data'!$B$26:$V$56,MATCH($C181,'Barge Gauging Data'!$B$26:$B$56,0),$BE$18)</f>
        <v>#N/A</v>
      </c>
    </row>
    <row r="182" spans="1:57" hidden="1">
      <c r="A182" s="641" t="str">
        <f t="shared" si="148"/>
        <v>N</v>
      </c>
      <c r="C182" s="235" t="str">
        <f t="array" ref="C182">IF(SUMPRODUCT((ISERROR(MATCH('Barge Gauging Data'!$C$27:$C$56,IF(GRADECHNO_2=2,RESIDUALS,IF(GRADECHNO_2=3,DISTILLATES,GRADESLIST)),0))=FALSE)*('Barge Gauging Data'!$D$27:$D$56=NOMN)*1)&lt;ROWS($C$160:$C182),"",INDEX('Barge Gauging Data'!$B$27:$B$56,SMALL(IF(((ISERROR(MATCH('Barge Gauging Data'!$C$27:$C$56,IF(GRADECHNO_2=2,RESIDUALS,IF(GRADECHNO_2=3,DISTILLATES,GRADESLIST)),0))=FALSE)+('Barge Gauging Data'!$D$27:$D$56=NOMN))=2,ROW('Barge Gauging Data'!$B$27:$B$56)-ROW('Barge Gauging Data'!$C$26)),ROW()-ROW(C$159))))</f>
        <v/>
      </c>
      <c r="D182" s="211" t="str">
        <f>IF(OR($C182="",$C182=0),"",INDEX('Barge Gauging Data'!$B$26:$V$56,MATCH($C182,'Barge Gauging Data'!$B$27:$B$56,0)+1,2))</f>
        <v/>
      </c>
      <c r="E182" s="1016" t="str">
        <f t="shared" si="134"/>
        <v/>
      </c>
      <c r="F182" s="1016" t="str">
        <f t="shared" si="135"/>
        <v/>
      </c>
      <c r="G182" s="1016" t="str">
        <f t="shared" si="136"/>
        <v/>
      </c>
      <c r="H182" s="1016" t="str">
        <f t="shared" si="136"/>
        <v/>
      </c>
      <c r="I182" s="211" t="str">
        <f t="shared" si="137"/>
        <v/>
      </c>
      <c r="J182" s="1016" t="str">
        <f t="shared" si="138"/>
        <v/>
      </c>
      <c r="K182" s="213" t="str">
        <f t="shared" si="139"/>
        <v/>
      </c>
      <c r="L182" s="212" t="str">
        <f t="shared" si="140"/>
        <v/>
      </c>
      <c r="M182" s="1125" t="str">
        <f>IF(OR($C182="",$C182=0),"",INDEX(API1DENST_2,MATCH($C182,'Barge Gauging Data'!$B$27:$B$56,0),$AA$1))</f>
        <v/>
      </c>
      <c r="N182" s="212" t="str">
        <f t="shared" si="141"/>
        <v/>
      </c>
      <c r="O182" s="1016" t="str">
        <f t="shared" si="172"/>
        <v/>
      </c>
      <c r="P182" s="1125" t="str">
        <f t="shared" si="173"/>
        <v/>
      </c>
      <c r="Q182" s="1016" t="str">
        <f t="shared" si="174"/>
        <v/>
      </c>
      <c r="R182" s="214" t="str">
        <f t="shared" si="175"/>
        <v/>
      </c>
      <c r="S182" s="1125" t="str">
        <f t="shared" si="176"/>
        <v/>
      </c>
      <c r="T182" s="236" t="str">
        <f t="shared" si="177"/>
        <v/>
      </c>
      <c r="V182" s="642" t="e">
        <f>INDEX('Barge Gauging Data'!$B$26:$V$56,MATCH($C182,'Barge Gauging Data'!$B$26:$B$56,0),$V$18)</f>
        <v>#N/A</v>
      </c>
      <c r="W182" s="642" t="e">
        <f>INDEX('Barge Gauging Data'!$B$26:$V$56,MATCH($C182,'Barge Gauging Data'!$B$26:$B$56,0),$W$18)</f>
        <v>#N/A</v>
      </c>
      <c r="X182" s="642" t="e">
        <f>INDEX('Barge Gauging Data'!$B$26:$V$56,MATCH($C182,'Barge Gauging Data'!$B$26:$B$56,0),$X$18)</f>
        <v>#N/A</v>
      </c>
      <c r="Y182" s="642" t="e">
        <f>INDEX('Barge Gauging Data'!$B$26:$V$56,MATCH($C182,'Barge Gauging Data'!$B$26:$B$56,0),$Y$18)</f>
        <v>#N/A</v>
      </c>
      <c r="Z182" s="642" t="e">
        <f>INDEX('Barge Gauging Data'!$B$26:$V$56,MATCH($C182,'Barge Gauging Data'!$B$26:$B$56,0),$Z$18)</f>
        <v>#N/A</v>
      </c>
      <c r="AB182" s="642" t="e">
        <f>INDEX(API1DENST_2,MATCH($C182,'Barge Gauging Data'!$B$27:$B$56,0),1)</f>
        <v>#N/A</v>
      </c>
      <c r="AC182" s="642" t="e">
        <f t="shared" si="151"/>
        <v>#N/A</v>
      </c>
      <c r="AE182" s="661" t="e">
        <f t="shared" si="152"/>
        <v>#VALUE!</v>
      </c>
      <c r="AF182" s="661" t="e">
        <f t="shared" si="153"/>
        <v>#VALUE!</v>
      </c>
      <c r="AH182" s="662" t="str">
        <f t="shared" si="149"/>
        <v/>
      </c>
      <c r="AI182" s="662" t="str">
        <f t="shared" si="150"/>
        <v/>
      </c>
      <c r="AJ182" s="663">
        <f t="shared" si="154"/>
        <v>192.4571</v>
      </c>
      <c r="AK182" s="660">
        <f t="shared" si="155"/>
        <v>0.24379999999999999</v>
      </c>
      <c r="AL182" s="660" t="e">
        <f t="shared" si="156"/>
        <v>#VALUE!</v>
      </c>
      <c r="AM182" s="664" t="e">
        <f t="shared" si="157"/>
        <v>#VALUE!</v>
      </c>
      <c r="AN182" s="664" t="e">
        <f t="shared" si="158"/>
        <v>#VALUE!</v>
      </c>
      <c r="AO182" s="665" t="e">
        <f t="shared" si="159"/>
        <v>#VALUE!</v>
      </c>
      <c r="AP182" s="666" t="e">
        <f t="shared" si="160"/>
        <v>#VALUE!</v>
      </c>
      <c r="AQ182" s="660" t="e">
        <f t="shared" si="161"/>
        <v>#VALUE!</v>
      </c>
      <c r="AR182" s="667" t="e">
        <f t="shared" si="162"/>
        <v>#VALUE!</v>
      </c>
      <c r="AS182" s="667" t="e">
        <f t="shared" si="163"/>
        <v>#VALUE!</v>
      </c>
      <c r="AT182" s="668" t="e">
        <f t="shared" si="164"/>
        <v>#VALUE!</v>
      </c>
      <c r="AU182" s="667" t="e">
        <f t="shared" si="165"/>
        <v>#VALUE!</v>
      </c>
      <c r="AV182" s="669" t="e">
        <f t="shared" si="166"/>
        <v>#VALUE!</v>
      </c>
      <c r="AW182" s="667" t="e">
        <f t="shared" si="167"/>
        <v>#VALUE!</v>
      </c>
      <c r="AX182" s="667" t="e">
        <f t="shared" si="168"/>
        <v>#VALUE!</v>
      </c>
      <c r="AY182" s="660" t="e">
        <f t="shared" si="169"/>
        <v>#VALUE!</v>
      </c>
      <c r="AZ182" s="670" t="e">
        <f t="shared" si="170"/>
        <v>#VALUE!</v>
      </c>
      <c r="BB182" s="662" t="e">
        <f>INDEX('Barge Gauging Data'!$B$26:$V$56,MATCH($C182,'Barge Gauging Data'!$B$26:$B$56,0),$BB$18)</f>
        <v>#N/A</v>
      </c>
      <c r="BC182" s="662" t="e">
        <f>INDEX('Barge Gauging Data'!$B$26:$V$56,MATCH($C182,'Barge Gauging Data'!$B$26:$B$56,0),$BC$18)</f>
        <v>#N/A</v>
      </c>
      <c r="BD182" s="662" t="e">
        <f>INDEX('Barge Gauging Data'!$B$26:$V$56,MATCH($C182,'Barge Gauging Data'!$B$26:$B$56,0),$BD$18)</f>
        <v>#N/A</v>
      </c>
      <c r="BE182" s="662" t="e">
        <f>INDEX('Barge Gauging Data'!$B$26:$V$56,MATCH($C182,'Barge Gauging Data'!$B$26:$B$56,0),$BE$18)</f>
        <v>#N/A</v>
      </c>
    </row>
    <row r="183" spans="1:57" hidden="1">
      <c r="A183" s="641" t="str">
        <f t="shared" si="148"/>
        <v>N</v>
      </c>
      <c r="C183" s="235" t="str">
        <f t="array" ref="C183">IF(SUMPRODUCT((ISERROR(MATCH('Barge Gauging Data'!$C$27:$C$56,IF(GRADECHNO_2=2,RESIDUALS,IF(GRADECHNO_2=3,DISTILLATES,GRADESLIST)),0))=FALSE)*('Barge Gauging Data'!$D$27:$D$56=NOMN)*1)&lt;ROWS($C$160:$C183),"",INDEX('Barge Gauging Data'!$B$27:$B$56,SMALL(IF(((ISERROR(MATCH('Barge Gauging Data'!$C$27:$C$56,IF(GRADECHNO_2=2,RESIDUALS,IF(GRADECHNO_2=3,DISTILLATES,GRADESLIST)),0))=FALSE)+('Barge Gauging Data'!$D$27:$D$56=NOMN))=2,ROW('Barge Gauging Data'!$B$27:$B$56)-ROW('Barge Gauging Data'!$C$26)),ROW()-ROW(C$159))))</f>
        <v/>
      </c>
      <c r="D183" s="211" t="str">
        <f>IF(OR($C183="",$C183=0),"",INDEX('Barge Gauging Data'!$B$26:$V$56,MATCH($C183,'Barge Gauging Data'!$B$27:$B$56,0)+1,2))</f>
        <v/>
      </c>
      <c r="E183" s="1016" t="str">
        <f t="shared" si="134"/>
        <v/>
      </c>
      <c r="F183" s="1016" t="str">
        <f t="shared" si="135"/>
        <v/>
      </c>
      <c r="G183" s="1016" t="str">
        <f t="shared" si="136"/>
        <v/>
      </c>
      <c r="H183" s="1016" t="str">
        <f t="shared" si="136"/>
        <v/>
      </c>
      <c r="I183" s="211" t="str">
        <f t="shared" si="137"/>
        <v/>
      </c>
      <c r="J183" s="1016" t="str">
        <f t="shared" si="138"/>
        <v/>
      </c>
      <c r="K183" s="213" t="str">
        <f t="shared" si="139"/>
        <v/>
      </c>
      <c r="L183" s="212" t="str">
        <f t="shared" si="140"/>
        <v/>
      </c>
      <c r="M183" s="1125" t="str">
        <f>IF(OR($C183="",$C183=0),"",INDEX(API1DENST_2,MATCH($C183,'Barge Gauging Data'!$B$27:$B$56,0),$AA$1))</f>
        <v/>
      </c>
      <c r="N183" s="212" t="str">
        <f t="shared" si="141"/>
        <v/>
      </c>
      <c r="O183" s="1016" t="str">
        <f t="shared" si="172"/>
        <v/>
      </c>
      <c r="P183" s="1125" t="str">
        <f t="shared" si="173"/>
        <v/>
      </c>
      <c r="Q183" s="1016" t="str">
        <f t="shared" si="174"/>
        <v/>
      </c>
      <c r="R183" s="214" t="str">
        <f t="shared" si="175"/>
        <v/>
      </c>
      <c r="S183" s="1125" t="str">
        <f t="shared" si="176"/>
        <v/>
      </c>
      <c r="T183" s="236" t="str">
        <f t="shared" si="177"/>
        <v/>
      </c>
      <c r="V183" s="642" t="e">
        <f>INDEX('Barge Gauging Data'!$B$26:$V$56,MATCH($C183,'Barge Gauging Data'!$B$26:$B$56,0),$V$18)</f>
        <v>#N/A</v>
      </c>
      <c r="W183" s="642" t="e">
        <f>INDEX('Barge Gauging Data'!$B$26:$V$56,MATCH($C183,'Barge Gauging Data'!$B$26:$B$56,0),$W$18)</f>
        <v>#N/A</v>
      </c>
      <c r="X183" s="642" t="e">
        <f>INDEX('Barge Gauging Data'!$B$26:$V$56,MATCH($C183,'Barge Gauging Data'!$B$26:$B$56,0),$X$18)</f>
        <v>#N/A</v>
      </c>
      <c r="Y183" s="642" t="e">
        <f>INDEX('Barge Gauging Data'!$B$26:$V$56,MATCH($C183,'Barge Gauging Data'!$B$26:$B$56,0),$Y$18)</f>
        <v>#N/A</v>
      </c>
      <c r="Z183" s="642" t="e">
        <f>INDEX('Barge Gauging Data'!$B$26:$V$56,MATCH($C183,'Barge Gauging Data'!$B$26:$B$56,0),$Z$18)</f>
        <v>#N/A</v>
      </c>
      <c r="AB183" s="642" t="e">
        <f>INDEX(API1DENST_2,MATCH($C183,'Barge Gauging Data'!$B$27:$B$56,0),1)</f>
        <v>#N/A</v>
      </c>
      <c r="AC183" s="642" t="e">
        <f t="shared" si="151"/>
        <v>#N/A</v>
      </c>
      <c r="AE183" s="661" t="e">
        <f t="shared" si="152"/>
        <v>#VALUE!</v>
      </c>
      <c r="AF183" s="661" t="e">
        <f t="shared" si="153"/>
        <v>#VALUE!</v>
      </c>
      <c r="AH183" s="662" t="str">
        <f t="shared" si="149"/>
        <v/>
      </c>
      <c r="AI183" s="662" t="str">
        <f t="shared" si="150"/>
        <v/>
      </c>
      <c r="AJ183" s="663">
        <f t="shared" si="154"/>
        <v>192.4571</v>
      </c>
      <c r="AK183" s="660">
        <f t="shared" si="155"/>
        <v>0.24379999999999999</v>
      </c>
      <c r="AL183" s="660" t="e">
        <f t="shared" si="156"/>
        <v>#VALUE!</v>
      </c>
      <c r="AM183" s="664" t="e">
        <f t="shared" si="157"/>
        <v>#VALUE!</v>
      </c>
      <c r="AN183" s="664" t="e">
        <f t="shared" si="158"/>
        <v>#VALUE!</v>
      </c>
      <c r="AO183" s="665" t="e">
        <f t="shared" si="159"/>
        <v>#VALUE!</v>
      </c>
      <c r="AP183" s="666" t="e">
        <f t="shared" si="160"/>
        <v>#VALUE!</v>
      </c>
      <c r="AQ183" s="660" t="e">
        <f t="shared" si="161"/>
        <v>#VALUE!</v>
      </c>
      <c r="AR183" s="667" t="e">
        <f t="shared" si="162"/>
        <v>#VALUE!</v>
      </c>
      <c r="AS183" s="667" t="e">
        <f t="shared" si="163"/>
        <v>#VALUE!</v>
      </c>
      <c r="AT183" s="668" t="e">
        <f t="shared" si="164"/>
        <v>#VALUE!</v>
      </c>
      <c r="AU183" s="667" t="e">
        <f t="shared" si="165"/>
        <v>#VALUE!</v>
      </c>
      <c r="AV183" s="669" t="e">
        <f t="shared" si="166"/>
        <v>#VALUE!</v>
      </c>
      <c r="AW183" s="667" t="e">
        <f t="shared" si="167"/>
        <v>#VALUE!</v>
      </c>
      <c r="AX183" s="667" t="e">
        <f t="shared" si="168"/>
        <v>#VALUE!</v>
      </c>
      <c r="AY183" s="660" t="e">
        <f t="shared" si="169"/>
        <v>#VALUE!</v>
      </c>
      <c r="AZ183" s="670" t="e">
        <f t="shared" si="170"/>
        <v>#VALUE!</v>
      </c>
      <c r="BB183" s="662" t="e">
        <f>INDEX('Barge Gauging Data'!$B$26:$V$56,MATCH($C183,'Barge Gauging Data'!$B$26:$B$56,0),$BB$18)</f>
        <v>#N/A</v>
      </c>
      <c r="BC183" s="662" t="e">
        <f>INDEX('Barge Gauging Data'!$B$26:$V$56,MATCH($C183,'Barge Gauging Data'!$B$26:$B$56,0),$BC$18)</f>
        <v>#N/A</v>
      </c>
      <c r="BD183" s="662" t="e">
        <f>INDEX('Barge Gauging Data'!$B$26:$V$56,MATCH($C183,'Barge Gauging Data'!$B$26:$B$56,0),$BD$18)</f>
        <v>#N/A</v>
      </c>
      <c r="BE183" s="662" t="e">
        <f>INDEX('Barge Gauging Data'!$B$26:$V$56,MATCH($C183,'Barge Gauging Data'!$B$26:$B$56,0),$BE$18)</f>
        <v>#N/A</v>
      </c>
    </row>
    <row r="184" spans="1:57" hidden="1">
      <c r="A184" s="641" t="str">
        <f t="shared" si="148"/>
        <v>N</v>
      </c>
      <c r="C184" s="235" t="str">
        <f t="array" ref="C184">IF(SUMPRODUCT((ISERROR(MATCH('Barge Gauging Data'!$C$27:$C$56,IF(GRADECHNO_2=2,RESIDUALS,IF(GRADECHNO_2=3,DISTILLATES,GRADESLIST)),0))=FALSE)*('Barge Gauging Data'!$D$27:$D$56=NOMN)*1)&lt;ROWS($C$160:$C184),"",INDEX('Barge Gauging Data'!$B$27:$B$56,SMALL(IF(((ISERROR(MATCH('Barge Gauging Data'!$C$27:$C$56,IF(GRADECHNO_2=2,RESIDUALS,IF(GRADECHNO_2=3,DISTILLATES,GRADESLIST)),0))=FALSE)+('Barge Gauging Data'!$D$27:$D$56=NOMN))=2,ROW('Barge Gauging Data'!$B$27:$B$56)-ROW('Barge Gauging Data'!$C$26)),ROW()-ROW(C$159))))</f>
        <v/>
      </c>
      <c r="D184" s="211" t="str">
        <f>IF(OR($C184="",$C184=0),"",INDEX('Barge Gauging Data'!$B$26:$V$56,MATCH($C184,'Barge Gauging Data'!$B$27:$B$56,0)+1,2))</f>
        <v/>
      </c>
      <c r="E184" s="1016" t="str">
        <f t="shared" si="134"/>
        <v/>
      </c>
      <c r="F184" s="1016" t="str">
        <f t="shared" si="135"/>
        <v/>
      </c>
      <c r="G184" s="1016" t="str">
        <f t="shared" si="136"/>
        <v/>
      </c>
      <c r="H184" s="1016" t="str">
        <f t="shared" si="136"/>
        <v/>
      </c>
      <c r="I184" s="211" t="str">
        <f t="shared" si="137"/>
        <v/>
      </c>
      <c r="J184" s="1016" t="str">
        <f t="shared" si="138"/>
        <v/>
      </c>
      <c r="K184" s="213" t="str">
        <f t="shared" si="139"/>
        <v/>
      </c>
      <c r="L184" s="212" t="str">
        <f t="shared" si="140"/>
        <v/>
      </c>
      <c r="M184" s="1125" t="str">
        <f>IF(OR($C184="",$C184=0),"",INDEX(API1DENST_2,MATCH($C184,'Barge Gauging Data'!$B$27:$B$56,0),$AA$1))</f>
        <v/>
      </c>
      <c r="N184" s="212" t="str">
        <f t="shared" si="141"/>
        <v/>
      </c>
      <c r="O184" s="1016" t="str">
        <f t="shared" si="172"/>
        <v/>
      </c>
      <c r="P184" s="1125" t="str">
        <f t="shared" si="173"/>
        <v/>
      </c>
      <c r="Q184" s="1016" t="str">
        <f t="shared" si="174"/>
        <v/>
      </c>
      <c r="R184" s="214" t="str">
        <f t="shared" si="175"/>
        <v/>
      </c>
      <c r="S184" s="1125" t="str">
        <f t="shared" si="176"/>
        <v/>
      </c>
      <c r="T184" s="236" t="str">
        <f t="shared" si="177"/>
        <v/>
      </c>
      <c r="V184" s="642" t="e">
        <f>INDEX('Barge Gauging Data'!$B$26:$V$56,MATCH($C184,'Barge Gauging Data'!$B$26:$B$56,0),$V$18)</f>
        <v>#N/A</v>
      </c>
      <c r="W184" s="642" t="e">
        <f>INDEX('Barge Gauging Data'!$B$26:$V$56,MATCH($C184,'Barge Gauging Data'!$B$26:$B$56,0),$W$18)</f>
        <v>#N/A</v>
      </c>
      <c r="X184" s="642" t="e">
        <f>INDEX('Barge Gauging Data'!$B$26:$V$56,MATCH($C184,'Barge Gauging Data'!$B$26:$B$56,0),$X$18)</f>
        <v>#N/A</v>
      </c>
      <c r="Y184" s="642" t="e">
        <f>INDEX('Barge Gauging Data'!$B$26:$V$56,MATCH($C184,'Barge Gauging Data'!$B$26:$B$56,0),$Y$18)</f>
        <v>#N/A</v>
      </c>
      <c r="Z184" s="642" t="e">
        <f>INDEX('Barge Gauging Data'!$B$26:$V$56,MATCH($C184,'Barge Gauging Data'!$B$26:$B$56,0),$Z$18)</f>
        <v>#N/A</v>
      </c>
      <c r="AB184" s="642" t="e">
        <f>INDEX(API1DENST_2,MATCH($C184,'Barge Gauging Data'!$B$27:$B$56,0),1)</f>
        <v>#N/A</v>
      </c>
      <c r="AC184" s="642" t="e">
        <f t="shared" si="151"/>
        <v>#N/A</v>
      </c>
      <c r="AE184" s="661" t="e">
        <f t="shared" si="152"/>
        <v>#VALUE!</v>
      </c>
      <c r="AF184" s="661" t="e">
        <f t="shared" si="153"/>
        <v>#VALUE!</v>
      </c>
      <c r="AH184" s="662" t="str">
        <f t="shared" si="149"/>
        <v/>
      </c>
      <c r="AI184" s="662" t="str">
        <f t="shared" si="150"/>
        <v/>
      </c>
      <c r="AJ184" s="663">
        <f t="shared" si="154"/>
        <v>192.4571</v>
      </c>
      <c r="AK184" s="660">
        <f t="shared" si="155"/>
        <v>0.24379999999999999</v>
      </c>
      <c r="AL184" s="660" t="e">
        <f t="shared" si="156"/>
        <v>#VALUE!</v>
      </c>
      <c r="AM184" s="664" t="e">
        <f t="shared" si="157"/>
        <v>#VALUE!</v>
      </c>
      <c r="AN184" s="664" t="e">
        <f t="shared" si="158"/>
        <v>#VALUE!</v>
      </c>
      <c r="AO184" s="665" t="e">
        <f t="shared" si="159"/>
        <v>#VALUE!</v>
      </c>
      <c r="AP184" s="666" t="e">
        <f t="shared" si="160"/>
        <v>#VALUE!</v>
      </c>
      <c r="AQ184" s="660" t="e">
        <f t="shared" si="161"/>
        <v>#VALUE!</v>
      </c>
      <c r="AR184" s="667" t="e">
        <f t="shared" si="162"/>
        <v>#VALUE!</v>
      </c>
      <c r="AS184" s="667" t="e">
        <f t="shared" si="163"/>
        <v>#VALUE!</v>
      </c>
      <c r="AT184" s="668" t="e">
        <f t="shared" si="164"/>
        <v>#VALUE!</v>
      </c>
      <c r="AU184" s="667" t="e">
        <f t="shared" si="165"/>
        <v>#VALUE!</v>
      </c>
      <c r="AV184" s="669" t="e">
        <f t="shared" si="166"/>
        <v>#VALUE!</v>
      </c>
      <c r="AW184" s="667" t="e">
        <f t="shared" si="167"/>
        <v>#VALUE!</v>
      </c>
      <c r="AX184" s="667" t="e">
        <f t="shared" si="168"/>
        <v>#VALUE!</v>
      </c>
      <c r="AY184" s="660" t="e">
        <f t="shared" si="169"/>
        <v>#VALUE!</v>
      </c>
      <c r="AZ184" s="670" t="e">
        <f t="shared" si="170"/>
        <v>#VALUE!</v>
      </c>
      <c r="BB184" s="662" t="e">
        <f>INDEX('Barge Gauging Data'!$B$26:$V$56,MATCH($C184,'Barge Gauging Data'!$B$26:$B$56,0),$BB$18)</f>
        <v>#N/A</v>
      </c>
      <c r="BC184" s="662" t="e">
        <f>INDEX('Barge Gauging Data'!$B$26:$V$56,MATCH($C184,'Barge Gauging Data'!$B$26:$B$56,0),$BC$18)</f>
        <v>#N/A</v>
      </c>
      <c r="BD184" s="662" t="e">
        <f>INDEX('Barge Gauging Data'!$B$26:$V$56,MATCH($C184,'Barge Gauging Data'!$B$26:$B$56,0),$BD$18)</f>
        <v>#N/A</v>
      </c>
      <c r="BE184" s="662" t="e">
        <f>INDEX('Barge Gauging Data'!$B$26:$V$56,MATCH($C184,'Barge Gauging Data'!$B$26:$B$56,0),$BE$18)</f>
        <v>#N/A</v>
      </c>
    </row>
    <row r="185" spans="1:57" hidden="1">
      <c r="A185" s="641" t="str">
        <f t="shared" si="148"/>
        <v>N</v>
      </c>
      <c r="C185" s="235" t="str">
        <f t="array" ref="C185">IF(SUMPRODUCT((ISERROR(MATCH('Barge Gauging Data'!$C$27:$C$56,IF(GRADECHNO_2=2,RESIDUALS,IF(GRADECHNO_2=3,DISTILLATES,GRADESLIST)),0))=FALSE)*('Barge Gauging Data'!$D$27:$D$56=NOMN)*1)&lt;ROWS($C$160:$C185),"",INDEX('Barge Gauging Data'!$B$27:$B$56,SMALL(IF(((ISERROR(MATCH('Barge Gauging Data'!$C$27:$C$56,IF(GRADECHNO_2=2,RESIDUALS,IF(GRADECHNO_2=3,DISTILLATES,GRADESLIST)),0))=FALSE)+('Barge Gauging Data'!$D$27:$D$56=NOMN))=2,ROW('Barge Gauging Data'!$B$27:$B$56)-ROW('Barge Gauging Data'!$C$26)),ROW()-ROW(C$159))))</f>
        <v/>
      </c>
      <c r="D185" s="211" t="str">
        <f>IF(OR($C185="",$C185=0),"",INDEX('Barge Gauging Data'!$B$26:$V$56,MATCH($C185,'Barge Gauging Data'!$B$27:$B$56,0)+1,2))</f>
        <v/>
      </c>
      <c r="E185" s="1016" t="str">
        <f t="shared" si="134"/>
        <v/>
      </c>
      <c r="F185" s="1016" t="str">
        <f t="shared" si="135"/>
        <v/>
      </c>
      <c r="G185" s="1016" t="str">
        <f t="shared" si="136"/>
        <v/>
      </c>
      <c r="H185" s="1016" t="str">
        <f t="shared" si="136"/>
        <v/>
      </c>
      <c r="I185" s="211" t="str">
        <f t="shared" si="137"/>
        <v/>
      </c>
      <c r="J185" s="1016" t="str">
        <f t="shared" si="138"/>
        <v/>
      </c>
      <c r="K185" s="213" t="str">
        <f t="shared" si="139"/>
        <v/>
      </c>
      <c r="L185" s="212" t="str">
        <f t="shared" si="140"/>
        <v/>
      </c>
      <c r="M185" s="1125" t="str">
        <f>IF(OR($C185="",$C185=0),"",INDEX(API1DENST_2,MATCH($C185,'Barge Gauging Data'!$B$27:$B$56,0),$AA$1))</f>
        <v/>
      </c>
      <c r="N185" s="212" t="str">
        <f t="shared" si="141"/>
        <v/>
      </c>
      <c r="O185" s="1016" t="str">
        <f t="shared" si="172"/>
        <v/>
      </c>
      <c r="P185" s="1125" t="str">
        <f t="shared" si="173"/>
        <v/>
      </c>
      <c r="Q185" s="1016" t="str">
        <f t="shared" si="174"/>
        <v/>
      </c>
      <c r="R185" s="214" t="str">
        <f t="shared" si="175"/>
        <v/>
      </c>
      <c r="S185" s="1125" t="str">
        <f t="shared" si="176"/>
        <v/>
      </c>
      <c r="T185" s="236" t="str">
        <f t="shared" si="177"/>
        <v/>
      </c>
      <c r="V185" s="642" t="e">
        <f>INDEX('Barge Gauging Data'!$B$26:$V$56,MATCH($C185,'Barge Gauging Data'!$B$26:$B$56,0),$V$18)</f>
        <v>#N/A</v>
      </c>
      <c r="W185" s="642" t="e">
        <f>INDEX('Barge Gauging Data'!$B$26:$V$56,MATCH($C185,'Barge Gauging Data'!$B$26:$B$56,0),$W$18)</f>
        <v>#N/A</v>
      </c>
      <c r="X185" s="642" t="e">
        <f>INDEX('Barge Gauging Data'!$B$26:$V$56,MATCH($C185,'Barge Gauging Data'!$B$26:$B$56,0),$X$18)</f>
        <v>#N/A</v>
      </c>
      <c r="Y185" s="642" t="e">
        <f>INDEX('Barge Gauging Data'!$B$26:$V$56,MATCH($C185,'Barge Gauging Data'!$B$26:$B$56,0),$Y$18)</f>
        <v>#N/A</v>
      </c>
      <c r="Z185" s="642" t="e">
        <f>INDEX('Barge Gauging Data'!$B$26:$V$56,MATCH($C185,'Barge Gauging Data'!$B$26:$B$56,0),$Z$18)</f>
        <v>#N/A</v>
      </c>
      <c r="AB185" s="642" t="e">
        <f>INDEX(API1DENST_2,MATCH($C185,'Barge Gauging Data'!$B$27:$B$56,0),1)</f>
        <v>#N/A</v>
      </c>
      <c r="AC185" s="642" t="e">
        <f t="shared" si="151"/>
        <v>#N/A</v>
      </c>
      <c r="AE185" s="661" t="e">
        <f t="shared" si="152"/>
        <v>#VALUE!</v>
      </c>
      <c r="AF185" s="661" t="e">
        <f t="shared" si="153"/>
        <v>#VALUE!</v>
      </c>
      <c r="AH185" s="662" t="str">
        <f t="shared" si="149"/>
        <v/>
      </c>
      <c r="AI185" s="662" t="str">
        <f t="shared" si="150"/>
        <v/>
      </c>
      <c r="AJ185" s="663">
        <f t="shared" si="154"/>
        <v>192.4571</v>
      </c>
      <c r="AK185" s="660">
        <f t="shared" si="155"/>
        <v>0.24379999999999999</v>
      </c>
      <c r="AL185" s="660" t="e">
        <f t="shared" si="156"/>
        <v>#VALUE!</v>
      </c>
      <c r="AM185" s="664" t="e">
        <f t="shared" si="157"/>
        <v>#VALUE!</v>
      </c>
      <c r="AN185" s="664" t="e">
        <f t="shared" si="158"/>
        <v>#VALUE!</v>
      </c>
      <c r="AO185" s="665" t="e">
        <f t="shared" si="159"/>
        <v>#VALUE!</v>
      </c>
      <c r="AP185" s="666" t="e">
        <f t="shared" si="160"/>
        <v>#VALUE!</v>
      </c>
      <c r="AQ185" s="660" t="e">
        <f t="shared" si="161"/>
        <v>#VALUE!</v>
      </c>
      <c r="AR185" s="667" t="e">
        <f t="shared" si="162"/>
        <v>#VALUE!</v>
      </c>
      <c r="AS185" s="667" t="e">
        <f t="shared" si="163"/>
        <v>#VALUE!</v>
      </c>
      <c r="AT185" s="668" t="e">
        <f t="shared" si="164"/>
        <v>#VALUE!</v>
      </c>
      <c r="AU185" s="667" t="e">
        <f t="shared" si="165"/>
        <v>#VALUE!</v>
      </c>
      <c r="AV185" s="669" t="e">
        <f t="shared" si="166"/>
        <v>#VALUE!</v>
      </c>
      <c r="AW185" s="667" t="e">
        <f t="shared" si="167"/>
        <v>#VALUE!</v>
      </c>
      <c r="AX185" s="667" t="e">
        <f t="shared" si="168"/>
        <v>#VALUE!</v>
      </c>
      <c r="AY185" s="660" t="e">
        <f t="shared" si="169"/>
        <v>#VALUE!</v>
      </c>
      <c r="AZ185" s="670" t="e">
        <f t="shared" si="170"/>
        <v>#VALUE!</v>
      </c>
      <c r="BB185" s="662" t="e">
        <f>INDEX('Barge Gauging Data'!$B$26:$V$56,MATCH($C185,'Barge Gauging Data'!$B$26:$B$56,0),$BB$18)</f>
        <v>#N/A</v>
      </c>
      <c r="BC185" s="662" t="e">
        <f>INDEX('Barge Gauging Data'!$B$26:$V$56,MATCH($C185,'Barge Gauging Data'!$B$26:$B$56,0),$BC$18)</f>
        <v>#N/A</v>
      </c>
      <c r="BD185" s="662" t="e">
        <f>INDEX('Barge Gauging Data'!$B$26:$V$56,MATCH($C185,'Barge Gauging Data'!$B$26:$B$56,0),$BD$18)</f>
        <v>#N/A</v>
      </c>
      <c r="BE185" s="662" t="e">
        <f>INDEX('Barge Gauging Data'!$B$26:$V$56,MATCH($C185,'Barge Gauging Data'!$B$26:$B$56,0),$BE$18)</f>
        <v>#N/A</v>
      </c>
    </row>
    <row r="186" spans="1:57" hidden="1">
      <c r="A186" s="641" t="str">
        <f t="shared" si="148"/>
        <v>N</v>
      </c>
      <c r="C186" s="235" t="str">
        <f t="array" ref="C186">IF(SUMPRODUCT((ISERROR(MATCH('Barge Gauging Data'!$C$27:$C$56,IF(GRADECHNO_2=2,RESIDUALS,IF(GRADECHNO_2=3,DISTILLATES,GRADESLIST)),0))=FALSE)*('Barge Gauging Data'!$D$27:$D$56=NOMN)*1)&lt;ROWS($C$160:$C186),"",INDEX('Barge Gauging Data'!$B$27:$B$56,SMALL(IF(((ISERROR(MATCH('Barge Gauging Data'!$C$27:$C$56,IF(GRADECHNO_2=2,RESIDUALS,IF(GRADECHNO_2=3,DISTILLATES,GRADESLIST)),0))=FALSE)+('Barge Gauging Data'!$D$27:$D$56=NOMN))=2,ROW('Barge Gauging Data'!$B$27:$B$56)-ROW('Barge Gauging Data'!$C$26)),ROW()-ROW(C$159))))</f>
        <v/>
      </c>
      <c r="D186" s="211" t="str">
        <f>IF(OR($C186="",$C186=0),"",INDEX('Barge Gauging Data'!$B$26:$V$56,MATCH($C186,'Barge Gauging Data'!$B$27:$B$56,0)+1,2))</f>
        <v/>
      </c>
      <c r="E186" s="1016" t="str">
        <f t="shared" si="134"/>
        <v/>
      </c>
      <c r="F186" s="1016" t="str">
        <f t="shared" si="135"/>
        <v/>
      </c>
      <c r="G186" s="1016" t="str">
        <f t="shared" si="136"/>
        <v/>
      </c>
      <c r="H186" s="1016" t="str">
        <f t="shared" si="136"/>
        <v/>
      </c>
      <c r="I186" s="211" t="str">
        <f t="shared" si="137"/>
        <v/>
      </c>
      <c r="J186" s="1016" t="str">
        <f t="shared" si="138"/>
        <v/>
      </c>
      <c r="K186" s="213" t="str">
        <f t="shared" si="139"/>
        <v/>
      </c>
      <c r="L186" s="212" t="str">
        <f t="shared" si="140"/>
        <v/>
      </c>
      <c r="M186" s="1125" t="str">
        <f>IF(OR($C186="",$C186=0),"",INDEX(API1DENST_2,MATCH($C186,'Barge Gauging Data'!$B$27:$B$56,0),$AA$1))</f>
        <v/>
      </c>
      <c r="N186" s="212" t="str">
        <f t="shared" si="141"/>
        <v/>
      </c>
      <c r="O186" s="1016" t="str">
        <f t="shared" si="172"/>
        <v/>
      </c>
      <c r="P186" s="1125" t="str">
        <f t="shared" si="173"/>
        <v/>
      </c>
      <c r="Q186" s="1016" t="str">
        <f t="shared" si="174"/>
        <v/>
      </c>
      <c r="R186" s="214" t="str">
        <f t="shared" si="175"/>
        <v/>
      </c>
      <c r="S186" s="1125" t="str">
        <f t="shared" si="176"/>
        <v/>
      </c>
      <c r="T186" s="236" t="str">
        <f t="shared" si="177"/>
        <v/>
      </c>
      <c r="V186" s="642" t="e">
        <f>INDEX('Barge Gauging Data'!$B$26:$V$56,MATCH($C186,'Barge Gauging Data'!$B$26:$B$56,0),$V$18)</f>
        <v>#N/A</v>
      </c>
      <c r="W186" s="642" t="e">
        <f>INDEX('Barge Gauging Data'!$B$26:$V$56,MATCH($C186,'Barge Gauging Data'!$B$26:$B$56,0),$W$18)</f>
        <v>#N/A</v>
      </c>
      <c r="X186" s="642" t="e">
        <f>INDEX('Barge Gauging Data'!$B$26:$V$56,MATCH($C186,'Barge Gauging Data'!$B$26:$B$56,0),$X$18)</f>
        <v>#N/A</v>
      </c>
      <c r="Y186" s="642" t="e">
        <f>INDEX('Barge Gauging Data'!$B$26:$V$56,MATCH($C186,'Barge Gauging Data'!$B$26:$B$56,0),$Y$18)</f>
        <v>#N/A</v>
      </c>
      <c r="Z186" s="642" t="e">
        <f>INDEX('Barge Gauging Data'!$B$26:$V$56,MATCH($C186,'Barge Gauging Data'!$B$26:$B$56,0),$Z$18)</f>
        <v>#N/A</v>
      </c>
      <c r="AB186" s="642" t="e">
        <f>INDEX(API1DENST_2,MATCH($C186,'Barge Gauging Data'!$B$27:$B$56,0),1)</f>
        <v>#N/A</v>
      </c>
      <c r="AC186" s="642" t="e">
        <f t="shared" si="151"/>
        <v>#N/A</v>
      </c>
      <c r="AE186" s="661" t="e">
        <f t="shared" si="152"/>
        <v>#VALUE!</v>
      </c>
      <c r="AF186" s="661" t="e">
        <f t="shared" si="153"/>
        <v>#VALUE!</v>
      </c>
      <c r="AH186" s="662" t="str">
        <f t="shared" si="149"/>
        <v/>
      </c>
      <c r="AI186" s="662" t="str">
        <f t="shared" si="150"/>
        <v/>
      </c>
      <c r="AJ186" s="663">
        <f t="shared" si="154"/>
        <v>192.4571</v>
      </c>
      <c r="AK186" s="660">
        <f t="shared" si="155"/>
        <v>0.24379999999999999</v>
      </c>
      <c r="AL186" s="660" t="e">
        <f t="shared" si="156"/>
        <v>#VALUE!</v>
      </c>
      <c r="AM186" s="664" t="e">
        <f t="shared" si="157"/>
        <v>#VALUE!</v>
      </c>
      <c r="AN186" s="664" t="e">
        <f t="shared" si="158"/>
        <v>#VALUE!</v>
      </c>
      <c r="AO186" s="665" t="e">
        <f t="shared" si="159"/>
        <v>#VALUE!</v>
      </c>
      <c r="AP186" s="666" t="e">
        <f t="shared" si="160"/>
        <v>#VALUE!</v>
      </c>
      <c r="AQ186" s="660" t="e">
        <f t="shared" si="161"/>
        <v>#VALUE!</v>
      </c>
      <c r="AR186" s="667" t="e">
        <f t="shared" si="162"/>
        <v>#VALUE!</v>
      </c>
      <c r="AS186" s="667" t="e">
        <f t="shared" si="163"/>
        <v>#VALUE!</v>
      </c>
      <c r="AT186" s="668" t="e">
        <f t="shared" si="164"/>
        <v>#VALUE!</v>
      </c>
      <c r="AU186" s="667" t="e">
        <f t="shared" si="165"/>
        <v>#VALUE!</v>
      </c>
      <c r="AV186" s="669" t="e">
        <f t="shared" si="166"/>
        <v>#VALUE!</v>
      </c>
      <c r="AW186" s="667" t="e">
        <f t="shared" si="167"/>
        <v>#VALUE!</v>
      </c>
      <c r="AX186" s="667" t="e">
        <f t="shared" si="168"/>
        <v>#VALUE!</v>
      </c>
      <c r="AY186" s="660" t="e">
        <f t="shared" si="169"/>
        <v>#VALUE!</v>
      </c>
      <c r="AZ186" s="670" t="e">
        <f t="shared" si="170"/>
        <v>#VALUE!</v>
      </c>
      <c r="BB186" s="662" t="e">
        <f>INDEX('Barge Gauging Data'!$B$26:$V$56,MATCH($C186,'Barge Gauging Data'!$B$26:$B$56,0),$BB$18)</f>
        <v>#N/A</v>
      </c>
      <c r="BC186" s="662" t="e">
        <f>INDEX('Barge Gauging Data'!$B$26:$V$56,MATCH($C186,'Barge Gauging Data'!$B$26:$B$56,0),$BC$18)</f>
        <v>#N/A</v>
      </c>
      <c r="BD186" s="662" t="e">
        <f>INDEX('Barge Gauging Data'!$B$26:$V$56,MATCH($C186,'Barge Gauging Data'!$B$26:$B$56,0),$BD$18)</f>
        <v>#N/A</v>
      </c>
      <c r="BE186" s="662" t="e">
        <f>INDEX('Barge Gauging Data'!$B$26:$V$56,MATCH($C186,'Barge Gauging Data'!$B$26:$B$56,0),$BE$18)</f>
        <v>#N/A</v>
      </c>
    </row>
    <row r="187" spans="1:57" hidden="1">
      <c r="A187" s="641" t="str">
        <f t="shared" si="148"/>
        <v>N</v>
      </c>
      <c r="C187" s="235" t="str">
        <f t="array" ref="C187">IF(SUMPRODUCT((ISERROR(MATCH('Barge Gauging Data'!$C$27:$C$56,IF(GRADECHNO_2=2,RESIDUALS,IF(GRADECHNO_2=3,DISTILLATES,GRADESLIST)),0))=FALSE)*('Barge Gauging Data'!$D$27:$D$56=NOMN)*1)&lt;ROWS($C$160:$C187),"",INDEX('Barge Gauging Data'!$B$27:$B$56,SMALL(IF(((ISERROR(MATCH('Barge Gauging Data'!$C$27:$C$56,IF(GRADECHNO_2=2,RESIDUALS,IF(GRADECHNO_2=3,DISTILLATES,GRADESLIST)),0))=FALSE)+('Barge Gauging Data'!$D$27:$D$56=NOMN))=2,ROW('Barge Gauging Data'!$B$27:$B$56)-ROW('Barge Gauging Data'!$C$26)),ROW()-ROW(C$159))))</f>
        <v/>
      </c>
      <c r="D187" s="211" t="str">
        <f>IF(OR($C187="",$C187=0),"",INDEX('Barge Gauging Data'!$B$26:$V$56,MATCH($C187,'Barge Gauging Data'!$B$27:$B$56,0)+1,2))</f>
        <v/>
      </c>
      <c r="E187" s="1016" t="str">
        <f t="shared" si="134"/>
        <v/>
      </c>
      <c r="F187" s="1016" t="str">
        <f t="shared" si="135"/>
        <v/>
      </c>
      <c r="G187" s="1016" t="str">
        <f t="shared" si="136"/>
        <v/>
      </c>
      <c r="H187" s="1016" t="str">
        <f t="shared" si="136"/>
        <v/>
      </c>
      <c r="I187" s="211" t="str">
        <f t="shared" si="137"/>
        <v/>
      </c>
      <c r="J187" s="1016" t="str">
        <f t="shared" si="138"/>
        <v/>
      </c>
      <c r="K187" s="213" t="str">
        <f t="shared" si="139"/>
        <v/>
      </c>
      <c r="L187" s="212" t="str">
        <f t="shared" si="140"/>
        <v/>
      </c>
      <c r="M187" s="1125" t="str">
        <f>IF(OR($C187="",$C187=0),"",INDEX(API1DENST_2,MATCH($C187,'Barge Gauging Data'!$B$27:$B$56,0),$AA$1))</f>
        <v/>
      </c>
      <c r="N187" s="212" t="str">
        <f t="shared" si="141"/>
        <v/>
      </c>
      <c r="O187" s="1016" t="str">
        <f t="shared" si="172"/>
        <v/>
      </c>
      <c r="P187" s="1125" t="str">
        <f t="shared" si="173"/>
        <v/>
      </c>
      <c r="Q187" s="1016" t="str">
        <f t="shared" si="174"/>
        <v/>
      </c>
      <c r="R187" s="214" t="str">
        <f t="shared" si="175"/>
        <v/>
      </c>
      <c r="S187" s="1125" t="str">
        <f t="shared" si="176"/>
        <v/>
      </c>
      <c r="T187" s="236" t="str">
        <f t="shared" si="177"/>
        <v/>
      </c>
      <c r="V187" s="642" t="e">
        <f>INDEX('Barge Gauging Data'!$B$26:$V$56,MATCH($C187,'Barge Gauging Data'!$B$26:$B$56,0),$V$18)</f>
        <v>#N/A</v>
      </c>
      <c r="W187" s="642" t="e">
        <f>INDEX('Barge Gauging Data'!$B$26:$V$56,MATCH($C187,'Barge Gauging Data'!$B$26:$B$56,0),$W$18)</f>
        <v>#N/A</v>
      </c>
      <c r="X187" s="642" t="e">
        <f>INDEX('Barge Gauging Data'!$B$26:$V$56,MATCH($C187,'Barge Gauging Data'!$B$26:$B$56,0),$X$18)</f>
        <v>#N/A</v>
      </c>
      <c r="Y187" s="642" t="e">
        <f>INDEX('Barge Gauging Data'!$B$26:$V$56,MATCH($C187,'Barge Gauging Data'!$B$26:$B$56,0),$Y$18)</f>
        <v>#N/A</v>
      </c>
      <c r="Z187" s="642" t="e">
        <f>INDEX('Barge Gauging Data'!$B$26:$V$56,MATCH($C187,'Barge Gauging Data'!$B$26:$B$56,0),$Z$18)</f>
        <v>#N/A</v>
      </c>
      <c r="AB187" s="642" t="e">
        <f>INDEX(API1DENST_2,MATCH($C187,'Barge Gauging Data'!$B$27:$B$56,0),1)</f>
        <v>#N/A</v>
      </c>
      <c r="AC187" s="642" t="e">
        <f t="shared" si="151"/>
        <v>#N/A</v>
      </c>
      <c r="AE187" s="661" t="e">
        <f t="shared" si="152"/>
        <v>#VALUE!</v>
      </c>
      <c r="AF187" s="661" t="e">
        <f t="shared" si="153"/>
        <v>#VALUE!</v>
      </c>
      <c r="AH187" s="662" t="str">
        <f t="shared" si="149"/>
        <v/>
      </c>
      <c r="AI187" s="662" t="str">
        <f t="shared" si="150"/>
        <v/>
      </c>
      <c r="AJ187" s="663">
        <f t="shared" si="154"/>
        <v>192.4571</v>
      </c>
      <c r="AK187" s="660">
        <f t="shared" si="155"/>
        <v>0.24379999999999999</v>
      </c>
      <c r="AL187" s="660" t="e">
        <f t="shared" si="156"/>
        <v>#VALUE!</v>
      </c>
      <c r="AM187" s="664" t="e">
        <f t="shared" si="157"/>
        <v>#VALUE!</v>
      </c>
      <c r="AN187" s="664" t="e">
        <f t="shared" si="158"/>
        <v>#VALUE!</v>
      </c>
      <c r="AO187" s="665" t="e">
        <f t="shared" si="159"/>
        <v>#VALUE!</v>
      </c>
      <c r="AP187" s="666" t="e">
        <f t="shared" si="160"/>
        <v>#VALUE!</v>
      </c>
      <c r="AQ187" s="660" t="e">
        <f t="shared" si="161"/>
        <v>#VALUE!</v>
      </c>
      <c r="AR187" s="667" t="e">
        <f t="shared" si="162"/>
        <v>#VALUE!</v>
      </c>
      <c r="AS187" s="667" t="e">
        <f t="shared" si="163"/>
        <v>#VALUE!</v>
      </c>
      <c r="AT187" s="668" t="e">
        <f t="shared" si="164"/>
        <v>#VALUE!</v>
      </c>
      <c r="AU187" s="667" t="e">
        <f t="shared" si="165"/>
        <v>#VALUE!</v>
      </c>
      <c r="AV187" s="669" t="e">
        <f t="shared" si="166"/>
        <v>#VALUE!</v>
      </c>
      <c r="AW187" s="667" t="e">
        <f t="shared" si="167"/>
        <v>#VALUE!</v>
      </c>
      <c r="AX187" s="667" t="e">
        <f t="shared" si="168"/>
        <v>#VALUE!</v>
      </c>
      <c r="AY187" s="660" t="e">
        <f t="shared" si="169"/>
        <v>#VALUE!</v>
      </c>
      <c r="AZ187" s="670" t="e">
        <f t="shared" si="170"/>
        <v>#VALUE!</v>
      </c>
      <c r="BB187" s="662" t="e">
        <f>INDEX('Barge Gauging Data'!$B$26:$V$56,MATCH($C187,'Barge Gauging Data'!$B$26:$B$56,0),$BB$18)</f>
        <v>#N/A</v>
      </c>
      <c r="BC187" s="662" t="e">
        <f>INDEX('Barge Gauging Data'!$B$26:$V$56,MATCH($C187,'Barge Gauging Data'!$B$26:$B$56,0),$BC$18)</f>
        <v>#N/A</v>
      </c>
      <c r="BD187" s="662" t="e">
        <f>INDEX('Barge Gauging Data'!$B$26:$V$56,MATCH($C187,'Barge Gauging Data'!$B$26:$B$56,0),$BD$18)</f>
        <v>#N/A</v>
      </c>
      <c r="BE187" s="662" t="e">
        <f>INDEX('Barge Gauging Data'!$B$26:$V$56,MATCH($C187,'Barge Gauging Data'!$B$26:$B$56,0),$BE$18)</f>
        <v>#N/A</v>
      </c>
    </row>
    <row r="188" spans="1:57" hidden="1">
      <c r="A188" s="641" t="str">
        <f t="shared" si="148"/>
        <v>N</v>
      </c>
      <c r="C188" s="235" t="str">
        <f t="array" ref="C188">IF(SUMPRODUCT((ISERROR(MATCH('Barge Gauging Data'!$C$27:$C$56,IF(GRADECHNO_2=2,RESIDUALS,IF(GRADECHNO_2=3,DISTILLATES,GRADESLIST)),0))=FALSE)*('Barge Gauging Data'!$D$27:$D$56=NOMN)*1)&lt;ROWS($C$160:$C188),"",INDEX('Barge Gauging Data'!$B$27:$B$56,SMALL(IF(((ISERROR(MATCH('Barge Gauging Data'!$C$27:$C$56,IF(GRADECHNO_2=2,RESIDUALS,IF(GRADECHNO_2=3,DISTILLATES,GRADESLIST)),0))=FALSE)+('Barge Gauging Data'!$D$27:$D$56=NOMN))=2,ROW('Barge Gauging Data'!$B$27:$B$56)-ROW('Barge Gauging Data'!$C$26)),ROW()-ROW(C$159))))</f>
        <v/>
      </c>
      <c r="D188" s="211" t="str">
        <f>IF(OR($C188="",$C188=0),"",INDEX('Barge Gauging Data'!$B$26:$V$56,MATCH($C188,'Barge Gauging Data'!$B$27:$B$56,0)+1,2))</f>
        <v/>
      </c>
      <c r="E188" s="1016" t="str">
        <f t="shared" si="134"/>
        <v/>
      </c>
      <c r="F188" s="1016" t="str">
        <f t="shared" si="135"/>
        <v/>
      </c>
      <c r="G188" s="1016" t="str">
        <f t="shared" si="136"/>
        <v/>
      </c>
      <c r="H188" s="1016" t="str">
        <f t="shared" si="136"/>
        <v/>
      </c>
      <c r="I188" s="211" t="str">
        <f t="shared" si="137"/>
        <v/>
      </c>
      <c r="J188" s="1016" t="str">
        <f t="shared" si="138"/>
        <v/>
      </c>
      <c r="K188" s="213" t="str">
        <f t="shared" si="139"/>
        <v/>
      </c>
      <c r="L188" s="212" t="str">
        <f t="shared" si="140"/>
        <v/>
      </c>
      <c r="M188" s="1125" t="str">
        <f>IF(OR($C188="",$C188=0),"",INDEX(API1DENST_2,MATCH($C188,'Barge Gauging Data'!$B$27:$B$56,0),$AA$1))</f>
        <v/>
      </c>
      <c r="N188" s="212" t="str">
        <f t="shared" si="141"/>
        <v/>
      </c>
      <c r="O188" s="1016" t="str">
        <f t="shared" si="172"/>
        <v/>
      </c>
      <c r="P188" s="1125" t="str">
        <f t="shared" si="173"/>
        <v/>
      </c>
      <c r="Q188" s="1016" t="str">
        <f t="shared" si="174"/>
        <v/>
      </c>
      <c r="R188" s="214" t="str">
        <f t="shared" si="175"/>
        <v/>
      </c>
      <c r="S188" s="1125" t="str">
        <f t="shared" si="176"/>
        <v/>
      </c>
      <c r="T188" s="236" t="str">
        <f t="shared" si="177"/>
        <v/>
      </c>
      <c r="V188" s="642" t="e">
        <f>INDEX('Barge Gauging Data'!$B$26:$V$56,MATCH($C188,'Barge Gauging Data'!$B$26:$B$56,0),$V$18)</f>
        <v>#N/A</v>
      </c>
      <c r="W188" s="642" t="e">
        <f>INDEX('Barge Gauging Data'!$B$26:$V$56,MATCH($C188,'Barge Gauging Data'!$B$26:$B$56,0),$W$18)</f>
        <v>#N/A</v>
      </c>
      <c r="X188" s="642" t="e">
        <f>INDEX('Barge Gauging Data'!$B$26:$V$56,MATCH($C188,'Barge Gauging Data'!$B$26:$B$56,0),$X$18)</f>
        <v>#N/A</v>
      </c>
      <c r="Y188" s="642" t="e">
        <f>INDEX('Barge Gauging Data'!$B$26:$V$56,MATCH($C188,'Barge Gauging Data'!$B$26:$B$56,0),$Y$18)</f>
        <v>#N/A</v>
      </c>
      <c r="Z188" s="642" t="e">
        <f>INDEX('Barge Gauging Data'!$B$26:$V$56,MATCH($C188,'Barge Gauging Data'!$B$26:$B$56,0),$Z$18)</f>
        <v>#N/A</v>
      </c>
      <c r="AB188" s="642" t="e">
        <f>INDEX(API1DENST_2,MATCH($C188,'Barge Gauging Data'!$B$27:$B$56,0),1)</f>
        <v>#N/A</v>
      </c>
      <c r="AC188" s="642" t="e">
        <f t="shared" si="151"/>
        <v>#N/A</v>
      </c>
      <c r="AE188" s="661" t="e">
        <f t="shared" si="152"/>
        <v>#VALUE!</v>
      </c>
      <c r="AF188" s="661" t="e">
        <f t="shared" si="153"/>
        <v>#VALUE!</v>
      </c>
      <c r="AH188" s="662" t="str">
        <f t="shared" si="149"/>
        <v/>
      </c>
      <c r="AI188" s="662" t="str">
        <f t="shared" si="150"/>
        <v/>
      </c>
      <c r="AJ188" s="663">
        <f t="shared" si="154"/>
        <v>192.4571</v>
      </c>
      <c r="AK188" s="660">
        <f t="shared" si="155"/>
        <v>0.24379999999999999</v>
      </c>
      <c r="AL188" s="660" t="e">
        <f t="shared" si="156"/>
        <v>#VALUE!</v>
      </c>
      <c r="AM188" s="664" t="e">
        <f t="shared" si="157"/>
        <v>#VALUE!</v>
      </c>
      <c r="AN188" s="664" t="e">
        <f t="shared" si="158"/>
        <v>#VALUE!</v>
      </c>
      <c r="AO188" s="665" t="e">
        <f t="shared" si="159"/>
        <v>#VALUE!</v>
      </c>
      <c r="AP188" s="666" t="e">
        <f t="shared" si="160"/>
        <v>#VALUE!</v>
      </c>
      <c r="AQ188" s="660" t="e">
        <f t="shared" si="161"/>
        <v>#VALUE!</v>
      </c>
      <c r="AR188" s="667" t="e">
        <f t="shared" si="162"/>
        <v>#VALUE!</v>
      </c>
      <c r="AS188" s="667" t="e">
        <f t="shared" si="163"/>
        <v>#VALUE!</v>
      </c>
      <c r="AT188" s="668" t="e">
        <f t="shared" si="164"/>
        <v>#VALUE!</v>
      </c>
      <c r="AU188" s="667" t="e">
        <f t="shared" si="165"/>
        <v>#VALUE!</v>
      </c>
      <c r="AV188" s="669" t="e">
        <f t="shared" si="166"/>
        <v>#VALUE!</v>
      </c>
      <c r="AW188" s="667" t="e">
        <f t="shared" si="167"/>
        <v>#VALUE!</v>
      </c>
      <c r="AX188" s="667" t="e">
        <f t="shared" si="168"/>
        <v>#VALUE!</v>
      </c>
      <c r="AY188" s="660" t="e">
        <f t="shared" si="169"/>
        <v>#VALUE!</v>
      </c>
      <c r="AZ188" s="670" t="e">
        <f t="shared" si="170"/>
        <v>#VALUE!</v>
      </c>
      <c r="BB188" s="662" t="e">
        <f>INDEX('Barge Gauging Data'!$B$26:$V$56,MATCH($C188,'Barge Gauging Data'!$B$26:$B$56,0),$BB$18)</f>
        <v>#N/A</v>
      </c>
      <c r="BC188" s="662" t="e">
        <f>INDEX('Barge Gauging Data'!$B$26:$V$56,MATCH($C188,'Barge Gauging Data'!$B$26:$B$56,0),$BC$18)</f>
        <v>#N/A</v>
      </c>
      <c r="BD188" s="662" t="e">
        <f>INDEX('Barge Gauging Data'!$B$26:$V$56,MATCH($C188,'Barge Gauging Data'!$B$26:$B$56,0),$BD$18)</f>
        <v>#N/A</v>
      </c>
      <c r="BE188" s="662" t="e">
        <f>INDEX('Barge Gauging Data'!$B$26:$V$56,MATCH($C188,'Barge Gauging Data'!$B$26:$B$56,0),$BE$18)</f>
        <v>#N/A</v>
      </c>
    </row>
    <row r="189" spans="1:57" hidden="1">
      <c r="A189" s="641" t="str">
        <f t="shared" si="148"/>
        <v>N</v>
      </c>
      <c r="C189" s="237" t="str">
        <f t="array" ref="C189">IF(SUMPRODUCT((ISERROR(MATCH('Barge Gauging Data'!$C$27:$C$56,IF(GRADECHNO_2=2,RESIDUALS,IF(GRADECHNO_2=3,DISTILLATES,GRADESLIST)),0))=FALSE)*('Barge Gauging Data'!$D$27:$D$56=NOMN)*1)&lt;ROWS($C$160:$C189),"",INDEX('Barge Gauging Data'!$B$27:$B$56,SMALL(IF(((ISERROR(MATCH('Barge Gauging Data'!$C$27:$C$56,IF(GRADECHNO_2=2,RESIDUALS,IF(GRADECHNO_2=3,DISTILLATES,GRADESLIST)),0))=FALSE)+('Barge Gauging Data'!$D$27:$D$56=NOMN))=2,ROW('Barge Gauging Data'!$B$27:$B$56)-ROW('Barge Gauging Data'!$C$26)),ROW()-ROW(C$159))))</f>
        <v/>
      </c>
      <c r="D189" s="238" t="str">
        <f>IF(OR($C189="",$C189=0),"",INDEX('Barge Gauging Data'!$B$26:$V$56,MATCH($C189,'Barge Gauging Data'!$B$27:$B$56,0)+1,2))</f>
        <v/>
      </c>
      <c r="E189" s="1017" t="str">
        <f t="shared" si="134"/>
        <v/>
      </c>
      <c r="F189" s="1017" t="str">
        <f t="shared" si="135"/>
        <v/>
      </c>
      <c r="G189" s="1017" t="str">
        <f t="shared" si="136"/>
        <v/>
      </c>
      <c r="H189" s="1017" t="str">
        <f t="shared" si="136"/>
        <v/>
      </c>
      <c r="I189" s="238" t="str">
        <f t="shared" si="137"/>
        <v/>
      </c>
      <c r="J189" s="1017" t="str">
        <f t="shared" si="138"/>
        <v/>
      </c>
      <c r="K189" s="240" t="str">
        <f t="shared" si="139"/>
        <v/>
      </c>
      <c r="L189" s="239" t="str">
        <f t="shared" si="140"/>
        <v/>
      </c>
      <c r="M189" s="1126" t="str">
        <f>IF(OR($C189="",$C189=0),"",INDEX(API1DENST_2,MATCH($C189,'Barge Gauging Data'!$B$27:$B$56,0),$AA$1))</f>
        <v/>
      </c>
      <c r="N189" s="239" t="str">
        <f t="shared" si="141"/>
        <v/>
      </c>
      <c r="O189" s="1017" t="str">
        <f t="shared" si="172"/>
        <v/>
      </c>
      <c r="P189" s="1126" t="str">
        <f t="shared" si="173"/>
        <v/>
      </c>
      <c r="Q189" s="1017" t="str">
        <f t="shared" si="174"/>
        <v/>
      </c>
      <c r="R189" s="241" t="str">
        <f t="shared" si="175"/>
        <v/>
      </c>
      <c r="S189" s="1126" t="str">
        <f t="shared" si="176"/>
        <v/>
      </c>
      <c r="T189" s="242" t="str">
        <f t="shared" si="177"/>
        <v/>
      </c>
      <c r="V189" s="642" t="e">
        <f>INDEX('Barge Gauging Data'!$B$26:$V$56,MATCH($C189,'Barge Gauging Data'!$B$26:$B$56,0),$V$18)</f>
        <v>#N/A</v>
      </c>
      <c r="W189" s="642" t="e">
        <f>INDEX('Barge Gauging Data'!$B$26:$V$56,MATCH($C189,'Barge Gauging Data'!$B$26:$B$56,0),$W$18)</f>
        <v>#N/A</v>
      </c>
      <c r="X189" s="642" t="e">
        <f>INDEX('Barge Gauging Data'!$B$26:$V$56,MATCH($C189,'Barge Gauging Data'!$B$26:$B$56,0),$X$18)</f>
        <v>#N/A</v>
      </c>
      <c r="Y189" s="642" t="e">
        <f>INDEX('Barge Gauging Data'!$B$26:$V$56,MATCH($C189,'Barge Gauging Data'!$B$26:$B$56,0),$Y$18)</f>
        <v>#N/A</v>
      </c>
      <c r="Z189" s="642" t="e">
        <f>INDEX('Barge Gauging Data'!$B$26:$V$56,MATCH($C189,'Barge Gauging Data'!$B$26:$B$56,0),$Z$18)</f>
        <v>#N/A</v>
      </c>
      <c r="AB189" s="642" t="e">
        <f>INDEX(API1DENST_2,MATCH($C189,'Barge Gauging Data'!$B$27:$B$56,0),1)</f>
        <v>#N/A</v>
      </c>
      <c r="AC189" s="642" t="e">
        <f t="shared" si="151"/>
        <v>#N/A</v>
      </c>
      <c r="AE189" s="661" t="e">
        <f t="shared" si="152"/>
        <v>#VALUE!</v>
      </c>
      <c r="AF189" s="661" t="e">
        <f t="shared" si="153"/>
        <v>#VALUE!</v>
      </c>
      <c r="AH189" s="662" t="str">
        <f t="shared" si="149"/>
        <v/>
      </c>
      <c r="AI189" s="662" t="str">
        <f t="shared" si="150"/>
        <v/>
      </c>
      <c r="AJ189" s="663">
        <f t="shared" si="154"/>
        <v>192.4571</v>
      </c>
      <c r="AK189" s="660">
        <f t="shared" si="155"/>
        <v>0.24379999999999999</v>
      </c>
      <c r="AL189" s="660" t="e">
        <f t="shared" si="156"/>
        <v>#VALUE!</v>
      </c>
      <c r="AM189" s="664" t="e">
        <f t="shared" si="157"/>
        <v>#VALUE!</v>
      </c>
      <c r="AN189" s="664" t="e">
        <f t="shared" si="158"/>
        <v>#VALUE!</v>
      </c>
      <c r="AO189" s="665" t="e">
        <f t="shared" si="159"/>
        <v>#VALUE!</v>
      </c>
      <c r="AP189" s="666" t="e">
        <f t="shared" si="160"/>
        <v>#VALUE!</v>
      </c>
      <c r="AQ189" s="660" t="e">
        <f t="shared" si="161"/>
        <v>#VALUE!</v>
      </c>
      <c r="AR189" s="667" t="e">
        <f t="shared" si="162"/>
        <v>#VALUE!</v>
      </c>
      <c r="AS189" s="667" t="e">
        <f t="shared" si="163"/>
        <v>#VALUE!</v>
      </c>
      <c r="AT189" s="668" t="e">
        <f t="shared" si="164"/>
        <v>#VALUE!</v>
      </c>
      <c r="AU189" s="667" t="e">
        <f t="shared" si="165"/>
        <v>#VALUE!</v>
      </c>
      <c r="AV189" s="669" t="e">
        <f t="shared" si="166"/>
        <v>#VALUE!</v>
      </c>
      <c r="AW189" s="667" t="e">
        <f t="shared" si="167"/>
        <v>#VALUE!</v>
      </c>
      <c r="AX189" s="667" t="e">
        <f t="shared" si="168"/>
        <v>#VALUE!</v>
      </c>
      <c r="AY189" s="660" t="e">
        <f t="shared" si="169"/>
        <v>#VALUE!</v>
      </c>
      <c r="AZ189" s="670" t="e">
        <f t="shared" si="170"/>
        <v>#VALUE!</v>
      </c>
      <c r="BB189" s="662" t="e">
        <f>INDEX('Barge Gauging Data'!$B$26:$V$56,MATCH($C189,'Barge Gauging Data'!$B$26:$B$56,0),$BB$18)</f>
        <v>#N/A</v>
      </c>
      <c r="BC189" s="662" t="e">
        <f>INDEX('Barge Gauging Data'!$B$26:$V$56,MATCH($C189,'Barge Gauging Data'!$B$26:$B$56,0),$BC$18)</f>
        <v>#N/A</v>
      </c>
      <c r="BD189" s="662" t="e">
        <f>INDEX('Barge Gauging Data'!$B$26:$V$56,MATCH($C189,'Barge Gauging Data'!$B$26:$B$56,0),$BD$18)</f>
        <v>#N/A</v>
      </c>
      <c r="BE189" s="662" t="e">
        <f>INDEX('Barge Gauging Data'!$B$26:$V$56,MATCH($C189,'Barge Gauging Data'!$B$26:$B$56,0),$BE$18)</f>
        <v>#N/A</v>
      </c>
    </row>
    <row r="190" spans="1:57" hidden="1">
      <c r="A190" s="641" t="str">
        <f>A159</f>
        <v>N</v>
      </c>
      <c r="C190" s="671"/>
      <c r="D190" s="671"/>
      <c r="E190" s="672"/>
      <c r="F190" s="672"/>
      <c r="G190" s="672"/>
      <c r="H190" s="1501"/>
      <c r="I190" s="671"/>
      <c r="J190" s="672"/>
      <c r="K190" s="673"/>
      <c r="L190" s="672"/>
      <c r="M190" s="674"/>
      <c r="N190" s="672"/>
      <c r="O190" s="672"/>
      <c r="P190" s="1127"/>
      <c r="Q190" s="672"/>
      <c r="R190" s="675"/>
      <c r="S190" s="1138" t="s">
        <v>401</v>
      </c>
      <c r="T190" s="620">
        <f>SUM(T160:T189)</f>
        <v>0</v>
      </c>
      <c r="V190" s="1163">
        <f>SUM(Q160:Q189)</f>
        <v>0</v>
      </c>
      <c r="W190" s="1163">
        <f>SUM(R160:R189)</f>
        <v>0</v>
      </c>
      <c r="X190" s="676"/>
      <c r="Y190" s="676"/>
      <c r="Z190" s="676"/>
      <c r="AB190" s="676"/>
      <c r="AC190" s="676"/>
      <c r="AE190" s="677"/>
      <c r="AF190" s="677"/>
      <c r="AH190" s="678"/>
      <c r="AI190" s="678"/>
      <c r="AJ190" s="679"/>
      <c r="AK190" s="680"/>
      <c r="AL190" s="680"/>
      <c r="AM190" s="681"/>
      <c r="AN190" s="681"/>
      <c r="AO190" s="682"/>
      <c r="AP190" s="683"/>
      <c r="AQ190" s="680"/>
      <c r="AR190" s="684"/>
      <c r="AS190" s="684"/>
      <c r="AT190" s="685"/>
      <c r="AU190" s="684"/>
      <c r="AV190" s="686"/>
      <c r="AW190" s="684"/>
      <c r="AX190" s="684"/>
      <c r="AY190" s="680"/>
      <c r="AZ190" s="687"/>
      <c r="BB190" s="678"/>
      <c r="BC190" s="678"/>
      <c r="BD190" s="678"/>
      <c r="BE190" s="678"/>
    </row>
    <row r="191" spans="1:57" s="702" customFormat="1" ht="5.25">
      <c r="A191" s="702" t="s">
        <v>284</v>
      </c>
      <c r="C191" s="704"/>
      <c r="D191" s="704"/>
      <c r="E191" s="704"/>
      <c r="F191" s="704"/>
      <c r="G191" s="704"/>
      <c r="H191" s="704"/>
      <c r="I191" s="704"/>
      <c r="J191" s="704"/>
      <c r="K191" s="704"/>
      <c r="L191" s="704"/>
      <c r="M191" s="704"/>
      <c r="N191" s="704"/>
      <c r="O191" s="704"/>
      <c r="P191" s="1130"/>
      <c r="Q191" s="704"/>
      <c r="R191" s="704"/>
      <c r="S191" s="1139"/>
      <c r="T191" s="748"/>
      <c r="V191" s="707"/>
      <c r="W191" s="707"/>
      <c r="X191" s="707"/>
      <c r="Y191" s="707"/>
      <c r="Z191" s="707"/>
      <c r="AA191" s="707"/>
      <c r="AB191" s="707"/>
      <c r="AC191" s="707"/>
      <c r="AD191" s="707"/>
      <c r="AE191" s="708"/>
      <c r="AF191" s="708"/>
      <c r="AG191" s="707"/>
      <c r="AH191" s="709"/>
      <c r="AI191" s="709"/>
      <c r="AJ191" s="710"/>
      <c r="AK191" s="711"/>
      <c r="AL191" s="711"/>
      <c r="AM191" s="712"/>
      <c r="AN191" s="712"/>
      <c r="AO191" s="713"/>
      <c r="AP191" s="714"/>
      <c r="AQ191" s="711"/>
      <c r="AR191" s="715"/>
      <c r="AS191" s="715"/>
      <c r="AT191" s="716"/>
      <c r="AU191" s="715"/>
      <c r="AV191" s="717"/>
      <c r="AW191" s="715"/>
      <c r="AX191" s="715"/>
      <c r="AY191" s="711"/>
      <c r="AZ191" s="718"/>
      <c r="BA191" s="707"/>
      <c r="BB191" s="709"/>
      <c r="BC191" s="709"/>
      <c r="BD191" s="709"/>
      <c r="BE191" s="709"/>
    </row>
    <row r="192" spans="1:57" hidden="1">
      <c r="A192" s="654" t="str">
        <f>IF(SUMCALC="No","N","Y")</f>
        <v>N</v>
      </c>
      <c r="C192" s="777" t="str">
        <f>C19</f>
        <v>BEFORE BUNKERING (OPENING GAUGING)</v>
      </c>
      <c r="D192" s="778"/>
      <c r="E192" s="778"/>
      <c r="F192" s="778"/>
      <c r="G192" s="778" t="s">
        <v>401</v>
      </c>
      <c r="H192" s="1506"/>
      <c r="I192" s="779"/>
      <c r="J192" s="780">
        <f>SUMIF($A21:$A189,"Y",(J21:J189))</f>
        <v>79.128</v>
      </c>
      <c r="K192" s="780"/>
      <c r="L192" s="780">
        <f>SUMIF($A21:$A189,"Y",(L21:L189))</f>
        <v>0</v>
      </c>
      <c r="M192" s="780"/>
      <c r="N192" s="780"/>
      <c r="O192" s="780">
        <f>SUMIF($A21:$A189,"Y",(O21:O189))</f>
        <v>79.128</v>
      </c>
      <c r="P192" s="1131"/>
      <c r="Q192" s="780">
        <f>SUMIF($A21:$A189,"Y",(Q21:Q189))</f>
        <v>78.521999999999991</v>
      </c>
      <c r="R192" s="780">
        <f>SUMIF($A21:$A189,"Y",(R21:R189))</f>
        <v>65.581999999999994</v>
      </c>
      <c r="S192" s="1131"/>
      <c r="T192" s="781">
        <f>SUMIF($A21:$A190,"Y",(T21:T190))/2</f>
        <v>65.495000000000005</v>
      </c>
    </row>
    <row r="193" spans="1:57" hidden="1">
      <c r="A193" s="654" t="str">
        <f>A192</f>
        <v>N</v>
      </c>
      <c r="C193" s="782"/>
      <c r="D193" s="783"/>
      <c r="E193" s="783"/>
      <c r="F193" s="783"/>
      <c r="G193" s="783" t="s">
        <v>403</v>
      </c>
      <c r="H193" s="783"/>
      <c r="I193" s="784"/>
      <c r="J193" s="785">
        <f>SUMIF($A21:$A156,"Y",(J21:J156))</f>
        <v>79.128</v>
      </c>
      <c r="K193" s="785"/>
      <c r="L193" s="785">
        <f>SUMIF($A21:$A156,"Y",(L21:L156))</f>
        <v>0</v>
      </c>
      <c r="M193" s="785"/>
      <c r="N193" s="785"/>
      <c r="O193" s="785">
        <f>SUMIF($A21:$A156,"Y",(O21:O156))</f>
        <v>79.128</v>
      </c>
      <c r="P193" s="1132"/>
      <c r="Q193" s="785">
        <f>SUMIF($A21:$A156,"Y",(Q21:Q156))</f>
        <v>78.521999999999991</v>
      </c>
      <c r="R193" s="785">
        <f>SUMIF($A21:$A156,"Y",(R21:R156))</f>
        <v>65.581999999999994</v>
      </c>
      <c r="S193" s="1132"/>
      <c r="T193" s="786">
        <f>SUMIF($A21:$A157,"Y",(T21:T157))/2</f>
        <v>65.495000000000005</v>
      </c>
    </row>
    <row r="194" spans="1:57" hidden="1">
      <c r="A194" s="688" t="str">
        <f>A192</f>
        <v>N</v>
      </c>
      <c r="C194" s="787"/>
      <c r="D194" s="788"/>
      <c r="E194" s="788"/>
      <c r="F194" s="788"/>
      <c r="G194" s="788" t="s">
        <v>402</v>
      </c>
      <c r="H194" s="788"/>
      <c r="I194" s="789"/>
      <c r="J194" s="790">
        <f>SUMIF($A159:$A189,"Y",(J159:J189))</f>
        <v>0</v>
      </c>
      <c r="K194" s="790"/>
      <c r="L194" s="790">
        <f>SUMIF($A159:$A189,"Y",(L159:L189))</f>
        <v>0</v>
      </c>
      <c r="M194" s="790"/>
      <c r="N194" s="790"/>
      <c r="O194" s="790">
        <f>SUMIF($A159:$A189,"Y",(O159:O189))</f>
        <v>0</v>
      </c>
      <c r="P194" s="1133"/>
      <c r="Q194" s="790">
        <f>SUMIF($A159:$A189,"Y",(Q159:Q189))</f>
        <v>0</v>
      </c>
      <c r="R194" s="790">
        <f>SUMIF($A159:$A189,"Y",(R159:R189))</f>
        <v>0</v>
      </c>
      <c r="S194" s="1133"/>
      <c r="T194" s="791">
        <f>SUMIF($A159:$A190,"Y",(T159:T190))/2</f>
        <v>0</v>
      </c>
    </row>
    <row r="195" spans="1:57" s="702" customFormat="1" ht="5.25" hidden="1">
      <c r="A195" s="702" t="str">
        <f>A192</f>
        <v>N</v>
      </c>
      <c r="P195" s="1134"/>
      <c r="S195" s="1134"/>
    </row>
    <row r="196" spans="1:57" s="658" customFormat="1" ht="18.75">
      <c r="A196" s="658" t="s">
        <v>284</v>
      </c>
      <c r="C196" s="695" t="s">
        <v>164</v>
      </c>
      <c r="D196" s="696"/>
      <c r="E196" s="696"/>
      <c r="F196" s="696"/>
      <c r="G196" s="696"/>
      <c r="H196" s="1507"/>
      <c r="I196" s="696"/>
      <c r="J196" s="696"/>
      <c r="K196" s="696"/>
      <c r="L196" s="696"/>
      <c r="M196" s="696"/>
      <c r="N196" s="696"/>
      <c r="O196" s="696"/>
      <c r="P196" s="1135"/>
      <c r="Q196" s="696"/>
      <c r="R196" s="696"/>
      <c r="S196" s="1135"/>
      <c r="T196" s="697"/>
      <c r="W196" s="1155" t="s">
        <v>39</v>
      </c>
      <c r="X196" s="1151" t="s">
        <v>38</v>
      </c>
      <c r="Y196" s="1151" t="s">
        <v>38</v>
      </c>
      <c r="Z196" s="1151" t="s">
        <v>36</v>
      </c>
      <c r="BB196" s="1151" t="s">
        <v>37</v>
      </c>
      <c r="BC196" s="1152" t="s">
        <v>352</v>
      </c>
      <c r="BD196" s="1151" t="s">
        <v>170</v>
      </c>
      <c r="BE196" s="1151" t="s">
        <v>169</v>
      </c>
    </row>
    <row r="197" spans="1:57" s="707" customFormat="1" ht="5.25">
      <c r="A197" s="702" t="s">
        <v>284</v>
      </c>
      <c r="B197" s="702"/>
      <c r="C197" s="704"/>
      <c r="D197" s="704"/>
      <c r="E197" s="704"/>
      <c r="F197" s="704"/>
      <c r="G197" s="705"/>
      <c r="H197" s="705"/>
      <c r="I197" s="705"/>
      <c r="J197" s="706"/>
      <c r="K197" s="706"/>
      <c r="L197" s="706"/>
      <c r="M197" s="706"/>
      <c r="N197" s="706"/>
      <c r="O197" s="706"/>
      <c r="P197" s="1136"/>
      <c r="Q197" s="706"/>
      <c r="R197" s="706"/>
      <c r="S197" s="1140"/>
      <c r="T197" s="747"/>
      <c r="W197" s="1156"/>
      <c r="X197" s="1156"/>
      <c r="Y197" s="1156"/>
      <c r="Z197" s="1156"/>
      <c r="AC197" s="708"/>
      <c r="AD197" s="708"/>
      <c r="AF197" s="709"/>
      <c r="AG197" s="709"/>
      <c r="AH197" s="710"/>
      <c r="AI197" s="711"/>
      <c r="AJ197" s="711"/>
      <c r="AK197" s="712"/>
      <c r="AL197" s="712"/>
      <c r="AM197" s="713"/>
      <c r="AN197" s="714"/>
      <c r="AO197" s="711"/>
      <c r="AP197" s="715"/>
      <c r="AQ197" s="715"/>
      <c r="AR197" s="716"/>
      <c r="AS197" s="715"/>
      <c r="AT197" s="717"/>
      <c r="AU197" s="715"/>
      <c r="AV197" s="715"/>
      <c r="AW197" s="711"/>
      <c r="AX197" s="718"/>
      <c r="AZ197" s="709"/>
      <c r="BA197" s="709"/>
      <c r="BB197" s="1157"/>
      <c r="BC197" s="1157"/>
      <c r="BD197" s="1156"/>
      <c r="BE197" s="1156"/>
    </row>
    <row r="198" spans="1:57" ht="15.75" hidden="1">
      <c r="A198" s="641" t="str">
        <f t="shared" ref="A198:A229" si="178">A21</f>
        <v>N</v>
      </c>
      <c r="B198" s="641">
        <v>1</v>
      </c>
      <c r="C198" s="2797" t="s">
        <v>163</v>
      </c>
      <c r="D198" s="2798"/>
      <c r="E198" s="2799" t="str">
        <f t="shared" ref="E198:E218" si="179">E21</f>
        <v>HSFO</v>
      </c>
      <c r="F198" s="2800"/>
      <c r="G198" s="2800"/>
      <c r="H198" s="2824"/>
      <c r="I198" s="2801"/>
      <c r="J198" s="700"/>
      <c r="K198" s="699"/>
      <c r="L198" s="700"/>
      <c r="M198" s="699"/>
      <c r="N198" s="699"/>
      <c r="O198" s="700"/>
      <c r="P198" s="1129"/>
      <c r="Q198" s="700"/>
      <c r="R198" s="701"/>
      <c r="S198" s="1129"/>
      <c r="T198" s="701"/>
      <c r="W198" s="1151" t="str">
        <f>'Barge Gauging Data'!F26</f>
        <v>5</v>
      </c>
      <c r="X198" s="1151" t="str">
        <f>'Barge Gauging Data'!P26</f>
        <v>15</v>
      </c>
      <c r="Y198" s="1151" t="str">
        <f>'Barge Gauging Data'!Q26</f>
        <v>16</v>
      </c>
      <c r="Z198" s="1151">
        <f>'Barge Gauging Data'!S26</f>
        <v>18</v>
      </c>
      <c r="BB198" s="1151" t="str">
        <f>'Barge Gauging Data'!O26</f>
        <v>14</v>
      </c>
      <c r="BC198" s="1151">
        <f>'Barge Gauging Data'!R26</f>
        <v>17</v>
      </c>
      <c r="BD198" s="1151">
        <f>'Barge Gauging Data'!U26</f>
        <v>20</v>
      </c>
      <c r="BE198" s="1151">
        <f>'Barge Gauging Data'!V26</f>
        <v>21</v>
      </c>
    </row>
    <row r="199" spans="1:57" hidden="1">
      <c r="A199" s="641" t="str">
        <f t="shared" si="178"/>
        <v>N</v>
      </c>
      <c r="C199" s="622" t="str">
        <f t="shared" ref="C199:D218" si="180">C22</f>
        <v/>
      </c>
      <c r="D199" s="623" t="str">
        <f t="shared" si="180"/>
        <v/>
      </c>
      <c r="E199" s="1018" t="str">
        <f t="shared" si="179"/>
        <v/>
      </c>
      <c r="F199" s="1018" t="str">
        <f t="shared" ref="F199:F218" si="181">IF(ISERROR(W199),"",IF(OR($C199="",$C199=0),"",IF(ISTEXT(W199),W199,IF($AB$1=1,W199*UNITOR_2,INT(W199*UNITOR_2)&amp;"'-"&amp;TRIM(TEXT(ROUND(MOD(W199*UNITOR_2,1)*12,1),"# ???/???"))&amp;""""))))</f>
        <v/>
      </c>
      <c r="G199" s="1018" t="str">
        <f t="shared" ref="G199:H218" si="182">IF(ISERROR(X199),"",IF(OR($C199="",$C199=0),"",IF(ISTEXT(X199),X199,IF($AB$1=1,X199*UNITOR_2,INT(X199*UNITOR_2)&amp;"'-"&amp;TRIM(TEXT(ROUND(MOD(X199*UNITOR_2,1)*12,1),"# ???/???"))&amp;""""))))</f>
        <v/>
      </c>
      <c r="H199" s="1018" t="str">
        <f t="shared" si="182"/>
        <v/>
      </c>
      <c r="I199" s="623" t="str">
        <f t="shared" ref="I199:I218" si="183">IF(ISERROR($BB199),"",IF(OR($C199="",$C199=0,$BB199=0),"",$BB199))</f>
        <v/>
      </c>
      <c r="J199" s="1016" t="str">
        <f t="shared" ref="J199:J218" si="184">IF(ISERROR($BC199),"",IF(OR($C199="",$C199=0,$BC199=""),"",IF(ISTEXT($BC199),$BC199,$BC199*IF($AA$1=B1SEL_2,1,IF($AA$1=2,FBBLS,1/FBBLS)))))</f>
        <v/>
      </c>
      <c r="K199" s="213" t="str">
        <f t="shared" ref="K199:K218" si="185">IF(ISERROR($BD199),"",IF(OR($C199="",$C199=0,$BD199=""),0,IF(ISTEXT($BD199),$BD199,$BD199*IF($AB$1=W1SEL_2,1,IF($AB$1=2,FINCH,1/FINCH)))))</f>
        <v/>
      </c>
      <c r="L199" s="212" t="str">
        <f t="shared" ref="L199:L218" si="186">IF(ISERROR($BE199),"",IF(OR($C199="",$C199=0,$BE199=""),0,IF(ISTEXT($BE199),$BE199,$BE199*IF($AA$1=B1SEL_2,1,IF($AA$1=2,FBBLS,1/FBBLS)))))</f>
        <v/>
      </c>
      <c r="M199" s="1125" t="str">
        <f>IF(OR($C199="",$C199=0),"",INDEX(API2DENST_2,MATCH($C199,'Barge Gauging Data'!$B$27:$B$56,0),$AA$1))</f>
        <v/>
      </c>
      <c r="N199" s="212" t="str">
        <f t="shared" ref="N199:N218" si="187">IF(ISERROR(Z199),"",IF(OR($C199="",$C199=0,Z199=""),"",IF(ISTEXT(Z199),Z199,IF($AA$1=T1SEL_2,Z199,IF($AA$1=2,(Z199*9/5)+32,(Z199-32)*5/9)))))</f>
        <v/>
      </c>
      <c r="O199" s="1016" t="str">
        <f t="shared" ref="O199" si="188">IF(OR(J199="",L199=""),"",IF(ISTEXT(J199),"N/A",IF(ISTEXT(L199),J199,J199-L199)))</f>
        <v/>
      </c>
      <c r="P199" s="1125" t="str">
        <f t="shared" ref="P199" si="189">IF(OR(M199="",N199=""),"",IF(OR(ISTEXT(M199),ISTEXT(N199)),"N/A",IF($AA$1=1,ROUND(EXP(-AF199*(N199-15)*(1+0.8*AF199*(N199-15))),5),AZ199)))</f>
        <v/>
      </c>
      <c r="Q199" s="1016" t="str">
        <f t="shared" ref="Q199" si="190">IF(OR(M199="",N199=""),"",IF(OR(ISTEXT(M199),ISTEXT(N199)),"N/A",ROUND(O199*P199,3)))</f>
        <v/>
      </c>
      <c r="R199" s="214" t="str">
        <f t="shared" ref="R199" si="191">IF(M199="","",IF($AA$1=1,IF(ISTEXT(Q199),"N/A",ROUND(Q199*M199,3)),IF(ISTEXT(T199),"N/A",ROUND(T199*AC199,3))))</f>
        <v/>
      </c>
      <c r="S199" s="1125" t="str">
        <f t="shared" ref="S199" si="192">IF(M199="","",IF($AA$1=1,ROUND(M199-0.0011,5),ROUND((1.00122697*(141.5/(M199+131.5))-1.22269727*10^-3)*8.32823*42/2204.62,5+2)))</f>
        <v/>
      </c>
      <c r="T199" s="236" t="str">
        <f t="shared" ref="T199" si="193">IF(OR(M199="",N199=""),"",IF(ISTEXT(Q199),"N/A",IF($AA$1=1,ROUND((Q199*(M199-0.0011)),3),ROUND(Q199*S199,3))))</f>
        <v/>
      </c>
      <c r="W199" s="642" t="e">
        <f>INDEX('Barge Gauging Data'!$B$26:$V$56,MATCH($C199,'Barge Gauging Data'!$B$26:$B$56,0),$W$198)</f>
        <v>#N/A</v>
      </c>
      <c r="X199" s="642" t="e">
        <f>INDEX('Barge Gauging Data'!$B$26:$V$56,MATCH($C199,'Barge Gauging Data'!$B$26:$B$56,0),$X$198)</f>
        <v>#N/A</v>
      </c>
      <c r="Y199" s="642" t="e">
        <f>INDEX('Barge Gauging Data'!$B$26:$V$56,MATCH($C199,'Barge Gauging Data'!$B$26:$B$56,0),$Y$198)</f>
        <v>#N/A</v>
      </c>
      <c r="Z199" s="642" t="e">
        <f>INDEX('Barge Gauging Data'!$B$26:$V$56,MATCH($C199,'Barge Gauging Data'!$B$26:$B$56,0),$Z$198)</f>
        <v>#N/A</v>
      </c>
      <c r="AB199" s="642" t="e">
        <f>INDEX(API2DENST_2,MATCH($C199,'Barge Gauging Data'!$B$27:$B$56,0),1)</f>
        <v>#N/A</v>
      </c>
      <c r="AC199" s="642" t="e">
        <f t="shared" si="151"/>
        <v>#N/A</v>
      </c>
      <c r="AE199" s="661" t="e">
        <f t="shared" si="152"/>
        <v>#VALUE!</v>
      </c>
      <c r="AF199" s="661" t="e">
        <f t="shared" si="153"/>
        <v>#VALUE!</v>
      </c>
      <c r="AH199" s="662" t="str">
        <f t="shared" ref="AH199:AH268" si="194">N199</f>
        <v/>
      </c>
      <c r="AI199" s="662" t="str">
        <f t="shared" ref="AI199:AI268" si="195">M199</f>
        <v/>
      </c>
      <c r="AJ199" s="663">
        <f t="shared" si="154"/>
        <v>192.4571</v>
      </c>
      <c r="AK199" s="660">
        <f t="shared" si="155"/>
        <v>0.24379999999999999</v>
      </c>
      <c r="AL199" s="660" t="e">
        <f t="shared" si="156"/>
        <v>#VALUE!</v>
      </c>
      <c r="AM199" s="664" t="e">
        <f t="shared" si="157"/>
        <v>#VALUE!</v>
      </c>
      <c r="AN199" s="664" t="e">
        <f t="shared" si="158"/>
        <v>#VALUE!</v>
      </c>
      <c r="AO199" s="665" t="e">
        <f t="shared" si="159"/>
        <v>#VALUE!</v>
      </c>
      <c r="AP199" s="666" t="e">
        <f t="shared" si="160"/>
        <v>#VALUE!</v>
      </c>
      <c r="AQ199" s="660" t="e">
        <f t="shared" si="161"/>
        <v>#VALUE!</v>
      </c>
      <c r="AR199" s="667" t="e">
        <f t="shared" si="162"/>
        <v>#VALUE!</v>
      </c>
      <c r="AS199" s="667" t="e">
        <f t="shared" si="163"/>
        <v>#VALUE!</v>
      </c>
      <c r="AT199" s="668" t="e">
        <f t="shared" si="164"/>
        <v>#VALUE!</v>
      </c>
      <c r="AU199" s="667" t="e">
        <f t="shared" si="165"/>
        <v>#VALUE!</v>
      </c>
      <c r="AV199" s="669" t="e">
        <f t="shared" si="166"/>
        <v>#VALUE!</v>
      </c>
      <c r="AW199" s="667" t="e">
        <f t="shared" si="167"/>
        <v>#VALUE!</v>
      </c>
      <c r="AX199" s="667" t="e">
        <f t="shared" si="168"/>
        <v>#VALUE!</v>
      </c>
      <c r="AY199" s="660" t="e">
        <f t="shared" si="169"/>
        <v>#VALUE!</v>
      </c>
      <c r="AZ199" s="670" t="e">
        <f t="shared" si="170"/>
        <v>#VALUE!</v>
      </c>
      <c r="BB199" s="662" t="e">
        <f>INDEX('Barge Gauging Data'!$B$26:$V$56,MATCH($C199,'Barge Gauging Data'!$B$26:$B$56,0),$BB$198)</f>
        <v>#N/A</v>
      </c>
      <c r="BC199" s="662" t="e">
        <f>INDEX('Barge Gauging Data'!$B$26:$V$56,MATCH($C199,'Barge Gauging Data'!$B$26:$B$56,0),$BC$198)</f>
        <v>#N/A</v>
      </c>
      <c r="BD199" s="662" t="e">
        <f>INDEX('Barge Gauging Data'!$B$26:$V$56,MATCH($C199,'Barge Gauging Data'!$B$26:$B$56,0),$BD$198)</f>
        <v>#N/A</v>
      </c>
      <c r="BE199" s="662" t="e">
        <f>INDEX('Barge Gauging Data'!$B$26:$V$56,MATCH($C199,'Barge Gauging Data'!$B$26:$B$56,0),$BE$198)</f>
        <v>#N/A</v>
      </c>
    </row>
    <row r="200" spans="1:57" hidden="1">
      <c r="A200" s="641" t="str">
        <f t="shared" si="178"/>
        <v>N</v>
      </c>
      <c r="C200" s="235" t="str">
        <f t="shared" si="180"/>
        <v/>
      </c>
      <c r="D200" s="211" t="str">
        <f t="shared" si="180"/>
        <v/>
      </c>
      <c r="E200" s="1016" t="str">
        <f t="shared" si="179"/>
        <v/>
      </c>
      <c r="F200" s="1016" t="str">
        <f t="shared" si="181"/>
        <v/>
      </c>
      <c r="G200" s="1016" t="str">
        <f t="shared" si="182"/>
        <v/>
      </c>
      <c r="H200" s="1016" t="str">
        <f t="shared" si="182"/>
        <v/>
      </c>
      <c r="I200" s="211" t="str">
        <f t="shared" si="183"/>
        <v/>
      </c>
      <c r="J200" s="1016" t="str">
        <f t="shared" si="184"/>
        <v/>
      </c>
      <c r="K200" s="213" t="str">
        <f t="shared" si="185"/>
        <v/>
      </c>
      <c r="L200" s="212" t="str">
        <f t="shared" si="186"/>
        <v/>
      </c>
      <c r="M200" s="1125" t="str">
        <f>IF(OR($C200="",$C200=0),"",INDEX(API2DENST_2,MATCH($C200,'Barge Gauging Data'!$B$27:$B$56,0),$AA$1))</f>
        <v/>
      </c>
      <c r="N200" s="212" t="str">
        <f t="shared" si="187"/>
        <v/>
      </c>
      <c r="O200" s="1016" t="str">
        <f t="shared" ref="O200:O218" si="196">IF(OR(J200="",L200=""),"",IF(ISTEXT(J200),"N/A",IF(ISTEXT(L200),J200,J200-L200)))</f>
        <v/>
      </c>
      <c r="P200" s="1125" t="str">
        <f t="shared" ref="P200:P218" si="197">IF(OR(M200="",N200=""),"",IF(OR(ISTEXT(M200),ISTEXT(N200)),"N/A",IF($AA$1=1,ROUND(EXP(-AF200*(N200-15)*(1+0.8*AF200*(N200-15))),5),AZ200)))</f>
        <v/>
      </c>
      <c r="Q200" s="1016" t="str">
        <f t="shared" ref="Q200:Q218" si="198">IF(OR(M200="",N200=""),"",IF(OR(ISTEXT(M200),ISTEXT(N200)),"N/A",ROUND(O200*P200,3)))</f>
        <v/>
      </c>
      <c r="R200" s="214" t="str">
        <f t="shared" ref="R200:R218" si="199">IF(M200="","",IF($AA$1=1,IF(ISTEXT(Q200),"N/A",ROUND(Q200*M200,3)),IF(ISTEXT(T200),"N/A",ROUND(T200*AC200,3))))</f>
        <v/>
      </c>
      <c r="S200" s="1125" t="str">
        <f t="shared" ref="S200:S218" si="200">IF(M200="","",IF($AA$1=1,ROUND(M200-0.0011,5),ROUND((1.00122697*(141.5/(M200+131.5))-1.22269727*10^-3)*8.32823*42/2204.62,5+2)))</f>
        <v/>
      </c>
      <c r="T200" s="236" t="str">
        <f t="shared" ref="T200:T218" si="201">IF(OR(M200="",N200=""),"",IF(ISTEXT(Q200),"N/A",IF($AA$1=1,ROUND((Q200*(M200-0.0011)),3),ROUND(Q200*S200,3))))</f>
        <v/>
      </c>
      <c r="W200" s="642" t="e">
        <f>INDEX('Barge Gauging Data'!$B$26:$V$56,MATCH($C200,'Barge Gauging Data'!$B$26:$B$56,0),$W$198)</f>
        <v>#N/A</v>
      </c>
      <c r="X200" s="642" t="e">
        <f>INDEX('Barge Gauging Data'!$B$26:$V$56,MATCH($C200,'Barge Gauging Data'!$B$26:$B$56,0),$X$198)</f>
        <v>#N/A</v>
      </c>
      <c r="Y200" s="642" t="e">
        <f>INDEX('Barge Gauging Data'!$B$26:$V$56,MATCH($C200,'Barge Gauging Data'!$B$26:$B$56,0),$Y$198)</f>
        <v>#N/A</v>
      </c>
      <c r="Z200" s="642" t="e">
        <f>INDEX('Barge Gauging Data'!$B$26:$V$56,MATCH($C200,'Barge Gauging Data'!$B$26:$B$56,0),$Z$198)</f>
        <v>#N/A</v>
      </c>
      <c r="AB200" s="642" t="e">
        <f>INDEX(API2DENST_2,MATCH($C200,'Barge Gauging Data'!$B$27:$B$56,0),1)</f>
        <v>#N/A</v>
      </c>
      <c r="AC200" s="642" t="e">
        <f t="shared" si="151"/>
        <v>#N/A</v>
      </c>
      <c r="AE200" s="661" t="e">
        <f t="shared" si="152"/>
        <v>#VALUE!</v>
      </c>
      <c r="AF200" s="661" t="e">
        <f t="shared" si="153"/>
        <v>#VALUE!</v>
      </c>
      <c r="AH200" s="662" t="str">
        <f t="shared" si="194"/>
        <v/>
      </c>
      <c r="AI200" s="662" t="str">
        <f t="shared" si="195"/>
        <v/>
      </c>
      <c r="AJ200" s="663">
        <f t="shared" si="154"/>
        <v>192.4571</v>
      </c>
      <c r="AK200" s="660">
        <f t="shared" si="155"/>
        <v>0.24379999999999999</v>
      </c>
      <c r="AL200" s="660" t="e">
        <f t="shared" si="156"/>
        <v>#VALUE!</v>
      </c>
      <c r="AM200" s="664" t="e">
        <f t="shared" si="157"/>
        <v>#VALUE!</v>
      </c>
      <c r="AN200" s="664" t="e">
        <f t="shared" si="158"/>
        <v>#VALUE!</v>
      </c>
      <c r="AO200" s="665" t="e">
        <f t="shared" si="159"/>
        <v>#VALUE!</v>
      </c>
      <c r="AP200" s="666" t="e">
        <f t="shared" si="160"/>
        <v>#VALUE!</v>
      </c>
      <c r="AQ200" s="660" t="e">
        <f t="shared" si="161"/>
        <v>#VALUE!</v>
      </c>
      <c r="AR200" s="667" t="e">
        <f t="shared" si="162"/>
        <v>#VALUE!</v>
      </c>
      <c r="AS200" s="667" t="e">
        <f t="shared" si="163"/>
        <v>#VALUE!</v>
      </c>
      <c r="AT200" s="668" t="e">
        <f t="shared" si="164"/>
        <v>#VALUE!</v>
      </c>
      <c r="AU200" s="667" t="e">
        <f t="shared" si="165"/>
        <v>#VALUE!</v>
      </c>
      <c r="AV200" s="669" t="e">
        <f t="shared" si="166"/>
        <v>#VALUE!</v>
      </c>
      <c r="AW200" s="667" t="e">
        <f t="shared" si="167"/>
        <v>#VALUE!</v>
      </c>
      <c r="AX200" s="667" t="e">
        <f t="shared" si="168"/>
        <v>#VALUE!</v>
      </c>
      <c r="AY200" s="660" t="e">
        <f t="shared" si="169"/>
        <v>#VALUE!</v>
      </c>
      <c r="AZ200" s="670" t="e">
        <f t="shared" si="170"/>
        <v>#VALUE!</v>
      </c>
      <c r="BB200" s="662" t="e">
        <f>INDEX('Barge Gauging Data'!$B$26:$V$56,MATCH($C200,'Barge Gauging Data'!$B$26:$B$56,0),$BB$198)</f>
        <v>#N/A</v>
      </c>
      <c r="BC200" s="662" t="e">
        <f>INDEX('Barge Gauging Data'!$B$26:$V$56,MATCH($C200,'Barge Gauging Data'!$B$26:$B$56,0),$BC$198)</f>
        <v>#N/A</v>
      </c>
      <c r="BD200" s="662" t="e">
        <f>INDEX('Barge Gauging Data'!$B$26:$V$56,MATCH($C200,'Barge Gauging Data'!$B$26:$B$56,0),$BD$198)</f>
        <v>#N/A</v>
      </c>
      <c r="BE200" s="662" t="e">
        <f>INDEX('Barge Gauging Data'!$B$26:$V$56,MATCH($C200,'Barge Gauging Data'!$B$26:$B$56,0),$BE$198)</f>
        <v>#N/A</v>
      </c>
    </row>
    <row r="201" spans="1:57" hidden="1">
      <c r="A201" s="641" t="str">
        <f t="shared" si="178"/>
        <v>N</v>
      </c>
      <c r="C201" s="235" t="str">
        <f t="shared" si="180"/>
        <v/>
      </c>
      <c r="D201" s="211" t="str">
        <f t="shared" si="180"/>
        <v/>
      </c>
      <c r="E201" s="1016" t="str">
        <f t="shared" si="179"/>
        <v/>
      </c>
      <c r="F201" s="1016" t="str">
        <f t="shared" si="181"/>
        <v/>
      </c>
      <c r="G201" s="1016" t="str">
        <f t="shared" si="182"/>
        <v/>
      </c>
      <c r="H201" s="1016" t="str">
        <f t="shared" si="182"/>
        <v/>
      </c>
      <c r="I201" s="211" t="str">
        <f t="shared" si="183"/>
        <v/>
      </c>
      <c r="J201" s="1016" t="str">
        <f t="shared" si="184"/>
        <v/>
      </c>
      <c r="K201" s="213" t="str">
        <f t="shared" si="185"/>
        <v/>
      </c>
      <c r="L201" s="212" t="str">
        <f t="shared" si="186"/>
        <v/>
      </c>
      <c r="M201" s="1125" t="str">
        <f>IF(OR($C201="",$C201=0),"",INDEX(API2DENST_2,MATCH($C201,'Barge Gauging Data'!$B$27:$B$56,0),$AA$1))</f>
        <v/>
      </c>
      <c r="N201" s="212" t="str">
        <f t="shared" si="187"/>
        <v/>
      </c>
      <c r="O201" s="1016" t="str">
        <f t="shared" si="196"/>
        <v/>
      </c>
      <c r="P201" s="1125" t="str">
        <f t="shared" si="197"/>
        <v/>
      </c>
      <c r="Q201" s="1016" t="str">
        <f t="shared" si="198"/>
        <v/>
      </c>
      <c r="R201" s="214" t="str">
        <f t="shared" si="199"/>
        <v/>
      </c>
      <c r="S201" s="1125" t="str">
        <f t="shared" si="200"/>
        <v/>
      </c>
      <c r="T201" s="236" t="str">
        <f t="shared" si="201"/>
        <v/>
      </c>
      <c r="W201" s="642" t="e">
        <f>INDEX('Barge Gauging Data'!$B$26:$V$56,MATCH($C201,'Barge Gauging Data'!$B$26:$B$56,0),$W$198)</f>
        <v>#N/A</v>
      </c>
      <c r="X201" s="642" t="e">
        <f>INDEX('Barge Gauging Data'!$B$26:$V$56,MATCH($C201,'Barge Gauging Data'!$B$26:$B$56,0),$X$198)</f>
        <v>#N/A</v>
      </c>
      <c r="Y201" s="642" t="e">
        <f>INDEX('Barge Gauging Data'!$B$26:$V$56,MATCH($C201,'Barge Gauging Data'!$B$26:$B$56,0),$Y$198)</f>
        <v>#N/A</v>
      </c>
      <c r="Z201" s="642" t="e">
        <f>INDEX('Barge Gauging Data'!$B$26:$V$56,MATCH($C201,'Barge Gauging Data'!$B$26:$B$56,0),$Z$198)</f>
        <v>#N/A</v>
      </c>
      <c r="AB201" s="642" t="e">
        <f>INDEX(API2DENST_2,MATCH($C201,'Barge Gauging Data'!$B$27:$B$56,0),1)</f>
        <v>#N/A</v>
      </c>
      <c r="AC201" s="642" t="e">
        <f t="shared" si="151"/>
        <v>#N/A</v>
      </c>
      <c r="AE201" s="661" t="e">
        <f t="shared" si="152"/>
        <v>#VALUE!</v>
      </c>
      <c r="AF201" s="661" t="e">
        <f t="shared" si="153"/>
        <v>#VALUE!</v>
      </c>
      <c r="AH201" s="662" t="str">
        <f t="shared" si="194"/>
        <v/>
      </c>
      <c r="AI201" s="662" t="str">
        <f t="shared" si="195"/>
        <v/>
      </c>
      <c r="AJ201" s="663">
        <f t="shared" si="154"/>
        <v>192.4571</v>
      </c>
      <c r="AK201" s="660">
        <f t="shared" si="155"/>
        <v>0.24379999999999999</v>
      </c>
      <c r="AL201" s="660" t="e">
        <f t="shared" si="156"/>
        <v>#VALUE!</v>
      </c>
      <c r="AM201" s="664" t="e">
        <f t="shared" si="157"/>
        <v>#VALUE!</v>
      </c>
      <c r="AN201" s="664" t="e">
        <f t="shared" si="158"/>
        <v>#VALUE!</v>
      </c>
      <c r="AO201" s="665" t="e">
        <f t="shared" si="159"/>
        <v>#VALUE!</v>
      </c>
      <c r="AP201" s="666" t="e">
        <f t="shared" si="160"/>
        <v>#VALUE!</v>
      </c>
      <c r="AQ201" s="660" t="e">
        <f t="shared" si="161"/>
        <v>#VALUE!</v>
      </c>
      <c r="AR201" s="667" t="e">
        <f t="shared" si="162"/>
        <v>#VALUE!</v>
      </c>
      <c r="AS201" s="667" t="e">
        <f t="shared" si="163"/>
        <v>#VALUE!</v>
      </c>
      <c r="AT201" s="668" t="e">
        <f t="shared" si="164"/>
        <v>#VALUE!</v>
      </c>
      <c r="AU201" s="667" t="e">
        <f t="shared" si="165"/>
        <v>#VALUE!</v>
      </c>
      <c r="AV201" s="669" t="e">
        <f t="shared" si="166"/>
        <v>#VALUE!</v>
      </c>
      <c r="AW201" s="667" t="e">
        <f t="shared" si="167"/>
        <v>#VALUE!</v>
      </c>
      <c r="AX201" s="667" t="e">
        <f t="shared" si="168"/>
        <v>#VALUE!</v>
      </c>
      <c r="AY201" s="660" t="e">
        <f t="shared" si="169"/>
        <v>#VALUE!</v>
      </c>
      <c r="AZ201" s="670" t="e">
        <f t="shared" si="170"/>
        <v>#VALUE!</v>
      </c>
      <c r="BB201" s="662" t="e">
        <f>INDEX('Barge Gauging Data'!$B$26:$V$56,MATCH($C201,'Barge Gauging Data'!$B$26:$B$56,0),$BB$198)</f>
        <v>#N/A</v>
      </c>
      <c r="BC201" s="662" t="e">
        <f>INDEX('Barge Gauging Data'!$B$26:$V$56,MATCH($C201,'Barge Gauging Data'!$B$26:$B$56,0),$BC$198)</f>
        <v>#N/A</v>
      </c>
      <c r="BD201" s="662" t="e">
        <f>INDEX('Barge Gauging Data'!$B$26:$V$56,MATCH($C201,'Barge Gauging Data'!$B$26:$B$56,0),$BD$198)</f>
        <v>#N/A</v>
      </c>
      <c r="BE201" s="662" t="e">
        <f>INDEX('Barge Gauging Data'!$B$26:$V$56,MATCH($C201,'Barge Gauging Data'!$B$26:$B$56,0),$BE$198)</f>
        <v>#N/A</v>
      </c>
    </row>
    <row r="202" spans="1:57" hidden="1">
      <c r="A202" s="641" t="str">
        <f t="shared" si="178"/>
        <v>N</v>
      </c>
      <c r="C202" s="235" t="str">
        <f t="shared" si="180"/>
        <v/>
      </c>
      <c r="D202" s="211" t="str">
        <f t="shared" si="180"/>
        <v/>
      </c>
      <c r="E202" s="1016" t="str">
        <f t="shared" si="179"/>
        <v/>
      </c>
      <c r="F202" s="1016" t="str">
        <f t="shared" si="181"/>
        <v/>
      </c>
      <c r="G202" s="1016" t="str">
        <f t="shared" si="182"/>
        <v/>
      </c>
      <c r="H202" s="1016" t="str">
        <f t="shared" si="182"/>
        <v/>
      </c>
      <c r="I202" s="211" t="str">
        <f t="shared" si="183"/>
        <v/>
      </c>
      <c r="J202" s="1016" t="str">
        <f t="shared" si="184"/>
        <v/>
      </c>
      <c r="K202" s="213" t="str">
        <f t="shared" si="185"/>
        <v/>
      </c>
      <c r="L202" s="212" t="str">
        <f t="shared" si="186"/>
        <v/>
      </c>
      <c r="M202" s="1125" t="str">
        <f>IF(OR($C202="",$C202=0),"",INDEX(API2DENST_2,MATCH($C202,'Barge Gauging Data'!$B$27:$B$56,0),$AA$1))</f>
        <v/>
      </c>
      <c r="N202" s="212" t="str">
        <f t="shared" si="187"/>
        <v/>
      </c>
      <c r="O202" s="1016" t="str">
        <f t="shared" si="196"/>
        <v/>
      </c>
      <c r="P202" s="1125" t="str">
        <f t="shared" si="197"/>
        <v/>
      </c>
      <c r="Q202" s="1016" t="str">
        <f t="shared" si="198"/>
        <v/>
      </c>
      <c r="R202" s="214" t="str">
        <f t="shared" si="199"/>
        <v/>
      </c>
      <c r="S202" s="1125" t="str">
        <f t="shared" si="200"/>
        <v/>
      </c>
      <c r="T202" s="236" t="str">
        <f t="shared" si="201"/>
        <v/>
      </c>
      <c r="W202" s="642" t="e">
        <f>INDEX('Barge Gauging Data'!$B$26:$V$56,MATCH($C202,'Barge Gauging Data'!$B$26:$B$56,0),$W$198)</f>
        <v>#N/A</v>
      </c>
      <c r="X202" s="642" t="e">
        <f>INDEX('Barge Gauging Data'!$B$26:$V$56,MATCH($C202,'Barge Gauging Data'!$B$26:$B$56,0),$X$198)</f>
        <v>#N/A</v>
      </c>
      <c r="Y202" s="642" t="e">
        <f>INDEX('Barge Gauging Data'!$B$26:$V$56,MATCH($C202,'Barge Gauging Data'!$B$26:$B$56,0),$Y$198)</f>
        <v>#N/A</v>
      </c>
      <c r="Z202" s="642" t="e">
        <f>INDEX('Barge Gauging Data'!$B$26:$V$56,MATCH($C202,'Barge Gauging Data'!$B$26:$B$56,0),$Z$198)</f>
        <v>#N/A</v>
      </c>
      <c r="AB202" s="642" t="e">
        <f>INDEX(API2DENST_2,MATCH($C202,'Barge Gauging Data'!$B$27:$B$56,0),1)</f>
        <v>#N/A</v>
      </c>
      <c r="AC202" s="642" t="e">
        <f t="shared" si="151"/>
        <v>#N/A</v>
      </c>
      <c r="AE202" s="661" t="e">
        <f t="shared" si="152"/>
        <v>#VALUE!</v>
      </c>
      <c r="AF202" s="661" t="e">
        <f t="shared" si="153"/>
        <v>#VALUE!</v>
      </c>
      <c r="AH202" s="662" t="str">
        <f t="shared" si="194"/>
        <v/>
      </c>
      <c r="AI202" s="662" t="str">
        <f t="shared" si="195"/>
        <v/>
      </c>
      <c r="AJ202" s="663">
        <f t="shared" si="154"/>
        <v>192.4571</v>
      </c>
      <c r="AK202" s="660">
        <f t="shared" si="155"/>
        <v>0.24379999999999999</v>
      </c>
      <c r="AL202" s="660" t="e">
        <f t="shared" si="156"/>
        <v>#VALUE!</v>
      </c>
      <c r="AM202" s="664" t="e">
        <f t="shared" si="157"/>
        <v>#VALUE!</v>
      </c>
      <c r="AN202" s="664" t="e">
        <f t="shared" si="158"/>
        <v>#VALUE!</v>
      </c>
      <c r="AO202" s="665" t="e">
        <f t="shared" si="159"/>
        <v>#VALUE!</v>
      </c>
      <c r="AP202" s="666" t="e">
        <f t="shared" si="160"/>
        <v>#VALUE!</v>
      </c>
      <c r="AQ202" s="660" t="e">
        <f t="shared" si="161"/>
        <v>#VALUE!</v>
      </c>
      <c r="AR202" s="667" t="e">
        <f t="shared" si="162"/>
        <v>#VALUE!</v>
      </c>
      <c r="AS202" s="667" t="e">
        <f t="shared" si="163"/>
        <v>#VALUE!</v>
      </c>
      <c r="AT202" s="668" t="e">
        <f t="shared" si="164"/>
        <v>#VALUE!</v>
      </c>
      <c r="AU202" s="667" t="e">
        <f t="shared" si="165"/>
        <v>#VALUE!</v>
      </c>
      <c r="AV202" s="669" t="e">
        <f t="shared" si="166"/>
        <v>#VALUE!</v>
      </c>
      <c r="AW202" s="667" t="e">
        <f t="shared" si="167"/>
        <v>#VALUE!</v>
      </c>
      <c r="AX202" s="667" t="e">
        <f t="shared" si="168"/>
        <v>#VALUE!</v>
      </c>
      <c r="AY202" s="660" t="e">
        <f t="shared" si="169"/>
        <v>#VALUE!</v>
      </c>
      <c r="AZ202" s="670" t="e">
        <f t="shared" si="170"/>
        <v>#VALUE!</v>
      </c>
      <c r="BB202" s="662" t="e">
        <f>INDEX('Barge Gauging Data'!$B$26:$V$56,MATCH($C202,'Barge Gauging Data'!$B$26:$B$56,0),$BB$198)</f>
        <v>#N/A</v>
      </c>
      <c r="BC202" s="662" t="e">
        <f>INDEX('Barge Gauging Data'!$B$26:$V$56,MATCH($C202,'Barge Gauging Data'!$B$26:$B$56,0),$BC$198)</f>
        <v>#N/A</v>
      </c>
      <c r="BD202" s="662" t="e">
        <f>INDEX('Barge Gauging Data'!$B$26:$V$56,MATCH($C202,'Barge Gauging Data'!$B$26:$B$56,0),$BD$198)</f>
        <v>#N/A</v>
      </c>
      <c r="BE202" s="662" t="e">
        <f>INDEX('Barge Gauging Data'!$B$26:$V$56,MATCH($C202,'Barge Gauging Data'!$B$26:$B$56,0),$BE$198)</f>
        <v>#N/A</v>
      </c>
    </row>
    <row r="203" spans="1:57" hidden="1">
      <c r="A203" s="641" t="str">
        <f t="shared" si="178"/>
        <v>N</v>
      </c>
      <c r="C203" s="235" t="str">
        <f t="shared" si="180"/>
        <v/>
      </c>
      <c r="D203" s="211" t="str">
        <f t="shared" si="180"/>
        <v/>
      </c>
      <c r="E203" s="1016" t="str">
        <f t="shared" si="179"/>
        <v/>
      </c>
      <c r="F203" s="1016" t="str">
        <f t="shared" si="181"/>
        <v/>
      </c>
      <c r="G203" s="1016" t="str">
        <f t="shared" si="182"/>
        <v/>
      </c>
      <c r="H203" s="1016" t="str">
        <f t="shared" si="182"/>
        <v/>
      </c>
      <c r="I203" s="211" t="str">
        <f t="shared" si="183"/>
        <v/>
      </c>
      <c r="J203" s="1016" t="str">
        <f t="shared" si="184"/>
        <v/>
      </c>
      <c r="K203" s="213" t="str">
        <f t="shared" si="185"/>
        <v/>
      </c>
      <c r="L203" s="212" t="str">
        <f t="shared" si="186"/>
        <v/>
      </c>
      <c r="M203" s="1125" t="str">
        <f>IF(OR($C203="",$C203=0),"",INDEX(API2DENST_2,MATCH($C203,'Barge Gauging Data'!$B$27:$B$56,0),$AA$1))</f>
        <v/>
      </c>
      <c r="N203" s="212" t="str">
        <f t="shared" si="187"/>
        <v/>
      </c>
      <c r="O203" s="1016" t="str">
        <f t="shared" si="196"/>
        <v/>
      </c>
      <c r="P203" s="1125" t="str">
        <f t="shared" si="197"/>
        <v/>
      </c>
      <c r="Q203" s="1016" t="str">
        <f t="shared" si="198"/>
        <v/>
      </c>
      <c r="R203" s="214" t="str">
        <f t="shared" si="199"/>
        <v/>
      </c>
      <c r="S203" s="1125" t="str">
        <f t="shared" si="200"/>
        <v/>
      </c>
      <c r="T203" s="236" t="str">
        <f t="shared" si="201"/>
        <v/>
      </c>
      <c r="W203" s="642" t="e">
        <f>INDEX('Barge Gauging Data'!$B$26:$V$56,MATCH($C203,'Barge Gauging Data'!$B$26:$B$56,0),$W$198)</f>
        <v>#N/A</v>
      </c>
      <c r="X203" s="642" t="e">
        <f>INDEX('Barge Gauging Data'!$B$26:$V$56,MATCH($C203,'Barge Gauging Data'!$B$26:$B$56,0),$X$198)</f>
        <v>#N/A</v>
      </c>
      <c r="Y203" s="642" t="e">
        <f>INDEX('Barge Gauging Data'!$B$26:$V$56,MATCH($C203,'Barge Gauging Data'!$B$26:$B$56,0),$Y$198)</f>
        <v>#N/A</v>
      </c>
      <c r="Z203" s="642" t="e">
        <f>INDEX('Barge Gauging Data'!$B$26:$V$56,MATCH($C203,'Barge Gauging Data'!$B$26:$B$56,0),$Z$198)</f>
        <v>#N/A</v>
      </c>
      <c r="AB203" s="642" t="e">
        <f>INDEX(API2DENST_2,MATCH($C203,'Barge Gauging Data'!$B$27:$B$56,0),1)</f>
        <v>#N/A</v>
      </c>
      <c r="AC203" s="642" t="e">
        <f t="shared" si="151"/>
        <v>#N/A</v>
      </c>
      <c r="AE203" s="661" t="e">
        <f t="shared" si="152"/>
        <v>#VALUE!</v>
      </c>
      <c r="AF203" s="661" t="e">
        <f t="shared" si="153"/>
        <v>#VALUE!</v>
      </c>
      <c r="AH203" s="662" t="str">
        <f t="shared" si="194"/>
        <v/>
      </c>
      <c r="AI203" s="662" t="str">
        <f t="shared" si="195"/>
        <v/>
      </c>
      <c r="AJ203" s="663">
        <f t="shared" si="154"/>
        <v>192.4571</v>
      </c>
      <c r="AK203" s="660">
        <f t="shared" si="155"/>
        <v>0.24379999999999999</v>
      </c>
      <c r="AL203" s="660" t="e">
        <f t="shared" si="156"/>
        <v>#VALUE!</v>
      </c>
      <c r="AM203" s="664" t="e">
        <f t="shared" si="157"/>
        <v>#VALUE!</v>
      </c>
      <c r="AN203" s="664" t="e">
        <f t="shared" si="158"/>
        <v>#VALUE!</v>
      </c>
      <c r="AO203" s="665" t="e">
        <f t="shared" si="159"/>
        <v>#VALUE!</v>
      </c>
      <c r="AP203" s="666" t="e">
        <f t="shared" si="160"/>
        <v>#VALUE!</v>
      </c>
      <c r="AQ203" s="660" t="e">
        <f t="shared" si="161"/>
        <v>#VALUE!</v>
      </c>
      <c r="AR203" s="667" t="e">
        <f t="shared" si="162"/>
        <v>#VALUE!</v>
      </c>
      <c r="AS203" s="667" t="e">
        <f t="shared" si="163"/>
        <v>#VALUE!</v>
      </c>
      <c r="AT203" s="668" t="e">
        <f t="shared" si="164"/>
        <v>#VALUE!</v>
      </c>
      <c r="AU203" s="667" t="e">
        <f t="shared" si="165"/>
        <v>#VALUE!</v>
      </c>
      <c r="AV203" s="669" t="e">
        <f t="shared" si="166"/>
        <v>#VALUE!</v>
      </c>
      <c r="AW203" s="667" t="e">
        <f t="shared" si="167"/>
        <v>#VALUE!</v>
      </c>
      <c r="AX203" s="667" t="e">
        <f t="shared" si="168"/>
        <v>#VALUE!</v>
      </c>
      <c r="AY203" s="660" t="e">
        <f t="shared" si="169"/>
        <v>#VALUE!</v>
      </c>
      <c r="AZ203" s="670" t="e">
        <f t="shared" si="170"/>
        <v>#VALUE!</v>
      </c>
      <c r="BB203" s="662" t="e">
        <f>INDEX('Barge Gauging Data'!$B$26:$V$56,MATCH($C203,'Barge Gauging Data'!$B$26:$B$56,0),$BB$198)</f>
        <v>#N/A</v>
      </c>
      <c r="BC203" s="662" t="e">
        <f>INDEX('Barge Gauging Data'!$B$26:$V$56,MATCH($C203,'Barge Gauging Data'!$B$26:$B$56,0),$BC$198)</f>
        <v>#N/A</v>
      </c>
      <c r="BD203" s="662" t="e">
        <f>INDEX('Barge Gauging Data'!$B$26:$V$56,MATCH($C203,'Barge Gauging Data'!$B$26:$B$56,0),$BD$198)</f>
        <v>#N/A</v>
      </c>
      <c r="BE203" s="662" t="e">
        <f>INDEX('Barge Gauging Data'!$B$26:$V$56,MATCH($C203,'Barge Gauging Data'!$B$26:$B$56,0),$BE$198)</f>
        <v>#N/A</v>
      </c>
    </row>
    <row r="204" spans="1:57" hidden="1">
      <c r="A204" s="641" t="str">
        <f t="shared" si="178"/>
        <v>N</v>
      </c>
      <c r="C204" s="235" t="str">
        <f t="shared" si="180"/>
        <v/>
      </c>
      <c r="D204" s="211" t="str">
        <f t="shared" si="180"/>
        <v/>
      </c>
      <c r="E204" s="1016" t="str">
        <f t="shared" si="179"/>
        <v/>
      </c>
      <c r="F204" s="1016" t="str">
        <f t="shared" si="181"/>
        <v/>
      </c>
      <c r="G204" s="1016" t="str">
        <f t="shared" si="182"/>
        <v/>
      </c>
      <c r="H204" s="1016" t="str">
        <f t="shared" si="182"/>
        <v/>
      </c>
      <c r="I204" s="211" t="str">
        <f t="shared" si="183"/>
        <v/>
      </c>
      <c r="J204" s="1016" t="str">
        <f t="shared" si="184"/>
        <v/>
      </c>
      <c r="K204" s="213" t="str">
        <f t="shared" si="185"/>
        <v/>
      </c>
      <c r="L204" s="212" t="str">
        <f t="shared" si="186"/>
        <v/>
      </c>
      <c r="M204" s="1125" t="str">
        <f>IF(OR($C204="",$C204=0),"",INDEX(API2DENST_2,MATCH($C204,'Barge Gauging Data'!$B$27:$B$56,0),$AA$1))</f>
        <v/>
      </c>
      <c r="N204" s="212" t="str">
        <f t="shared" si="187"/>
        <v/>
      </c>
      <c r="O204" s="1016" t="str">
        <f t="shared" si="196"/>
        <v/>
      </c>
      <c r="P204" s="1125" t="str">
        <f t="shared" si="197"/>
        <v/>
      </c>
      <c r="Q204" s="1016" t="str">
        <f t="shared" si="198"/>
        <v/>
      </c>
      <c r="R204" s="214" t="str">
        <f t="shared" si="199"/>
        <v/>
      </c>
      <c r="S204" s="1125" t="str">
        <f t="shared" si="200"/>
        <v/>
      </c>
      <c r="T204" s="236" t="str">
        <f t="shared" si="201"/>
        <v/>
      </c>
      <c r="W204" s="642" t="e">
        <f>INDEX('Barge Gauging Data'!$B$26:$V$56,MATCH($C204,'Barge Gauging Data'!$B$26:$B$56,0),$W$198)</f>
        <v>#N/A</v>
      </c>
      <c r="X204" s="642" t="e">
        <f>INDEX('Barge Gauging Data'!$B$26:$V$56,MATCH($C204,'Barge Gauging Data'!$B$26:$B$56,0),$X$198)</f>
        <v>#N/A</v>
      </c>
      <c r="Y204" s="642" t="e">
        <f>INDEX('Barge Gauging Data'!$B$26:$V$56,MATCH($C204,'Barge Gauging Data'!$B$26:$B$56,0),$Y$198)</f>
        <v>#N/A</v>
      </c>
      <c r="Z204" s="642" t="e">
        <f>INDEX('Barge Gauging Data'!$B$26:$V$56,MATCH($C204,'Barge Gauging Data'!$B$26:$B$56,0),$Z$198)</f>
        <v>#N/A</v>
      </c>
      <c r="AB204" s="642" t="e">
        <f>INDEX(API2DENST_2,MATCH($C204,'Barge Gauging Data'!$B$27:$B$56,0),1)</f>
        <v>#N/A</v>
      </c>
      <c r="AC204" s="642" t="e">
        <f t="shared" si="151"/>
        <v>#N/A</v>
      </c>
      <c r="AE204" s="661" t="e">
        <f t="shared" si="152"/>
        <v>#VALUE!</v>
      </c>
      <c r="AF204" s="661" t="e">
        <f t="shared" si="153"/>
        <v>#VALUE!</v>
      </c>
      <c r="AH204" s="662" t="str">
        <f t="shared" si="194"/>
        <v/>
      </c>
      <c r="AI204" s="662" t="str">
        <f t="shared" si="195"/>
        <v/>
      </c>
      <c r="AJ204" s="663">
        <f t="shared" si="154"/>
        <v>192.4571</v>
      </c>
      <c r="AK204" s="660">
        <f t="shared" si="155"/>
        <v>0.24379999999999999</v>
      </c>
      <c r="AL204" s="660" t="e">
        <f t="shared" si="156"/>
        <v>#VALUE!</v>
      </c>
      <c r="AM204" s="664" t="e">
        <f t="shared" si="157"/>
        <v>#VALUE!</v>
      </c>
      <c r="AN204" s="664" t="e">
        <f t="shared" si="158"/>
        <v>#VALUE!</v>
      </c>
      <c r="AO204" s="665" t="e">
        <f t="shared" si="159"/>
        <v>#VALUE!</v>
      </c>
      <c r="AP204" s="666" t="e">
        <f t="shared" si="160"/>
        <v>#VALUE!</v>
      </c>
      <c r="AQ204" s="660" t="e">
        <f t="shared" si="161"/>
        <v>#VALUE!</v>
      </c>
      <c r="AR204" s="667" t="e">
        <f t="shared" si="162"/>
        <v>#VALUE!</v>
      </c>
      <c r="AS204" s="667" t="e">
        <f t="shared" si="163"/>
        <v>#VALUE!</v>
      </c>
      <c r="AT204" s="668" t="e">
        <f t="shared" si="164"/>
        <v>#VALUE!</v>
      </c>
      <c r="AU204" s="667" t="e">
        <f t="shared" si="165"/>
        <v>#VALUE!</v>
      </c>
      <c r="AV204" s="669" t="e">
        <f t="shared" si="166"/>
        <v>#VALUE!</v>
      </c>
      <c r="AW204" s="667" t="e">
        <f t="shared" si="167"/>
        <v>#VALUE!</v>
      </c>
      <c r="AX204" s="667" t="e">
        <f t="shared" si="168"/>
        <v>#VALUE!</v>
      </c>
      <c r="AY204" s="660" t="e">
        <f t="shared" si="169"/>
        <v>#VALUE!</v>
      </c>
      <c r="AZ204" s="670" t="e">
        <f t="shared" si="170"/>
        <v>#VALUE!</v>
      </c>
      <c r="BB204" s="662" t="e">
        <f>INDEX('Barge Gauging Data'!$B$26:$V$56,MATCH($C204,'Barge Gauging Data'!$B$26:$B$56,0),$BB$198)</f>
        <v>#N/A</v>
      </c>
      <c r="BC204" s="662" t="e">
        <f>INDEX('Barge Gauging Data'!$B$26:$V$56,MATCH($C204,'Barge Gauging Data'!$B$26:$B$56,0),$BC$198)</f>
        <v>#N/A</v>
      </c>
      <c r="BD204" s="662" t="e">
        <f>INDEX('Barge Gauging Data'!$B$26:$V$56,MATCH($C204,'Barge Gauging Data'!$B$26:$B$56,0),$BD$198)</f>
        <v>#N/A</v>
      </c>
      <c r="BE204" s="662" t="e">
        <f>INDEX('Barge Gauging Data'!$B$26:$V$56,MATCH($C204,'Barge Gauging Data'!$B$26:$B$56,0),$BE$198)</f>
        <v>#N/A</v>
      </c>
    </row>
    <row r="205" spans="1:57" hidden="1">
      <c r="A205" s="641" t="str">
        <f t="shared" si="178"/>
        <v>N</v>
      </c>
      <c r="C205" s="235" t="str">
        <f t="shared" si="180"/>
        <v/>
      </c>
      <c r="D205" s="211" t="str">
        <f t="shared" si="180"/>
        <v/>
      </c>
      <c r="E205" s="1016" t="str">
        <f t="shared" si="179"/>
        <v/>
      </c>
      <c r="F205" s="1016" t="str">
        <f t="shared" si="181"/>
        <v/>
      </c>
      <c r="G205" s="1016" t="str">
        <f t="shared" si="182"/>
        <v/>
      </c>
      <c r="H205" s="1016" t="str">
        <f t="shared" si="182"/>
        <v/>
      </c>
      <c r="I205" s="211" t="str">
        <f t="shared" si="183"/>
        <v/>
      </c>
      <c r="J205" s="1016" t="str">
        <f t="shared" si="184"/>
        <v/>
      </c>
      <c r="K205" s="213" t="str">
        <f t="shared" si="185"/>
        <v/>
      </c>
      <c r="L205" s="212" t="str">
        <f t="shared" si="186"/>
        <v/>
      </c>
      <c r="M205" s="1125" t="str">
        <f>IF(OR($C205="",$C205=0),"",INDEX(API2DENST_2,MATCH($C205,'Barge Gauging Data'!$B$27:$B$56,0),$AA$1))</f>
        <v/>
      </c>
      <c r="N205" s="212" t="str">
        <f t="shared" si="187"/>
        <v/>
      </c>
      <c r="O205" s="1016" t="str">
        <f t="shared" si="196"/>
        <v/>
      </c>
      <c r="P205" s="1125" t="str">
        <f t="shared" si="197"/>
        <v/>
      </c>
      <c r="Q205" s="1016" t="str">
        <f t="shared" si="198"/>
        <v/>
      </c>
      <c r="R205" s="214" t="str">
        <f t="shared" si="199"/>
        <v/>
      </c>
      <c r="S205" s="1125" t="str">
        <f t="shared" si="200"/>
        <v/>
      </c>
      <c r="T205" s="236" t="str">
        <f t="shared" si="201"/>
        <v/>
      </c>
      <c r="W205" s="642" t="e">
        <f>INDEX('Barge Gauging Data'!$B$26:$V$56,MATCH($C205,'Barge Gauging Data'!$B$26:$B$56,0),$W$198)</f>
        <v>#N/A</v>
      </c>
      <c r="X205" s="642" t="e">
        <f>INDEX('Barge Gauging Data'!$B$26:$V$56,MATCH($C205,'Barge Gauging Data'!$B$26:$B$56,0),$X$198)</f>
        <v>#N/A</v>
      </c>
      <c r="Y205" s="642" t="e">
        <f>INDEX('Barge Gauging Data'!$B$26:$V$56,MATCH($C205,'Barge Gauging Data'!$B$26:$B$56,0),$Y$198)</f>
        <v>#N/A</v>
      </c>
      <c r="Z205" s="642" t="e">
        <f>INDEX('Barge Gauging Data'!$B$26:$V$56,MATCH($C205,'Barge Gauging Data'!$B$26:$B$56,0),$Z$198)</f>
        <v>#N/A</v>
      </c>
      <c r="AB205" s="642" t="e">
        <f>INDEX(API2DENST_2,MATCH($C205,'Barge Gauging Data'!$B$27:$B$56,0),1)</f>
        <v>#N/A</v>
      </c>
      <c r="AC205" s="642" t="e">
        <f t="shared" si="151"/>
        <v>#N/A</v>
      </c>
      <c r="AE205" s="661" t="e">
        <f t="shared" si="152"/>
        <v>#VALUE!</v>
      </c>
      <c r="AF205" s="661" t="e">
        <f t="shared" si="153"/>
        <v>#VALUE!</v>
      </c>
      <c r="AH205" s="662" t="str">
        <f t="shared" si="194"/>
        <v/>
      </c>
      <c r="AI205" s="662" t="str">
        <f t="shared" si="195"/>
        <v/>
      </c>
      <c r="AJ205" s="663">
        <f t="shared" si="154"/>
        <v>192.4571</v>
      </c>
      <c r="AK205" s="660">
        <f t="shared" si="155"/>
        <v>0.24379999999999999</v>
      </c>
      <c r="AL205" s="660" t="e">
        <f t="shared" si="156"/>
        <v>#VALUE!</v>
      </c>
      <c r="AM205" s="664" t="e">
        <f t="shared" si="157"/>
        <v>#VALUE!</v>
      </c>
      <c r="AN205" s="664" t="e">
        <f t="shared" si="158"/>
        <v>#VALUE!</v>
      </c>
      <c r="AO205" s="665" t="e">
        <f t="shared" si="159"/>
        <v>#VALUE!</v>
      </c>
      <c r="AP205" s="666" t="e">
        <f t="shared" si="160"/>
        <v>#VALUE!</v>
      </c>
      <c r="AQ205" s="660" t="e">
        <f t="shared" si="161"/>
        <v>#VALUE!</v>
      </c>
      <c r="AR205" s="667" t="e">
        <f t="shared" si="162"/>
        <v>#VALUE!</v>
      </c>
      <c r="AS205" s="667" t="e">
        <f t="shared" si="163"/>
        <v>#VALUE!</v>
      </c>
      <c r="AT205" s="668" t="e">
        <f t="shared" si="164"/>
        <v>#VALUE!</v>
      </c>
      <c r="AU205" s="667" t="e">
        <f t="shared" si="165"/>
        <v>#VALUE!</v>
      </c>
      <c r="AV205" s="669" t="e">
        <f t="shared" si="166"/>
        <v>#VALUE!</v>
      </c>
      <c r="AW205" s="667" t="e">
        <f t="shared" si="167"/>
        <v>#VALUE!</v>
      </c>
      <c r="AX205" s="667" t="e">
        <f t="shared" si="168"/>
        <v>#VALUE!</v>
      </c>
      <c r="AY205" s="660" t="e">
        <f t="shared" si="169"/>
        <v>#VALUE!</v>
      </c>
      <c r="AZ205" s="670" t="e">
        <f t="shared" si="170"/>
        <v>#VALUE!</v>
      </c>
      <c r="BB205" s="662" t="e">
        <f>INDEX('Barge Gauging Data'!$B$26:$V$56,MATCH($C205,'Barge Gauging Data'!$B$26:$B$56,0),$BB$198)</f>
        <v>#N/A</v>
      </c>
      <c r="BC205" s="662" t="e">
        <f>INDEX('Barge Gauging Data'!$B$26:$V$56,MATCH($C205,'Barge Gauging Data'!$B$26:$B$56,0),$BC$198)</f>
        <v>#N/A</v>
      </c>
      <c r="BD205" s="662" t="e">
        <f>INDEX('Barge Gauging Data'!$B$26:$V$56,MATCH($C205,'Barge Gauging Data'!$B$26:$B$56,0),$BD$198)</f>
        <v>#N/A</v>
      </c>
      <c r="BE205" s="662" t="e">
        <f>INDEX('Barge Gauging Data'!$B$26:$V$56,MATCH($C205,'Barge Gauging Data'!$B$26:$B$56,0),$BE$198)</f>
        <v>#N/A</v>
      </c>
    </row>
    <row r="206" spans="1:57" hidden="1">
      <c r="A206" s="641" t="str">
        <f t="shared" si="178"/>
        <v>N</v>
      </c>
      <c r="C206" s="235" t="str">
        <f t="shared" si="180"/>
        <v/>
      </c>
      <c r="D206" s="211" t="str">
        <f t="shared" si="180"/>
        <v/>
      </c>
      <c r="E206" s="1016" t="str">
        <f t="shared" si="179"/>
        <v/>
      </c>
      <c r="F206" s="1016" t="str">
        <f t="shared" si="181"/>
        <v/>
      </c>
      <c r="G206" s="1016" t="str">
        <f t="shared" si="182"/>
        <v/>
      </c>
      <c r="H206" s="1016" t="str">
        <f t="shared" si="182"/>
        <v/>
      </c>
      <c r="I206" s="211" t="str">
        <f t="shared" si="183"/>
        <v/>
      </c>
      <c r="J206" s="1016" t="str">
        <f t="shared" si="184"/>
        <v/>
      </c>
      <c r="K206" s="213" t="str">
        <f t="shared" si="185"/>
        <v/>
      </c>
      <c r="L206" s="212" t="str">
        <f t="shared" si="186"/>
        <v/>
      </c>
      <c r="M206" s="1125" t="str">
        <f>IF(OR($C206="",$C206=0),"",INDEX(API2DENST_2,MATCH($C206,'Barge Gauging Data'!$B$27:$B$56,0),$AA$1))</f>
        <v/>
      </c>
      <c r="N206" s="212" t="str">
        <f t="shared" si="187"/>
        <v/>
      </c>
      <c r="O206" s="1016" t="str">
        <f t="shared" si="196"/>
        <v/>
      </c>
      <c r="P206" s="1125" t="str">
        <f t="shared" si="197"/>
        <v/>
      </c>
      <c r="Q206" s="1016" t="str">
        <f t="shared" si="198"/>
        <v/>
      </c>
      <c r="R206" s="214" t="str">
        <f t="shared" si="199"/>
        <v/>
      </c>
      <c r="S206" s="1125" t="str">
        <f t="shared" si="200"/>
        <v/>
      </c>
      <c r="T206" s="236" t="str">
        <f t="shared" si="201"/>
        <v/>
      </c>
      <c r="W206" s="642" t="e">
        <f>INDEX('Barge Gauging Data'!$B$26:$V$56,MATCH($C206,'Barge Gauging Data'!$B$26:$B$56,0),$W$198)</f>
        <v>#N/A</v>
      </c>
      <c r="X206" s="642" t="e">
        <f>INDEX('Barge Gauging Data'!$B$26:$V$56,MATCH($C206,'Barge Gauging Data'!$B$26:$B$56,0),$X$198)</f>
        <v>#N/A</v>
      </c>
      <c r="Y206" s="642" t="e">
        <f>INDEX('Barge Gauging Data'!$B$26:$V$56,MATCH($C206,'Barge Gauging Data'!$B$26:$B$56,0),$Y$198)</f>
        <v>#N/A</v>
      </c>
      <c r="Z206" s="642" t="e">
        <f>INDEX('Barge Gauging Data'!$B$26:$V$56,MATCH($C206,'Barge Gauging Data'!$B$26:$B$56,0),$Z$198)</f>
        <v>#N/A</v>
      </c>
      <c r="AB206" s="642" t="e">
        <f>INDEX(API2DENST_2,MATCH($C206,'Barge Gauging Data'!$B$27:$B$56,0),1)</f>
        <v>#N/A</v>
      </c>
      <c r="AC206" s="642" t="e">
        <f t="shared" si="151"/>
        <v>#N/A</v>
      </c>
      <c r="AE206" s="661" t="e">
        <f t="shared" si="152"/>
        <v>#VALUE!</v>
      </c>
      <c r="AF206" s="661" t="e">
        <f t="shared" si="153"/>
        <v>#VALUE!</v>
      </c>
      <c r="AH206" s="662" t="str">
        <f t="shared" si="194"/>
        <v/>
      </c>
      <c r="AI206" s="662" t="str">
        <f t="shared" si="195"/>
        <v/>
      </c>
      <c r="AJ206" s="663">
        <f t="shared" si="154"/>
        <v>192.4571</v>
      </c>
      <c r="AK206" s="660">
        <f t="shared" si="155"/>
        <v>0.24379999999999999</v>
      </c>
      <c r="AL206" s="660" t="e">
        <f t="shared" si="156"/>
        <v>#VALUE!</v>
      </c>
      <c r="AM206" s="664" t="e">
        <f t="shared" si="157"/>
        <v>#VALUE!</v>
      </c>
      <c r="AN206" s="664" t="e">
        <f t="shared" si="158"/>
        <v>#VALUE!</v>
      </c>
      <c r="AO206" s="665" t="e">
        <f t="shared" si="159"/>
        <v>#VALUE!</v>
      </c>
      <c r="AP206" s="666" t="e">
        <f t="shared" si="160"/>
        <v>#VALUE!</v>
      </c>
      <c r="AQ206" s="660" t="e">
        <f t="shared" si="161"/>
        <v>#VALUE!</v>
      </c>
      <c r="AR206" s="667" t="e">
        <f t="shared" si="162"/>
        <v>#VALUE!</v>
      </c>
      <c r="AS206" s="667" t="e">
        <f t="shared" si="163"/>
        <v>#VALUE!</v>
      </c>
      <c r="AT206" s="668" t="e">
        <f t="shared" si="164"/>
        <v>#VALUE!</v>
      </c>
      <c r="AU206" s="667" t="e">
        <f t="shared" si="165"/>
        <v>#VALUE!</v>
      </c>
      <c r="AV206" s="669" t="e">
        <f t="shared" si="166"/>
        <v>#VALUE!</v>
      </c>
      <c r="AW206" s="667" t="e">
        <f t="shared" si="167"/>
        <v>#VALUE!</v>
      </c>
      <c r="AX206" s="667" t="e">
        <f t="shared" si="168"/>
        <v>#VALUE!</v>
      </c>
      <c r="AY206" s="660" t="e">
        <f t="shared" si="169"/>
        <v>#VALUE!</v>
      </c>
      <c r="AZ206" s="670" t="e">
        <f t="shared" si="170"/>
        <v>#VALUE!</v>
      </c>
      <c r="BB206" s="662" t="e">
        <f>INDEX('Barge Gauging Data'!$B$26:$V$56,MATCH($C206,'Barge Gauging Data'!$B$26:$B$56,0),$BB$198)</f>
        <v>#N/A</v>
      </c>
      <c r="BC206" s="662" t="e">
        <f>INDEX('Barge Gauging Data'!$B$26:$V$56,MATCH($C206,'Barge Gauging Data'!$B$26:$B$56,0),$BC$198)</f>
        <v>#N/A</v>
      </c>
      <c r="BD206" s="662" t="e">
        <f>INDEX('Barge Gauging Data'!$B$26:$V$56,MATCH($C206,'Barge Gauging Data'!$B$26:$B$56,0),$BD$198)</f>
        <v>#N/A</v>
      </c>
      <c r="BE206" s="662" t="e">
        <f>INDEX('Barge Gauging Data'!$B$26:$V$56,MATCH($C206,'Barge Gauging Data'!$B$26:$B$56,0),$BE$198)</f>
        <v>#N/A</v>
      </c>
    </row>
    <row r="207" spans="1:57" hidden="1">
      <c r="A207" s="641" t="str">
        <f t="shared" si="178"/>
        <v>N</v>
      </c>
      <c r="C207" s="235" t="str">
        <f t="shared" si="180"/>
        <v/>
      </c>
      <c r="D207" s="211" t="str">
        <f t="shared" si="180"/>
        <v/>
      </c>
      <c r="E207" s="1016" t="str">
        <f t="shared" si="179"/>
        <v/>
      </c>
      <c r="F207" s="1016" t="str">
        <f t="shared" si="181"/>
        <v/>
      </c>
      <c r="G207" s="1016" t="str">
        <f t="shared" si="182"/>
        <v/>
      </c>
      <c r="H207" s="1016" t="str">
        <f t="shared" si="182"/>
        <v/>
      </c>
      <c r="I207" s="211" t="str">
        <f t="shared" si="183"/>
        <v/>
      </c>
      <c r="J207" s="1016" t="str">
        <f t="shared" si="184"/>
        <v/>
      </c>
      <c r="K207" s="213" t="str">
        <f t="shared" si="185"/>
        <v/>
      </c>
      <c r="L207" s="212" t="str">
        <f t="shared" si="186"/>
        <v/>
      </c>
      <c r="M207" s="1125" t="str">
        <f>IF(OR($C207="",$C207=0),"",INDEX(API2DENST_2,MATCH($C207,'Barge Gauging Data'!$B$27:$B$56,0),$AA$1))</f>
        <v/>
      </c>
      <c r="N207" s="212" t="str">
        <f t="shared" si="187"/>
        <v/>
      </c>
      <c r="O207" s="1016" t="str">
        <f t="shared" si="196"/>
        <v/>
      </c>
      <c r="P207" s="1125" t="str">
        <f t="shared" si="197"/>
        <v/>
      </c>
      <c r="Q207" s="1016" t="str">
        <f t="shared" si="198"/>
        <v/>
      </c>
      <c r="R207" s="214" t="str">
        <f t="shared" si="199"/>
        <v/>
      </c>
      <c r="S207" s="1125" t="str">
        <f t="shared" si="200"/>
        <v/>
      </c>
      <c r="T207" s="236" t="str">
        <f t="shared" si="201"/>
        <v/>
      </c>
      <c r="W207" s="642" t="e">
        <f>INDEX('Barge Gauging Data'!$B$26:$V$56,MATCH($C207,'Barge Gauging Data'!$B$26:$B$56,0),$W$198)</f>
        <v>#N/A</v>
      </c>
      <c r="X207" s="642" t="e">
        <f>INDEX('Barge Gauging Data'!$B$26:$V$56,MATCH($C207,'Barge Gauging Data'!$B$26:$B$56,0),$X$198)</f>
        <v>#N/A</v>
      </c>
      <c r="Y207" s="642" t="e">
        <f>INDEX('Barge Gauging Data'!$B$26:$V$56,MATCH($C207,'Barge Gauging Data'!$B$26:$B$56,0),$Y$198)</f>
        <v>#N/A</v>
      </c>
      <c r="Z207" s="642" t="e">
        <f>INDEX('Barge Gauging Data'!$B$26:$V$56,MATCH($C207,'Barge Gauging Data'!$B$26:$B$56,0),$Z$198)</f>
        <v>#N/A</v>
      </c>
      <c r="AB207" s="642" t="e">
        <f>INDEX(API2DENST_2,MATCH($C207,'Barge Gauging Data'!$B$27:$B$56,0),1)</f>
        <v>#N/A</v>
      </c>
      <c r="AC207" s="642" t="e">
        <f t="shared" si="151"/>
        <v>#N/A</v>
      </c>
      <c r="AE207" s="661" t="e">
        <f t="shared" si="152"/>
        <v>#VALUE!</v>
      </c>
      <c r="AF207" s="661" t="e">
        <f t="shared" si="153"/>
        <v>#VALUE!</v>
      </c>
      <c r="AH207" s="662" t="str">
        <f t="shared" si="194"/>
        <v/>
      </c>
      <c r="AI207" s="662" t="str">
        <f t="shared" si="195"/>
        <v/>
      </c>
      <c r="AJ207" s="663">
        <f t="shared" si="154"/>
        <v>192.4571</v>
      </c>
      <c r="AK207" s="660">
        <f t="shared" si="155"/>
        <v>0.24379999999999999</v>
      </c>
      <c r="AL207" s="660" t="e">
        <f t="shared" si="156"/>
        <v>#VALUE!</v>
      </c>
      <c r="AM207" s="664" t="e">
        <f t="shared" si="157"/>
        <v>#VALUE!</v>
      </c>
      <c r="AN207" s="664" t="e">
        <f t="shared" si="158"/>
        <v>#VALUE!</v>
      </c>
      <c r="AO207" s="665" t="e">
        <f t="shared" si="159"/>
        <v>#VALUE!</v>
      </c>
      <c r="AP207" s="666" t="e">
        <f t="shared" si="160"/>
        <v>#VALUE!</v>
      </c>
      <c r="AQ207" s="660" t="e">
        <f t="shared" si="161"/>
        <v>#VALUE!</v>
      </c>
      <c r="AR207" s="667" t="e">
        <f t="shared" si="162"/>
        <v>#VALUE!</v>
      </c>
      <c r="AS207" s="667" t="e">
        <f t="shared" si="163"/>
        <v>#VALUE!</v>
      </c>
      <c r="AT207" s="668" t="e">
        <f t="shared" si="164"/>
        <v>#VALUE!</v>
      </c>
      <c r="AU207" s="667" t="e">
        <f t="shared" si="165"/>
        <v>#VALUE!</v>
      </c>
      <c r="AV207" s="669" t="e">
        <f t="shared" si="166"/>
        <v>#VALUE!</v>
      </c>
      <c r="AW207" s="667" t="e">
        <f t="shared" si="167"/>
        <v>#VALUE!</v>
      </c>
      <c r="AX207" s="667" t="e">
        <f t="shared" si="168"/>
        <v>#VALUE!</v>
      </c>
      <c r="AY207" s="660" t="e">
        <f t="shared" si="169"/>
        <v>#VALUE!</v>
      </c>
      <c r="AZ207" s="670" t="e">
        <f t="shared" si="170"/>
        <v>#VALUE!</v>
      </c>
      <c r="BB207" s="662" t="e">
        <f>INDEX('Barge Gauging Data'!$B$26:$V$56,MATCH($C207,'Barge Gauging Data'!$B$26:$B$56,0),$BB$198)</f>
        <v>#N/A</v>
      </c>
      <c r="BC207" s="662" t="e">
        <f>INDEX('Barge Gauging Data'!$B$26:$V$56,MATCH($C207,'Barge Gauging Data'!$B$26:$B$56,0),$BC$198)</f>
        <v>#N/A</v>
      </c>
      <c r="BD207" s="662" t="e">
        <f>INDEX('Barge Gauging Data'!$B$26:$V$56,MATCH($C207,'Barge Gauging Data'!$B$26:$B$56,0),$BD$198)</f>
        <v>#N/A</v>
      </c>
      <c r="BE207" s="662" t="e">
        <f>INDEX('Barge Gauging Data'!$B$26:$V$56,MATCH($C207,'Barge Gauging Data'!$B$26:$B$56,0),$BE$198)</f>
        <v>#N/A</v>
      </c>
    </row>
    <row r="208" spans="1:57" hidden="1">
      <c r="A208" s="641" t="str">
        <f t="shared" si="178"/>
        <v>N</v>
      </c>
      <c r="C208" s="235" t="str">
        <f t="shared" si="180"/>
        <v/>
      </c>
      <c r="D208" s="211" t="str">
        <f t="shared" si="180"/>
        <v/>
      </c>
      <c r="E208" s="1016" t="str">
        <f t="shared" si="179"/>
        <v/>
      </c>
      <c r="F208" s="1016" t="str">
        <f t="shared" si="181"/>
        <v/>
      </c>
      <c r="G208" s="1016" t="str">
        <f t="shared" si="182"/>
        <v/>
      </c>
      <c r="H208" s="1016" t="str">
        <f t="shared" si="182"/>
        <v/>
      </c>
      <c r="I208" s="211" t="str">
        <f t="shared" si="183"/>
        <v/>
      </c>
      <c r="J208" s="1016" t="str">
        <f t="shared" si="184"/>
        <v/>
      </c>
      <c r="K208" s="213" t="str">
        <f t="shared" si="185"/>
        <v/>
      </c>
      <c r="L208" s="212" t="str">
        <f t="shared" si="186"/>
        <v/>
      </c>
      <c r="M208" s="1125" t="str">
        <f>IF(OR($C208="",$C208=0),"",INDEX(API2DENST_2,MATCH($C208,'Barge Gauging Data'!$B$27:$B$56,0),$AA$1))</f>
        <v/>
      </c>
      <c r="N208" s="212" t="str">
        <f t="shared" si="187"/>
        <v/>
      </c>
      <c r="O208" s="1016" t="str">
        <f t="shared" si="196"/>
        <v/>
      </c>
      <c r="P208" s="1125" t="str">
        <f t="shared" si="197"/>
        <v/>
      </c>
      <c r="Q208" s="1016" t="str">
        <f t="shared" si="198"/>
        <v/>
      </c>
      <c r="R208" s="214" t="str">
        <f t="shared" si="199"/>
        <v/>
      </c>
      <c r="S208" s="1125" t="str">
        <f t="shared" si="200"/>
        <v/>
      </c>
      <c r="T208" s="236" t="str">
        <f t="shared" si="201"/>
        <v/>
      </c>
      <c r="W208" s="642" t="e">
        <f>INDEX('Barge Gauging Data'!$B$26:$V$56,MATCH($C208,'Barge Gauging Data'!$B$26:$B$56,0),$W$198)</f>
        <v>#N/A</v>
      </c>
      <c r="X208" s="642" t="e">
        <f>INDEX('Barge Gauging Data'!$B$26:$V$56,MATCH($C208,'Barge Gauging Data'!$B$26:$B$56,0),$X$198)</f>
        <v>#N/A</v>
      </c>
      <c r="Y208" s="642" t="e">
        <f>INDEX('Barge Gauging Data'!$B$26:$V$56,MATCH($C208,'Barge Gauging Data'!$B$26:$B$56,0),$Y$198)</f>
        <v>#N/A</v>
      </c>
      <c r="Z208" s="642" t="e">
        <f>INDEX('Barge Gauging Data'!$B$26:$V$56,MATCH($C208,'Barge Gauging Data'!$B$26:$B$56,0),$Z$198)</f>
        <v>#N/A</v>
      </c>
      <c r="AB208" s="642" t="e">
        <f>INDEX(API2DENST_2,MATCH($C208,'Barge Gauging Data'!$B$27:$B$56,0),1)</f>
        <v>#N/A</v>
      </c>
      <c r="AC208" s="642" t="e">
        <f t="shared" si="151"/>
        <v>#N/A</v>
      </c>
      <c r="AE208" s="661" t="e">
        <f t="shared" si="152"/>
        <v>#VALUE!</v>
      </c>
      <c r="AF208" s="661" t="e">
        <f t="shared" si="153"/>
        <v>#VALUE!</v>
      </c>
      <c r="AH208" s="662" t="str">
        <f t="shared" si="194"/>
        <v/>
      </c>
      <c r="AI208" s="662" t="str">
        <f t="shared" si="195"/>
        <v/>
      </c>
      <c r="AJ208" s="663">
        <f t="shared" si="154"/>
        <v>192.4571</v>
      </c>
      <c r="AK208" s="660">
        <f t="shared" si="155"/>
        <v>0.24379999999999999</v>
      </c>
      <c r="AL208" s="660" t="e">
        <f t="shared" si="156"/>
        <v>#VALUE!</v>
      </c>
      <c r="AM208" s="664" t="e">
        <f t="shared" si="157"/>
        <v>#VALUE!</v>
      </c>
      <c r="AN208" s="664" t="e">
        <f t="shared" si="158"/>
        <v>#VALUE!</v>
      </c>
      <c r="AO208" s="665" t="e">
        <f t="shared" si="159"/>
        <v>#VALUE!</v>
      </c>
      <c r="AP208" s="666" t="e">
        <f t="shared" si="160"/>
        <v>#VALUE!</v>
      </c>
      <c r="AQ208" s="660" t="e">
        <f t="shared" si="161"/>
        <v>#VALUE!</v>
      </c>
      <c r="AR208" s="667" t="e">
        <f t="shared" si="162"/>
        <v>#VALUE!</v>
      </c>
      <c r="AS208" s="667" t="e">
        <f t="shared" si="163"/>
        <v>#VALUE!</v>
      </c>
      <c r="AT208" s="668" t="e">
        <f t="shared" si="164"/>
        <v>#VALUE!</v>
      </c>
      <c r="AU208" s="667" t="e">
        <f t="shared" si="165"/>
        <v>#VALUE!</v>
      </c>
      <c r="AV208" s="669" t="e">
        <f t="shared" si="166"/>
        <v>#VALUE!</v>
      </c>
      <c r="AW208" s="667" t="e">
        <f t="shared" si="167"/>
        <v>#VALUE!</v>
      </c>
      <c r="AX208" s="667" t="e">
        <f t="shared" si="168"/>
        <v>#VALUE!</v>
      </c>
      <c r="AY208" s="660" t="e">
        <f t="shared" si="169"/>
        <v>#VALUE!</v>
      </c>
      <c r="AZ208" s="670" t="e">
        <f t="shared" si="170"/>
        <v>#VALUE!</v>
      </c>
      <c r="BB208" s="662" t="e">
        <f>INDEX('Barge Gauging Data'!$B$26:$V$56,MATCH($C208,'Barge Gauging Data'!$B$26:$B$56,0),$BB$198)</f>
        <v>#N/A</v>
      </c>
      <c r="BC208" s="662" t="e">
        <f>INDEX('Barge Gauging Data'!$B$26:$V$56,MATCH($C208,'Barge Gauging Data'!$B$26:$B$56,0),$BC$198)</f>
        <v>#N/A</v>
      </c>
      <c r="BD208" s="662" t="e">
        <f>INDEX('Barge Gauging Data'!$B$26:$V$56,MATCH($C208,'Barge Gauging Data'!$B$26:$B$56,0),$BD$198)</f>
        <v>#N/A</v>
      </c>
      <c r="BE208" s="662" t="e">
        <f>INDEX('Barge Gauging Data'!$B$26:$V$56,MATCH($C208,'Barge Gauging Data'!$B$26:$B$56,0),$BE$198)</f>
        <v>#N/A</v>
      </c>
    </row>
    <row r="209" spans="1:57" hidden="1">
      <c r="A209" s="641" t="str">
        <f t="shared" si="178"/>
        <v>N</v>
      </c>
      <c r="C209" s="235" t="str">
        <f t="shared" si="180"/>
        <v/>
      </c>
      <c r="D209" s="211" t="str">
        <f t="shared" si="180"/>
        <v/>
      </c>
      <c r="E209" s="1016" t="str">
        <f t="shared" si="179"/>
        <v/>
      </c>
      <c r="F209" s="1016" t="str">
        <f t="shared" si="181"/>
        <v/>
      </c>
      <c r="G209" s="1016" t="str">
        <f t="shared" si="182"/>
        <v/>
      </c>
      <c r="H209" s="1016" t="str">
        <f t="shared" si="182"/>
        <v/>
      </c>
      <c r="I209" s="211" t="str">
        <f t="shared" si="183"/>
        <v/>
      </c>
      <c r="J209" s="1016" t="str">
        <f t="shared" si="184"/>
        <v/>
      </c>
      <c r="K209" s="213" t="str">
        <f t="shared" si="185"/>
        <v/>
      </c>
      <c r="L209" s="212" t="str">
        <f t="shared" si="186"/>
        <v/>
      </c>
      <c r="M209" s="1125" t="str">
        <f>IF(OR($C209="",$C209=0),"",INDEX(API2DENST_2,MATCH($C209,'Barge Gauging Data'!$B$27:$B$56,0),$AA$1))</f>
        <v/>
      </c>
      <c r="N209" s="212" t="str">
        <f t="shared" si="187"/>
        <v/>
      </c>
      <c r="O209" s="1016" t="str">
        <f t="shared" si="196"/>
        <v/>
      </c>
      <c r="P209" s="1125" t="str">
        <f t="shared" si="197"/>
        <v/>
      </c>
      <c r="Q209" s="1016" t="str">
        <f t="shared" si="198"/>
        <v/>
      </c>
      <c r="R209" s="214" t="str">
        <f t="shared" si="199"/>
        <v/>
      </c>
      <c r="S209" s="1125" t="str">
        <f t="shared" si="200"/>
        <v/>
      </c>
      <c r="T209" s="236" t="str">
        <f t="shared" si="201"/>
        <v/>
      </c>
      <c r="W209" s="642" t="e">
        <f>INDEX('Barge Gauging Data'!$B$26:$V$56,MATCH($C209,'Barge Gauging Data'!$B$26:$B$56,0),$W$198)</f>
        <v>#N/A</v>
      </c>
      <c r="X209" s="642" t="e">
        <f>INDEX('Barge Gauging Data'!$B$26:$V$56,MATCH($C209,'Barge Gauging Data'!$B$26:$B$56,0),$X$198)</f>
        <v>#N/A</v>
      </c>
      <c r="Y209" s="642" t="e">
        <f>INDEX('Barge Gauging Data'!$B$26:$V$56,MATCH($C209,'Barge Gauging Data'!$B$26:$B$56,0),$Y$198)</f>
        <v>#N/A</v>
      </c>
      <c r="Z209" s="642" t="e">
        <f>INDEX('Barge Gauging Data'!$B$26:$V$56,MATCH($C209,'Barge Gauging Data'!$B$26:$B$56,0),$Z$198)</f>
        <v>#N/A</v>
      </c>
      <c r="AB209" s="642" t="e">
        <f>INDEX(API2DENST_2,MATCH($C209,'Barge Gauging Data'!$B$27:$B$56,0),1)</f>
        <v>#N/A</v>
      </c>
      <c r="AC209" s="642" t="e">
        <f t="shared" si="151"/>
        <v>#N/A</v>
      </c>
      <c r="AE209" s="661" t="e">
        <f t="shared" si="152"/>
        <v>#VALUE!</v>
      </c>
      <c r="AF209" s="661" t="e">
        <f t="shared" si="153"/>
        <v>#VALUE!</v>
      </c>
      <c r="AH209" s="662" t="str">
        <f t="shared" si="194"/>
        <v/>
      </c>
      <c r="AI209" s="662" t="str">
        <f t="shared" si="195"/>
        <v/>
      </c>
      <c r="AJ209" s="663">
        <f t="shared" si="154"/>
        <v>192.4571</v>
      </c>
      <c r="AK209" s="660">
        <f t="shared" si="155"/>
        <v>0.24379999999999999</v>
      </c>
      <c r="AL209" s="660" t="e">
        <f t="shared" si="156"/>
        <v>#VALUE!</v>
      </c>
      <c r="AM209" s="664" t="e">
        <f t="shared" si="157"/>
        <v>#VALUE!</v>
      </c>
      <c r="AN209" s="664" t="e">
        <f t="shared" si="158"/>
        <v>#VALUE!</v>
      </c>
      <c r="AO209" s="665" t="e">
        <f t="shared" si="159"/>
        <v>#VALUE!</v>
      </c>
      <c r="AP209" s="666" t="e">
        <f t="shared" si="160"/>
        <v>#VALUE!</v>
      </c>
      <c r="AQ209" s="660" t="e">
        <f t="shared" si="161"/>
        <v>#VALUE!</v>
      </c>
      <c r="AR209" s="667" t="e">
        <f t="shared" si="162"/>
        <v>#VALUE!</v>
      </c>
      <c r="AS209" s="667" t="e">
        <f t="shared" si="163"/>
        <v>#VALUE!</v>
      </c>
      <c r="AT209" s="668" t="e">
        <f t="shared" si="164"/>
        <v>#VALUE!</v>
      </c>
      <c r="AU209" s="667" t="e">
        <f t="shared" si="165"/>
        <v>#VALUE!</v>
      </c>
      <c r="AV209" s="669" t="e">
        <f t="shared" si="166"/>
        <v>#VALUE!</v>
      </c>
      <c r="AW209" s="667" t="e">
        <f t="shared" si="167"/>
        <v>#VALUE!</v>
      </c>
      <c r="AX209" s="667" t="e">
        <f t="shared" si="168"/>
        <v>#VALUE!</v>
      </c>
      <c r="AY209" s="660" t="e">
        <f t="shared" si="169"/>
        <v>#VALUE!</v>
      </c>
      <c r="AZ209" s="670" t="e">
        <f t="shared" si="170"/>
        <v>#VALUE!</v>
      </c>
      <c r="BB209" s="662" t="e">
        <f>INDEX('Barge Gauging Data'!$B$26:$V$56,MATCH($C209,'Barge Gauging Data'!$B$26:$B$56,0),$BB$198)</f>
        <v>#N/A</v>
      </c>
      <c r="BC209" s="662" t="e">
        <f>INDEX('Barge Gauging Data'!$B$26:$V$56,MATCH($C209,'Barge Gauging Data'!$B$26:$B$56,0),$BC$198)</f>
        <v>#N/A</v>
      </c>
      <c r="BD209" s="662" t="e">
        <f>INDEX('Barge Gauging Data'!$B$26:$V$56,MATCH($C209,'Barge Gauging Data'!$B$26:$B$56,0),$BD$198)</f>
        <v>#N/A</v>
      </c>
      <c r="BE209" s="662" t="e">
        <f>INDEX('Barge Gauging Data'!$B$26:$V$56,MATCH($C209,'Barge Gauging Data'!$B$26:$B$56,0),$BE$198)</f>
        <v>#N/A</v>
      </c>
    </row>
    <row r="210" spans="1:57" hidden="1">
      <c r="A210" s="641" t="str">
        <f t="shared" si="178"/>
        <v>N</v>
      </c>
      <c r="C210" s="235" t="str">
        <f t="shared" si="180"/>
        <v/>
      </c>
      <c r="D210" s="211" t="str">
        <f t="shared" si="180"/>
        <v/>
      </c>
      <c r="E210" s="1016" t="str">
        <f t="shared" si="179"/>
        <v/>
      </c>
      <c r="F210" s="1016" t="str">
        <f t="shared" si="181"/>
        <v/>
      </c>
      <c r="G210" s="1016" t="str">
        <f t="shared" si="182"/>
        <v/>
      </c>
      <c r="H210" s="1016" t="str">
        <f t="shared" si="182"/>
        <v/>
      </c>
      <c r="I210" s="211" t="str">
        <f t="shared" si="183"/>
        <v/>
      </c>
      <c r="J210" s="1016" t="str">
        <f t="shared" si="184"/>
        <v/>
      </c>
      <c r="K210" s="213" t="str">
        <f t="shared" si="185"/>
        <v/>
      </c>
      <c r="L210" s="212" t="str">
        <f t="shared" si="186"/>
        <v/>
      </c>
      <c r="M210" s="1125" t="str">
        <f>IF(OR($C210="",$C210=0),"",INDEX(API2DENST_2,MATCH($C210,'Barge Gauging Data'!$B$27:$B$56,0),$AA$1))</f>
        <v/>
      </c>
      <c r="N210" s="212" t="str">
        <f t="shared" si="187"/>
        <v/>
      </c>
      <c r="O210" s="1016" t="str">
        <f t="shared" si="196"/>
        <v/>
      </c>
      <c r="P210" s="1125" t="str">
        <f t="shared" si="197"/>
        <v/>
      </c>
      <c r="Q210" s="1016" t="str">
        <f t="shared" si="198"/>
        <v/>
      </c>
      <c r="R210" s="214" t="str">
        <f t="shared" si="199"/>
        <v/>
      </c>
      <c r="S210" s="1125" t="str">
        <f t="shared" si="200"/>
        <v/>
      </c>
      <c r="T210" s="236" t="str">
        <f t="shared" si="201"/>
        <v/>
      </c>
      <c r="W210" s="642" t="e">
        <f>INDEX('Barge Gauging Data'!$B$26:$V$56,MATCH($C210,'Barge Gauging Data'!$B$26:$B$56,0),$W$198)</f>
        <v>#N/A</v>
      </c>
      <c r="X210" s="642" t="e">
        <f>INDEX('Barge Gauging Data'!$B$26:$V$56,MATCH($C210,'Barge Gauging Data'!$B$26:$B$56,0),$X$198)</f>
        <v>#N/A</v>
      </c>
      <c r="Y210" s="642" t="e">
        <f>INDEX('Barge Gauging Data'!$B$26:$V$56,MATCH($C210,'Barge Gauging Data'!$B$26:$B$56,0),$Y$198)</f>
        <v>#N/A</v>
      </c>
      <c r="Z210" s="642" t="e">
        <f>INDEX('Barge Gauging Data'!$B$26:$V$56,MATCH($C210,'Barge Gauging Data'!$B$26:$B$56,0),$Z$198)</f>
        <v>#N/A</v>
      </c>
      <c r="AB210" s="642" t="e">
        <f>INDEX(API2DENST_2,MATCH($C210,'Barge Gauging Data'!$B$27:$B$56,0),1)</f>
        <v>#N/A</v>
      </c>
      <c r="AC210" s="642" t="e">
        <f t="shared" si="151"/>
        <v>#N/A</v>
      </c>
      <c r="AE210" s="661" t="e">
        <f t="shared" si="152"/>
        <v>#VALUE!</v>
      </c>
      <c r="AF210" s="661" t="e">
        <f t="shared" si="153"/>
        <v>#VALUE!</v>
      </c>
      <c r="AH210" s="662" t="str">
        <f t="shared" si="194"/>
        <v/>
      </c>
      <c r="AI210" s="662" t="str">
        <f t="shared" si="195"/>
        <v/>
      </c>
      <c r="AJ210" s="663">
        <f t="shared" si="154"/>
        <v>192.4571</v>
      </c>
      <c r="AK210" s="660">
        <f t="shared" si="155"/>
        <v>0.24379999999999999</v>
      </c>
      <c r="AL210" s="660" t="e">
        <f t="shared" si="156"/>
        <v>#VALUE!</v>
      </c>
      <c r="AM210" s="664" t="e">
        <f t="shared" si="157"/>
        <v>#VALUE!</v>
      </c>
      <c r="AN210" s="664" t="e">
        <f t="shared" si="158"/>
        <v>#VALUE!</v>
      </c>
      <c r="AO210" s="665" t="e">
        <f t="shared" si="159"/>
        <v>#VALUE!</v>
      </c>
      <c r="AP210" s="666" t="e">
        <f t="shared" si="160"/>
        <v>#VALUE!</v>
      </c>
      <c r="AQ210" s="660" t="e">
        <f t="shared" si="161"/>
        <v>#VALUE!</v>
      </c>
      <c r="AR210" s="667" t="e">
        <f t="shared" si="162"/>
        <v>#VALUE!</v>
      </c>
      <c r="AS210" s="667" t="e">
        <f t="shared" si="163"/>
        <v>#VALUE!</v>
      </c>
      <c r="AT210" s="668" t="e">
        <f t="shared" si="164"/>
        <v>#VALUE!</v>
      </c>
      <c r="AU210" s="667" t="e">
        <f t="shared" si="165"/>
        <v>#VALUE!</v>
      </c>
      <c r="AV210" s="669" t="e">
        <f t="shared" si="166"/>
        <v>#VALUE!</v>
      </c>
      <c r="AW210" s="667" t="e">
        <f t="shared" si="167"/>
        <v>#VALUE!</v>
      </c>
      <c r="AX210" s="667" t="e">
        <f t="shared" si="168"/>
        <v>#VALUE!</v>
      </c>
      <c r="AY210" s="660" t="e">
        <f t="shared" si="169"/>
        <v>#VALUE!</v>
      </c>
      <c r="AZ210" s="670" t="e">
        <f t="shared" si="170"/>
        <v>#VALUE!</v>
      </c>
      <c r="BB210" s="662" t="e">
        <f>INDEX('Barge Gauging Data'!$B$26:$V$56,MATCH($C210,'Barge Gauging Data'!$B$26:$B$56,0),$BB$198)</f>
        <v>#N/A</v>
      </c>
      <c r="BC210" s="662" t="e">
        <f>INDEX('Barge Gauging Data'!$B$26:$V$56,MATCH($C210,'Barge Gauging Data'!$B$26:$B$56,0),$BC$198)</f>
        <v>#N/A</v>
      </c>
      <c r="BD210" s="662" t="e">
        <f>INDEX('Barge Gauging Data'!$B$26:$V$56,MATCH($C210,'Barge Gauging Data'!$B$26:$B$56,0),$BD$198)</f>
        <v>#N/A</v>
      </c>
      <c r="BE210" s="662" t="e">
        <f>INDEX('Barge Gauging Data'!$B$26:$V$56,MATCH($C210,'Barge Gauging Data'!$B$26:$B$56,0),$BE$198)</f>
        <v>#N/A</v>
      </c>
    </row>
    <row r="211" spans="1:57" hidden="1">
      <c r="A211" s="641" t="str">
        <f t="shared" si="178"/>
        <v>N</v>
      </c>
      <c r="C211" s="235" t="str">
        <f t="shared" si="180"/>
        <v/>
      </c>
      <c r="D211" s="211" t="str">
        <f t="shared" si="180"/>
        <v/>
      </c>
      <c r="E211" s="1016" t="str">
        <f t="shared" si="179"/>
        <v/>
      </c>
      <c r="F211" s="1016" t="str">
        <f t="shared" si="181"/>
        <v/>
      </c>
      <c r="G211" s="1016" t="str">
        <f t="shared" si="182"/>
        <v/>
      </c>
      <c r="H211" s="1016" t="str">
        <f t="shared" si="182"/>
        <v/>
      </c>
      <c r="I211" s="211" t="str">
        <f t="shared" si="183"/>
        <v/>
      </c>
      <c r="J211" s="1016" t="str">
        <f t="shared" si="184"/>
        <v/>
      </c>
      <c r="K211" s="213" t="str">
        <f t="shared" si="185"/>
        <v/>
      </c>
      <c r="L211" s="212" t="str">
        <f t="shared" si="186"/>
        <v/>
      </c>
      <c r="M211" s="1125" t="str">
        <f>IF(OR($C211="",$C211=0),"",INDEX(API2DENST_2,MATCH($C211,'Barge Gauging Data'!$B$27:$B$56,0),$AA$1))</f>
        <v/>
      </c>
      <c r="N211" s="212" t="str">
        <f t="shared" si="187"/>
        <v/>
      </c>
      <c r="O211" s="1016" t="str">
        <f t="shared" si="196"/>
        <v/>
      </c>
      <c r="P211" s="1125" t="str">
        <f t="shared" si="197"/>
        <v/>
      </c>
      <c r="Q211" s="1016" t="str">
        <f t="shared" si="198"/>
        <v/>
      </c>
      <c r="R211" s="214" t="str">
        <f t="shared" si="199"/>
        <v/>
      </c>
      <c r="S211" s="1125" t="str">
        <f t="shared" si="200"/>
        <v/>
      </c>
      <c r="T211" s="236" t="str">
        <f t="shared" si="201"/>
        <v/>
      </c>
      <c r="W211" s="642" t="e">
        <f>INDEX('Barge Gauging Data'!$B$26:$V$56,MATCH($C211,'Barge Gauging Data'!$B$26:$B$56,0),$W$198)</f>
        <v>#N/A</v>
      </c>
      <c r="X211" s="642" t="e">
        <f>INDEX('Barge Gauging Data'!$B$26:$V$56,MATCH($C211,'Barge Gauging Data'!$B$26:$B$56,0),$X$198)</f>
        <v>#N/A</v>
      </c>
      <c r="Y211" s="642" t="e">
        <f>INDEX('Barge Gauging Data'!$B$26:$V$56,MATCH($C211,'Barge Gauging Data'!$B$26:$B$56,0),$Y$198)</f>
        <v>#N/A</v>
      </c>
      <c r="Z211" s="642" t="e">
        <f>INDEX('Barge Gauging Data'!$B$26:$V$56,MATCH($C211,'Barge Gauging Data'!$B$26:$B$56,0),$Z$198)</f>
        <v>#N/A</v>
      </c>
      <c r="AB211" s="642" t="e">
        <f>INDEX(API2DENST_2,MATCH($C211,'Barge Gauging Data'!$B$27:$B$56,0),1)</f>
        <v>#N/A</v>
      </c>
      <c r="AC211" s="642" t="e">
        <f t="shared" si="151"/>
        <v>#N/A</v>
      </c>
      <c r="AE211" s="661" t="e">
        <f t="shared" si="152"/>
        <v>#VALUE!</v>
      </c>
      <c r="AF211" s="661" t="e">
        <f t="shared" si="153"/>
        <v>#VALUE!</v>
      </c>
      <c r="AH211" s="662" t="str">
        <f t="shared" si="194"/>
        <v/>
      </c>
      <c r="AI211" s="662" t="str">
        <f t="shared" si="195"/>
        <v/>
      </c>
      <c r="AJ211" s="663">
        <f t="shared" si="154"/>
        <v>192.4571</v>
      </c>
      <c r="AK211" s="660">
        <f t="shared" si="155"/>
        <v>0.24379999999999999</v>
      </c>
      <c r="AL211" s="660" t="e">
        <f t="shared" si="156"/>
        <v>#VALUE!</v>
      </c>
      <c r="AM211" s="664" t="e">
        <f t="shared" si="157"/>
        <v>#VALUE!</v>
      </c>
      <c r="AN211" s="664" t="e">
        <f t="shared" si="158"/>
        <v>#VALUE!</v>
      </c>
      <c r="AO211" s="665" t="e">
        <f t="shared" si="159"/>
        <v>#VALUE!</v>
      </c>
      <c r="AP211" s="666" t="e">
        <f t="shared" si="160"/>
        <v>#VALUE!</v>
      </c>
      <c r="AQ211" s="660" t="e">
        <f t="shared" si="161"/>
        <v>#VALUE!</v>
      </c>
      <c r="AR211" s="667" t="e">
        <f t="shared" si="162"/>
        <v>#VALUE!</v>
      </c>
      <c r="AS211" s="667" t="e">
        <f t="shared" si="163"/>
        <v>#VALUE!</v>
      </c>
      <c r="AT211" s="668" t="e">
        <f t="shared" si="164"/>
        <v>#VALUE!</v>
      </c>
      <c r="AU211" s="667" t="e">
        <f t="shared" si="165"/>
        <v>#VALUE!</v>
      </c>
      <c r="AV211" s="669" t="e">
        <f t="shared" si="166"/>
        <v>#VALUE!</v>
      </c>
      <c r="AW211" s="667" t="e">
        <f t="shared" si="167"/>
        <v>#VALUE!</v>
      </c>
      <c r="AX211" s="667" t="e">
        <f t="shared" si="168"/>
        <v>#VALUE!</v>
      </c>
      <c r="AY211" s="660" t="e">
        <f t="shared" si="169"/>
        <v>#VALUE!</v>
      </c>
      <c r="AZ211" s="670" t="e">
        <f t="shared" si="170"/>
        <v>#VALUE!</v>
      </c>
      <c r="BB211" s="662" t="e">
        <f>INDEX('Barge Gauging Data'!$B$26:$V$56,MATCH($C211,'Barge Gauging Data'!$B$26:$B$56,0),$BB$198)</f>
        <v>#N/A</v>
      </c>
      <c r="BC211" s="662" t="e">
        <f>INDEX('Barge Gauging Data'!$B$26:$V$56,MATCH($C211,'Barge Gauging Data'!$B$26:$B$56,0),$BC$198)</f>
        <v>#N/A</v>
      </c>
      <c r="BD211" s="662" t="e">
        <f>INDEX('Barge Gauging Data'!$B$26:$V$56,MATCH($C211,'Barge Gauging Data'!$B$26:$B$56,0),$BD$198)</f>
        <v>#N/A</v>
      </c>
      <c r="BE211" s="662" t="e">
        <f>INDEX('Barge Gauging Data'!$B$26:$V$56,MATCH($C211,'Barge Gauging Data'!$B$26:$B$56,0),$BE$198)</f>
        <v>#N/A</v>
      </c>
    </row>
    <row r="212" spans="1:57" hidden="1">
      <c r="A212" s="641" t="str">
        <f t="shared" si="178"/>
        <v>N</v>
      </c>
      <c r="C212" s="235" t="str">
        <f t="shared" si="180"/>
        <v/>
      </c>
      <c r="D212" s="211" t="str">
        <f t="shared" si="180"/>
        <v/>
      </c>
      <c r="E212" s="1016" t="str">
        <f t="shared" si="179"/>
        <v/>
      </c>
      <c r="F212" s="1016" t="str">
        <f t="shared" si="181"/>
        <v/>
      </c>
      <c r="G212" s="1016" t="str">
        <f t="shared" si="182"/>
        <v/>
      </c>
      <c r="H212" s="1016" t="str">
        <f t="shared" si="182"/>
        <v/>
      </c>
      <c r="I212" s="211" t="str">
        <f t="shared" si="183"/>
        <v/>
      </c>
      <c r="J212" s="1016" t="str">
        <f t="shared" si="184"/>
        <v/>
      </c>
      <c r="K212" s="213" t="str">
        <f t="shared" si="185"/>
        <v/>
      </c>
      <c r="L212" s="212" t="str">
        <f t="shared" si="186"/>
        <v/>
      </c>
      <c r="M212" s="1125" t="str">
        <f>IF(OR($C212="",$C212=0),"",INDEX(API2DENST_2,MATCH($C212,'Barge Gauging Data'!$B$27:$B$56,0),$AA$1))</f>
        <v/>
      </c>
      <c r="N212" s="212" t="str">
        <f t="shared" si="187"/>
        <v/>
      </c>
      <c r="O212" s="1016" t="str">
        <f t="shared" si="196"/>
        <v/>
      </c>
      <c r="P212" s="1125" t="str">
        <f t="shared" si="197"/>
        <v/>
      </c>
      <c r="Q212" s="1016" t="str">
        <f t="shared" si="198"/>
        <v/>
      </c>
      <c r="R212" s="214" t="str">
        <f t="shared" si="199"/>
        <v/>
      </c>
      <c r="S212" s="1125" t="str">
        <f t="shared" si="200"/>
        <v/>
      </c>
      <c r="T212" s="236" t="str">
        <f t="shared" si="201"/>
        <v/>
      </c>
      <c r="W212" s="642" t="e">
        <f>INDEX('Barge Gauging Data'!$B$26:$V$56,MATCH($C212,'Barge Gauging Data'!$B$26:$B$56,0),$W$198)</f>
        <v>#N/A</v>
      </c>
      <c r="X212" s="642" t="e">
        <f>INDEX('Barge Gauging Data'!$B$26:$V$56,MATCH($C212,'Barge Gauging Data'!$B$26:$B$56,0),$X$198)</f>
        <v>#N/A</v>
      </c>
      <c r="Y212" s="642" t="e">
        <f>INDEX('Barge Gauging Data'!$B$26:$V$56,MATCH($C212,'Barge Gauging Data'!$B$26:$B$56,0),$Y$198)</f>
        <v>#N/A</v>
      </c>
      <c r="Z212" s="642" t="e">
        <f>INDEX('Barge Gauging Data'!$B$26:$V$56,MATCH($C212,'Barge Gauging Data'!$B$26:$B$56,0),$Z$198)</f>
        <v>#N/A</v>
      </c>
      <c r="AB212" s="642" t="e">
        <f>INDEX(API2DENST_2,MATCH($C212,'Barge Gauging Data'!$B$27:$B$56,0),1)</f>
        <v>#N/A</v>
      </c>
      <c r="AC212" s="642" t="e">
        <f t="shared" si="151"/>
        <v>#N/A</v>
      </c>
      <c r="AE212" s="661" t="e">
        <f t="shared" si="152"/>
        <v>#VALUE!</v>
      </c>
      <c r="AF212" s="661" t="e">
        <f t="shared" si="153"/>
        <v>#VALUE!</v>
      </c>
      <c r="AH212" s="662" t="str">
        <f t="shared" si="194"/>
        <v/>
      </c>
      <c r="AI212" s="662" t="str">
        <f t="shared" si="195"/>
        <v/>
      </c>
      <c r="AJ212" s="663">
        <f t="shared" si="154"/>
        <v>192.4571</v>
      </c>
      <c r="AK212" s="660">
        <f t="shared" si="155"/>
        <v>0.24379999999999999</v>
      </c>
      <c r="AL212" s="660" t="e">
        <f t="shared" si="156"/>
        <v>#VALUE!</v>
      </c>
      <c r="AM212" s="664" t="e">
        <f t="shared" si="157"/>
        <v>#VALUE!</v>
      </c>
      <c r="AN212" s="664" t="e">
        <f t="shared" si="158"/>
        <v>#VALUE!</v>
      </c>
      <c r="AO212" s="665" t="e">
        <f t="shared" si="159"/>
        <v>#VALUE!</v>
      </c>
      <c r="AP212" s="666" t="e">
        <f t="shared" si="160"/>
        <v>#VALUE!</v>
      </c>
      <c r="AQ212" s="660" t="e">
        <f t="shared" si="161"/>
        <v>#VALUE!</v>
      </c>
      <c r="AR212" s="667" t="e">
        <f t="shared" si="162"/>
        <v>#VALUE!</v>
      </c>
      <c r="AS212" s="667" t="e">
        <f t="shared" si="163"/>
        <v>#VALUE!</v>
      </c>
      <c r="AT212" s="668" t="e">
        <f t="shared" si="164"/>
        <v>#VALUE!</v>
      </c>
      <c r="AU212" s="667" t="e">
        <f t="shared" si="165"/>
        <v>#VALUE!</v>
      </c>
      <c r="AV212" s="669" t="e">
        <f t="shared" si="166"/>
        <v>#VALUE!</v>
      </c>
      <c r="AW212" s="667" t="e">
        <f t="shared" si="167"/>
        <v>#VALUE!</v>
      </c>
      <c r="AX212" s="667" t="e">
        <f t="shared" si="168"/>
        <v>#VALUE!</v>
      </c>
      <c r="AY212" s="660" t="e">
        <f t="shared" si="169"/>
        <v>#VALUE!</v>
      </c>
      <c r="AZ212" s="670" t="e">
        <f t="shared" si="170"/>
        <v>#VALUE!</v>
      </c>
      <c r="BB212" s="662" t="e">
        <f>INDEX('Barge Gauging Data'!$B$26:$V$56,MATCH($C212,'Barge Gauging Data'!$B$26:$B$56,0),$BB$198)</f>
        <v>#N/A</v>
      </c>
      <c r="BC212" s="662" t="e">
        <f>INDEX('Barge Gauging Data'!$B$26:$V$56,MATCH($C212,'Barge Gauging Data'!$B$26:$B$56,0),$BC$198)</f>
        <v>#N/A</v>
      </c>
      <c r="BD212" s="662" t="e">
        <f>INDEX('Barge Gauging Data'!$B$26:$V$56,MATCH($C212,'Barge Gauging Data'!$B$26:$B$56,0),$BD$198)</f>
        <v>#N/A</v>
      </c>
      <c r="BE212" s="662" t="e">
        <f>INDEX('Barge Gauging Data'!$B$26:$V$56,MATCH($C212,'Barge Gauging Data'!$B$26:$B$56,0),$BE$198)</f>
        <v>#N/A</v>
      </c>
    </row>
    <row r="213" spans="1:57" hidden="1">
      <c r="A213" s="641" t="str">
        <f t="shared" si="178"/>
        <v>N</v>
      </c>
      <c r="C213" s="235" t="str">
        <f t="shared" si="180"/>
        <v/>
      </c>
      <c r="D213" s="211" t="str">
        <f t="shared" si="180"/>
        <v/>
      </c>
      <c r="E213" s="1016" t="str">
        <f t="shared" si="179"/>
        <v/>
      </c>
      <c r="F213" s="1016" t="str">
        <f t="shared" si="181"/>
        <v/>
      </c>
      <c r="G213" s="1016" t="str">
        <f t="shared" si="182"/>
        <v/>
      </c>
      <c r="H213" s="1016" t="str">
        <f t="shared" si="182"/>
        <v/>
      </c>
      <c r="I213" s="211" t="str">
        <f t="shared" si="183"/>
        <v/>
      </c>
      <c r="J213" s="1016" t="str">
        <f t="shared" si="184"/>
        <v/>
      </c>
      <c r="K213" s="213" t="str">
        <f t="shared" si="185"/>
        <v/>
      </c>
      <c r="L213" s="212" t="str">
        <f t="shared" si="186"/>
        <v/>
      </c>
      <c r="M213" s="1125" t="str">
        <f>IF(OR($C213="",$C213=0),"",INDEX(API2DENST_2,MATCH($C213,'Barge Gauging Data'!$B$27:$B$56,0),$AA$1))</f>
        <v/>
      </c>
      <c r="N213" s="212" t="str">
        <f t="shared" si="187"/>
        <v/>
      </c>
      <c r="O213" s="1016" t="str">
        <f t="shared" si="196"/>
        <v/>
      </c>
      <c r="P213" s="1125" t="str">
        <f t="shared" si="197"/>
        <v/>
      </c>
      <c r="Q213" s="1016" t="str">
        <f t="shared" si="198"/>
        <v/>
      </c>
      <c r="R213" s="214" t="str">
        <f t="shared" si="199"/>
        <v/>
      </c>
      <c r="S213" s="1125" t="str">
        <f t="shared" si="200"/>
        <v/>
      </c>
      <c r="T213" s="236" t="str">
        <f t="shared" si="201"/>
        <v/>
      </c>
      <c r="W213" s="642" t="e">
        <f>INDEX('Barge Gauging Data'!$B$26:$V$56,MATCH($C213,'Barge Gauging Data'!$B$26:$B$56,0),$W$198)</f>
        <v>#N/A</v>
      </c>
      <c r="X213" s="642" t="e">
        <f>INDEX('Barge Gauging Data'!$B$26:$V$56,MATCH($C213,'Barge Gauging Data'!$B$26:$B$56,0),$X$198)</f>
        <v>#N/A</v>
      </c>
      <c r="Y213" s="642" t="e">
        <f>INDEX('Barge Gauging Data'!$B$26:$V$56,MATCH($C213,'Barge Gauging Data'!$B$26:$B$56,0),$Y$198)</f>
        <v>#N/A</v>
      </c>
      <c r="Z213" s="642" t="e">
        <f>INDEX('Barge Gauging Data'!$B$26:$V$56,MATCH($C213,'Barge Gauging Data'!$B$26:$B$56,0),$Z$198)</f>
        <v>#N/A</v>
      </c>
      <c r="AB213" s="642" t="e">
        <f>INDEX(API2DENST_2,MATCH($C213,'Barge Gauging Data'!$B$27:$B$56,0),1)</f>
        <v>#N/A</v>
      </c>
      <c r="AC213" s="642" t="e">
        <f t="shared" si="151"/>
        <v>#N/A</v>
      </c>
      <c r="AE213" s="661" t="e">
        <f t="shared" si="152"/>
        <v>#VALUE!</v>
      </c>
      <c r="AF213" s="661" t="e">
        <f t="shared" si="153"/>
        <v>#VALUE!</v>
      </c>
      <c r="AH213" s="662" t="str">
        <f t="shared" si="194"/>
        <v/>
      </c>
      <c r="AI213" s="662" t="str">
        <f t="shared" si="195"/>
        <v/>
      </c>
      <c r="AJ213" s="663">
        <f t="shared" si="154"/>
        <v>192.4571</v>
      </c>
      <c r="AK213" s="660">
        <f t="shared" si="155"/>
        <v>0.24379999999999999</v>
      </c>
      <c r="AL213" s="660" t="e">
        <f t="shared" si="156"/>
        <v>#VALUE!</v>
      </c>
      <c r="AM213" s="664" t="e">
        <f t="shared" si="157"/>
        <v>#VALUE!</v>
      </c>
      <c r="AN213" s="664" t="e">
        <f t="shared" si="158"/>
        <v>#VALUE!</v>
      </c>
      <c r="AO213" s="665" t="e">
        <f t="shared" si="159"/>
        <v>#VALUE!</v>
      </c>
      <c r="AP213" s="666" t="e">
        <f t="shared" si="160"/>
        <v>#VALUE!</v>
      </c>
      <c r="AQ213" s="660" t="e">
        <f t="shared" si="161"/>
        <v>#VALUE!</v>
      </c>
      <c r="AR213" s="667" t="e">
        <f t="shared" si="162"/>
        <v>#VALUE!</v>
      </c>
      <c r="AS213" s="667" t="e">
        <f t="shared" si="163"/>
        <v>#VALUE!</v>
      </c>
      <c r="AT213" s="668" t="e">
        <f t="shared" si="164"/>
        <v>#VALUE!</v>
      </c>
      <c r="AU213" s="667" t="e">
        <f t="shared" si="165"/>
        <v>#VALUE!</v>
      </c>
      <c r="AV213" s="669" t="e">
        <f t="shared" si="166"/>
        <v>#VALUE!</v>
      </c>
      <c r="AW213" s="667" t="e">
        <f t="shared" si="167"/>
        <v>#VALUE!</v>
      </c>
      <c r="AX213" s="667" t="e">
        <f t="shared" si="168"/>
        <v>#VALUE!</v>
      </c>
      <c r="AY213" s="660" t="e">
        <f t="shared" si="169"/>
        <v>#VALUE!</v>
      </c>
      <c r="AZ213" s="670" t="e">
        <f t="shared" si="170"/>
        <v>#VALUE!</v>
      </c>
      <c r="BB213" s="662" t="e">
        <f>INDEX('Barge Gauging Data'!$B$26:$V$56,MATCH($C213,'Barge Gauging Data'!$B$26:$B$56,0),$BB$198)</f>
        <v>#N/A</v>
      </c>
      <c r="BC213" s="662" t="e">
        <f>INDEX('Barge Gauging Data'!$B$26:$V$56,MATCH($C213,'Barge Gauging Data'!$B$26:$B$56,0),$BC$198)</f>
        <v>#N/A</v>
      </c>
      <c r="BD213" s="662" t="e">
        <f>INDEX('Barge Gauging Data'!$B$26:$V$56,MATCH($C213,'Barge Gauging Data'!$B$26:$B$56,0),$BD$198)</f>
        <v>#N/A</v>
      </c>
      <c r="BE213" s="662" t="e">
        <f>INDEX('Barge Gauging Data'!$B$26:$V$56,MATCH($C213,'Barge Gauging Data'!$B$26:$B$56,0),$BE$198)</f>
        <v>#N/A</v>
      </c>
    </row>
    <row r="214" spans="1:57" hidden="1">
      <c r="A214" s="641" t="str">
        <f t="shared" si="178"/>
        <v>N</v>
      </c>
      <c r="C214" s="235" t="str">
        <f t="shared" si="180"/>
        <v/>
      </c>
      <c r="D214" s="211" t="str">
        <f t="shared" si="180"/>
        <v/>
      </c>
      <c r="E214" s="1016" t="str">
        <f t="shared" si="179"/>
        <v/>
      </c>
      <c r="F214" s="1016" t="str">
        <f t="shared" si="181"/>
        <v/>
      </c>
      <c r="G214" s="1016" t="str">
        <f t="shared" si="182"/>
        <v/>
      </c>
      <c r="H214" s="1016" t="str">
        <f t="shared" si="182"/>
        <v/>
      </c>
      <c r="I214" s="211" t="str">
        <f t="shared" si="183"/>
        <v/>
      </c>
      <c r="J214" s="1016" t="str">
        <f t="shared" si="184"/>
        <v/>
      </c>
      <c r="K214" s="213" t="str">
        <f t="shared" si="185"/>
        <v/>
      </c>
      <c r="L214" s="212" t="str">
        <f t="shared" si="186"/>
        <v/>
      </c>
      <c r="M214" s="1125" t="str">
        <f>IF(OR($C214="",$C214=0),"",INDEX(API2DENST_2,MATCH($C214,'Barge Gauging Data'!$B$27:$B$56,0),$AA$1))</f>
        <v/>
      </c>
      <c r="N214" s="212" t="str">
        <f t="shared" si="187"/>
        <v/>
      </c>
      <c r="O214" s="1016" t="str">
        <f t="shared" si="196"/>
        <v/>
      </c>
      <c r="P214" s="1125" t="str">
        <f t="shared" si="197"/>
        <v/>
      </c>
      <c r="Q214" s="1016" t="str">
        <f t="shared" si="198"/>
        <v/>
      </c>
      <c r="R214" s="214" t="str">
        <f t="shared" si="199"/>
        <v/>
      </c>
      <c r="S214" s="1125" t="str">
        <f t="shared" si="200"/>
        <v/>
      </c>
      <c r="T214" s="236" t="str">
        <f t="shared" si="201"/>
        <v/>
      </c>
      <c r="W214" s="642" t="e">
        <f>INDEX('Barge Gauging Data'!$B$26:$V$56,MATCH($C214,'Barge Gauging Data'!$B$26:$B$56,0),$W$198)</f>
        <v>#N/A</v>
      </c>
      <c r="X214" s="642" t="e">
        <f>INDEX('Barge Gauging Data'!$B$26:$V$56,MATCH($C214,'Barge Gauging Data'!$B$26:$B$56,0),$X$198)</f>
        <v>#N/A</v>
      </c>
      <c r="Y214" s="642" t="e">
        <f>INDEX('Barge Gauging Data'!$B$26:$V$56,MATCH($C214,'Barge Gauging Data'!$B$26:$B$56,0),$Y$198)</f>
        <v>#N/A</v>
      </c>
      <c r="Z214" s="642" t="e">
        <f>INDEX('Barge Gauging Data'!$B$26:$V$56,MATCH($C214,'Barge Gauging Data'!$B$26:$B$56,0),$Z$198)</f>
        <v>#N/A</v>
      </c>
      <c r="AB214" s="642" t="e">
        <f>INDEX(API2DENST_2,MATCH($C214,'Barge Gauging Data'!$B$27:$B$56,0),1)</f>
        <v>#N/A</v>
      </c>
      <c r="AC214" s="642" t="e">
        <f t="shared" si="151"/>
        <v>#N/A</v>
      </c>
      <c r="AE214" s="661" t="e">
        <f t="shared" si="152"/>
        <v>#VALUE!</v>
      </c>
      <c r="AF214" s="661" t="e">
        <f t="shared" si="153"/>
        <v>#VALUE!</v>
      </c>
      <c r="AH214" s="662" t="str">
        <f t="shared" si="194"/>
        <v/>
      </c>
      <c r="AI214" s="662" t="str">
        <f t="shared" si="195"/>
        <v/>
      </c>
      <c r="AJ214" s="663">
        <f t="shared" si="154"/>
        <v>192.4571</v>
      </c>
      <c r="AK214" s="660">
        <f t="shared" si="155"/>
        <v>0.24379999999999999</v>
      </c>
      <c r="AL214" s="660" t="e">
        <f t="shared" si="156"/>
        <v>#VALUE!</v>
      </c>
      <c r="AM214" s="664" t="e">
        <f t="shared" si="157"/>
        <v>#VALUE!</v>
      </c>
      <c r="AN214" s="664" t="e">
        <f t="shared" si="158"/>
        <v>#VALUE!</v>
      </c>
      <c r="AO214" s="665" t="e">
        <f t="shared" si="159"/>
        <v>#VALUE!</v>
      </c>
      <c r="AP214" s="666" t="e">
        <f t="shared" si="160"/>
        <v>#VALUE!</v>
      </c>
      <c r="AQ214" s="660" t="e">
        <f t="shared" si="161"/>
        <v>#VALUE!</v>
      </c>
      <c r="AR214" s="667" t="e">
        <f t="shared" si="162"/>
        <v>#VALUE!</v>
      </c>
      <c r="AS214" s="667" t="e">
        <f t="shared" si="163"/>
        <v>#VALUE!</v>
      </c>
      <c r="AT214" s="668" t="e">
        <f t="shared" si="164"/>
        <v>#VALUE!</v>
      </c>
      <c r="AU214" s="667" t="e">
        <f t="shared" si="165"/>
        <v>#VALUE!</v>
      </c>
      <c r="AV214" s="669" t="e">
        <f t="shared" si="166"/>
        <v>#VALUE!</v>
      </c>
      <c r="AW214" s="667" t="e">
        <f t="shared" si="167"/>
        <v>#VALUE!</v>
      </c>
      <c r="AX214" s="667" t="e">
        <f t="shared" si="168"/>
        <v>#VALUE!</v>
      </c>
      <c r="AY214" s="660" t="e">
        <f t="shared" si="169"/>
        <v>#VALUE!</v>
      </c>
      <c r="AZ214" s="670" t="e">
        <f t="shared" si="170"/>
        <v>#VALUE!</v>
      </c>
      <c r="BB214" s="662" t="e">
        <f>INDEX('Barge Gauging Data'!$B$26:$V$56,MATCH($C214,'Barge Gauging Data'!$B$26:$B$56,0),$BB$198)</f>
        <v>#N/A</v>
      </c>
      <c r="BC214" s="662" t="e">
        <f>INDEX('Barge Gauging Data'!$B$26:$V$56,MATCH($C214,'Barge Gauging Data'!$B$26:$B$56,0),$BC$198)</f>
        <v>#N/A</v>
      </c>
      <c r="BD214" s="662" t="e">
        <f>INDEX('Barge Gauging Data'!$B$26:$V$56,MATCH($C214,'Barge Gauging Data'!$B$26:$B$56,0),$BD$198)</f>
        <v>#N/A</v>
      </c>
      <c r="BE214" s="662" t="e">
        <f>INDEX('Barge Gauging Data'!$B$26:$V$56,MATCH($C214,'Barge Gauging Data'!$B$26:$B$56,0),$BE$198)</f>
        <v>#N/A</v>
      </c>
    </row>
    <row r="215" spans="1:57" hidden="1">
      <c r="A215" s="641" t="str">
        <f t="shared" si="178"/>
        <v>N</v>
      </c>
      <c r="C215" s="235" t="str">
        <f t="shared" si="180"/>
        <v/>
      </c>
      <c r="D215" s="211" t="str">
        <f t="shared" si="180"/>
        <v/>
      </c>
      <c r="E215" s="1016" t="str">
        <f t="shared" si="179"/>
        <v/>
      </c>
      <c r="F215" s="1016" t="str">
        <f t="shared" si="181"/>
        <v/>
      </c>
      <c r="G215" s="1016" t="str">
        <f t="shared" si="182"/>
        <v/>
      </c>
      <c r="H215" s="1016" t="str">
        <f t="shared" si="182"/>
        <v/>
      </c>
      <c r="I215" s="211" t="str">
        <f t="shared" si="183"/>
        <v/>
      </c>
      <c r="J215" s="1016" t="str">
        <f t="shared" si="184"/>
        <v/>
      </c>
      <c r="K215" s="213" t="str">
        <f t="shared" si="185"/>
        <v/>
      </c>
      <c r="L215" s="212" t="str">
        <f t="shared" si="186"/>
        <v/>
      </c>
      <c r="M215" s="1125" t="str">
        <f>IF(OR($C215="",$C215=0),"",INDEX(API2DENST_2,MATCH($C215,'Barge Gauging Data'!$B$27:$B$56,0),$AA$1))</f>
        <v/>
      </c>
      <c r="N215" s="212" t="str">
        <f t="shared" si="187"/>
        <v/>
      </c>
      <c r="O215" s="1016" t="str">
        <f t="shared" si="196"/>
        <v/>
      </c>
      <c r="P215" s="1125" t="str">
        <f t="shared" si="197"/>
        <v/>
      </c>
      <c r="Q215" s="1016" t="str">
        <f t="shared" si="198"/>
        <v/>
      </c>
      <c r="R215" s="214" t="str">
        <f t="shared" si="199"/>
        <v/>
      </c>
      <c r="S215" s="1125" t="str">
        <f t="shared" si="200"/>
        <v/>
      </c>
      <c r="T215" s="236" t="str">
        <f t="shared" si="201"/>
        <v/>
      </c>
      <c r="W215" s="642" t="e">
        <f>INDEX('Barge Gauging Data'!$B$26:$V$56,MATCH($C215,'Barge Gauging Data'!$B$26:$B$56,0),$W$198)</f>
        <v>#N/A</v>
      </c>
      <c r="X215" s="642" t="e">
        <f>INDEX('Barge Gauging Data'!$B$26:$V$56,MATCH($C215,'Barge Gauging Data'!$B$26:$B$56,0),$X$198)</f>
        <v>#N/A</v>
      </c>
      <c r="Y215" s="642" t="e">
        <f>INDEX('Barge Gauging Data'!$B$26:$V$56,MATCH($C215,'Barge Gauging Data'!$B$26:$B$56,0),$Y$198)</f>
        <v>#N/A</v>
      </c>
      <c r="Z215" s="642" t="e">
        <f>INDEX('Barge Gauging Data'!$B$26:$V$56,MATCH($C215,'Barge Gauging Data'!$B$26:$B$56,0),$Z$198)</f>
        <v>#N/A</v>
      </c>
      <c r="AB215" s="642" t="e">
        <f>INDEX(API2DENST_2,MATCH($C215,'Barge Gauging Data'!$B$27:$B$56,0),1)</f>
        <v>#N/A</v>
      </c>
      <c r="AC215" s="642" t="e">
        <f t="shared" si="151"/>
        <v>#N/A</v>
      </c>
      <c r="AE215" s="661" t="e">
        <f t="shared" si="152"/>
        <v>#VALUE!</v>
      </c>
      <c r="AF215" s="661" t="e">
        <f t="shared" si="153"/>
        <v>#VALUE!</v>
      </c>
      <c r="AH215" s="662" t="str">
        <f t="shared" si="194"/>
        <v/>
      </c>
      <c r="AI215" s="662" t="str">
        <f t="shared" si="195"/>
        <v/>
      </c>
      <c r="AJ215" s="663">
        <f t="shared" si="154"/>
        <v>192.4571</v>
      </c>
      <c r="AK215" s="660">
        <f t="shared" si="155"/>
        <v>0.24379999999999999</v>
      </c>
      <c r="AL215" s="660" t="e">
        <f t="shared" si="156"/>
        <v>#VALUE!</v>
      </c>
      <c r="AM215" s="664" t="e">
        <f t="shared" si="157"/>
        <v>#VALUE!</v>
      </c>
      <c r="AN215" s="664" t="e">
        <f t="shared" si="158"/>
        <v>#VALUE!</v>
      </c>
      <c r="AO215" s="665" t="e">
        <f t="shared" si="159"/>
        <v>#VALUE!</v>
      </c>
      <c r="AP215" s="666" t="e">
        <f t="shared" si="160"/>
        <v>#VALUE!</v>
      </c>
      <c r="AQ215" s="660" t="e">
        <f t="shared" si="161"/>
        <v>#VALUE!</v>
      </c>
      <c r="AR215" s="667" t="e">
        <f t="shared" si="162"/>
        <v>#VALUE!</v>
      </c>
      <c r="AS215" s="667" t="e">
        <f t="shared" si="163"/>
        <v>#VALUE!</v>
      </c>
      <c r="AT215" s="668" t="e">
        <f t="shared" si="164"/>
        <v>#VALUE!</v>
      </c>
      <c r="AU215" s="667" t="e">
        <f t="shared" si="165"/>
        <v>#VALUE!</v>
      </c>
      <c r="AV215" s="669" t="e">
        <f t="shared" si="166"/>
        <v>#VALUE!</v>
      </c>
      <c r="AW215" s="667" t="e">
        <f t="shared" si="167"/>
        <v>#VALUE!</v>
      </c>
      <c r="AX215" s="667" t="e">
        <f t="shared" si="168"/>
        <v>#VALUE!</v>
      </c>
      <c r="AY215" s="660" t="e">
        <f t="shared" si="169"/>
        <v>#VALUE!</v>
      </c>
      <c r="AZ215" s="670" t="e">
        <f t="shared" si="170"/>
        <v>#VALUE!</v>
      </c>
      <c r="BB215" s="662" t="e">
        <f>INDEX('Barge Gauging Data'!$B$26:$V$56,MATCH($C215,'Barge Gauging Data'!$B$26:$B$56,0),$BB$198)</f>
        <v>#N/A</v>
      </c>
      <c r="BC215" s="662" t="e">
        <f>INDEX('Barge Gauging Data'!$B$26:$V$56,MATCH($C215,'Barge Gauging Data'!$B$26:$B$56,0),$BC$198)</f>
        <v>#N/A</v>
      </c>
      <c r="BD215" s="662" t="e">
        <f>INDEX('Barge Gauging Data'!$B$26:$V$56,MATCH($C215,'Barge Gauging Data'!$B$26:$B$56,0),$BD$198)</f>
        <v>#N/A</v>
      </c>
      <c r="BE215" s="662" t="e">
        <f>INDEX('Barge Gauging Data'!$B$26:$V$56,MATCH($C215,'Barge Gauging Data'!$B$26:$B$56,0),$BE$198)</f>
        <v>#N/A</v>
      </c>
    </row>
    <row r="216" spans="1:57" hidden="1">
      <c r="A216" s="641" t="str">
        <f t="shared" si="178"/>
        <v>N</v>
      </c>
      <c r="C216" s="235" t="str">
        <f t="shared" si="180"/>
        <v/>
      </c>
      <c r="D216" s="211" t="str">
        <f t="shared" si="180"/>
        <v/>
      </c>
      <c r="E216" s="1016" t="str">
        <f t="shared" si="179"/>
        <v/>
      </c>
      <c r="F216" s="1016" t="str">
        <f t="shared" si="181"/>
        <v/>
      </c>
      <c r="G216" s="1016" t="str">
        <f t="shared" si="182"/>
        <v/>
      </c>
      <c r="H216" s="1016" t="str">
        <f t="shared" si="182"/>
        <v/>
      </c>
      <c r="I216" s="211" t="str">
        <f t="shared" si="183"/>
        <v/>
      </c>
      <c r="J216" s="1016" t="str">
        <f t="shared" si="184"/>
        <v/>
      </c>
      <c r="K216" s="213" t="str">
        <f t="shared" si="185"/>
        <v/>
      </c>
      <c r="L216" s="212" t="str">
        <f t="shared" si="186"/>
        <v/>
      </c>
      <c r="M216" s="1125" t="str">
        <f>IF(OR($C216="",$C216=0),"",INDEX(API2DENST_2,MATCH($C216,'Barge Gauging Data'!$B$27:$B$56,0),$AA$1))</f>
        <v/>
      </c>
      <c r="N216" s="212" t="str">
        <f t="shared" si="187"/>
        <v/>
      </c>
      <c r="O216" s="1016" t="str">
        <f t="shared" si="196"/>
        <v/>
      </c>
      <c r="P216" s="1125" t="str">
        <f t="shared" si="197"/>
        <v/>
      </c>
      <c r="Q216" s="1016" t="str">
        <f t="shared" si="198"/>
        <v/>
      </c>
      <c r="R216" s="214" t="str">
        <f t="shared" si="199"/>
        <v/>
      </c>
      <c r="S216" s="1125" t="str">
        <f t="shared" si="200"/>
        <v/>
      </c>
      <c r="T216" s="236" t="str">
        <f t="shared" si="201"/>
        <v/>
      </c>
      <c r="W216" s="642" t="e">
        <f>INDEX('Barge Gauging Data'!$B$26:$V$56,MATCH($C216,'Barge Gauging Data'!$B$26:$B$56,0),$W$198)</f>
        <v>#N/A</v>
      </c>
      <c r="X216" s="642" t="e">
        <f>INDEX('Barge Gauging Data'!$B$26:$V$56,MATCH($C216,'Barge Gauging Data'!$B$26:$B$56,0),$X$198)</f>
        <v>#N/A</v>
      </c>
      <c r="Y216" s="642" t="e">
        <f>INDEX('Barge Gauging Data'!$B$26:$V$56,MATCH($C216,'Barge Gauging Data'!$B$26:$B$56,0),$Y$198)</f>
        <v>#N/A</v>
      </c>
      <c r="Z216" s="642" t="e">
        <f>INDEX('Barge Gauging Data'!$B$26:$V$56,MATCH($C216,'Barge Gauging Data'!$B$26:$B$56,0),$Z$198)</f>
        <v>#N/A</v>
      </c>
      <c r="AB216" s="642" t="e">
        <f>INDEX(API2DENST_2,MATCH($C216,'Barge Gauging Data'!$B$27:$B$56,0),1)</f>
        <v>#N/A</v>
      </c>
      <c r="AC216" s="642" t="e">
        <f t="shared" si="151"/>
        <v>#N/A</v>
      </c>
      <c r="AE216" s="661" t="e">
        <f t="shared" si="152"/>
        <v>#VALUE!</v>
      </c>
      <c r="AF216" s="661" t="e">
        <f t="shared" si="153"/>
        <v>#VALUE!</v>
      </c>
      <c r="AH216" s="662" t="str">
        <f t="shared" si="194"/>
        <v/>
      </c>
      <c r="AI216" s="662" t="str">
        <f t="shared" si="195"/>
        <v/>
      </c>
      <c r="AJ216" s="663">
        <f t="shared" si="154"/>
        <v>192.4571</v>
      </c>
      <c r="AK216" s="660">
        <f t="shared" si="155"/>
        <v>0.24379999999999999</v>
      </c>
      <c r="AL216" s="660" t="e">
        <f t="shared" si="156"/>
        <v>#VALUE!</v>
      </c>
      <c r="AM216" s="664" t="e">
        <f t="shared" si="157"/>
        <v>#VALUE!</v>
      </c>
      <c r="AN216" s="664" t="e">
        <f t="shared" si="158"/>
        <v>#VALUE!</v>
      </c>
      <c r="AO216" s="665" t="e">
        <f t="shared" si="159"/>
        <v>#VALUE!</v>
      </c>
      <c r="AP216" s="666" t="e">
        <f t="shared" si="160"/>
        <v>#VALUE!</v>
      </c>
      <c r="AQ216" s="660" t="e">
        <f t="shared" si="161"/>
        <v>#VALUE!</v>
      </c>
      <c r="AR216" s="667" t="e">
        <f t="shared" si="162"/>
        <v>#VALUE!</v>
      </c>
      <c r="AS216" s="667" t="e">
        <f t="shared" si="163"/>
        <v>#VALUE!</v>
      </c>
      <c r="AT216" s="668" t="e">
        <f t="shared" si="164"/>
        <v>#VALUE!</v>
      </c>
      <c r="AU216" s="667" t="e">
        <f t="shared" si="165"/>
        <v>#VALUE!</v>
      </c>
      <c r="AV216" s="669" t="e">
        <f t="shared" si="166"/>
        <v>#VALUE!</v>
      </c>
      <c r="AW216" s="667" t="e">
        <f t="shared" si="167"/>
        <v>#VALUE!</v>
      </c>
      <c r="AX216" s="667" t="e">
        <f t="shared" si="168"/>
        <v>#VALUE!</v>
      </c>
      <c r="AY216" s="660" t="e">
        <f t="shared" si="169"/>
        <v>#VALUE!</v>
      </c>
      <c r="AZ216" s="670" t="e">
        <f t="shared" si="170"/>
        <v>#VALUE!</v>
      </c>
      <c r="BB216" s="662" t="e">
        <f>INDEX('Barge Gauging Data'!$B$26:$V$56,MATCH($C216,'Barge Gauging Data'!$B$26:$B$56,0),$BB$198)</f>
        <v>#N/A</v>
      </c>
      <c r="BC216" s="662" t="e">
        <f>INDEX('Barge Gauging Data'!$B$26:$V$56,MATCH($C216,'Barge Gauging Data'!$B$26:$B$56,0),$BC$198)</f>
        <v>#N/A</v>
      </c>
      <c r="BD216" s="662" t="e">
        <f>INDEX('Barge Gauging Data'!$B$26:$V$56,MATCH($C216,'Barge Gauging Data'!$B$26:$B$56,0),$BD$198)</f>
        <v>#N/A</v>
      </c>
      <c r="BE216" s="662" t="e">
        <f>INDEX('Barge Gauging Data'!$B$26:$V$56,MATCH($C216,'Barge Gauging Data'!$B$26:$B$56,0),$BE$198)</f>
        <v>#N/A</v>
      </c>
    </row>
    <row r="217" spans="1:57" hidden="1">
      <c r="A217" s="641" t="str">
        <f t="shared" si="178"/>
        <v>N</v>
      </c>
      <c r="C217" s="235" t="str">
        <f t="shared" si="180"/>
        <v/>
      </c>
      <c r="D217" s="211" t="str">
        <f t="shared" si="180"/>
        <v/>
      </c>
      <c r="E217" s="1016" t="str">
        <f t="shared" si="179"/>
        <v/>
      </c>
      <c r="F217" s="1016" t="str">
        <f t="shared" si="181"/>
        <v/>
      </c>
      <c r="G217" s="1016" t="str">
        <f t="shared" si="182"/>
        <v/>
      </c>
      <c r="H217" s="1016" t="str">
        <f t="shared" si="182"/>
        <v/>
      </c>
      <c r="I217" s="211" t="str">
        <f t="shared" si="183"/>
        <v/>
      </c>
      <c r="J217" s="1016" t="str">
        <f t="shared" si="184"/>
        <v/>
      </c>
      <c r="K217" s="213" t="str">
        <f t="shared" si="185"/>
        <v/>
      </c>
      <c r="L217" s="212" t="str">
        <f t="shared" si="186"/>
        <v/>
      </c>
      <c r="M217" s="1125" t="str">
        <f>IF(OR($C217="",$C217=0),"",INDEX(API2DENST_2,MATCH($C217,'Barge Gauging Data'!$B$27:$B$56,0),$AA$1))</f>
        <v/>
      </c>
      <c r="N217" s="212" t="str">
        <f t="shared" si="187"/>
        <v/>
      </c>
      <c r="O217" s="1016" t="str">
        <f t="shared" si="196"/>
        <v/>
      </c>
      <c r="P217" s="1125" t="str">
        <f t="shared" si="197"/>
        <v/>
      </c>
      <c r="Q217" s="1016" t="str">
        <f t="shared" si="198"/>
        <v/>
      </c>
      <c r="R217" s="214" t="str">
        <f t="shared" si="199"/>
        <v/>
      </c>
      <c r="S217" s="1125" t="str">
        <f t="shared" si="200"/>
        <v/>
      </c>
      <c r="T217" s="236" t="str">
        <f t="shared" si="201"/>
        <v/>
      </c>
      <c r="W217" s="642" t="e">
        <f>INDEX('Barge Gauging Data'!$B$26:$V$56,MATCH($C217,'Barge Gauging Data'!$B$26:$B$56,0),$W$198)</f>
        <v>#N/A</v>
      </c>
      <c r="X217" s="642" t="e">
        <f>INDEX('Barge Gauging Data'!$B$26:$V$56,MATCH($C217,'Barge Gauging Data'!$B$26:$B$56,0),$X$198)</f>
        <v>#N/A</v>
      </c>
      <c r="Y217" s="642" t="e">
        <f>INDEX('Barge Gauging Data'!$B$26:$V$56,MATCH($C217,'Barge Gauging Data'!$B$26:$B$56,0),$Y$198)</f>
        <v>#N/A</v>
      </c>
      <c r="Z217" s="642" t="e">
        <f>INDEX('Barge Gauging Data'!$B$26:$V$56,MATCH($C217,'Barge Gauging Data'!$B$26:$B$56,0),$Z$198)</f>
        <v>#N/A</v>
      </c>
      <c r="AB217" s="642" t="e">
        <f>INDEX(API2DENST_2,MATCH($C217,'Barge Gauging Data'!$B$27:$B$56,0),1)</f>
        <v>#N/A</v>
      </c>
      <c r="AC217" s="642" t="e">
        <f t="shared" si="151"/>
        <v>#N/A</v>
      </c>
      <c r="AE217" s="661" t="e">
        <f t="shared" si="152"/>
        <v>#VALUE!</v>
      </c>
      <c r="AF217" s="661" t="e">
        <f t="shared" si="153"/>
        <v>#VALUE!</v>
      </c>
      <c r="AH217" s="662" t="str">
        <f t="shared" si="194"/>
        <v/>
      </c>
      <c r="AI217" s="662" t="str">
        <f t="shared" si="195"/>
        <v/>
      </c>
      <c r="AJ217" s="663">
        <f t="shared" si="154"/>
        <v>192.4571</v>
      </c>
      <c r="AK217" s="660">
        <f t="shared" si="155"/>
        <v>0.24379999999999999</v>
      </c>
      <c r="AL217" s="660" t="e">
        <f t="shared" si="156"/>
        <v>#VALUE!</v>
      </c>
      <c r="AM217" s="664" t="e">
        <f t="shared" si="157"/>
        <v>#VALUE!</v>
      </c>
      <c r="AN217" s="664" t="e">
        <f t="shared" si="158"/>
        <v>#VALUE!</v>
      </c>
      <c r="AO217" s="665" t="e">
        <f t="shared" si="159"/>
        <v>#VALUE!</v>
      </c>
      <c r="AP217" s="666" t="e">
        <f t="shared" si="160"/>
        <v>#VALUE!</v>
      </c>
      <c r="AQ217" s="660" t="e">
        <f t="shared" si="161"/>
        <v>#VALUE!</v>
      </c>
      <c r="AR217" s="667" t="e">
        <f t="shared" si="162"/>
        <v>#VALUE!</v>
      </c>
      <c r="AS217" s="667" t="e">
        <f t="shared" si="163"/>
        <v>#VALUE!</v>
      </c>
      <c r="AT217" s="668" t="e">
        <f t="shared" si="164"/>
        <v>#VALUE!</v>
      </c>
      <c r="AU217" s="667" t="e">
        <f t="shared" si="165"/>
        <v>#VALUE!</v>
      </c>
      <c r="AV217" s="669" t="e">
        <f t="shared" si="166"/>
        <v>#VALUE!</v>
      </c>
      <c r="AW217" s="667" t="e">
        <f t="shared" si="167"/>
        <v>#VALUE!</v>
      </c>
      <c r="AX217" s="667" t="e">
        <f t="shared" si="168"/>
        <v>#VALUE!</v>
      </c>
      <c r="AY217" s="660" t="e">
        <f t="shared" si="169"/>
        <v>#VALUE!</v>
      </c>
      <c r="AZ217" s="670" t="e">
        <f t="shared" si="170"/>
        <v>#VALUE!</v>
      </c>
      <c r="BB217" s="662" t="e">
        <f>INDEX('Barge Gauging Data'!$B$26:$V$56,MATCH($C217,'Barge Gauging Data'!$B$26:$B$56,0),$BB$198)</f>
        <v>#N/A</v>
      </c>
      <c r="BC217" s="662" t="e">
        <f>INDEX('Barge Gauging Data'!$B$26:$V$56,MATCH($C217,'Barge Gauging Data'!$B$26:$B$56,0),$BC$198)</f>
        <v>#N/A</v>
      </c>
      <c r="BD217" s="662" t="e">
        <f>INDEX('Barge Gauging Data'!$B$26:$V$56,MATCH($C217,'Barge Gauging Data'!$B$26:$B$56,0),$BD$198)</f>
        <v>#N/A</v>
      </c>
      <c r="BE217" s="662" t="e">
        <f>INDEX('Barge Gauging Data'!$B$26:$V$56,MATCH($C217,'Barge Gauging Data'!$B$26:$B$56,0),$BE$198)</f>
        <v>#N/A</v>
      </c>
    </row>
    <row r="218" spans="1:57" hidden="1">
      <c r="A218" s="641" t="str">
        <f t="shared" si="178"/>
        <v>N</v>
      </c>
      <c r="C218" s="237" t="str">
        <f t="shared" si="180"/>
        <v/>
      </c>
      <c r="D218" s="238" t="str">
        <f t="shared" si="180"/>
        <v/>
      </c>
      <c r="E218" s="1017" t="str">
        <f t="shared" si="179"/>
        <v/>
      </c>
      <c r="F218" s="1017" t="str">
        <f t="shared" si="181"/>
        <v/>
      </c>
      <c r="G218" s="1017" t="str">
        <f t="shared" si="182"/>
        <v/>
      </c>
      <c r="H218" s="1017" t="str">
        <f t="shared" si="182"/>
        <v/>
      </c>
      <c r="I218" s="238" t="str">
        <f t="shared" si="183"/>
        <v/>
      </c>
      <c r="J218" s="1017" t="str">
        <f t="shared" si="184"/>
        <v/>
      </c>
      <c r="K218" s="240" t="str">
        <f t="shared" si="185"/>
        <v/>
      </c>
      <c r="L218" s="239" t="str">
        <f t="shared" si="186"/>
        <v/>
      </c>
      <c r="M218" s="1126" t="str">
        <f>IF(OR($C218="",$C218=0),"",INDEX(API2DENST_2,MATCH($C218,'Barge Gauging Data'!$B$27:$B$56,0),$AA$1))</f>
        <v/>
      </c>
      <c r="N218" s="239" t="str">
        <f t="shared" si="187"/>
        <v/>
      </c>
      <c r="O218" s="1017" t="str">
        <f t="shared" si="196"/>
        <v/>
      </c>
      <c r="P218" s="1126" t="str">
        <f t="shared" si="197"/>
        <v/>
      </c>
      <c r="Q218" s="1017" t="str">
        <f t="shared" si="198"/>
        <v/>
      </c>
      <c r="R218" s="241" t="str">
        <f t="shared" si="199"/>
        <v/>
      </c>
      <c r="S218" s="1126" t="str">
        <f t="shared" si="200"/>
        <v/>
      </c>
      <c r="T218" s="242" t="str">
        <f t="shared" si="201"/>
        <v/>
      </c>
      <c r="W218" s="642" t="e">
        <f>INDEX('Barge Gauging Data'!$B$26:$V$56,MATCH($C218,'Barge Gauging Data'!$B$26:$B$56,0),$W$198)</f>
        <v>#N/A</v>
      </c>
      <c r="X218" s="642" t="e">
        <f>INDEX('Barge Gauging Data'!$B$26:$V$56,MATCH($C218,'Barge Gauging Data'!$B$26:$B$56,0),$X$198)</f>
        <v>#N/A</v>
      </c>
      <c r="Y218" s="642" t="e">
        <f>INDEX('Barge Gauging Data'!$B$26:$V$56,MATCH($C218,'Barge Gauging Data'!$B$26:$B$56,0),$Y$198)</f>
        <v>#N/A</v>
      </c>
      <c r="Z218" s="642" t="e">
        <f>INDEX('Barge Gauging Data'!$B$26:$V$56,MATCH($C218,'Barge Gauging Data'!$B$26:$B$56,0),$Z$198)</f>
        <v>#N/A</v>
      </c>
      <c r="AB218" s="642" t="e">
        <f>INDEX(API2DENST_2,MATCH($C218,'Barge Gauging Data'!$B$27:$B$56,0),1)</f>
        <v>#N/A</v>
      </c>
      <c r="AC218" s="642" t="e">
        <f t="shared" si="151"/>
        <v>#N/A</v>
      </c>
      <c r="AE218" s="661" t="e">
        <f t="shared" si="152"/>
        <v>#VALUE!</v>
      </c>
      <c r="AF218" s="661" t="e">
        <f t="shared" si="153"/>
        <v>#VALUE!</v>
      </c>
      <c r="AH218" s="662" t="str">
        <f t="shared" si="194"/>
        <v/>
      </c>
      <c r="AI218" s="662" t="str">
        <f t="shared" si="195"/>
        <v/>
      </c>
      <c r="AJ218" s="663">
        <f t="shared" si="154"/>
        <v>192.4571</v>
      </c>
      <c r="AK218" s="660">
        <f t="shared" si="155"/>
        <v>0.24379999999999999</v>
      </c>
      <c r="AL218" s="660" t="e">
        <f t="shared" si="156"/>
        <v>#VALUE!</v>
      </c>
      <c r="AM218" s="664" t="e">
        <f t="shared" si="157"/>
        <v>#VALUE!</v>
      </c>
      <c r="AN218" s="664" t="e">
        <f t="shared" si="158"/>
        <v>#VALUE!</v>
      </c>
      <c r="AO218" s="665" t="e">
        <f t="shared" si="159"/>
        <v>#VALUE!</v>
      </c>
      <c r="AP218" s="666" t="e">
        <f t="shared" si="160"/>
        <v>#VALUE!</v>
      </c>
      <c r="AQ218" s="660" t="e">
        <f t="shared" si="161"/>
        <v>#VALUE!</v>
      </c>
      <c r="AR218" s="667" t="e">
        <f t="shared" si="162"/>
        <v>#VALUE!</v>
      </c>
      <c r="AS218" s="667" t="e">
        <f t="shared" si="163"/>
        <v>#VALUE!</v>
      </c>
      <c r="AT218" s="668" t="e">
        <f t="shared" si="164"/>
        <v>#VALUE!</v>
      </c>
      <c r="AU218" s="667" t="e">
        <f t="shared" si="165"/>
        <v>#VALUE!</v>
      </c>
      <c r="AV218" s="669" t="e">
        <f t="shared" si="166"/>
        <v>#VALUE!</v>
      </c>
      <c r="AW218" s="667" t="e">
        <f t="shared" si="167"/>
        <v>#VALUE!</v>
      </c>
      <c r="AX218" s="667" t="e">
        <f t="shared" si="168"/>
        <v>#VALUE!</v>
      </c>
      <c r="AY218" s="660" t="e">
        <f t="shared" si="169"/>
        <v>#VALUE!</v>
      </c>
      <c r="AZ218" s="670" t="e">
        <f t="shared" si="170"/>
        <v>#VALUE!</v>
      </c>
      <c r="BB218" s="662" t="e">
        <f>INDEX('Barge Gauging Data'!$B$26:$V$56,MATCH($C218,'Barge Gauging Data'!$B$26:$B$56,0),$BB$198)</f>
        <v>#N/A</v>
      </c>
      <c r="BC218" s="662" t="e">
        <f>INDEX('Barge Gauging Data'!$B$26:$V$56,MATCH($C218,'Barge Gauging Data'!$B$26:$B$56,0),$BC$198)</f>
        <v>#N/A</v>
      </c>
      <c r="BD218" s="662" t="e">
        <f>INDEX('Barge Gauging Data'!$B$26:$V$56,MATCH($C218,'Barge Gauging Data'!$B$26:$B$56,0),$BD$198)</f>
        <v>#N/A</v>
      </c>
      <c r="BE218" s="662" t="e">
        <f>INDEX('Barge Gauging Data'!$B$26:$V$56,MATCH($C218,'Barge Gauging Data'!$B$26:$B$56,0),$BE$198)</f>
        <v>#N/A</v>
      </c>
    </row>
    <row r="219" spans="1:57" hidden="1">
      <c r="A219" s="641" t="str">
        <f t="shared" si="178"/>
        <v>N</v>
      </c>
      <c r="C219" s="671"/>
      <c r="D219" s="671"/>
      <c r="E219" s="672"/>
      <c r="F219" s="672"/>
      <c r="G219" s="672"/>
      <c r="H219" s="1501"/>
      <c r="I219" s="671"/>
      <c r="J219" s="672"/>
      <c r="K219" s="673"/>
      <c r="L219" s="672"/>
      <c r="M219" s="674"/>
      <c r="N219" s="672"/>
      <c r="O219" s="672"/>
      <c r="P219" s="672"/>
      <c r="Q219" s="672"/>
      <c r="R219" s="672"/>
      <c r="S219" s="1137" t="s">
        <v>401</v>
      </c>
      <c r="T219" s="619">
        <f>SUM(T199:T218)</f>
        <v>0</v>
      </c>
      <c r="V219" s="619">
        <f>SUM(Q199:Q218)</f>
        <v>0</v>
      </c>
      <c r="W219" s="619">
        <f>SUM(R199:R218)</f>
        <v>0</v>
      </c>
      <c r="X219" s="1166" t="e">
        <f>(T42-T219)/(V42-V219)</f>
        <v>#DIV/0!</v>
      </c>
      <c r="Y219" s="1166" t="e">
        <f>(U42-U219)/(W42-W219)</f>
        <v>#DIV/0!</v>
      </c>
      <c r="Z219" s="1164" t="e">
        <f>IF('Barge BQS Report'!$AA$1=1,ROUND((W42-W219)/(V42-V219),4),ROUND((1/((((X219)*2204.62/8.32823/42)+1.22269727*10^-3)/1.00122697/141.5))-131.5,4))</f>
        <v>#DIV/0!</v>
      </c>
      <c r="AA219" s="719"/>
      <c r="AB219" s="719"/>
      <c r="AC219" s="719"/>
      <c r="AD219" s="676"/>
      <c r="AE219" s="720"/>
      <c r="AF219" s="720"/>
      <c r="AG219" s="676"/>
      <c r="AH219" s="721"/>
      <c r="AI219" s="721"/>
      <c r="AJ219" s="722"/>
      <c r="AK219" s="723"/>
      <c r="AL219" s="723"/>
      <c r="AM219" s="724"/>
      <c r="AN219" s="724"/>
      <c r="AO219" s="725"/>
      <c r="AP219" s="726"/>
      <c r="AQ219" s="723"/>
      <c r="AR219" s="727"/>
      <c r="AS219" s="727"/>
      <c r="AT219" s="728"/>
      <c r="AU219" s="727"/>
      <c r="AV219" s="729"/>
      <c r="AW219" s="727"/>
      <c r="AX219" s="727"/>
      <c r="AY219" s="723"/>
      <c r="AZ219" s="730"/>
      <c r="BA219" s="676"/>
      <c r="BB219" s="721"/>
      <c r="BC219" s="721"/>
      <c r="BD219" s="721"/>
      <c r="BE219" s="721"/>
    </row>
    <row r="220" spans="1:57" s="702" customFormat="1" ht="5.25" hidden="1">
      <c r="A220" s="702" t="str">
        <f t="shared" si="178"/>
        <v>N</v>
      </c>
      <c r="C220" s="704"/>
      <c r="D220" s="704"/>
      <c r="E220" s="704"/>
      <c r="F220" s="704"/>
      <c r="G220" s="704"/>
      <c r="H220" s="704"/>
      <c r="I220" s="704"/>
      <c r="J220" s="705"/>
      <c r="K220" s="705"/>
      <c r="L220" s="705"/>
      <c r="M220" s="705"/>
      <c r="N220" s="705"/>
      <c r="O220" s="705"/>
      <c r="P220" s="1128"/>
      <c r="Q220" s="705"/>
      <c r="R220" s="705"/>
      <c r="S220" s="1136"/>
      <c r="T220" s="706"/>
      <c r="V220" s="707"/>
      <c r="W220" s="707"/>
      <c r="X220" s="707"/>
      <c r="Y220" s="707"/>
      <c r="Z220" s="707"/>
      <c r="AA220" s="707"/>
      <c r="AB220" s="707"/>
      <c r="AC220" s="707"/>
      <c r="AD220" s="707"/>
      <c r="AE220" s="708"/>
      <c r="AF220" s="708"/>
      <c r="AG220" s="707"/>
      <c r="AH220" s="709"/>
      <c r="AI220" s="709"/>
      <c r="AJ220" s="710"/>
      <c r="AK220" s="711"/>
      <c r="AL220" s="711"/>
      <c r="AM220" s="712"/>
      <c r="AN220" s="712"/>
      <c r="AO220" s="713"/>
      <c r="AP220" s="714"/>
      <c r="AQ220" s="711"/>
      <c r="AR220" s="715"/>
      <c r="AS220" s="715"/>
      <c r="AT220" s="716"/>
      <c r="AU220" s="715"/>
      <c r="AV220" s="717"/>
      <c r="AW220" s="715"/>
      <c r="AX220" s="715"/>
      <c r="AY220" s="711"/>
      <c r="AZ220" s="718"/>
      <c r="BA220" s="707"/>
      <c r="BB220" s="709"/>
      <c r="BC220" s="709"/>
      <c r="BD220" s="709"/>
      <c r="BE220" s="709"/>
    </row>
    <row r="221" spans="1:57" ht="15.75" hidden="1">
      <c r="A221" s="641" t="str">
        <f t="shared" si="178"/>
        <v>N</v>
      </c>
      <c r="B221" s="641">
        <v>2</v>
      </c>
      <c r="C221" s="2797" t="s">
        <v>163</v>
      </c>
      <c r="D221" s="2798"/>
      <c r="E221" s="2799" t="str">
        <f t="shared" ref="E221:E241" si="202">E44</f>
        <v>LSFO</v>
      </c>
      <c r="F221" s="2800"/>
      <c r="G221" s="2800"/>
      <c r="H221" s="2824"/>
      <c r="I221" s="2801"/>
      <c r="J221" s="698"/>
      <c r="K221" s="699"/>
      <c r="L221" s="700"/>
      <c r="M221" s="699"/>
      <c r="N221" s="699"/>
      <c r="O221" s="700"/>
      <c r="P221" s="1129"/>
      <c r="Q221" s="700"/>
      <c r="R221" s="701"/>
      <c r="S221" s="1129"/>
      <c r="T221" s="701"/>
      <c r="V221" s="676"/>
      <c r="W221" s="731"/>
      <c r="X221" s="731"/>
      <c r="Y221" s="731"/>
      <c r="Z221" s="731"/>
      <c r="AA221" s="676"/>
      <c r="AB221" s="731"/>
      <c r="AC221" s="731"/>
      <c r="AD221" s="676"/>
      <c r="AE221" s="732"/>
      <c r="AF221" s="732"/>
      <c r="AG221" s="676"/>
      <c r="AH221" s="733"/>
      <c r="AI221" s="733"/>
      <c r="AJ221" s="734"/>
      <c r="AK221" s="735"/>
      <c r="AL221" s="735"/>
      <c r="AM221" s="736"/>
      <c r="AN221" s="736"/>
      <c r="AO221" s="737"/>
      <c r="AP221" s="738"/>
      <c r="AQ221" s="735"/>
      <c r="AR221" s="739"/>
      <c r="AS221" s="739"/>
      <c r="AT221" s="740"/>
      <c r="AU221" s="739"/>
      <c r="AV221" s="741"/>
      <c r="AW221" s="739"/>
      <c r="AX221" s="739"/>
      <c r="AY221" s="735"/>
      <c r="AZ221" s="742"/>
      <c r="BA221" s="676"/>
      <c r="BB221" s="733"/>
      <c r="BC221" s="733"/>
      <c r="BD221" s="733"/>
      <c r="BE221" s="733"/>
    </row>
    <row r="222" spans="1:57" hidden="1">
      <c r="A222" s="641" t="str">
        <f t="shared" si="178"/>
        <v>N</v>
      </c>
      <c r="C222" s="622" t="str">
        <f t="shared" ref="C222:D241" si="203">C45</f>
        <v>2P</v>
      </c>
      <c r="D222" s="623" t="str">
        <f t="shared" si="203"/>
        <v>LSFO</v>
      </c>
      <c r="E222" s="1018">
        <f t="shared" si="202"/>
        <v>4.8150000000000004</v>
      </c>
      <c r="F222" s="1018">
        <f t="shared" ref="F222:F241" si="204">IF(ISERROR(W222),"",IF(OR($C222="",$C222=0),"",IF(ISTEXT(W222),W222,IF($AB$1=1,W222*UNITOR_2,INT(W222*UNITOR_2)&amp;"'-"&amp;TRIM(TEXT(ROUND(MOD(W222*UNITOR_2,1)*12,1),"# ???/???"))&amp;""""))))</f>
        <v>4.8150000000000004</v>
      </c>
      <c r="G222" s="1018">
        <f t="shared" ref="G222:H241" si="205">IF(ISERROR(X222),"",IF(OR($C222="",$C222=0),"",IF(ISTEXT(X222),X222,IF($AB$1=1,X222*UNITOR_2,INT(X222*UNITOR_2)&amp;"'-"&amp;TRIM(TEXT(ROUND(MOD(X222*UNITOR_2,1)*12,1),"# ???/???"))&amp;""""))))</f>
        <v>0</v>
      </c>
      <c r="H222" s="1018">
        <f t="shared" si="205"/>
        <v>0</v>
      </c>
      <c r="I222" s="623" t="str">
        <f t="shared" ref="I222:I241" si="206">IF(ISERROR($BB222),"",IF(OR($C222="",$C222=0,$BB222=0),"",$BB222))</f>
        <v>S</v>
      </c>
      <c r="J222" s="1016">
        <f t="shared" ref="J222:J241" si="207">IF(ISERROR($BC222),"",IF(OR($C222="",$C222=0,$BC222=""),"",IF(ISTEXT($BC222),$BC222,$BC222*IF($AA$1=B1SEL_2,1,IF($AA$1=2,FBBLS,1/FBBLS)))))</f>
        <v>0</v>
      </c>
      <c r="K222" s="213">
        <f t="shared" ref="K222:K241" si="208">IF(ISERROR($BD222),"",IF(OR($C222="",$C222=0,$BD222=""),0,IF(ISTEXT($BD222),$BD222,$BD222*IF($AB$1=W1SEL_2,1,IF($AB$1=2,FINCH,1/FINCH)))))</f>
        <v>0</v>
      </c>
      <c r="L222" s="212">
        <f t="shared" ref="L222:L241" si="209">IF(ISERROR($BE222),"",IF(OR($C222="",$C222=0,$BE222=""),0,IF(ISTEXT($BE222),$BE222,$BE222*IF($AA$1=B1SEL_2,1,IF($AA$1=2,FBBLS,1/FBBLS)))))</f>
        <v>0</v>
      </c>
      <c r="M222" s="1125">
        <f>IF(OR($C222="",$C222=0),"",INDEX(API2DENST_2,MATCH($C222,'Barge Gauging Data'!$B$27:$B$56,0),$AA$1))</f>
        <v>0.92059999999999997</v>
      </c>
      <c r="N222" s="212">
        <f t="shared" ref="N222:N241" si="210">IF(ISERROR(Z222),"",IF(OR($C222="",$C222=0,Z222=""),"",IF(ISTEXT(Z222),Z222,IF($AA$1=T1SEL_2,Z222,IF($AA$1=2,(Z222*9/5)+32,(Z222-32)*5/9)))))</f>
        <v>15</v>
      </c>
      <c r="O222" s="1016">
        <f t="shared" ref="O222:O241" si="211">IF(OR(J222="",L222=""),"",IF(ISTEXT(J222),"N/A",IF(ISTEXT(L222),J222,J222-L222)))</f>
        <v>0</v>
      </c>
      <c r="P222" s="1125">
        <f t="shared" ref="P222:P241" si="212">IF(OR(M222="",N222=""),"",IF(OR(ISTEXT(M222),ISTEXT(N222)),"N/A",IF($AA$1=1,ROUND(EXP(-AF222*(N222-15)*(1+0.8*AF222*(N222-15))),5),AZ222)))</f>
        <v>1</v>
      </c>
      <c r="Q222" s="1016">
        <f t="shared" ref="Q222:Q241" si="213">IF(OR(M222="",N222=""),"",IF(OR(ISTEXT(M222),ISTEXT(N222)),"N/A",ROUND(O222*P222,3)))</f>
        <v>0</v>
      </c>
      <c r="R222" s="214">
        <f t="shared" ref="R222:R241" si="214">IF(M222="","",IF($AA$1=1,IF(ISTEXT(Q222),"N/A",ROUND(Q222*M222,3)),IF(ISTEXT(T222),"N/A",ROUND(T222*AC222,3))))</f>
        <v>0</v>
      </c>
      <c r="S222" s="1125">
        <f t="shared" ref="S222:S241" si="215">IF(M222="","",IF($AA$1=1,ROUND(M222-0.0011,5),ROUND((1.00122697*(141.5/(M222+131.5))-1.22269727*10^-3)*8.32823*42/2204.62,5+2)))</f>
        <v>0.91949999999999998</v>
      </c>
      <c r="T222" s="236">
        <f t="shared" ref="T222:T241" si="216">IF(OR(M222="",N222=""),"",IF(ISTEXT(Q222),"N/A",IF($AA$1=1,ROUND((Q222*(M222-0.0011)),3),ROUND(Q222*S222,3))))</f>
        <v>0</v>
      </c>
      <c r="W222" s="642">
        <f>INDEX('Barge Gauging Data'!$B$26:$V$56,MATCH($C222,'Barge Gauging Data'!$B$26:$B$56,0),$W$198)</f>
        <v>4.8150000000000004</v>
      </c>
      <c r="X222" s="642">
        <f>INDEX('Barge Gauging Data'!$B$26:$V$56,MATCH($C222,'Barge Gauging Data'!$B$26:$B$56,0),$X$198)</f>
        <v>0</v>
      </c>
      <c r="Y222" s="642">
        <f>INDEX('Barge Gauging Data'!$B$26:$V$56,MATCH($C222,'Barge Gauging Data'!$B$26:$B$56,0),$Y$198)</f>
        <v>0</v>
      </c>
      <c r="Z222" s="642">
        <f>INDEX('Barge Gauging Data'!$B$26:$V$56,MATCH($C222,'Barge Gauging Data'!$B$26:$B$56,0),$Z$198)</f>
        <v>15</v>
      </c>
      <c r="AB222" s="642">
        <f>INDEX(API2DENST_2,MATCH($C222,'Barge Gauging Data'!$B$27:$B$56,0),1)</f>
        <v>0.92059999999999997</v>
      </c>
      <c r="AC222" s="642">
        <f t="shared" si="151"/>
        <v>1.00115</v>
      </c>
      <c r="AE222" s="661">
        <f t="shared" si="152"/>
        <v>920</v>
      </c>
      <c r="AF222" s="661">
        <f t="shared" si="153"/>
        <v>7.4938000000000001E-4</v>
      </c>
      <c r="AH222" s="662">
        <f t="shared" si="194"/>
        <v>15</v>
      </c>
      <c r="AI222" s="662">
        <f t="shared" si="195"/>
        <v>0.92059999999999997</v>
      </c>
      <c r="AJ222" s="663">
        <f t="shared" si="154"/>
        <v>103.872</v>
      </c>
      <c r="AK222" s="660">
        <f t="shared" si="155"/>
        <v>0.27010000000000001</v>
      </c>
      <c r="AL222" s="660">
        <f t="shared" si="156"/>
        <v>1067.51</v>
      </c>
      <c r="AM222" s="664">
        <f t="shared" si="157"/>
        <v>9.7303059999999997E-2</v>
      </c>
      <c r="AN222" s="664">
        <f t="shared" si="158"/>
        <v>9.1149499999999999E-5</v>
      </c>
      <c r="AO222" s="665">
        <f t="shared" si="159"/>
        <v>2.530187E-4</v>
      </c>
      <c r="AP222" s="666">
        <f t="shared" si="160"/>
        <v>3.4420000000000002E-4</v>
      </c>
      <c r="AQ222" s="660">
        <f t="shared" si="161"/>
        <v>-45</v>
      </c>
      <c r="AR222" s="667">
        <f t="shared" si="162"/>
        <v>-1.5488999999999999E-2</v>
      </c>
      <c r="AS222" s="667">
        <f t="shared" si="163"/>
        <v>-1.23912E-2</v>
      </c>
      <c r="AT222" s="668">
        <f t="shared" si="164"/>
        <v>1.9191999999999999E-4</v>
      </c>
      <c r="AU222" s="667">
        <f t="shared" si="165"/>
        <v>1.5297079999999999E-2</v>
      </c>
      <c r="AV222" s="669">
        <f t="shared" si="166"/>
        <v>2.5000000000000001E-4</v>
      </c>
      <c r="AW222" s="667">
        <f t="shared" si="167"/>
        <v>2.2999999999999999E-7</v>
      </c>
      <c r="AX222" s="667">
        <f t="shared" si="168"/>
        <v>103.87200023</v>
      </c>
      <c r="AY222" s="660">
        <f t="shared" si="169"/>
        <v>3.4420000000000002E-4</v>
      </c>
      <c r="AZ222" s="670">
        <f t="shared" si="170"/>
        <v>1.0154099999999999</v>
      </c>
      <c r="BB222" s="662" t="str">
        <f>INDEX('Barge Gauging Data'!$B$26:$V$56,MATCH($C222,'Barge Gauging Data'!$B$26:$B$56,0),$BB$198)</f>
        <v>S</v>
      </c>
      <c r="BC222" s="662">
        <f>INDEX('Barge Gauging Data'!$B$26:$V$56,MATCH($C222,'Barge Gauging Data'!$B$26:$B$56,0),$BC$198)</f>
        <v>0</v>
      </c>
      <c r="BD222" s="662">
        <f>INDEX('Barge Gauging Data'!$B$26:$V$56,MATCH($C222,'Barge Gauging Data'!$B$26:$B$56,0),$BD$198)</f>
        <v>0</v>
      </c>
      <c r="BE222" s="662">
        <f>INDEX('Barge Gauging Data'!$B$26:$V$56,MATCH($C222,'Barge Gauging Data'!$B$26:$B$56,0),$BE$198)</f>
        <v>0</v>
      </c>
    </row>
    <row r="223" spans="1:57" hidden="1">
      <c r="A223" s="641" t="str">
        <f t="shared" si="178"/>
        <v>N</v>
      </c>
      <c r="C223" s="235" t="str">
        <f t="shared" si="203"/>
        <v>5P</v>
      </c>
      <c r="D223" s="211" t="str">
        <f t="shared" si="203"/>
        <v>LSFO</v>
      </c>
      <c r="E223" s="1016">
        <f t="shared" si="202"/>
        <v>4.8150000000000004</v>
      </c>
      <c r="F223" s="1016">
        <f t="shared" si="204"/>
        <v>4.8150000000000004</v>
      </c>
      <c r="G223" s="1016">
        <f t="shared" si="205"/>
        <v>0</v>
      </c>
      <c r="H223" s="1016">
        <f t="shared" si="205"/>
        <v>0</v>
      </c>
      <c r="I223" s="211" t="str">
        <f t="shared" si="206"/>
        <v>S</v>
      </c>
      <c r="J223" s="1016">
        <f t="shared" si="207"/>
        <v>0</v>
      </c>
      <c r="K223" s="213">
        <f t="shared" si="208"/>
        <v>0</v>
      </c>
      <c r="L223" s="212">
        <f t="shared" si="209"/>
        <v>0</v>
      </c>
      <c r="M223" s="1125">
        <f>IF(OR($C223="",$C223=0),"",INDEX(API2DENST_2,MATCH($C223,'Barge Gauging Data'!$B$27:$B$56,0),$AA$1))</f>
        <v>0.92059999999999997</v>
      </c>
      <c r="N223" s="212">
        <f t="shared" si="210"/>
        <v>15</v>
      </c>
      <c r="O223" s="1016">
        <f t="shared" si="211"/>
        <v>0</v>
      </c>
      <c r="P223" s="1125">
        <f t="shared" si="212"/>
        <v>1</v>
      </c>
      <c r="Q223" s="1016">
        <f t="shared" si="213"/>
        <v>0</v>
      </c>
      <c r="R223" s="214">
        <f t="shared" si="214"/>
        <v>0</v>
      </c>
      <c r="S223" s="1125">
        <f t="shared" si="215"/>
        <v>0.91949999999999998</v>
      </c>
      <c r="T223" s="236">
        <f t="shared" si="216"/>
        <v>0</v>
      </c>
      <c r="W223" s="642">
        <f>INDEX('Barge Gauging Data'!$B$26:$V$56,MATCH($C223,'Barge Gauging Data'!$B$26:$B$56,0),$W$198)</f>
        <v>4.8150000000000004</v>
      </c>
      <c r="X223" s="642">
        <f>INDEX('Barge Gauging Data'!$B$26:$V$56,MATCH($C223,'Barge Gauging Data'!$B$26:$B$56,0),$X$198)</f>
        <v>0</v>
      </c>
      <c r="Y223" s="642">
        <f>INDEX('Barge Gauging Data'!$B$26:$V$56,MATCH($C223,'Barge Gauging Data'!$B$26:$B$56,0),$Y$198)</f>
        <v>0</v>
      </c>
      <c r="Z223" s="642">
        <f>INDEX('Barge Gauging Data'!$B$26:$V$56,MATCH($C223,'Barge Gauging Data'!$B$26:$B$56,0),$Z$198)</f>
        <v>15</v>
      </c>
      <c r="AB223" s="642">
        <f>INDEX(API2DENST_2,MATCH($C223,'Barge Gauging Data'!$B$27:$B$56,0),1)</f>
        <v>0.92059999999999997</v>
      </c>
      <c r="AC223" s="642">
        <f t="shared" si="151"/>
        <v>1.00115</v>
      </c>
      <c r="AE223" s="661">
        <f t="shared" si="152"/>
        <v>920</v>
      </c>
      <c r="AF223" s="661">
        <f t="shared" si="153"/>
        <v>7.4938000000000001E-4</v>
      </c>
      <c r="AH223" s="662">
        <f t="shared" si="194"/>
        <v>15</v>
      </c>
      <c r="AI223" s="662">
        <f t="shared" si="195"/>
        <v>0.92059999999999997</v>
      </c>
      <c r="AJ223" s="663">
        <f t="shared" si="154"/>
        <v>103.872</v>
      </c>
      <c r="AK223" s="660">
        <f t="shared" si="155"/>
        <v>0.27010000000000001</v>
      </c>
      <c r="AL223" s="660">
        <f t="shared" si="156"/>
        <v>1067.51</v>
      </c>
      <c r="AM223" s="664">
        <f t="shared" si="157"/>
        <v>9.7303059999999997E-2</v>
      </c>
      <c r="AN223" s="664">
        <f t="shared" si="158"/>
        <v>9.1149499999999999E-5</v>
      </c>
      <c r="AO223" s="665">
        <f t="shared" si="159"/>
        <v>2.530187E-4</v>
      </c>
      <c r="AP223" s="666">
        <f t="shared" si="160"/>
        <v>3.4420000000000002E-4</v>
      </c>
      <c r="AQ223" s="660">
        <f t="shared" si="161"/>
        <v>-45</v>
      </c>
      <c r="AR223" s="667">
        <f t="shared" si="162"/>
        <v>-1.5488999999999999E-2</v>
      </c>
      <c r="AS223" s="667">
        <f t="shared" si="163"/>
        <v>-1.23912E-2</v>
      </c>
      <c r="AT223" s="668">
        <f t="shared" si="164"/>
        <v>1.9191999999999999E-4</v>
      </c>
      <c r="AU223" s="667">
        <f t="shared" si="165"/>
        <v>1.5297079999999999E-2</v>
      </c>
      <c r="AV223" s="669">
        <f t="shared" si="166"/>
        <v>2.5000000000000001E-4</v>
      </c>
      <c r="AW223" s="667">
        <f t="shared" si="167"/>
        <v>2.2999999999999999E-7</v>
      </c>
      <c r="AX223" s="667">
        <f t="shared" si="168"/>
        <v>103.87200023</v>
      </c>
      <c r="AY223" s="660">
        <f t="shared" si="169"/>
        <v>3.4420000000000002E-4</v>
      </c>
      <c r="AZ223" s="670">
        <f t="shared" si="170"/>
        <v>1.0154099999999999</v>
      </c>
      <c r="BB223" s="662" t="str">
        <f>INDEX('Barge Gauging Data'!$B$26:$V$56,MATCH($C223,'Barge Gauging Data'!$B$26:$B$56,0),$BB$198)</f>
        <v>S</v>
      </c>
      <c r="BC223" s="662">
        <f>INDEX('Barge Gauging Data'!$B$26:$V$56,MATCH($C223,'Barge Gauging Data'!$B$26:$B$56,0),$BC$198)</f>
        <v>0</v>
      </c>
      <c r="BD223" s="662">
        <f>INDEX('Barge Gauging Data'!$B$26:$V$56,MATCH($C223,'Barge Gauging Data'!$B$26:$B$56,0),$BD$198)</f>
        <v>0</v>
      </c>
      <c r="BE223" s="662">
        <f>INDEX('Barge Gauging Data'!$B$26:$V$56,MATCH($C223,'Barge Gauging Data'!$B$26:$B$56,0),$BE$198)</f>
        <v>0</v>
      </c>
    </row>
    <row r="224" spans="1:57" hidden="1">
      <c r="A224" s="641" t="str">
        <f t="shared" si="178"/>
        <v>N</v>
      </c>
      <c r="C224" s="235" t="str">
        <f t="shared" si="203"/>
        <v>5S</v>
      </c>
      <c r="D224" s="211" t="str">
        <f t="shared" si="203"/>
        <v>LSFO</v>
      </c>
      <c r="E224" s="1016">
        <f t="shared" si="202"/>
        <v>4.84</v>
      </c>
      <c r="F224" s="1016">
        <f t="shared" si="204"/>
        <v>4.84</v>
      </c>
      <c r="G224" s="1016">
        <f t="shared" si="205"/>
        <v>0</v>
      </c>
      <c r="H224" s="1016">
        <f t="shared" si="205"/>
        <v>0</v>
      </c>
      <c r="I224" s="211" t="str">
        <f t="shared" si="206"/>
        <v>S</v>
      </c>
      <c r="J224" s="1016">
        <f t="shared" si="207"/>
        <v>0</v>
      </c>
      <c r="K224" s="213">
        <f t="shared" si="208"/>
        <v>0</v>
      </c>
      <c r="L224" s="212">
        <f t="shared" si="209"/>
        <v>0</v>
      </c>
      <c r="M224" s="1125">
        <f>IF(OR($C224="",$C224=0),"",INDEX(API2DENST_2,MATCH($C224,'Barge Gauging Data'!$B$27:$B$56,0),$AA$1))</f>
        <v>0.92059999999999997</v>
      </c>
      <c r="N224" s="212">
        <f t="shared" si="210"/>
        <v>15</v>
      </c>
      <c r="O224" s="1016">
        <f t="shared" si="211"/>
        <v>0</v>
      </c>
      <c r="P224" s="1125">
        <f t="shared" si="212"/>
        <v>1</v>
      </c>
      <c r="Q224" s="1016">
        <f t="shared" si="213"/>
        <v>0</v>
      </c>
      <c r="R224" s="214">
        <f t="shared" si="214"/>
        <v>0</v>
      </c>
      <c r="S224" s="1125">
        <f t="shared" si="215"/>
        <v>0.91949999999999998</v>
      </c>
      <c r="T224" s="236">
        <f t="shared" si="216"/>
        <v>0</v>
      </c>
      <c r="W224" s="642">
        <f>INDEX('Barge Gauging Data'!$B$26:$V$56,MATCH($C224,'Barge Gauging Data'!$B$26:$B$56,0),$W$198)</f>
        <v>4.84</v>
      </c>
      <c r="X224" s="642">
        <f>INDEX('Barge Gauging Data'!$B$26:$V$56,MATCH($C224,'Barge Gauging Data'!$B$26:$B$56,0),$X$198)</f>
        <v>0</v>
      </c>
      <c r="Y224" s="642">
        <f>INDEX('Barge Gauging Data'!$B$26:$V$56,MATCH($C224,'Barge Gauging Data'!$B$26:$B$56,0),$Y$198)</f>
        <v>0</v>
      </c>
      <c r="Z224" s="642">
        <f>INDEX('Barge Gauging Data'!$B$26:$V$56,MATCH($C224,'Barge Gauging Data'!$B$26:$B$56,0),$Z$198)</f>
        <v>15</v>
      </c>
      <c r="AB224" s="642">
        <f>INDEX(API2DENST_2,MATCH($C224,'Barge Gauging Data'!$B$27:$B$56,0),1)</f>
        <v>0.92059999999999997</v>
      </c>
      <c r="AC224" s="642">
        <f t="shared" si="151"/>
        <v>1.00115</v>
      </c>
      <c r="AE224" s="661">
        <f t="shared" si="152"/>
        <v>920</v>
      </c>
      <c r="AF224" s="661">
        <f t="shared" si="153"/>
        <v>7.4938000000000001E-4</v>
      </c>
      <c r="AH224" s="662">
        <f t="shared" si="194"/>
        <v>15</v>
      </c>
      <c r="AI224" s="662">
        <f t="shared" si="195"/>
        <v>0.92059999999999997</v>
      </c>
      <c r="AJ224" s="663">
        <f t="shared" si="154"/>
        <v>103.872</v>
      </c>
      <c r="AK224" s="660">
        <f t="shared" si="155"/>
        <v>0.27010000000000001</v>
      </c>
      <c r="AL224" s="660">
        <f t="shared" si="156"/>
        <v>1067.51</v>
      </c>
      <c r="AM224" s="664">
        <f t="shared" si="157"/>
        <v>9.7303059999999997E-2</v>
      </c>
      <c r="AN224" s="664">
        <f t="shared" si="158"/>
        <v>9.1149499999999999E-5</v>
      </c>
      <c r="AO224" s="665">
        <f t="shared" si="159"/>
        <v>2.530187E-4</v>
      </c>
      <c r="AP224" s="666">
        <f t="shared" si="160"/>
        <v>3.4420000000000002E-4</v>
      </c>
      <c r="AQ224" s="660">
        <f t="shared" si="161"/>
        <v>-45</v>
      </c>
      <c r="AR224" s="667">
        <f t="shared" si="162"/>
        <v>-1.5488999999999999E-2</v>
      </c>
      <c r="AS224" s="667">
        <f t="shared" si="163"/>
        <v>-1.23912E-2</v>
      </c>
      <c r="AT224" s="668">
        <f t="shared" si="164"/>
        <v>1.9191999999999999E-4</v>
      </c>
      <c r="AU224" s="667">
        <f t="shared" si="165"/>
        <v>1.5297079999999999E-2</v>
      </c>
      <c r="AV224" s="669">
        <f t="shared" si="166"/>
        <v>2.5000000000000001E-4</v>
      </c>
      <c r="AW224" s="667">
        <f t="shared" si="167"/>
        <v>2.2999999999999999E-7</v>
      </c>
      <c r="AX224" s="667">
        <f t="shared" si="168"/>
        <v>103.87200023</v>
      </c>
      <c r="AY224" s="660">
        <f t="shared" si="169"/>
        <v>3.4420000000000002E-4</v>
      </c>
      <c r="AZ224" s="670">
        <f t="shared" si="170"/>
        <v>1.0154099999999999</v>
      </c>
      <c r="BB224" s="662" t="str">
        <f>INDEX('Barge Gauging Data'!$B$26:$V$56,MATCH($C224,'Barge Gauging Data'!$B$26:$B$56,0),$BB$198)</f>
        <v>S</v>
      </c>
      <c r="BC224" s="662">
        <f>INDEX('Barge Gauging Data'!$B$26:$V$56,MATCH($C224,'Barge Gauging Data'!$B$26:$B$56,0),$BC$198)</f>
        <v>0</v>
      </c>
      <c r="BD224" s="662">
        <f>INDEX('Barge Gauging Data'!$B$26:$V$56,MATCH($C224,'Barge Gauging Data'!$B$26:$B$56,0),$BD$198)</f>
        <v>0</v>
      </c>
      <c r="BE224" s="662">
        <f>INDEX('Barge Gauging Data'!$B$26:$V$56,MATCH($C224,'Barge Gauging Data'!$B$26:$B$56,0),$BE$198)</f>
        <v>0</v>
      </c>
    </row>
    <row r="225" spans="1:57" hidden="1">
      <c r="A225" s="641" t="str">
        <f t="shared" si="178"/>
        <v>N</v>
      </c>
      <c r="C225" s="235" t="str">
        <f t="shared" si="203"/>
        <v>6S</v>
      </c>
      <c r="D225" s="211" t="str">
        <f t="shared" si="203"/>
        <v>LSFO</v>
      </c>
      <c r="E225" s="1016">
        <f t="shared" si="202"/>
        <v>4.05</v>
      </c>
      <c r="F225" s="1016">
        <f t="shared" si="204"/>
        <v>4.05</v>
      </c>
      <c r="G225" s="1016">
        <f t="shared" si="205"/>
        <v>0</v>
      </c>
      <c r="H225" s="1016">
        <f t="shared" si="205"/>
        <v>0</v>
      </c>
      <c r="I225" s="211" t="str">
        <f t="shared" si="206"/>
        <v>S</v>
      </c>
      <c r="J225" s="1016">
        <f t="shared" si="207"/>
        <v>0</v>
      </c>
      <c r="K225" s="213">
        <f t="shared" si="208"/>
        <v>0</v>
      </c>
      <c r="L225" s="212">
        <f t="shared" si="209"/>
        <v>0</v>
      </c>
      <c r="M225" s="1125">
        <f>IF(OR($C225="",$C225=0),"",INDEX(API2DENST_2,MATCH($C225,'Barge Gauging Data'!$B$27:$B$56,0),$AA$1))</f>
        <v>0.92059999999999997</v>
      </c>
      <c r="N225" s="212">
        <f t="shared" si="210"/>
        <v>15</v>
      </c>
      <c r="O225" s="1016">
        <f t="shared" si="211"/>
        <v>0</v>
      </c>
      <c r="P225" s="1125">
        <f t="shared" si="212"/>
        <v>1</v>
      </c>
      <c r="Q225" s="1016">
        <f t="shared" si="213"/>
        <v>0</v>
      </c>
      <c r="R225" s="214">
        <f t="shared" si="214"/>
        <v>0</v>
      </c>
      <c r="S225" s="1125">
        <f t="shared" si="215"/>
        <v>0.91949999999999998</v>
      </c>
      <c r="T225" s="236">
        <f t="shared" si="216"/>
        <v>0</v>
      </c>
      <c r="W225" s="642">
        <f>INDEX('Barge Gauging Data'!$B$26:$V$56,MATCH($C225,'Barge Gauging Data'!$B$26:$B$56,0),$W$198)</f>
        <v>4.05</v>
      </c>
      <c r="X225" s="642">
        <f>INDEX('Barge Gauging Data'!$B$26:$V$56,MATCH($C225,'Barge Gauging Data'!$B$26:$B$56,0),$X$198)</f>
        <v>0</v>
      </c>
      <c r="Y225" s="642">
        <f>INDEX('Barge Gauging Data'!$B$26:$V$56,MATCH($C225,'Barge Gauging Data'!$B$26:$B$56,0),$Y$198)</f>
        <v>0</v>
      </c>
      <c r="Z225" s="642">
        <f>INDEX('Barge Gauging Data'!$B$26:$V$56,MATCH($C225,'Barge Gauging Data'!$B$26:$B$56,0),$Z$198)</f>
        <v>15</v>
      </c>
      <c r="AB225" s="642">
        <f>INDEX(API2DENST_2,MATCH($C225,'Barge Gauging Data'!$B$27:$B$56,0),1)</f>
        <v>0.92059999999999997</v>
      </c>
      <c r="AC225" s="642">
        <f t="shared" si="151"/>
        <v>1.00115</v>
      </c>
      <c r="AE225" s="661">
        <f t="shared" si="152"/>
        <v>920</v>
      </c>
      <c r="AF225" s="661">
        <f t="shared" si="153"/>
        <v>7.4938000000000001E-4</v>
      </c>
      <c r="AH225" s="662">
        <f t="shared" si="194"/>
        <v>15</v>
      </c>
      <c r="AI225" s="662">
        <f t="shared" si="195"/>
        <v>0.92059999999999997</v>
      </c>
      <c r="AJ225" s="663">
        <f t="shared" si="154"/>
        <v>103.872</v>
      </c>
      <c r="AK225" s="660">
        <f t="shared" si="155"/>
        <v>0.27010000000000001</v>
      </c>
      <c r="AL225" s="660">
        <f t="shared" si="156"/>
        <v>1067.51</v>
      </c>
      <c r="AM225" s="664">
        <f t="shared" si="157"/>
        <v>9.7303059999999997E-2</v>
      </c>
      <c r="AN225" s="664">
        <f t="shared" si="158"/>
        <v>9.1149499999999999E-5</v>
      </c>
      <c r="AO225" s="665">
        <f t="shared" si="159"/>
        <v>2.530187E-4</v>
      </c>
      <c r="AP225" s="666">
        <f t="shared" si="160"/>
        <v>3.4420000000000002E-4</v>
      </c>
      <c r="AQ225" s="660">
        <f t="shared" si="161"/>
        <v>-45</v>
      </c>
      <c r="AR225" s="667">
        <f t="shared" si="162"/>
        <v>-1.5488999999999999E-2</v>
      </c>
      <c r="AS225" s="667">
        <f t="shared" si="163"/>
        <v>-1.23912E-2</v>
      </c>
      <c r="AT225" s="668">
        <f t="shared" si="164"/>
        <v>1.9191999999999999E-4</v>
      </c>
      <c r="AU225" s="667">
        <f t="shared" si="165"/>
        <v>1.5297079999999999E-2</v>
      </c>
      <c r="AV225" s="669">
        <f t="shared" si="166"/>
        <v>2.5000000000000001E-4</v>
      </c>
      <c r="AW225" s="667">
        <f t="shared" si="167"/>
        <v>2.2999999999999999E-7</v>
      </c>
      <c r="AX225" s="667">
        <f t="shared" si="168"/>
        <v>103.87200023</v>
      </c>
      <c r="AY225" s="660">
        <f t="shared" si="169"/>
        <v>3.4420000000000002E-4</v>
      </c>
      <c r="AZ225" s="670">
        <f t="shared" si="170"/>
        <v>1.0154099999999999</v>
      </c>
      <c r="BB225" s="662" t="str">
        <f>INDEX('Barge Gauging Data'!$B$26:$V$56,MATCH($C225,'Barge Gauging Data'!$B$26:$B$56,0),$BB$198)</f>
        <v>S</v>
      </c>
      <c r="BC225" s="662">
        <f>INDEX('Barge Gauging Data'!$B$26:$V$56,MATCH($C225,'Barge Gauging Data'!$B$26:$B$56,0),$BC$198)</f>
        <v>0</v>
      </c>
      <c r="BD225" s="662">
        <f>INDEX('Barge Gauging Data'!$B$26:$V$56,MATCH($C225,'Barge Gauging Data'!$B$26:$B$56,0),$BD$198)</f>
        <v>0</v>
      </c>
      <c r="BE225" s="662">
        <f>INDEX('Barge Gauging Data'!$B$26:$V$56,MATCH($C225,'Barge Gauging Data'!$B$26:$B$56,0),$BE$198)</f>
        <v>0</v>
      </c>
    </row>
    <row r="226" spans="1:57" hidden="1">
      <c r="A226" s="641" t="str">
        <f t="shared" si="178"/>
        <v>N</v>
      </c>
      <c r="C226" s="235" t="str">
        <f t="shared" si="203"/>
        <v/>
      </c>
      <c r="D226" s="211" t="str">
        <f t="shared" si="203"/>
        <v/>
      </c>
      <c r="E226" s="1016" t="str">
        <f t="shared" si="202"/>
        <v/>
      </c>
      <c r="F226" s="1016" t="str">
        <f t="shared" si="204"/>
        <v/>
      </c>
      <c r="G226" s="1016" t="str">
        <f t="shared" si="205"/>
        <v/>
      </c>
      <c r="H226" s="1016" t="str">
        <f t="shared" si="205"/>
        <v/>
      </c>
      <c r="I226" s="211" t="str">
        <f t="shared" si="206"/>
        <v/>
      </c>
      <c r="J226" s="1016" t="str">
        <f t="shared" si="207"/>
        <v/>
      </c>
      <c r="K226" s="213" t="str">
        <f t="shared" si="208"/>
        <v/>
      </c>
      <c r="L226" s="212" t="str">
        <f t="shared" si="209"/>
        <v/>
      </c>
      <c r="M226" s="1125" t="str">
        <f>IF(OR($C226="",$C226=0),"",INDEX(API2DENST_2,MATCH($C226,'Barge Gauging Data'!$B$27:$B$56,0),$AA$1))</f>
        <v/>
      </c>
      <c r="N226" s="212" t="str">
        <f t="shared" si="210"/>
        <v/>
      </c>
      <c r="O226" s="1016" t="str">
        <f t="shared" si="211"/>
        <v/>
      </c>
      <c r="P226" s="1125" t="str">
        <f t="shared" si="212"/>
        <v/>
      </c>
      <c r="Q226" s="1016" t="str">
        <f t="shared" si="213"/>
        <v/>
      </c>
      <c r="R226" s="214" t="str">
        <f t="shared" si="214"/>
        <v/>
      </c>
      <c r="S226" s="1125" t="str">
        <f t="shared" si="215"/>
        <v/>
      </c>
      <c r="T226" s="236" t="str">
        <f t="shared" si="216"/>
        <v/>
      </c>
      <c r="W226" s="642" t="e">
        <f>INDEX('Barge Gauging Data'!$B$26:$V$56,MATCH($C226,'Barge Gauging Data'!$B$26:$B$56,0),$W$198)</f>
        <v>#N/A</v>
      </c>
      <c r="X226" s="642" t="e">
        <f>INDEX('Barge Gauging Data'!$B$26:$V$56,MATCH($C226,'Barge Gauging Data'!$B$26:$B$56,0),$X$198)</f>
        <v>#N/A</v>
      </c>
      <c r="Y226" s="642" t="e">
        <f>INDEX('Barge Gauging Data'!$B$26:$V$56,MATCH($C226,'Barge Gauging Data'!$B$26:$B$56,0),$Y$198)</f>
        <v>#N/A</v>
      </c>
      <c r="Z226" s="642" t="e">
        <f>INDEX('Barge Gauging Data'!$B$26:$V$56,MATCH($C226,'Barge Gauging Data'!$B$26:$B$56,0),$Z$198)</f>
        <v>#N/A</v>
      </c>
      <c r="AB226" s="642" t="e">
        <f>INDEX(API2DENST_2,MATCH($C226,'Barge Gauging Data'!$B$27:$B$56,0),1)</f>
        <v>#N/A</v>
      </c>
      <c r="AC226" s="642" t="e">
        <f t="shared" si="151"/>
        <v>#N/A</v>
      </c>
      <c r="AE226" s="661" t="e">
        <f t="shared" si="152"/>
        <v>#VALUE!</v>
      </c>
      <c r="AF226" s="661" t="e">
        <f t="shared" si="153"/>
        <v>#VALUE!</v>
      </c>
      <c r="AH226" s="662" t="str">
        <f t="shared" si="194"/>
        <v/>
      </c>
      <c r="AI226" s="662" t="str">
        <f t="shared" si="195"/>
        <v/>
      </c>
      <c r="AJ226" s="663">
        <f t="shared" si="154"/>
        <v>192.4571</v>
      </c>
      <c r="AK226" s="660">
        <f t="shared" si="155"/>
        <v>0.24379999999999999</v>
      </c>
      <c r="AL226" s="660" t="e">
        <f t="shared" si="156"/>
        <v>#VALUE!</v>
      </c>
      <c r="AM226" s="664" t="e">
        <f t="shared" si="157"/>
        <v>#VALUE!</v>
      </c>
      <c r="AN226" s="664" t="e">
        <f t="shared" si="158"/>
        <v>#VALUE!</v>
      </c>
      <c r="AO226" s="665" t="e">
        <f t="shared" si="159"/>
        <v>#VALUE!</v>
      </c>
      <c r="AP226" s="666" t="e">
        <f t="shared" si="160"/>
        <v>#VALUE!</v>
      </c>
      <c r="AQ226" s="660" t="e">
        <f t="shared" si="161"/>
        <v>#VALUE!</v>
      </c>
      <c r="AR226" s="667" t="e">
        <f t="shared" si="162"/>
        <v>#VALUE!</v>
      </c>
      <c r="AS226" s="667" t="e">
        <f t="shared" si="163"/>
        <v>#VALUE!</v>
      </c>
      <c r="AT226" s="668" t="e">
        <f t="shared" si="164"/>
        <v>#VALUE!</v>
      </c>
      <c r="AU226" s="667" t="e">
        <f t="shared" si="165"/>
        <v>#VALUE!</v>
      </c>
      <c r="AV226" s="669" t="e">
        <f t="shared" si="166"/>
        <v>#VALUE!</v>
      </c>
      <c r="AW226" s="667" t="e">
        <f t="shared" si="167"/>
        <v>#VALUE!</v>
      </c>
      <c r="AX226" s="667" t="e">
        <f t="shared" si="168"/>
        <v>#VALUE!</v>
      </c>
      <c r="AY226" s="660" t="e">
        <f t="shared" si="169"/>
        <v>#VALUE!</v>
      </c>
      <c r="AZ226" s="670" t="e">
        <f t="shared" si="170"/>
        <v>#VALUE!</v>
      </c>
      <c r="BB226" s="662" t="e">
        <f>INDEX('Barge Gauging Data'!$B$26:$V$56,MATCH($C226,'Barge Gauging Data'!$B$26:$B$56,0),$BB$198)</f>
        <v>#N/A</v>
      </c>
      <c r="BC226" s="662" t="e">
        <f>INDEX('Barge Gauging Data'!$B$26:$V$56,MATCH($C226,'Barge Gauging Data'!$B$26:$B$56,0),$BC$198)</f>
        <v>#N/A</v>
      </c>
      <c r="BD226" s="662" t="e">
        <f>INDEX('Barge Gauging Data'!$B$26:$V$56,MATCH($C226,'Barge Gauging Data'!$B$26:$B$56,0),$BD$198)</f>
        <v>#N/A</v>
      </c>
      <c r="BE226" s="662" t="e">
        <f>INDEX('Barge Gauging Data'!$B$26:$V$56,MATCH($C226,'Barge Gauging Data'!$B$26:$B$56,0),$BE$198)</f>
        <v>#N/A</v>
      </c>
    </row>
    <row r="227" spans="1:57" hidden="1">
      <c r="A227" s="641" t="str">
        <f t="shared" si="178"/>
        <v>N</v>
      </c>
      <c r="C227" s="235" t="str">
        <f t="shared" si="203"/>
        <v/>
      </c>
      <c r="D227" s="211" t="str">
        <f t="shared" si="203"/>
        <v/>
      </c>
      <c r="E227" s="1016" t="str">
        <f t="shared" si="202"/>
        <v/>
      </c>
      <c r="F227" s="1016" t="str">
        <f t="shared" si="204"/>
        <v/>
      </c>
      <c r="G227" s="1016" t="str">
        <f t="shared" si="205"/>
        <v/>
      </c>
      <c r="H227" s="1016" t="str">
        <f t="shared" si="205"/>
        <v/>
      </c>
      <c r="I227" s="211" t="str">
        <f t="shared" si="206"/>
        <v/>
      </c>
      <c r="J227" s="1016" t="str">
        <f t="shared" si="207"/>
        <v/>
      </c>
      <c r="K227" s="213" t="str">
        <f t="shared" si="208"/>
        <v/>
      </c>
      <c r="L227" s="212" t="str">
        <f t="shared" si="209"/>
        <v/>
      </c>
      <c r="M227" s="1125" t="str">
        <f>IF(OR($C227="",$C227=0),"",INDEX(API2DENST_2,MATCH($C227,'Barge Gauging Data'!$B$27:$B$56,0),$AA$1))</f>
        <v/>
      </c>
      <c r="N227" s="212" t="str">
        <f t="shared" si="210"/>
        <v/>
      </c>
      <c r="O227" s="1016" t="str">
        <f t="shared" si="211"/>
        <v/>
      </c>
      <c r="P227" s="1125" t="str">
        <f t="shared" si="212"/>
        <v/>
      </c>
      <c r="Q227" s="1016" t="str">
        <f t="shared" si="213"/>
        <v/>
      </c>
      <c r="R227" s="214" t="str">
        <f t="shared" si="214"/>
        <v/>
      </c>
      <c r="S227" s="1125" t="str">
        <f t="shared" si="215"/>
        <v/>
      </c>
      <c r="T227" s="236" t="str">
        <f t="shared" si="216"/>
        <v/>
      </c>
      <c r="W227" s="642" t="e">
        <f>INDEX('Barge Gauging Data'!$B$26:$V$56,MATCH($C227,'Barge Gauging Data'!$B$26:$B$56,0),$W$198)</f>
        <v>#N/A</v>
      </c>
      <c r="X227" s="642" t="e">
        <f>INDEX('Barge Gauging Data'!$B$26:$V$56,MATCH($C227,'Barge Gauging Data'!$B$26:$B$56,0),$X$198)</f>
        <v>#N/A</v>
      </c>
      <c r="Y227" s="642" t="e">
        <f>INDEX('Barge Gauging Data'!$B$26:$V$56,MATCH($C227,'Barge Gauging Data'!$B$26:$B$56,0),$Y$198)</f>
        <v>#N/A</v>
      </c>
      <c r="Z227" s="642" t="e">
        <f>INDEX('Barge Gauging Data'!$B$26:$V$56,MATCH($C227,'Barge Gauging Data'!$B$26:$B$56,0),$Z$198)</f>
        <v>#N/A</v>
      </c>
      <c r="AB227" s="642" t="e">
        <f>INDEX(API2DENST_2,MATCH($C227,'Barge Gauging Data'!$B$27:$B$56,0),1)</f>
        <v>#N/A</v>
      </c>
      <c r="AC227" s="642" t="e">
        <f t="shared" si="151"/>
        <v>#N/A</v>
      </c>
      <c r="AE227" s="661" t="e">
        <f t="shared" si="152"/>
        <v>#VALUE!</v>
      </c>
      <c r="AF227" s="661" t="e">
        <f t="shared" si="153"/>
        <v>#VALUE!</v>
      </c>
      <c r="AH227" s="662" t="str">
        <f t="shared" si="194"/>
        <v/>
      </c>
      <c r="AI227" s="662" t="str">
        <f t="shared" si="195"/>
        <v/>
      </c>
      <c r="AJ227" s="663">
        <f t="shared" si="154"/>
        <v>192.4571</v>
      </c>
      <c r="AK227" s="660">
        <f t="shared" si="155"/>
        <v>0.24379999999999999</v>
      </c>
      <c r="AL227" s="660" t="e">
        <f t="shared" si="156"/>
        <v>#VALUE!</v>
      </c>
      <c r="AM227" s="664" t="e">
        <f t="shared" si="157"/>
        <v>#VALUE!</v>
      </c>
      <c r="AN227" s="664" t="e">
        <f t="shared" si="158"/>
        <v>#VALUE!</v>
      </c>
      <c r="AO227" s="665" t="e">
        <f t="shared" si="159"/>
        <v>#VALUE!</v>
      </c>
      <c r="AP227" s="666" t="e">
        <f t="shared" si="160"/>
        <v>#VALUE!</v>
      </c>
      <c r="AQ227" s="660" t="e">
        <f t="shared" si="161"/>
        <v>#VALUE!</v>
      </c>
      <c r="AR227" s="667" t="e">
        <f t="shared" si="162"/>
        <v>#VALUE!</v>
      </c>
      <c r="AS227" s="667" t="e">
        <f t="shared" si="163"/>
        <v>#VALUE!</v>
      </c>
      <c r="AT227" s="668" t="e">
        <f t="shared" si="164"/>
        <v>#VALUE!</v>
      </c>
      <c r="AU227" s="667" t="e">
        <f t="shared" si="165"/>
        <v>#VALUE!</v>
      </c>
      <c r="AV227" s="669" t="e">
        <f t="shared" si="166"/>
        <v>#VALUE!</v>
      </c>
      <c r="AW227" s="667" t="e">
        <f t="shared" si="167"/>
        <v>#VALUE!</v>
      </c>
      <c r="AX227" s="667" t="e">
        <f t="shared" si="168"/>
        <v>#VALUE!</v>
      </c>
      <c r="AY227" s="660" t="e">
        <f t="shared" si="169"/>
        <v>#VALUE!</v>
      </c>
      <c r="AZ227" s="670" t="e">
        <f t="shared" si="170"/>
        <v>#VALUE!</v>
      </c>
      <c r="BB227" s="662" t="e">
        <f>INDEX('Barge Gauging Data'!$B$26:$V$56,MATCH($C227,'Barge Gauging Data'!$B$26:$B$56,0),$BB$198)</f>
        <v>#N/A</v>
      </c>
      <c r="BC227" s="662" t="e">
        <f>INDEX('Barge Gauging Data'!$B$26:$V$56,MATCH($C227,'Barge Gauging Data'!$B$26:$B$56,0),$BC$198)</f>
        <v>#N/A</v>
      </c>
      <c r="BD227" s="662" t="e">
        <f>INDEX('Barge Gauging Data'!$B$26:$V$56,MATCH($C227,'Barge Gauging Data'!$B$26:$B$56,0),$BD$198)</f>
        <v>#N/A</v>
      </c>
      <c r="BE227" s="662" t="e">
        <f>INDEX('Barge Gauging Data'!$B$26:$V$56,MATCH($C227,'Barge Gauging Data'!$B$26:$B$56,0),$BE$198)</f>
        <v>#N/A</v>
      </c>
    </row>
    <row r="228" spans="1:57" hidden="1">
      <c r="A228" s="641" t="str">
        <f t="shared" si="178"/>
        <v>N</v>
      </c>
      <c r="C228" s="235" t="str">
        <f t="shared" si="203"/>
        <v/>
      </c>
      <c r="D228" s="211" t="str">
        <f t="shared" si="203"/>
        <v/>
      </c>
      <c r="E228" s="1016" t="str">
        <f t="shared" si="202"/>
        <v/>
      </c>
      <c r="F228" s="1016" t="str">
        <f t="shared" si="204"/>
        <v/>
      </c>
      <c r="G228" s="1016" t="str">
        <f t="shared" si="205"/>
        <v/>
      </c>
      <c r="H228" s="1016" t="str">
        <f t="shared" si="205"/>
        <v/>
      </c>
      <c r="I228" s="211" t="str">
        <f t="shared" si="206"/>
        <v/>
      </c>
      <c r="J228" s="1016" t="str">
        <f t="shared" si="207"/>
        <v/>
      </c>
      <c r="K228" s="213" t="str">
        <f t="shared" si="208"/>
        <v/>
      </c>
      <c r="L228" s="212" t="str">
        <f t="shared" si="209"/>
        <v/>
      </c>
      <c r="M228" s="1125" t="str">
        <f>IF(OR($C228="",$C228=0),"",INDEX(API2DENST_2,MATCH($C228,'Barge Gauging Data'!$B$27:$B$56,0),$AA$1))</f>
        <v/>
      </c>
      <c r="N228" s="212" t="str">
        <f t="shared" si="210"/>
        <v/>
      </c>
      <c r="O228" s="1016" t="str">
        <f t="shared" si="211"/>
        <v/>
      </c>
      <c r="P228" s="1125" t="str">
        <f t="shared" si="212"/>
        <v/>
      </c>
      <c r="Q228" s="1016" t="str">
        <f t="shared" si="213"/>
        <v/>
      </c>
      <c r="R228" s="214" t="str">
        <f t="shared" si="214"/>
        <v/>
      </c>
      <c r="S228" s="1125" t="str">
        <f t="shared" si="215"/>
        <v/>
      </c>
      <c r="T228" s="236" t="str">
        <f t="shared" si="216"/>
        <v/>
      </c>
      <c r="W228" s="642" t="e">
        <f>INDEX('Barge Gauging Data'!$B$26:$V$56,MATCH($C228,'Barge Gauging Data'!$B$26:$B$56,0),$W$198)</f>
        <v>#N/A</v>
      </c>
      <c r="X228" s="642" t="e">
        <f>INDEX('Barge Gauging Data'!$B$26:$V$56,MATCH($C228,'Barge Gauging Data'!$B$26:$B$56,0),$X$198)</f>
        <v>#N/A</v>
      </c>
      <c r="Y228" s="642" t="e">
        <f>INDEX('Barge Gauging Data'!$B$26:$V$56,MATCH($C228,'Barge Gauging Data'!$B$26:$B$56,0),$Y$198)</f>
        <v>#N/A</v>
      </c>
      <c r="Z228" s="642" t="e">
        <f>INDEX('Barge Gauging Data'!$B$26:$V$56,MATCH($C228,'Barge Gauging Data'!$B$26:$B$56,0),$Z$198)</f>
        <v>#N/A</v>
      </c>
      <c r="AB228" s="642" t="e">
        <f>INDEX(API2DENST_2,MATCH($C228,'Barge Gauging Data'!$B$27:$B$56,0),1)</f>
        <v>#N/A</v>
      </c>
      <c r="AC228" s="642" t="e">
        <f t="shared" si="151"/>
        <v>#N/A</v>
      </c>
      <c r="AE228" s="661" t="e">
        <f t="shared" si="152"/>
        <v>#VALUE!</v>
      </c>
      <c r="AF228" s="661" t="e">
        <f t="shared" si="153"/>
        <v>#VALUE!</v>
      </c>
      <c r="AH228" s="662" t="str">
        <f t="shared" si="194"/>
        <v/>
      </c>
      <c r="AI228" s="662" t="str">
        <f t="shared" si="195"/>
        <v/>
      </c>
      <c r="AJ228" s="663">
        <f t="shared" si="154"/>
        <v>192.4571</v>
      </c>
      <c r="AK228" s="660">
        <f t="shared" si="155"/>
        <v>0.24379999999999999</v>
      </c>
      <c r="AL228" s="660" t="e">
        <f t="shared" si="156"/>
        <v>#VALUE!</v>
      </c>
      <c r="AM228" s="664" t="e">
        <f t="shared" si="157"/>
        <v>#VALUE!</v>
      </c>
      <c r="AN228" s="664" t="e">
        <f t="shared" si="158"/>
        <v>#VALUE!</v>
      </c>
      <c r="AO228" s="665" t="e">
        <f t="shared" si="159"/>
        <v>#VALUE!</v>
      </c>
      <c r="AP228" s="666" t="e">
        <f t="shared" si="160"/>
        <v>#VALUE!</v>
      </c>
      <c r="AQ228" s="660" t="e">
        <f t="shared" si="161"/>
        <v>#VALUE!</v>
      </c>
      <c r="AR228" s="667" t="e">
        <f t="shared" si="162"/>
        <v>#VALUE!</v>
      </c>
      <c r="AS228" s="667" t="e">
        <f t="shared" si="163"/>
        <v>#VALUE!</v>
      </c>
      <c r="AT228" s="668" t="e">
        <f t="shared" si="164"/>
        <v>#VALUE!</v>
      </c>
      <c r="AU228" s="667" t="e">
        <f t="shared" si="165"/>
        <v>#VALUE!</v>
      </c>
      <c r="AV228" s="669" t="e">
        <f t="shared" si="166"/>
        <v>#VALUE!</v>
      </c>
      <c r="AW228" s="667" t="e">
        <f t="shared" si="167"/>
        <v>#VALUE!</v>
      </c>
      <c r="AX228" s="667" t="e">
        <f t="shared" si="168"/>
        <v>#VALUE!</v>
      </c>
      <c r="AY228" s="660" t="e">
        <f t="shared" si="169"/>
        <v>#VALUE!</v>
      </c>
      <c r="AZ228" s="670" t="e">
        <f t="shared" si="170"/>
        <v>#VALUE!</v>
      </c>
      <c r="BB228" s="662" t="e">
        <f>INDEX('Barge Gauging Data'!$B$26:$V$56,MATCH($C228,'Barge Gauging Data'!$B$26:$B$56,0),$BB$198)</f>
        <v>#N/A</v>
      </c>
      <c r="BC228" s="662" t="e">
        <f>INDEX('Barge Gauging Data'!$B$26:$V$56,MATCH($C228,'Barge Gauging Data'!$B$26:$B$56,0),$BC$198)</f>
        <v>#N/A</v>
      </c>
      <c r="BD228" s="662" t="e">
        <f>INDEX('Barge Gauging Data'!$B$26:$V$56,MATCH($C228,'Barge Gauging Data'!$B$26:$B$56,0),$BD$198)</f>
        <v>#N/A</v>
      </c>
      <c r="BE228" s="662" t="e">
        <f>INDEX('Barge Gauging Data'!$B$26:$V$56,MATCH($C228,'Barge Gauging Data'!$B$26:$B$56,0),$BE$198)</f>
        <v>#N/A</v>
      </c>
    </row>
    <row r="229" spans="1:57" hidden="1">
      <c r="A229" s="641" t="str">
        <f t="shared" si="178"/>
        <v>N</v>
      </c>
      <c r="C229" s="235" t="str">
        <f t="shared" si="203"/>
        <v/>
      </c>
      <c r="D229" s="211" t="str">
        <f t="shared" si="203"/>
        <v/>
      </c>
      <c r="E229" s="1016" t="str">
        <f t="shared" si="202"/>
        <v/>
      </c>
      <c r="F229" s="1016" t="str">
        <f t="shared" si="204"/>
        <v/>
      </c>
      <c r="G229" s="1016" t="str">
        <f t="shared" si="205"/>
        <v/>
      </c>
      <c r="H229" s="1016" t="str">
        <f t="shared" si="205"/>
        <v/>
      </c>
      <c r="I229" s="211" t="str">
        <f t="shared" si="206"/>
        <v/>
      </c>
      <c r="J229" s="1016" t="str">
        <f t="shared" si="207"/>
        <v/>
      </c>
      <c r="K229" s="213" t="str">
        <f t="shared" si="208"/>
        <v/>
      </c>
      <c r="L229" s="212" t="str">
        <f t="shared" si="209"/>
        <v/>
      </c>
      <c r="M229" s="1125" t="str">
        <f>IF(OR($C229="",$C229=0),"",INDEX(API2DENST_2,MATCH($C229,'Barge Gauging Data'!$B$27:$B$56,0),$AA$1))</f>
        <v/>
      </c>
      <c r="N229" s="212" t="str">
        <f t="shared" si="210"/>
        <v/>
      </c>
      <c r="O229" s="1016" t="str">
        <f t="shared" si="211"/>
        <v/>
      </c>
      <c r="P229" s="1125" t="str">
        <f t="shared" si="212"/>
        <v/>
      </c>
      <c r="Q229" s="1016" t="str">
        <f t="shared" si="213"/>
        <v/>
      </c>
      <c r="R229" s="214" t="str">
        <f t="shared" si="214"/>
        <v/>
      </c>
      <c r="S229" s="1125" t="str">
        <f t="shared" si="215"/>
        <v/>
      </c>
      <c r="T229" s="236" t="str">
        <f t="shared" si="216"/>
        <v/>
      </c>
      <c r="W229" s="642" t="e">
        <f>INDEX('Barge Gauging Data'!$B$26:$V$56,MATCH($C229,'Barge Gauging Data'!$B$26:$B$56,0),$W$198)</f>
        <v>#N/A</v>
      </c>
      <c r="X229" s="642" t="e">
        <f>INDEX('Barge Gauging Data'!$B$26:$V$56,MATCH($C229,'Barge Gauging Data'!$B$26:$B$56,0),$X$198)</f>
        <v>#N/A</v>
      </c>
      <c r="Y229" s="642" t="e">
        <f>INDEX('Barge Gauging Data'!$B$26:$V$56,MATCH($C229,'Barge Gauging Data'!$B$26:$B$56,0),$Y$198)</f>
        <v>#N/A</v>
      </c>
      <c r="Z229" s="642" t="e">
        <f>INDEX('Barge Gauging Data'!$B$26:$V$56,MATCH($C229,'Barge Gauging Data'!$B$26:$B$56,0),$Z$198)</f>
        <v>#N/A</v>
      </c>
      <c r="AB229" s="642" t="e">
        <f>INDEX(API2DENST_2,MATCH($C229,'Barge Gauging Data'!$B$27:$B$56,0),1)</f>
        <v>#N/A</v>
      </c>
      <c r="AC229" s="642" t="e">
        <f t="shared" si="151"/>
        <v>#N/A</v>
      </c>
      <c r="AE229" s="661" t="e">
        <f t="shared" si="152"/>
        <v>#VALUE!</v>
      </c>
      <c r="AF229" s="661" t="e">
        <f t="shared" si="153"/>
        <v>#VALUE!</v>
      </c>
      <c r="AH229" s="662" t="str">
        <f t="shared" si="194"/>
        <v/>
      </c>
      <c r="AI229" s="662" t="str">
        <f t="shared" si="195"/>
        <v/>
      </c>
      <c r="AJ229" s="663">
        <f t="shared" si="154"/>
        <v>192.4571</v>
      </c>
      <c r="AK229" s="660">
        <f t="shared" si="155"/>
        <v>0.24379999999999999</v>
      </c>
      <c r="AL229" s="660" t="e">
        <f t="shared" si="156"/>
        <v>#VALUE!</v>
      </c>
      <c r="AM229" s="664" t="e">
        <f t="shared" si="157"/>
        <v>#VALUE!</v>
      </c>
      <c r="AN229" s="664" t="e">
        <f t="shared" si="158"/>
        <v>#VALUE!</v>
      </c>
      <c r="AO229" s="665" t="e">
        <f t="shared" si="159"/>
        <v>#VALUE!</v>
      </c>
      <c r="AP229" s="666" t="e">
        <f t="shared" si="160"/>
        <v>#VALUE!</v>
      </c>
      <c r="AQ229" s="660" t="e">
        <f t="shared" si="161"/>
        <v>#VALUE!</v>
      </c>
      <c r="AR229" s="667" t="e">
        <f t="shared" si="162"/>
        <v>#VALUE!</v>
      </c>
      <c r="AS229" s="667" t="e">
        <f t="shared" si="163"/>
        <v>#VALUE!</v>
      </c>
      <c r="AT229" s="668" t="e">
        <f t="shared" si="164"/>
        <v>#VALUE!</v>
      </c>
      <c r="AU229" s="667" t="e">
        <f t="shared" si="165"/>
        <v>#VALUE!</v>
      </c>
      <c r="AV229" s="669" t="e">
        <f t="shared" si="166"/>
        <v>#VALUE!</v>
      </c>
      <c r="AW229" s="667" t="e">
        <f t="shared" si="167"/>
        <v>#VALUE!</v>
      </c>
      <c r="AX229" s="667" t="e">
        <f t="shared" si="168"/>
        <v>#VALUE!</v>
      </c>
      <c r="AY229" s="660" t="e">
        <f t="shared" si="169"/>
        <v>#VALUE!</v>
      </c>
      <c r="AZ229" s="670" t="e">
        <f t="shared" si="170"/>
        <v>#VALUE!</v>
      </c>
      <c r="BB229" s="662" t="e">
        <f>INDEX('Barge Gauging Data'!$B$26:$V$56,MATCH($C229,'Barge Gauging Data'!$B$26:$B$56,0),$BB$198)</f>
        <v>#N/A</v>
      </c>
      <c r="BC229" s="662" t="e">
        <f>INDEX('Barge Gauging Data'!$B$26:$V$56,MATCH($C229,'Barge Gauging Data'!$B$26:$B$56,0),$BC$198)</f>
        <v>#N/A</v>
      </c>
      <c r="BD229" s="662" t="e">
        <f>INDEX('Barge Gauging Data'!$B$26:$V$56,MATCH($C229,'Barge Gauging Data'!$B$26:$B$56,0),$BD$198)</f>
        <v>#N/A</v>
      </c>
      <c r="BE229" s="662" t="e">
        <f>INDEX('Barge Gauging Data'!$B$26:$V$56,MATCH($C229,'Barge Gauging Data'!$B$26:$B$56,0),$BE$198)</f>
        <v>#N/A</v>
      </c>
    </row>
    <row r="230" spans="1:57" hidden="1">
      <c r="A230" s="641" t="str">
        <f t="shared" ref="A230:A261" si="217">A53</f>
        <v>N</v>
      </c>
      <c r="C230" s="235" t="str">
        <f t="shared" si="203"/>
        <v/>
      </c>
      <c r="D230" s="211" t="str">
        <f t="shared" si="203"/>
        <v/>
      </c>
      <c r="E230" s="1016" t="str">
        <f t="shared" si="202"/>
        <v/>
      </c>
      <c r="F230" s="1016" t="str">
        <f t="shared" si="204"/>
        <v/>
      </c>
      <c r="G230" s="1016" t="str">
        <f t="shared" si="205"/>
        <v/>
      </c>
      <c r="H230" s="1016" t="str">
        <f t="shared" si="205"/>
        <v/>
      </c>
      <c r="I230" s="211" t="str">
        <f t="shared" si="206"/>
        <v/>
      </c>
      <c r="J230" s="1016" t="str">
        <f t="shared" si="207"/>
        <v/>
      </c>
      <c r="K230" s="213" t="str">
        <f t="shared" si="208"/>
        <v/>
      </c>
      <c r="L230" s="212" t="str">
        <f t="shared" si="209"/>
        <v/>
      </c>
      <c r="M230" s="1125" t="str">
        <f>IF(OR($C230="",$C230=0),"",INDEX(API2DENST_2,MATCH($C230,'Barge Gauging Data'!$B$27:$B$56,0),$AA$1))</f>
        <v/>
      </c>
      <c r="N230" s="212" t="str">
        <f t="shared" si="210"/>
        <v/>
      </c>
      <c r="O230" s="1016" t="str">
        <f t="shared" si="211"/>
        <v/>
      </c>
      <c r="P230" s="1125" t="str">
        <f t="shared" si="212"/>
        <v/>
      </c>
      <c r="Q230" s="1016" t="str">
        <f t="shared" si="213"/>
        <v/>
      </c>
      <c r="R230" s="214" t="str">
        <f t="shared" si="214"/>
        <v/>
      </c>
      <c r="S230" s="1125" t="str">
        <f t="shared" si="215"/>
        <v/>
      </c>
      <c r="T230" s="236" t="str">
        <f t="shared" si="216"/>
        <v/>
      </c>
      <c r="W230" s="642" t="e">
        <f>INDEX('Barge Gauging Data'!$B$26:$V$56,MATCH($C230,'Barge Gauging Data'!$B$26:$B$56,0),$W$198)</f>
        <v>#N/A</v>
      </c>
      <c r="X230" s="642" t="e">
        <f>INDEX('Barge Gauging Data'!$B$26:$V$56,MATCH($C230,'Barge Gauging Data'!$B$26:$B$56,0),$X$198)</f>
        <v>#N/A</v>
      </c>
      <c r="Y230" s="642" t="e">
        <f>INDEX('Barge Gauging Data'!$B$26:$V$56,MATCH($C230,'Barge Gauging Data'!$B$26:$B$56,0),$Y$198)</f>
        <v>#N/A</v>
      </c>
      <c r="Z230" s="642" t="e">
        <f>INDEX('Barge Gauging Data'!$B$26:$V$56,MATCH($C230,'Barge Gauging Data'!$B$26:$B$56,0),$Z$198)</f>
        <v>#N/A</v>
      </c>
      <c r="AB230" s="642" t="e">
        <f>INDEX(API2DENST_2,MATCH($C230,'Barge Gauging Data'!$B$27:$B$56,0),1)</f>
        <v>#N/A</v>
      </c>
      <c r="AC230" s="642" t="e">
        <f t="shared" si="151"/>
        <v>#N/A</v>
      </c>
      <c r="AE230" s="661" t="e">
        <f t="shared" si="152"/>
        <v>#VALUE!</v>
      </c>
      <c r="AF230" s="661" t="e">
        <f t="shared" si="153"/>
        <v>#VALUE!</v>
      </c>
      <c r="AH230" s="662" t="str">
        <f t="shared" si="194"/>
        <v/>
      </c>
      <c r="AI230" s="662" t="str">
        <f t="shared" si="195"/>
        <v/>
      </c>
      <c r="AJ230" s="663">
        <f t="shared" si="154"/>
        <v>192.4571</v>
      </c>
      <c r="AK230" s="660">
        <f t="shared" si="155"/>
        <v>0.24379999999999999</v>
      </c>
      <c r="AL230" s="660" t="e">
        <f t="shared" si="156"/>
        <v>#VALUE!</v>
      </c>
      <c r="AM230" s="664" t="e">
        <f t="shared" si="157"/>
        <v>#VALUE!</v>
      </c>
      <c r="AN230" s="664" t="e">
        <f t="shared" si="158"/>
        <v>#VALUE!</v>
      </c>
      <c r="AO230" s="665" t="e">
        <f t="shared" si="159"/>
        <v>#VALUE!</v>
      </c>
      <c r="AP230" s="666" t="e">
        <f t="shared" si="160"/>
        <v>#VALUE!</v>
      </c>
      <c r="AQ230" s="660" t="e">
        <f t="shared" si="161"/>
        <v>#VALUE!</v>
      </c>
      <c r="AR230" s="667" t="e">
        <f t="shared" si="162"/>
        <v>#VALUE!</v>
      </c>
      <c r="AS230" s="667" t="e">
        <f t="shared" si="163"/>
        <v>#VALUE!</v>
      </c>
      <c r="AT230" s="668" t="e">
        <f t="shared" si="164"/>
        <v>#VALUE!</v>
      </c>
      <c r="AU230" s="667" t="e">
        <f t="shared" si="165"/>
        <v>#VALUE!</v>
      </c>
      <c r="AV230" s="669" t="e">
        <f t="shared" si="166"/>
        <v>#VALUE!</v>
      </c>
      <c r="AW230" s="667" t="e">
        <f t="shared" si="167"/>
        <v>#VALUE!</v>
      </c>
      <c r="AX230" s="667" t="e">
        <f t="shared" si="168"/>
        <v>#VALUE!</v>
      </c>
      <c r="AY230" s="660" t="e">
        <f t="shared" si="169"/>
        <v>#VALUE!</v>
      </c>
      <c r="AZ230" s="670" t="e">
        <f t="shared" si="170"/>
        <v>#VALUE!</v>
      </c>
      <c r="BB230" s="662" t="e">
        <f>INDEX('Barge Gauging Data'!$B$26:$V$56,MATCH($C230,'Barge Gauging Data'!$B$26:$B$56,0),$BB$198)</f>
        <v>#N/A</v>
      </c>
      <c r="BC230" s="662" t="e">
        <f>INDEX('Barge Gauging Data'!$B$26:$V$56,MATCH($C230,'Barge Gauging Data'!$B$26:$B$56,0),$BC$198)</f>
        <v>#N/A</v>
      </c>
      <c r="BD230" s="662" t="e">
        <f>INDEX('Barge Gauging Data'!$B$26:$V$56,MATCH($C230,'Barge Gauging Data'!$B$26:$B$56,0),$BD$198)</f>
        <v>#N/A</v>
      </c>
      <c r="BE230" s="662" t="e">
        <f>INDEX('Barge Gauging Data'!$B$26:$V$56,MATCH($C230,'Barge Gauging Data'!$B$26:$B$56,0),$BE$198)</f>
        <v>#N/A</v>
      </c>
    </row>
    <row r="231" spans="1:57" hidden="1">
      <c r="A231" s="641" t="str">
        <f t="shared" si="217"/>
        <v>N</v>
      </c>
      <c r="C231" s="235" t="str">
        <f t="shared" si="203"/>
        <v/>
      </c>
      <c r="D231" s="211" t="str">
        <f t="shared" si="203"/>
        <v/>
      </c>
      <c r="E231" s="1016" t="str">
        <f t="shared" si="202"/>
        <v/>
      </c>
      <c r="F231" s="1016" t="str">
        <f t="shared" si="204"/>
        <v/>
      </c>
      <c r="G231" s="1016" t="str">
        <f t="shared" si="205"/>
        <v/>
      </c>
      <c r="H231" s="1016" t="str">
        <f t="shared" si="205"/>
        <v/>
      </c>
      <c r="I231" s="211" t="str">
        <f t="shared" si="206"/>
        <v/>
      </c>
      <c r="J231" s="1016" t="str">
        <f t="shared" si="207"/>
        <v/>
      </c>
      <c r="K231" s="213" t="str">
        <f t="shared" si="208"/>
        <v/>
      </c>
      <c r="L231" s="212" t="str">
        <f t="shared" si="209"/>
        <v/>
      </c>
      <c r="M231" s="1125" t="str">
        <f>IF(OR($C231="",$C231=0),"",INDEX(API2DENST_2,MATCH($C231,'Barge Gauging Data'!$B$27:$B$56,0),$AA$1))</f>
        <v/>
      </c>
      <c r="N231" s="212" t="str">
        <f t="shared" si="210"/>
        <v/>
      </c>
      <c r="O231" s="1016" t="str">
        <f t="shared" si="211"/>
        <v/>
      </c>
      <c r="P231" s="1125" t="str">
        <f t="shared" si="212"/>
        <v/>
      </c>
      <c r="Q231" s="1016" t="str">
        <f t="shared" si="213"/>
        <v/>
      </c>
      <c r="R231" s="214" t="str">
        <f t="shared" si="214"/>
        <v/>
      </c>
      <c r="S231" s="1125" t="str">
        <f t="shared" si="215"/>
        <v/>
      </c>
      <c r="T231" s="236" t="str">
        <f t="shared" si="216"/>
        <v/>
      </c>
      <c r="W231" s="642" t="e">
        <f>INDEX('Barge Gauging Data'!$B$26:$V$56,MATCH($C231,'Barge Gauging Data'!$B$26:$B$56,0),$W$198)</f>
        <v>#N/A</v>
      </c>
      <c r="X231" s="642" t="e">
        <f>INDEX('Barge Gauging Data'!$B$26:$V$56,MATCH($C231,'Barge Gauging Data'!$B$26:$B$56,0),$X$198)</f>
        <v>#N/A</v>
      </c>
      <c r="Y231" s="642" t="e">
        <f>INDEX('Barge Gauging Data'!$B$26:$V$56,MATCH($C231,'Barge Gauging Data'!$B$26:$B$56,0),$Y$198)</f>
        <v>#N/A</v>
      </c>
      <c r="Z231" s="642" t="e">
        <f>INDEX('Barge Gauging Data'!$B$26:$V$56,MATCH($C231,'Barge Gauging Data'!$B$26:$B$56,0),$Z$198)</f>
        <v>#N/A</v>
      </c>
      <c r="AB231" s="642" t="e">
        <f>INDEX(API2DENST_2,MATCH($C231,'Barge Gauging Data'!$B$27:$B$56,0),1)</f>
        <v>#N/A</v>
      </c>
      <c r="AC231" s="642" t="e">
        <f t="shared" si="151"/>
        <v>#N/A</v>
      </c>
      <c r="AE231" s="661" t="e">
        <f t="shared" si="152"/>
        <v>#VALUE!</v>
      </c>
      <c r="AF231" s="661" t="e">
        <f t="shared" si="153"/>
        <v>#VALUE!</v>
      </c>
      <c r="AH231" s="662" t="str">
        <f t="shared" si="194"/>
        <v/>
      </c>
      <c r="AI231" s="662" t="str">
        <f t="shared" si="195"/>
        <v/>
      </c>
      <c r="AJ231" s="663">
        <f t="shared" si="154"/>
        <v>192.4571</v>
      </c>
      <c r="AK231" s="660">
        <f t="shared" si="155"/>
        <v>0.24379999999999999</v>
      </c>
      <c r="AL231" s="660" t="e">
        <f t="shared" si="156"/>
        <v>#VALUE!</v>
      </c>
      <c r="AM231" s="664" t="e">
        <f t="shared" si="157"/>
        <v>#VALUE!</v>
      </c>
      <c r="AN231" s="664" t="e">
        <f t="shared" si="158"/>
        <v>#VALUE!</v>
      </c>
      <c r="AO231" s="665" t="e">
        <f t="shared" si="159"/>
        <v>#VALUE!</v>
      </c>
      <c r="AP231" s="666" t="e">
        <f t="shared" si="160"/>
        <v>#VALUE!</v>
      </c>
      <c r="AQ231" s="660" t="e">
        <f t="shared" si="161"/>
        <v>#VALUE!</v>
      </c>
      <c r="AR231" s="667" t="e">
        <f t="shared" si="162"/>
        <v>#VALUE!</v>
      </c>
      <c r="AS231" s="667" t="e">
        <f t="shared" si="163"/>
        <v>#VALUE!</v>
      </c>
      <c r="AT231" s="668" t="e">
        <f t="shared" si="164"/>
        <v>#VALUE!</v>
      </c>
      <c r="AU231" s="667" t="e">
        <f t="shared" si="165"/>
        <v>#VALUE!</v>
      </c>
      <c r="AV231" s="669" t="e">
        <f t="shared" si="166"/>
        <v>#VALUE!</v>
      </c>
      <c r="AW231" s="667" t="e">
        <f t="shared" si="167"/>
        <v>#VALUE!</v>
      </c>
      <c r="AX231" s="667" t="e">
        <f t="shared" si="168"/>
        <v>#VALUE!</v>
      </c>
      <c r="AY231" s="660" t="e">
        <f t="shared" si="169"/>
        <v>#VALUE!</v>
      </c>
      <c r="AZ231" s="670" t="e">
        <f t="shared" si="170"/>
        <v>#VALUE!</v>
      </c>
      <c r="BB231" s="662" t="e">
        <f>INDEX('Barge Gauging Data'!$B$26:$V$56,MATCH($C231,'Barge Gauging Data'!$B$26:$B$56,0),$BB$198)</f>
        <v>#N/A</v>
      </c>
      <c r="BC231" s="662" t="e">
        <f>INDEX('Barge Gauging Data'!$B$26:$V$56,MATCH($C231,'Barge Gauging Data'!$B$26:$B$56,0),$BC$198)</f>
        <v>#N/A</v>
      </c>
      <c r="BD231" s="662" t="e">
        <f>INDEX('Barge Gauging Data'!$B$26:$V$56,MATCH($C231,'Barge Gauging Data'!$B$26:$B$56,0),$BD$198)</f>
        <v>#N/A</v>
      </c>
      <c r="BE231" s="662" t="e">
        <f>INDEX('Barge Gauging Data'!$B$26:$V$56,MATCH($C231,'Barge Gauging Data'!$B$26:$B$56,0),$BE$198)</f>
        <v>#N/A</v>
      </c>
    </row>
    <row r="232" spans="1:57" hidden="1">
      <c r="A232" s="641" t="str">
        <f t="shared" si="217"/>
        <v>N</v>
      </c>
      <c r="C232" s="235" t="str">
        <f t="shared" si="203"/>
        <v/>
      </c>
      <c r="D232" s="211" t="str">
        <f t="shared" si="203"/>
        <v/>
      </c>
      <c r="E232" s="1016" t="str">
        <f t="shared" si="202"/>
        <v/>
      </c>
      <c r="F232" s="1016" t="str">
        <f t="shared" si="204"/>
        <v/>
      </c>
      <c r="G232" s="1016" t="str">
        <f t="shared" si="205"/>
        <v/>
      </c>
      <c r="H232" s="1016" t="str">
        <f t="shared" si="205"/>
        <v/>
      </c>
      <c r="I232" s="211" t="str">
        <f t="shared" si="206"/>
        <v/>
      </c>
      <c r="J232" s="1016" t="str">
        <f t="shared" si="207"/>
        <v/>
      </c>
      <c r="K232" s="213" t="str">
        <f t="shared" si="208"/>
        <v/>
      </c>
      <c r="L232" s="212" t="str">
        <f t="shared" si="209"/>
        <v/>
      </c>
      <c r="M232" s="1125" t="str">
        <f>IF(OR($C232="",$C232=0),"",INDEX(API2DENST_2,MATCH($C232,'Barge Gauging Data'!$B$27:$B$56,0),$AA$1))</f>
        <v/>
      </c>
      <c r="N232" s="212" t="str">
        <f t="shared" si="210"/>
        <v/>
      </c>
      <c r="O232" s="1016" t="str">
        <f t="shared" si="211"/>
        <v/>
      </c>
      <c r="P232" s="1125" t="str">
        <f t="shared" si="212"/>
        <v/>
      </c>
      <c r="Q232" s="1016" t="str">
        <f t="shared" si="213"/>
        <v/>
      </c>
      <c r="R232" s="214" t="str">
        <f t="shared" si="214"/>
        <v/>
      </c>
      <c r="S232" s="1125" t="str">
        <f t="shared" si="215"/>
        <v/>
      </c>
      <c r="T232" s="236" t="str">
        <f t="shared" si="216"/>
        <v/>
      </c>
      <c r="W232" s="642" t="e">
        <f>INDEX('Barge Gauging Data'!$B$26:$V$56,MATCH($C232,'Barge Gauging Data'!$B$26:$B$56,0),$W$198)</f>
        <v>#N/A</v>
      </c>
      <c r="X232" s="642" t="e">
        <f>INDEX('Barge Gauging Data'!$B$26:$V$56,MATCH($C232,'Barge Gauging Data'!$B$26:$B$56,0),$X$198)</f>
        <v>#N/A</v>
      </c>
      <c r="Y232" s="642" t="e">
        <f>INDEX('Barge Gauging Data'!$B$26:$V$56,MATCH($C232,'Barge Gauging Data'!$B$26:$B$56,0),$Y$198)</f>
        <v>#N/A</v>
      </c>
      <c r="Z232" s="642" t="e">
        <f>INDEX('Barge Gauging Data'!$B$26:$V$56,MATCH($C232,'Barge Gauging Data'!$B$26:$B$56,0),$Z$198)</f>
        <v>#N/A</v>
      </c>
      <c r="AB232" s="642" t="e">
        <f>INDEX(API2DENST_2,MATCH($C232,'Barge Gauging Data'!$B$27:$B$56,0),1)</f>
        <v>#N/A</v>
      </c>
      <c r="AC232" s="642" t="e">
        <f t="shared" ref="AC232:AC301" si="218">((INT((AB232/(1.0001506*AB232-0.0012202))*10000)+0.5)/10000)</f>
        <v>#N/A</v>
      </c>
      <c r="AE232" s="661" t="e">
        <f t="shared" ref="AE232:AE301" si="219">ROUND(+M232/2*1000,0)*2</f>
        <v>#VALUE!</v>
      </c>
      <c r="AF232" s="661" t="e">
        <f t="shared" ref="AF232:AF301" si="220">ROUND(186.9696/(AE232*AE232)+(0.4862/AE232),8)</f>
        <v>#VALUE!</v>
      </c>
      <c r="AH232" s="662" t="str">
        <f t="shared" si="194"/>
        <v/>
      </c>
      <c r="AI232" s="662" t="str">
        <f t="shared" si="195"/>
        <v/>
      </c>
      <c r="AJ232" s="663">
        <f t="shared" ref="AJ232:AJ301" si="221">IF(AND(AI232&gt;=0,AI232&lt;=37),103.872,IF(AND(AI232&gt;=48,AI232&lt;=52),-0.0018684,IF(AND(AI232&gt;=37.1,AI232&lt;=47.9),330.301,IF(AND(AI232&gt;=52.1),192.4571))))</f>
        <v>192.4571</v>
      </c>
      <c r="AK232" s="660">
        <f t="shared" ref="AK232:AK301" si="222">IF(AND(AI232&gt;=0,AI232&lt;=37),0.2701,IF(AND(AI232&gt;=48,AJ232&lt;=52),1489.067,IF(AND(AI232&gt;=37.1,AI232&lt;=47.9),0,IF(AI232&gt;=52.1,0.2438))))</f>
        <v>0.24379999999999999</v>
      </c>
      <c r="AL232" s="660" t="e">
        <f t="shared" ref="AL232:AL301" si="223">ROUND(141360.198/(AI232+131.5),2)</f>
        <v>#VALUE!</v>
      </c>
      <c r="AM232" s="664" t="e">
        <f t="shared" ref="AM232:AM301" si="224">TRUNC(AJ232/AL232,8)</f>
        <v>#VALUE!</v>
      </c>
      <c r="AN232" s="664" t="e">
        <f t="shared" ref="AN232:AN301" si="225">TRUNC(AM232/AL232,10)</f>
        <v>#VALUE!</v>
      </c>
      <c r="AO232" s="665" t="e">
        <f t="shared" ref="AO232:AO301" si="226">TRUNC(AK232/AL232,10)</f>
        <v>#VALUE!</v>
      </c>
      <c r="AP232" s="666" t="e">
        <f t="shared" ref="AP232:AP301" si="227">IF(AND(AI232&gt;=48,AI232&lt;=52),ROUND(AW232+AJ232,7),ROUND(AN232+AO232,7))</f>
        <v>#VALUE!</v>
      </c>
      <c r="AQ232" s="660" t="e">
        <f t="shared" ref="AQ232:AQ301" si="228">AH232-60</f>
        <v>#VALUE!</v>
      </c>
      <c r="AR232" s="667" t="e">
        <f t="shared" ref="AR232:AR301" si="229">TRUNC(AP232*AQ232,8)</f>
        <v>#VALUE!</v>
      </c>
      <c r="AS232" s="667" t="e">
        <f t="shared" ref="AS232:AS301" si="230">TRUNC(0.8*AR232,8)</f>
        <v>#VALUE!</v>
      </c>
      <c r="AT232" s="668" t="e">
        <f t="shared" ref="AT232:AT301" si="231">TRUNC(0.8*AP232^2*AQ232^2,8)</f>
        <v>#VALUE!</v>
      </c>
      <c r="AU232" s="667" t="e">
        <f t="shared" ref="AU232:AU301" si="232">-AR232-AT232</f>
        <v>#VALUE!</v>
      </c>
      <c r="AV232" s="669" t="e">
        <f t="shared" ref="AV232:AV301" si="233">TRUNC(AK232/AL232,5)</f>
        <v>#VALUE!</v>
      </c>
      <c r="AW232" s="667" t="e">
        <f t="shared" ref="AW232:AW301" si="234">ROUND(AV232/AL232,8)</f>
        <v>#VALUE!</v>
      </c>
      <c r="AX232" s="667" t="e">
        <f t="shared" ref="AX232:AX301" si="235">ROUND(AW232+AJ232,8)</f>
        <v>#VALUE!</v>
      </c>
      <c r="AY232" s="660" t="e">
        <f t="shared" ref="AY232:AY301" si="236">IF(AND(AI232&gt;=48,AI232&lt;=52),AX232,AP232)</f>
        <v>#VALUE!</v>
      </c>
      <c r="AZ232" s="670" t="e">
        <f t="shared" ref="AZ232:AZ301" si="237">ROUND(EXP(AU232),5)</f>
        <v>#VALUE!</v>
      </c>
      <c r="BB232" s="662" t="e">
        <f>INDEX('Barge Gauging Data'!$B$26:$V$56,MATCH($C232,'Barge Gauging Data'!$B$26:$B$56,0),$BB$198)</f>
        <v>#N/A</v>
      </c>
      <c r="BC232" s="662" t="e">
        <f>INDEX('Barge Gauging Data'!$B$26:$V$56,MATCH($C232,'Barge Gauging Data'!$B$26:$B$56,0),$BC$198)</f>
        <v>#N/A</v>
      </c>
      <c r="BD232" s="662" t="e">
        <f>INDEX('Barge Gauging Data'!$B$26:$V$56,MATCH($C232,'Barge Gauging Data'!$B$26:$B$56,0),$BD$198)</f>
        <v>#N/A</v>
      </c>
      <c r="BE232" s="662" t="e">
        <f>INDEX('Barge Gauging Data'!$B$26:$V$56,MATCH($C232,'Barge Gauging Data'!$B$26:$B$56,0),$BE$198)</f>
        <v>#N/A</v>
      </c>
    </row>
    <row r="233" spans="1:57" hidden="1">
      <c r="A233" s="641" t="str">
        <f t="shared" si="217"/>
        <v>N</v>
      </c>
      <c r="C233" s="235" t="str">
        <f t="shared" si="203"/>
        <v/>
      </c>
      <c r="D233" s="211" t="str">
        <f t="shared" si="203"/>
        <v/>
      </c>
      <c r="E233" s="1016" t="str">
        <f t="shared" si="202"/>
        <v/>
      </c>
      <c r="F233" s="1016" t="str">
        <f t="shared" si="204"/>
        <v/>
      </c>
      <c r="G233" s="1016" t="str">
        <f t="shared" si="205"/>
        <v/>
      </c>
      <c r="H233" s="1016" t="str">
        <f t="shared" si="205"/>
        <v/>
      </c>
      <c r="I233" s="211" t="str">
        <f t="shared" si="206"/>
        <v/>
      </c>
      <c r="J233" s="1016" t="str">
        <f t="shared" si="207"/>
        <v/>
      </c>
      <c r="K233" s="213" t="str">
        <f t="shared" si="208"/>
        <v/>
      </c>
      <c r="L233" s="212" t="str">
        <f t="shared" si="209"/>
        <v/>
      </c>
      <c r="M233" s="1125" t="str">
        <f>IF(OR($C233="",$C233=0),"",INDEX(API2DENST_2,MATCH($C233,'Barge Gauging Data'!$B$27:$B$56,0),$AA$1))</f>
        <v/>
      </c>
      <c r="N233" s="212" t="str">
        <f t="shared" si="210"/>
        <v/>
      </c>
      <c r="O233" s="1016" t="str">
        <f t="shared" si="211"/>
        <v/>
      </c>
      <c r="P233" s="1125" t="str">
        <f t="shared" si="212"/>
        <v/>
      </c>
      <c r="Q233" s="1016" t="str">
        <f t="shared" si="213"/>
        <v/>
      </c>
      <c r="R233" s="214" t="str">
        <f t="shared" si="214"/>
        <v/>
      </c>
      <c r="S233" s="1125" t="str">
        <f t="shared" si="215"/>
        <v/>
      </c>
      <c r="T233" s="236" t="str">
        <f t="shared" si="216"/>
        <v/>
      </c>
      <c r="W233" s="642" t="e">
        <f>INDEX('Barge Gauging Data'!$B$26:$V$56,MATCH($C233,'Barge Gauging Data'!$B$26:$B$56,0),$W$198)</f>
        <v>#N/A</v>
      </c>
      <c r="X233" s="642" t="e">
        <f>INDEX('Barge Gauging Data'!$B$26:$V$56,MATCH($C233,'Barge Gauging Data'!$B$26:$B$56,0),$X$198)</f>
        <v>#N/A</v>
      </c>
      <c r="Y233" s="642" t="e">
        <f>INDEX('Barge Gauging Data'!$B$26:$V$56,MATCH($C233,'Barge Gauging Data'!$B$26:$B$56,0),$Y$198)</f>
        <v>#N/A</v>
      </c>
      <c r="Z233" s="642" t="e">
        <f>INDEX('Barge Gauging Data'!$B$26:$V$56,MATCH($C233,'Barge Gauging Data'!$B$26:$B$56,0),$Z$198)</f>
        <v>#N/A</v>
      </c>
      <c r="AB233" s="642" t="e">
        <f>INDEX(API2DENST_2,MATCH($C233,'Barge Gauging Data'!$B$27:$B$56,0),1)</f>
        <v>#N/A</v>
      </c>
      <c r="AC233" s="642" t="e">
        <f t="shared" si="218"/>
        <v>#N/A</v>
      </c>
      <c r="AE233" s="661" t="e">
        <f t="shared" si="219"/>
        <v>#VALUE!</v>
      </c>
      <c r="AF233" s="661" t="e">
        <f t="shared" si="220"/>
        <v>#VALUE!</v>
      </c>
      <c r="AH233" s="662" t="str">
        <f t="shared" si="194"/>
        <v/>
      </c>
      <c r="AI233" s="662" t="str">
        <f t="shared" si="195"/>
        <v/>
      </c>
      <c r="AJ233" s="663">
        <f t="shared" si="221"/>
        <v>192.4571</v>
      </c>
      <c r="AK233" s="660">
        <f t="shared" si="222"/>
        <v>0.24379999999999999</v>
      </c>
      <c r="AL233" s="660" t="e">
        <f t="shared" si="223"/>
        <v>#VALUE!</v>
      </c>
      <c r="AM233" s="664" t="e">
        <f t="shared" si="224"/>
        <v>#VALUE!</v>
      </c>
      <c r="AN233" s="664" t="e">
        <f t="shared" si="225"/>
        <v>#VALUE!</v>
      </c>
      <c r="AO233" s="665" t="e">
        <f t="shared" si="226"/>
        <v>#VALUE!</v>
      </c>
      <c r="AP233" s="666" t="e">
        <f t="shared" si="227"/>
        <v>#VALUE!</v>
      </c>
      <c r="AQ233" s="660" t="e">
        <f t="shared" si="228"/>
        <v>#VALUE!</v>
      </c>
      <c r="AR233" s="667" t="e">
        <f t="shared" si="229"/>
        <v>#VALUE!</v>
      </c>
      <c r="AS233" s="667" t="e">
        <f t="shared" si="230"/>
        <v>#VALUE!</v>
      </c>
      <c r="AT233" s="668" t="e">
        <f t="shared" si="231"/>
        <v>#VALUE!</v>
      </c>
      <c r="AU233" s="667" t="e">
        <f t="shared" si="232"/>
        <v>#VALUE!</v>
      </c>
      <c r="AV233" s="669" t="e">
        <f t="shared" si="233"/>
        <v>#VALUE!</v>
      </c>
      <c r="AW233" s="667" t="e">
        <f t="shared" si="234"/>
        <v>#VALUE!</v>
      </c>
      <c r="AX233" s="667" t="e">
        <f t="shared" si="235"/>
        <v>#VALUE!</v>
      </c>
      <c r="AY233" s="660" t="e">
        <f t="shared" si="236"/>
        <v>#VALUE!</v>
      </c>
      <c r="AZ233" s="670" t="e">
        <f t="shared" si="237"/>
        <v>#VALUE!</v>
      </c>
      <c r="BB233" s="662" t="e">
        <f>INDEX('Barge Gauging Data'!$B$26:$V$56,MATCH($C233,'Barge Gauging Data'!$B$26:$B$56,0),$BB$198)</f>
        <v>#N/A</v>
      </c>
      <c r="BC233" s="662" t="e">
        <f>INDEX('Barge Gauging Data'!$B$26:$V$56,MATCH($C233,'Barge Gauging Data'!$B$26:$B$56,0),$BC$198)</f>
        <v>#N/A</v>
      </c>
      <c r="BD233" s="662" t="e">
        <f>INDEX('Barge Gauging Data'!$B$26:$V$56,MATCH($C233,'Barge Gauging Data'!$B$26:$B$56,0),$BD$198)</f>
        <v>#N/A</v>
      </c>
      <c r="BE233" s="662" t="e">
        <f>INDEX('Barge Gauging Data'!$B$26:$V$56,MATCH($C233,'Barge Gauging Data'!$B$26:$B$56,0),$BE$198)</f>
        <v>#N/A</v>
      </c>
    </row>
    <row r="234" spans="1:57" hidden="1">
      <c r="A234" s="641" t="str">
        <f t="shared" si="217"/>
        <v>N</v>
      </c>
      <c r="C234" s="235" t="str">
        <f t="shared" si="203"/>
        <v/>
      </c>
      <c r="D234" s="211" t="str">
        <f t="shared" si="203"/>
        <v/>
      </c>
      <c r="E234" s="1016" t="str">
        <f t="shared" si="202"/>
        <v/>
      </c>
      <c r="F234" s="1016" t="str">
        <f t="shared" si="204"/>
        <v/>
      </c>
      <c r="G234" s="1016" t="str">
        <f t="shared" si="205"/>
        <v/>
      </c>
      <c r="H234" s="1016" t="str">
        <f t="shared" si="205"/>
        <v/>
      </c>
      <c r="I234" s="211" t="str">
        <f t="shared" si="206"/>
        <v/>
      </c>
      <c r="J234" s="1016" t="str">
        <f t="shared" si="207"/>
        <v/>
      </c>
      <c r="K234" s="213" t="str">
        <f t="shared" si="208"/>
        <v/>
      </c>
      <c r="L234" s="212" t="str">
        <f t="shared" si="209"/>
        <v/>
      </c>
      <c r="M234" s="1125" t="str">
        <f>IF(OR($C234="",$C234=0),"",INDEX(API2DENST_2,MATCH($C234,'Barge Gauging Data'!$B$27:$B$56,0),$AA$1))</f>
        <v/>
      </c>
      <c r="N234" s="212" t="str">
        <f t="shared" si="210"/>
        <v/>
      </c>
      <c r="O234" s="1016" t="str">
        <f t="shared" si="211"/>
        <v/>
      </c>
      <c r="P234" s="1125" t="str">
        <f t="shared" si="212"/>
        <v/>
      </c>
      <c r="Q234" s="1016" t="str">
        <f t="shared" si="213"/>
        <v/>
      </c>
      <c r="R234" s="214" t="str">
        <f t="shared" si="214"/>
        <v/>
      </c>
      <c r="S234" s="1125" t="str">
        <f t="shared" si="215"/>
        <v/>
      </c>
      <c r="T234" s="236" t="str">
        <f t="shared" si="216"/>
        <v/>
      </c>
      <c r="W234" s="642" t="e">
        <f>INDEX('Barge Gauging Data'!$B$26:$V$56,MATCH($C234,'Barge Gauging Data'!$B$26:$B$56,0),$W$198)</f>
        <v>#N/A</v>
      </c>
      <c r="X234" s="642" t="e">
        <f>INDEX('Barge Gauging Data'!$B$26:$V$56,MATCH($C234,'Barge Gauging Data'!$B$26:$B$56,0),$X$198)</f>
        <v>#N/A</v>
      </c>
      <c r="Y234" s="642" t="e">
        <f>INDEX('Barge Gauging Data'!$B$26:$V$56,MATCH($C234,'Barge Gauging Data'!$B$26:$B$56,0),$Y$198)</f>
        <v>#N/A</v>
      </c>
      <c r="Z234" s="642" t="e">
        <f>INDEX('Barge Gauging Data'!$B$26:$V$56,MATCH($C234,'Barge Gauging Data'!$B$26:$B$56,0),$Z$198)</f>
        <v>#N/A</v>
      </c>
      <c r="AB234" s="642" t="e">
        <f>INDEX(API2DENST_2,MATCH($C234,'Barge Gauging Data'!$B$27:$B$56,0),1)</f>
        <v>#N/A</v>
      </c>
      <c r="AC234" s="642" t="e">
        <f t="shared" si="218"/>
        <v>#N/A</v>
      </c>
      <c r="AE234" s="661" t="e">
        <f t="shared" si="219"/>
        <v>#VALUE!</v>
      </c>
      <c r="AF234" s="661" t="e">
        <f t="shared" si="220"/>
        <v>#VALUE!</v>
      </c>
      <c r="AH234" s="662" t="str">
        <f t="shared" si="194"/>
        <v/>
      </c>
      <c r="AI234" s="662" t="str">
        <f t="shared" si="195"/>
        <v/>
      </c>
      <c r="AJ234" s="663">
        <f t="shared" si="221"/>
        <v>192.4571</v>
      </c>
      <c r="AK234" s="660">
        <f t="shared" si="222"/>
        <v>0.24379999999999999</v>
      </c>
      <c r="AL234" s="660" t="e">
        <f t="shared" si="223"/>
        <v>#VALUE!</v>
      </c>
      <c r="AM234" s="664" t="e">
        <f t="shared" si="224"/>
        <v>#VALUE!</v>
      </c>
      <c r="AN234" s="664" t="e">
        <f t="shared" si="225"/>
        <v>#VALUE!</v>
      </c>
      <c r="AO234" s="665" t="e">
        <f t="shared" si="226"/>
        <v>#VALUE!</v>
      </c>
      <c r="AP234" s="666" t="e">
        <f t="shared" si="227"/>
        <v>#VALUE!</v>
      </c>
      <c r="AQ234" s="660" t="e">
        <f t="shared" si="228"/>
        <v>#VALUE!</v>
      </c>
      <c r="AR234" s="667" t="e">
        <f t="shared" si="229"/>
        <v>#VALUE!</v>
      </c>
      <c r="AS234" s="667" t="e">
        <f t="shared" si="230"/>
        <v>#VALUE!</v>
      </c>
      <c r="AT234" s="668" t="e">
        <f t="shared" si="231"/>
        <v>#VALUE!</v>
      </c>
      <c r="AU234" s="667" t="e">
        <f t="shared" si="232"/>
        <v>#VALUE!</v>
      </c>
      <c r="AV234" s="669" t="e">
        <f t="shared" si="233"/>
        <v>#VALUE!</v>
      </c>
      <c r="AW234" s="667" t="e">
        <f t="shared" si="234"/>
        <v>#VALUE!</v>
      </c>
      <c r="AX234" s="667" t="e">
        <f t="shared" si="235"/>
        <v>#VALUE!</v>
      </c>
      <c r="AY234" s="660" t="e">
        <f t="shared" si="236"/>
        <v>#VALUE!</v>
      </c>
      <c r="AZ234" s="670" t="e">
        <f t="shared" si="237"/>
        <v>#VALUE!</v>
      </c>
      <c r="BB234" s="662" t="e">
        <f>INDEX('Barge Gauging Data'!$B$26:$V$56,MATCH($C234,'Barge Gauging Data'!$B$26:$B$56,0),$BB$198)</f>
        <v>#N/A</v>
      </c>
      <c r="BC234" s="662" t="e">
        <f>INDEX('Barge Gauging Data'!$B$26:$V$56,MATCH($C234,'Barge Gauging Data'!$B$26:$B$56,0),$BC$198)</f>
        <v>#N/A</v>
      </c>
      <c r="BD234" s="662" t="e">
        <f>INDEX('Barge Gauging Data'!$B$26:$V$56,MATCH($C234,'Barge Gauging Data'!$B$26:$B$56,0),$BD$198)</f>
        <v>#N/A</v>
      </c>
      <c r="BE234" s="662" t="e">
        <f>INDEX('Barge Gauging Data'!$B$26:$V$56,MATCH($C234,'Barge Gauging Data'!$B$26:$B$56,0),$BE$198)</f>
        <v>#N/A</v>
      </c>
    </row>
    <row r="235" spans="1:57" hidden="1">
      <c r="A235" s="641" t="str">
        <f t="shared" si="217"/>
        <v>N</v>
      </c>
      <c r="C235" s="235" t="str">
        <f t="shared" si="203"/>
        <v/>
      </c>
      <c r="D235" s="211" t="str">
        <f t="shared" si="203"/>
        <v/>
      </c>
      <c r="E235" s="1016" t="str">
        <f t="shared" si="202"/>
        <v/>
      </c>
      <c r="F235" s="1016" t="str">
        <f t="shared" si="204"/>
        <v/>
      </c>
      <c r="G235" s="1016" t="str">
        <f t="shared" si="205"/>
        <v/>
      </c>
      <c r="H235" s="1016" t="str">
        <f t="shared" si="205"/>
        <v/>
      </c>
      <c r="I235" s="211" t="str">
        <f t="shared" si="206"/>
        <v/>
      </c>
      <c r="J235" s="1016" t="str">
        <f t="shared" si="207"/>
        <v/>
      </c>
      <c r="K235" s="213" t="str">
        <f t="shared" si="208"/>
        <v/>
      </c>
      <c r="L235" s="212" t="str">
        <f t="shared" si="209"/>
        <v/>
      </c>
      <c r="M235" s="1125" t="str">
        <f>IF(OR($C235="",$C235=0),"",INDEX(API2DENST_2,MATCH($C235,'Barge Gauging Data'!$B$27:$B$56,0),$AA$1))</f>
        <v/>
      </c>
      <c r="N235" s="212" t="str">
        <f t="shared" si="210"/>
        <v/>
      </c>
      <c r="O235" s="1016" t="str">
        <f t="shared" si="211"/>
        <v/>
      </c>
      <c r="P235" s="1125" t="str">
        <f t="shared" si="212"/>
        <v/>
      </c>
      <c r="Q235" s="1016" t="str">
        <f t="shared" si="213"/>
        <v/>
      </c>
      <c r="R235" s="214" t="str">
        <f t="shared" si="214"/>
        <v/>
      </c>
      <c r="S235" s="1125" t="str">
        <f t="shared" si="215"/>
        <v/>
      </c>
      <c r="T235" s="236" t="str">
        <f t="shared" si="216"/>
        <v/>
      </c>
      <c r="W235" s="642" t="e">
        <f>INDEX('Barge Gauging Data'!$B$26:$V$56,MATCH($C235,'Barge Gauging Data'!$B$26:$B$56,0),$W$198)</f>
        <v>#N/A</v>
      </c>
      <c r="X235" s="642" t="e">
        <f>INDEX('Barge Gauging Data'!$B$26:$V$56,MATCH($C235,'Barge Gauging Data'!$B$26:$B$56,0),$X$198)</f>
        <v>#N/A</v>
      </c>
      <c r="Y235" s="642" t="e">
        <f>INDEX('Barge Gauging Data'!$B$26:$V$56,MATCH($C235,'Barge Gauging Data'!$B$26:$B$56,0),$Y$198)</f>
        <v>#N/A</v>
      </c>
      <c r="Z235" s="642" t="e">
        <f>INDEX('Barge Gauging Data'!$B$26:$V$56,MATCH($C235,'Barge Gauging Data'!$B$26:$B$56,0),$Z$198)</f>
        <v>#N/A</v>
      </c>
      <c r="AB235" s="642" t="e">
        <f>INDEX(API2DENST_2,MATCH($C235,'Barge Gauging Data'!$B$27:$B$56,0),1)</f>
        <v>#N/A</v>
      </c>
      <c r="AC235" s="642" t="e">
        <f t="shared" si="218"/>
        <v>#N/A</v>
      </c>
      <c r="AE235" s="661" t="e">
        <f t="shared" si="219"/>
        <v>#VALUE!</v>
      </c>
      <c r="AF235" s="661" t="e">
        <f t="shared" si="220"/>
        <v>#VALUE!</v>
      </c>
      <c r="AH235" s="662" t="str">
        <f t="shared" si="194"/>
        <v/>
      </c>
      <c r="AI235" s="662" t="str">
        <f t="shared" si="195"/>
        <v/>
      </c>
      <c r="AJ235" s="663">
        <f t="shared" si="221"/>
        <v>192.4571</v>
      </c>
      <c r="AK235" s="660">
        <f t="shared" si="222"/>
        <v>0.24379999999999999</v>
      </c>
      <c r="AL235" s="660" t="e">
        <f t="shared" si="223"/>
        <v>#VALUE!</v>
      </c>
      <c r="AM235" s="664" t="e">
        <f t="shared" si="224"/>
        <v>#VALUE!</v>
      </c>
      <c r="AN235" s="664" t="e">
        <f t="shared" si="225"/>
        <v>#VALUE!</v>
      </c>
      <c r="AO235" s="665" t="e">
        <f t="shared" si="226"/>
        <v>#VALUE!</v>
      </c>
      <c r="AP235" s="666" t="e">
        <f t="shared" si="227"/>
        <v>#VALUE!</v>
      </c>
      <c r="AQ235" s="660" t="e">
        <f t="shared" si="228"/>
        <v>#VALUE!</v>
      </c>
      <c r="AR235" s="667" t="e">
        <f t="shared" si="229"/>
        <v>#VALUE!</v>
      </c>
      <c r="AS235" s="667" t="e">
        <f t="shared" si="230"/>
        <v>#VALUE!</v>
      </c>
      <c r="AT235" s="668" t="e">
        <f t="shared" si="231"/>
        <v>#VALUE!</v>
      </c>
      <c r="AU235" s="667" t="e">
        <f t="shared" si="232"/>
        <v>#VALUE!</v>
      </c>
      <c r="AV235" s="669" t="e">
        <f t="shared" si="233"/>
        <v>#VALUE!</v>
      </c>
      <c r="AW235" s="667" t="e">
        <f t="shared" si="234"/>
        <v>#VALUE!</v>
      </c>
      <c r="AX235" s="667" t="e">
        <f t="shared" si="235"/>
        <v>#VALUE!</v>
      </c>
      <c r="AY235" s="660" t="e">
        <f t="shared" si="236"/>
        <v>#VALUE!</v>
      </c>
      <c r="AZ235" s="670" t="e">
        <f t="shared" si="237"/>
        <v>#VALUE!</v>
      </c>
      <c r="BB235" s="662" t="e">
        <f>INDEX('Barge Gauging Data'!$B$26:$V$56,MATCH($C235,'Barge Gauging Data'!$B$26:$B$56,0),$BB$198)</f>
        <v>#N/A</v>
      </c>
      <c r="BC235" s="662" t="e">
        <f>INDEX('Barge Gauging Data'!$B$26:$V$56,MATCH($C235,'Barge Gauging Data'!$B$26:$B$56,0),$BC$198)</f>
        <v>#N/A</v>
      </c>
      <c r="BD235" s="662" t="e">
        <f>INDEX('Barge Gauging Data'!$B$26:$V$56,MATCH($C235,'Barge Gauging Data'!$B$26:$B$56,0),$BD$198)</f>
        <v>#N/A</v>
      </c>
      <c r="BE235" s="662" t="e">
        <f>INDEX('Barge Gauging Data'!$B$26:$V$56,MATCH($C235,'Barge Gauging Data'!$B$26:$B$56,0),$BE$198)</f>
        <v>#N/A</v>
      </c>
    </row>
    <row r="236" spans="1:57" hidden="1">
      <c r="A236" s="641" t="str">
        <f t="shared" si="217"/>
        <v>N</v>
      </c>
      <c r="C236" s="235" t="str">
        <f t="shared" si="203"/>
        <v/>
      </c>
      <c r="D236" s="211" t="str">
        <f t="shared" si="203"/>
        <v/>
      </c>
      <c r="E236" s="1016" t="str">
        <f t="shared" si="202"/>
        <v/>
      </c>
      <c r="F236" s="1016" t="str">
        <f t="shared" si="204"/>
        <v/>
      </c>
      <c r="G236" s="1016" t="str">
        <f t="shared" si="205"/>
        <v/>
      </c>
      <c r="H236" s="1016" t="str">
        <f t="shared" si="205"/>
        <v/>
      </c>
      <c r="I236" s="211" t="str">
        <f t="shared" si="206"/>
        <v/>
      </c>
      <c r="J236" s="1016" t="str">
        <f t="shared" si="207"/>
        <v/>
      </c>
      <c r="K236" s="213" t="str">
        <f t="shared" si="208"/>
        <v/>
      </c>
      <c r="L236" s="212" t="str">
        <f t="shared" si="209"/>
        <v/>
      </c>
      <c r="M236" s="1125" t="str">
        <f>IF(OR($C236="",$C236=0),"",INDEX(API2DENST_2,MATCH($C236,'Barge Gauging Data'!$B$27:$B$56,0),$AA$1))</f>
        <v/>
      </c>
      <c r="N236" s="212" t="str">
        <f t="shared" si="210"/>
        <v/>
      </c>
      <c r="O236" s="1016" t="str">
        <f t="shared" si="211"/>
        <v/>
      </c>
      <c r="P236" s="1125" t="str">
        <f t="shared" si="212"/>
        <v/>
      </c>
      <c r="Q236" s="1016" t="str">
        <f t="shared" si="213"/>
        <v/>
      </c>
      <c r="R236" s="214" t="str">
        <f t="shared" si="214"/>
        <v/>
      </c>
      <c r="S236" s="1125" t="str">
        <f t="shared" si="215"/>
        <v/>
      </c>
      <c r="T236" s="236" t="str">
        <f t="shared" si="216"/>
        <v/>
      </c>
      <c r="W236" s="642" t="e">
        <f>INDEX('Barge Gauging Data'!$B$26:$V$56,MATCH($C236,'Barge Gauging Data'!$B$26:$B$56,0),$W$198)</f>
        <v>#N/A</v>
      </c>
      <c r="X236" s="642" t="e">
        <f>INDEX('Barge Gauging Data'!$B$26:$V$56,MATCH($C236,'Barge Gauging Data'!$B$26:$B$56,0),$X$198)</f>
        <v>#N/A</v>
      </c>
      <c r="Y236" s="642" t="e">
        <f>INDEX('Barge Gauging Data'!$B$26:$V$56,MATCH($C236,'Barge Gauging Data'!$B$26:$B$56,0),$Y$198)</f>
        <v>#N/A</v>
      </c>
      <c r="Z236" s="642" t="e">
        <f>INDEX('Barge Gauging Data'!$B$26:$V$56,MATCH($C236,'Barge Gauging Data'!$B$26:$B$56,0),$Z$198)</f>
        <v>#N/A</v>
      </c>
      <c r="AB236" s="642" t="e">
        <f>INDEX(API2DENST_2,MATCH($C236,'Barge Gauging Data'!$B$27:$B$56,0),1)</f>
        <v>#N/A</v>
      </c>
      <c r="AC236" s="642" t="e">
        <f t="shared" si="218"/>
        <v>#N/A</v>
      </c>
      <c r="AE236" s="661" t="e">
        <f t="shared" si="219"/>
        <v>#VALUE!</v>
      </c>
      <c r="AF236" s="661" t="e">
        <f t="shared" si="220"/>
        <v>#VALUE!</v>
      </c>
      <c r="AH236" s="662" t="str">
        <f t="shared" si="194"/>
        <v/>
      </c>
      <c r="AI236" s="662" t="str">
        <f t="shared" si="195"/>
        <v/>
      </c>
      <c r="AJ236" s="663">
        <f t="shared" si="221"/>
        <v>192.4571</v>
      </c>
      <c r="AK236" s="660">
        <f t="shared" si="222"/>
        <v>0.24379999999999999</v>
      </c>
      <c r="AL236" s="660" t="e">
        <f t="shared" si="223"/>
        <v>#VALUE!</v>
      </c>
      <c r="AM236" s="664" t="e">
        <f t="shared" si="224"/>
        <v>#VALUE!</v>
      </c>
      <c r="AN236" s="664" t="e">
        <f t="shared" si="225"/>
        <v>#VALUE!</v>
      </c>
      <c r="AO236" s="665" t="e">
        <f t="shared" si="226"/>
        <v>#VALUE!</v>
      </c>
      <c r="AP236" s="666" t="e">
        <f t="shared" si="227"/>
        <v>#VALUE!</v>
      </c>
      <c r="AQ236" s="660" t="e">
        <f t="shared" si="228"/>
        <v>#VALUE!</v>
      </c>
      <c r="AR236" s="667" t="e">
        <f t="shared" si="229"/>
        <v>#VALUE!</v>
      </c>
      <c r="AS236" s="667" t="e">
        <f t="shared" si="230"/>
        <v>#VALUE!</v>
      </c>
      <c r="AT236" s="668" t="e">
        <f t="shared" si="231"/>
        <v>#VALUE!</v>
      </c>
      <c r="AU236" s="667" t="e">
        <f t="shared" si="232"/>
        <v>#VALUE!</v>
      </c>
      <c r="AV236" s="669" t="e">
        <f t="shared" si="233"/>
        <v>#VALUE!</v>
      </c>
      <c r="AW236" s="667" t="e">
        <f t="shared" si="234"/>
        <v>#VALUE!</v>
      </c>
      <c r="AX236" s="667" t="e">
        <f t="shared" si="235"/>
        <v>#VALUE!</v>
      </c>
      <c r="AY236" s="660" t="e">
        <f t="shared" si="236"/>
        <v>#VALUE!</v>
      </c>
      <c r="AZ236" s="670" t="e">
        <f t="shared" si="237"/>
        <v>#VALUE!</v>
      </c>
      <c r="BB236" s="662" t="e">
        <f>INDEX('Barge Gauging Data'!$B$26:$V$56,MATCH($C236,'Barge Gauging Data'!$B$26:$B$56,0),$BB$198)</f>
        <v>#N/A</v>
      </c>
      <c r="BC236" s="662" t="e">
        <f>INDEX('Barge Gauging Data'!$B$26:$V$56,MATCH($C236,'Barge Gauging Data'!$B$26:$B$56,0),$BC$198)</f>
        <v>#N/A</v>
      </c>
      <c r="BD236" s="662" t="e">
        <f>INDEX('Barge Gauging Data'!$B$26:$V$56,MATCH($C236,'Barge Gauging Data'!$B$26:$B$56,0),$BD$198)</f>
        <v>#N/A</v>
      </c>
      <c r="BE236" s="662" t="e">
        <f>INDEX('Barge Gauging Data'!$B$26:$V$56,MATCH($C236,'Barge Gauging Data'!$B$26:$B$56,0),$BE$198)</f>
        <v>#N/A</v>
      </c>
    </row>
    <row r="237" spans="1:57" hidden="1">
      <c r="A237" s="641" t="str">
        <f t="shared" si="217"/>
        <v>N</v>
      </c>
      <c r="C237" s="235" t="str">
        <f t="shared" si="203"/>
        <v/>
      </c>
      <c r="D237" s="211" t="str">
        <f t="shared" si="203"/>
        <v/>
      </c>
      <c r="E237" s="1016" t="str">
        <f t="shared" si="202"/>
        <v/>
      </c>
      <c r="F237" s="1016" t="str">
        <f t="shared" si="204"/>
        <v/>
      </c>
      <c r="G237" s="1016" t="str">
        <f t="shared" si="205"/>
        <v/>
      </c>
      <c r="H237" s="1016" t="str">
        <f t="shared" si="205"/>
        <v/>
      </c>
      <c r="I237" s="211" t="str">
        <f t="shared" si="206"/>
        <v/>
      </c>
      <c r="J237" s="1016" t="str">
        <f t="shared" si="207"/>
        <v/>
      </c>
      <c r="K237" s="213" t="str">
        <f t="shared" si="208"/>
        <v/>
      </c>
      <c r="L237" s="212" t="str">
        <f t="shared" si="209"/>
        <v/>
      </c>
      <c r="M237" s="1125" t="str">
        <f>IF(OR($C237="",$C237=0),"",INDEX(API2DENST_2,MATCH($C237,'Barge Gauging Data'!$B$27:$B$56,0),$AA$1))</f>
        <v/>
      </c>
      <c r="N237" s="212" t="str">
        <f t="shared" si="210"/>
        <v/>
      </c>
      <c r="O237" s="1016" t="str">
        <f t="shared" si="211"/>
        <v/>
      </c>
      <c r="P237" s="1125" t="str">
        <f t="shared" si="212"/>
        <v/>
      </c>
      <c r="Q237" s="1016" t="str">
        <f t="shared" si="213"/>
        <v/>
      </c>
      <c r="R237" s="214" t="str">
        <f t="shared" si="214"/>
        <v/>
      </c>
      <c r="S237" s="1125" t="str">
        <f t="shared" si="215"/>
        <v/>
      </c>
      <c r="T237" s="236" t="str">
        <f t="shared" si="216"/>
        <v/>
      </c>
      <c r="W237" s="642" t="e">
        <f>INDEX('Barge Gauging Data'!$B$26:$V$56,MATCH($C237,'Barge Gauging Data'!$B$26:$B$56,0),$W$198)</f>
        <v>#N/A</v>
      </c>
      <c r="X237" s="642" t="e">
        <f>INDEX('Barge Gauging Data'!$B$26:$V$56,MATCH($C237,'Barge Gauging Data'!$B$26:$B$56,0),$X$198)</f>
        <v>#N/A</v>
      </c>
      <c r="Y237" s="642" t="e">
        <f>INDEX('Barge Gauging Data'!$B$26:$V$56,MATCH($C237,'Barge Gauging Data'!$B$26:$B$56,0),$Y$198)</f>
        <v>#N/A</v>
      </c>
      <c r="Z237" s="642" t="e">
        <f>INDEX('Barge Gauging Data'!$B$26:$V$56,MATCH($C237,'Barge Gauging Data'!$B$26:$B$56,0),$Z$198)</f>
        <v>#N/A</v>
      </c>
      <c r="AB237" s="642" t="e">
        <f>INDEX(API2DENST_2,MATCH($C237,'Barge Gauging Data'!$B$27:$B$56,0),1)</f>
        <v>#N/A</v>
      </c>
      <c r="AC237" s="642" t="e">
        <f t="shared" si="218"/>
        <v>#N/A</v>
      </c>
      <c r="AE237" s="661" t="e">
        <f t="shared" si="219"/>
        <v>#VALUE!</v>
      </c>
      <c r="AF237" s="661" t="e">
        <f t="shared" si="220"/>
        <v>#VALUE!</v>
      </c>
      <c r="AH237" s="662" t="str">
        <f t="shared" si="194"/>
        <v/>
      </c>
      <c r="AI237" s="662" t="str">
        <f t="shared" si="195"/>
        <v/>
      </c>
      <c r="AJ237" s="663">
        <f t="shared" si="221"/>
        <v>192.4571</v>
      </c>
      <c r="AK237" s="660">
        <f t="shared" si="222"/>
        <v>0.24379999999999999</v>
      </c>
      <c r="AL237" s="660" t="e">
        <f t="shared" si="223"/>
        <v>#VALUE!</v>
      </c>
      <c r="AM237" s="664" t="e">
        <f t="shared" si="224"/>
        <v>#VALUE!</v>
      </c>
      <c r="AN237" s="664" t="e">
        <f t="shared" si="225"/>
        <v>#VALUE!</v>
      </c>
      <c r="AO237" s="665" t="e">
        <f t="shared" si="226"/>
        <v>#VALUE!</v>
      </c>
      <c r="AP237" s="666" t="e">
        <f t="shared" si="227"/>
        <v>#VALUE!</v>
      </c>
      <c r="AQ237" s="660" t="e">
        <f t="shared" si="228"/>
        <v>#VALUE!</v>
      </c>
      <c r="AR237" s="667" t="e">
        <f t="shared" si="229"/>
        <v>#VALUE!</v>
      </c>
      <c r="AS237" s="667" t="e">
        <f t="shared" si="230"/>
        <v>#VALUE!</v>
      </c>
      <c r="AT237" s="668" t="e">
        <f t="shared" si="231"/>
        <v>#VALUE!</v>
      </c>
      <c r="AU237" s="667" t="e">
        <f t="shared" si="232"/>
        <v>#VALUE!</v>
      </c>
      <c r="AV237" s="669" t="e">
        <f t="shared" si="233"/>
        <v>#VALUE!</v>
      </c>
      <c r="AW237" s="667" t="e">
        <f t="shared" si="234"/>
        <v>#VALUE!</v>
      </c>
      <c r="AX237" s="667" t="e">
        <f t="shared" si="235"/>
        <v>#VALUE!</v>
      </c>
      <c r="AY237" s="660" t="e">
        <f t="shared" si="236"/>
        <v>#VALUE!</v>
      </c>
      <c r="AZ237" s="670" t="e">
        <f t="shared" si="237"/>
        <v>#VALUE!</v>
      </c>
      <c r="BB237" s="662" t="e">
        <f>INDEX('Barge Gauging Data'!$B$26:$V$56,MATCH($C237,'Barge Gauging Data'!$B$26:$B$56,0),$BB$198)</f>
        <v>#N/A</v>
      </c>
      <c r="BC237" s="662" t="e">
        <f>INDEX('Barge Gauging Data'!$B$26:$V$56,MATCH($C237,'Barge Gauging Data'!$B$26:$B$56,0),$BC$198)</f>
        <v>#N/A</v>
      </c>
      <c r="BD237" s="662" t="e">
        <f>INDEX('Barge Gauging Data'!$B$26:$V$56,MATCH($C237,'Barge Gauging Data'!$B$26:$B$56,0),$BD$198)</f>
        <v>#N/A</v>
      </c>
      <c r="BE237" s="662" t="e">
        <f>INDEX('Barge Gauging Data'!$B$26:$V$56,MATCH($C237,'Barge Gauging Data'!$B$26:$B$56,0),$BE$198)</f>
        <v>#N/A</v>
      </c>
    </row>
    <row r="238" spans="1:57" hidden="1">
      <c r="A238" s="641" t="str">
        <f t="shared" si="217"/>
        <v>N</v>
      </c>
      <c r="C238" s="235" t="str">
        <f t="shared" si="203"/>
        <v/>
      </c>
      <c r="D238" s="211" t="str">
        <f t="shared" si="203"/>
        <v/>
      </c>
      <c r="E238" s="1016" t="str">
        <f t="shared" si="202"/>
        <v/>
      </c>
      <c r="F238" s="1016" t="str">
        <f t="shared" si="204"/>
        <v/>
      </c>
      <c r="G238" s="1016" t="str">
        <f t="shared" si="205"/>
        <v/>
      </c>
      <c r="H238" s="1016" t="str">
        <f t="shared" si="205"/>
        <v/>
      </c>
      <c r="I238" s="211" t="str">
        <f t="shared" si="206"/>
        <v/>
      </c>
      <c r="J238" s="1016" t="str">
        <f t="shared" si="207"/>
        <v/>
      </c>
      <c r="K238" s="213" t="str">
        <f t="shared" si="208"/>
        <v/>
      </c>
      <c r="L238" s="212" t="str">
        <f t="shared" si="209"/>
        <v/>
      </c>
      <c r="M238" s="1125" t="str">
        <f>IF(OR($C238="",$C238=0),"",INDEX(API2DENST_2,MATCH($C238,'Barge Gauging Data'!$B$27:$B$56,0),$AA$1))</f>
        <v/>
      </c>
      <c r="N238" s="212" t="str">
        <f t="shared" si="210"/>
        <v/>
      </c>
      <c r="O238" s="1016" t="str">
        <f t="shared" si="211"/>
        <v/>
      </c>
      <c r="P238" s="1125" t="str">
        <f t="shared" si="212"/>
        <v/>
      </c>
      <c r="Q238" s="1016" t="str">
        <f t="shared" si="213"/>
        <v/>
      </c>
      <c r="R238" s="214" t="str">
        <f t="shared" si="214"/>
        <v/>
      </c>
      <c r="S238" s="1125" t="str">
        <f t="shared" si="215"/>
        <v/>
      </c>
      <c r="T238" s="236" t="str">
        <f t="shared" si="216"/>
        <v/>
      </c>
      <c r="W238" s="642" t="e">
        <f>INDEX('Barge Gauging Data'!$B$26:$V$56,MATCH($C238,'Barge Gauging Data'!$B$26:$B$56,0),$W$198)</f>
        <v>#N/A</v>
      </c>
      <c r="X238" s="642" t="e">
        <f>INDEX('Barge Gauging Data'!$B$26:$V$56,MATCH($C238,'Barge Gauging Data'!$B$26:$B$56,0),$X$198)</f>
        <v>#N/A</v>
      </c>
      <c r="Y238" s="642" t="e">
        <f>INDEX('Barge Gauging Data'!$B$26:$V$56,MATCH($C238,'Barge Gauging Data'!$B$26:$B$56,0),$Y$198)</f>
        <v>#N/A</v>
      </c>
      <c r="Z238" s="642" t="e">
        <f>INDEX('Barge Gauging Data'!$B$26:$V$56,MATCH($C238,'Barge Gauging Data'!$B$26:$B$56,0),$Z$198)</f>
        <v>#N/A</v>
      </c>
      <c r="AB238" s="642" t="e">
        <f>INDEX(API2DENST_2,MATCH($C238,'Barge Gauging Data'!$B$27:$B$56,0),1)</f>
        <v>#N/A</v>
      </c>
      <c r="AC238" s="642" t="e">
        <f t="shared" si="218"/>
        <v>#N/A</v>
      </c>
      <c r="AE238" s="661" t="e">
        <f t="shared" si="219"/>
        <v>#VALUE!</v>
      </c>
      <c r="AF238" s="661" t="e">
        <f t="shared" si="220"/>
        <v>#VALUE!</v>
      </c>
      <c r="AH238" s="662" t="str">
        <f t="shared" si="194"/>
        <v/>
      </c>
      <c r="AI238" s="662" t="str">
        <f t="shared" si="195"/>
        <v/>
      </c>
      <c r="AJ238" s="663">
        <f t="shared" si="221"/>
        <v>192.4571</v>
      </c>
      <c r="AK238" s="660">
        <f t="shared" si="222"/>
        <v>0.24379999999999999</v>
      </c>
      <c r="AL238" s="660" t="e">
        <f t="shared" si="223"/>
        <v>#VALUE!</v>
      </c>
      <c r="AM238" s="664" t="e">
        <f t="shared" si="224"/>
        <v>#VALUE!</v>
      </c>
      <c r="AN238" s="664" t="e">
        <f t="shared" si="225"/>
        <v>#VALUE!</v>
      </c>
      <c r="AO238" s="665" t="e">
        <f t="shared" si="226"/>
        <v>#VALUE!</v>
      </c>
      <c r="AP238" s="666" t="e">
        <f t="shared" si="227"/>
        <v>#VALUE!</v>
      </c>
      <c r="AQ238" s="660" t="e">
        <f t="shared" si="228"/>
        <v>#VALUE!</v>
      </c>
      <c r="AR238" s="667" t="e">
        <f t="shared" si="229"/>
        <v>#VALUE!</v>
      </c>
      <c r="AS238" s="667" t="e">
        <f t="shared" si="230"/>
        <v>#VALUE!</v>
      </c>
      <c r="AT238" s="668" t="e">
        <f t="shared" si="231"/>
        <v>#VALUE!</v>
      </c>
      <c r="AU238" s="667" t="e">
        <f t="shared" si="232"/>
        <v>#VALUE!</v>
      </c>
      <c r="AV238" s="669" t="e">
        <f t="shared" si="233"/>
        <v>#VALUE!</v>
      </c>
      <c r="AW238" s="667" t="e">
        <f t="shared" si="234"/>
        <v>#VALUE!</v>
      </c>
      <c r="AX238" s="667" t="e">
        <f t="shared" si="235"/>
        <v>#VALUE!</v>
      </c>
      <c r="AY238" s="660" t="e">
        <f t="shared" si="236"/>
        <v>#VALUE!</v>
      </c>
      <c r="AZ238" s="670" t="e">
        <f t="shared" si="237"/>
        <v>#VALUE!</v>
      </c>
      <c r="BB238" s="662" t="e">
        <f>INDEX('Barge Gauging Data'!$B$26:$V$56,MATCH($C238,'Barge Gauging Data'!$B$26:$B$56,0),$BB$198)</f>
        <v>#N/A</v>
      </c>
      <c r="BC238" s="662" t="e">
        <f>INDEX('Barge Gauging Data'!$B$26:$V$56,MATCH($C238,'Barge Gauging Data'!$B$26:$B$56,0),$BC$198)</f>
        <v>#N/A</v>
      </c>
      <c r="BD238" s="662" t="e">
        <f>INDEX('Barge Gauging Data'!$B$26:$V$56,MATCH($C238,'Barge Gauging Data'!$B$26:$B$56,0),$BD$198)</f>
        <v>#N/A</v>
      </c>
      <c r="BE238" s="662" t="e">
        <f>INDEX('Barge Gauging Data'!$B$26:$V$56,MATCH($C238,'Barge Gauging Data'!$B$26:$B$56,0),$BE$198)</f>
        <v>#N/A</v>
      </c>
    </row>
    <row r="239" spans="1:57" hidden="1">
      <c r="A239" s="641" t="str">
        <f t="shared" si="217"/>
        <v>N</v>
      </c>
      <c r="C239" s="235" t="str">
        <f t="shared" si="203"/>
        <v/>
      </c>
      <c r="D239" s="211" t="str">
        <f t="shared" si="203"/>
        <v/>
      </c>
      <c r="E239" s="1016" t="str">
        <f t="shared" si="202"/>
        <v/>
      </c>
      <c r="F239" s="1016" t="str">
        <f t="shared" si="204"/>
        <v/>
      </c>
      <c r="G239" s="1016" t="str">
        <f t="shared" si="205"/>
        <v/>
      </c>
      <c r="H239" s="1016" t="str">
        <f t="shared" si="205"/>
        <v/>
      </c>
      <c r="I239" s="211" t="str">
        <f t="shared" si="206"/>
        <v/>
      </c>
      <c r="J239" s="1016" t="str">
        <f t="shared" si="207"/>
        <v/>
      </c>
      <c r="K239" s="213" t="str">
        <f t="shared" si="208"/>
        <v/>
      </c>
      <c r="L239" s="212" t="str">
        <f t="shared" si="209"/>
        <v/>
      </c>
      <c r="M239" s="1125" t="str">
        <f>IF(OR($C239="",$C239=0),"",INDEX(API2DENST_2,MATCH($C239,'Barge Gauging Data'!$B$27:$B$56,0),$AA$1))</f>
        <v/>
      </c>
      <c r="N239" s="212" t="str">
        <f t="shared" si="210"/>
        <v/>
      </c>
      <c r="O239" s="1016" t="str">
        <f t="shared" si="211"/>
        <v/>
      </c>
      <c r="P239" s="1125" t="str">
        <f t="shared" si="212"/>
        <v/>
      </c>
      <c r="Q239" s="1016" t="str">
        <f t="shared" si="213"/>
        <v/>
      </c>
      <c r="R239" s="214" t="str">
        <f t="shared" si="214"/>
        <v/>
      </c>
      <c r="S239" s="1125" t="str">
        <f t="shared" si="215"/>
        <v/>
      </c>
      <c r="T239" s="236" t="str">
        <f t="shared" si="216"/>
        <v/>
      </c>
      <c r="W239" s="642" t="e">
        <f>INDEX('Barge Gauging Data'!$B$26:$V$56,MATCH($C239,'Barge Gauging Data'!$B$26:$B$56,0),$W$198)</f>
        <v>#N/A</v>
      </c>
      <c r="X239" s="642" t="e">
        <f>INDEX('Barge Gauging Data'!$B$26:$V$56,MATCH($C239,'Barge Gauging Data'!$B$26:$B$56,0),$X$198)</f>
        <v>#N/A</v>
      </c>
      <c r="Y239" s="642" t="e">
        <f>INDEX('Barge Gauging Data'!$B$26:$V$56,MATCH($C239,'Barge Gauging Data'!$B$26:$B$56,0),$Y$198)</f>
        <v>#N/A</v>
      </c>
      <c r="Z239" s="642" t="e">
        <f>INDEX('Barge Gauging Data'!$B$26:$V$56,MATCH($C239,'Barge Gauging Data'!$B$26:$B$56,0),$Z$198)</f>
        <v>#N/A</v>
      </c>
      <c r="AB239" s="642" t="e">
        <f>INDEX(API2DENST_2,MATCH($C239,'Barge Gauging Data'!$B$27:$B$56,0),1)</f>
        <v>#N/A</v>
      </c>
      <c r="AC239" s="642" t="e">
        <f t="shared" si="218"/>
        <v>#N/A</v>
      </c>
      <c r="AE239" s="661" t="e">
        <f t="shared" si="219"/>
        <v>#VALUE!</v>
      </c>
      <c r="AF239" s="661" t="e">
        <f t="shared" si="220"/>
        <v>#VALUE!</v>
      </c>
      <c r="AH239" s="662" t="str">
        <f t="shared" si="194"/>
        <v/>
      </c>
      <c r="AI239" s="662" t="str">
        <f t="shared" si="195"/>
        <v/>
      </c>
      <c r="AJ239" s="663">
        <f t="shared" si="221"/>
        <v>192.4571</v>
      </c>
      <c r="AK239" s="660">
        <f t="shared" si="222"/>
        <v>0.24379999999999999</v>
      </c>
      <c r="AL239" s="660" t="e">
        <f t="shared" si="223"/>
        <v>#VALUE!</v>
      </c>
      <c r="AM239" s="664" t="e">
        <f t="shared" si="224"/>
        <v>#VALUE!</v>
      </c>
      <c r="AN239" s="664" t="e">
        <f t="shared" si="225"/>
        <v>#VALUE!</v>
      </c>
      <c r="AO239" s="665" t="e">
        <f t="shared" si="226"/>
        <v>#VALUE!</v>
      </c>
      <c r="AP239" s="666" t="e">
        <f t="shared" si="227"/>
        <v>#VALUE!</v>
      </c>
      <c r="AQ239" s="660" t="e">
        <f t="shared" si="228"/>
        <v>#VALUE!</v>
      </c>
      <c r="AR239" s="667" t="e">
        <f t="shared" si="229"/>
        <v>#VALUE!</v>
      </c>
      <c r="AS239" s="667" t="e">
        <f t="shared" si="230"/>
        <v>#VALUE!</v>
      </c>
      <c r="AT239" s="668" t="e">
        <f t="shared" si="231"/>
        <v>#VALUE!</v>
      </c>
      <c r="AU239" s="667" t="e">
        <f t="shared" si="232"/>
        <v>#VALUE!</v>
      </c>
      <c r="AV239" s="669" t="e">
        <f t="shared" si="233"/>
        <v>#VALUE!</v>
      </c>
      <c r="AW239" s="667" t="e">
        <f t="shared" si="234"/>
        <v>#VALUE!</v>
      </c>
      <c r="AX239" s="667" t="e">
        <f t="shared" si="235"/>
        <v>#VALUE!</v>
      </c>
      <c r="AY239" s="660" t="e">
        <f t="shared" si="236"/>
        <v>#VALUE!</v>
      </c>
      <c r="AZ239" s="670" t="e">
        <f t="shared" si="237"/>
        <v>#VALUE!</v>
      </c>
      <c r="BB239" s="662" t="e">
        <f>INDEX('Barge Gauging Data'!$B$26:$V$56,MATCH($C239,'Barge Gauging Data'!$B$26:$B$56,0),$BB$198)</f>
        <v>#N/A</v>
      </c>
      <c r="BC239" s="662" t="e">
        <f>INDEX('Barge Gauging Data'!$B$26:$V$56,MATCH($C239,'Barge Gauging Data'!$B$26:$B$56,0),$BC$198)</f>
        <v>#N/A</v>
      </c>
      <c r="BD239" s="662" t="e">
        <f>INDEX('Barge Gauging Data'!$B$26:$V$56,MATCH($C239,'Barge Gauging Data'!$B$26:$B$56,0),$BD$198)</f>
        <v>#N/A</v>
      </c>
      <c r="BE239" s="662" t="e">
        <f>INDEX('Barge Gauging Data'!$B$26:$V$56,MATCH($C239,'Barge Gauging Data'!$B$26:$B$56,0),$BE$198)</f>
        <v>#N/A</v>
      </c>
    </row>
    <row r="240" spans="1:57" hidden="1">
      <c r="A240" s="641" t="str">
        <f t="shared" si="217"/>
        <v>N</v>
      </c>
      <c r="C240" s="235" t="str">
        <f t="shared" si="203"/>
        <v/>
      </c>
      <c r="D240" s="211" t="str">
        <f t="shared" si="203"/>
        <v/>
      </c>
      <c r="E240" s="1016" t="str">
        <f t="shared" si="202"/>
        <v/>
      </c>
      <c r="F240" s="1016" t="str">
        <f t="shared" si="204"/>
        <v/>
      </c>
      <c r="G240" s="1016" t="str">
        <f t="shared" si="205"/>
        <v/>
      </c>
      <c r="H240" s="1016" t="str">
        <f t="shared" si="205"/>
        <v/>
      </c>
      <c r="I240" s="211" t="str">
        <f t="shared" si="206"/>
        <v/>
      </c>
      <c r="J240" s="1016" t="str">
        <f t="shared" si="207"/>
        <v/>
      </c>
      <c r="K240" s="213" t="str">
        <f t="shared" si="208"/>
        <v/>
      </c>
      <c r="L240" s="212" t="str">
        <f t="shared" si="209"/>
        <v/>
      </c>
      <c r="M240" s="1125" t="str">
        <f>IF(OR($C240="",$C240=0),"",INDEX(API2DENST_2,MATCH($C240,'Barge Gauging Data'!$B$27:$B$56,0),$AA$1))</f>
        <v/>
      </c>
      <c r="N240" s="212" t="str">
        <f t="shared" si="210"/>
        <v/>
      </c>
      <c r="O240" s="1016" t="str">
        <f t="shared" si="211"/>
        <v/>
      </c>
      <c r="P240" s="1125" t="str">
        <f t="shared" si="212"/>
        <v/>
      </c>
      <c r="Q240" s="1016" t="str">
        <f t="shared" si="213"/>
        <v/>
      </c>
      <c r="R240" s="214" t="str">
        <f t="shared" si="214"/>
        <v/>
      </c>
      <c r="S240" s="1125" t="str">
        <f t="shared" si="215"/>
        <v/>
      </c>
      <c r="T240" s="236" t="str">
        <f t="shared" si="216"/>
        <v/>
      </c>
      <c r="W240" s="642" t="e">
        <f>INDEX('Barge Gauging Data'!$B$26:$V$56,MATCH($C240,'Barge Gauging Data'!$B$26:$B$56,0),$W$198)</f>
        <v>#N/A</v>
      </c>
      <c r="X240" s="642" t="e">
        <f>INDEX('Barge Gauging Data'!$B$26:$V$56,MATCH($C240,'Barge Gauging Data'!$B$26:$B$56,0),$X$198)</f>
        <v>#N/A</v>
      </c>
      <c r="Y240" s="642" t="e">
        <f>INDEX('Barge Gauging Data'!$B$26:$V$56,MATCH($C240,'Barge Gauging Data'!$B$26:$B$56,0),$Y$198)</f>
        <v>#N/A</v>
      </c>
      <c r="Z240" s="642" t="e">
        <f>INDEX('Barge Gauging Data'!$B$26:$V$56,MATCH($C240,'Barge Gauging Data'!$B$26:$B$56,0),$Z$198)</f>
        <v>#N/A</v>
      </c>
      <c r="AB240" s="642" t="e">
        <f>INDEX(API2DENST_2,MATCH($C240,'Barge Gauging Data'!$B$27:$B$56,0),1)</f>
        <v>#N/A</v>
      </c>
      <c r="AC240" s="642" t="e">
        <f t="shared" si="218"/>
        <v>#N/A</v>
      </c>
      <c r="AE240" s="661" t="e">
        <f t="shared" si="219"/>
        <v>#VALUE!</v>
      </c>
      <c r="AF240" s="661" t="e">
        <f t="shared" si="220"/>
        <v>#VALUE!</v>
      </c>
      <c r="AH240" s="662" t="str">
        <f t="shared" si="194"/>
        <v/>
      </c>
      <c r="AI240" s="662" t="str">
        <f t="shared" si="195"/>
        <v/>
      </c>
      <c r="AJ240" s="663">
        <f t="shared" si="221"/>
        <v>192.4571</v>
      </c>
      <c r="AK240" s="660">
        <f t="shared" si="222"/>
        <v>0.24379999999999999</v>
      </c>
      <c r="AL240" s="660" t="e">
        <f t="shared" si="223"/>
        <v>#VALUE!</v>
      </c>
      <c r="AM240" s="664" t="e">
        <f t="shared" si="224"/>
        <v>#VALUE!</v>
      </c>
      <c r="AN240" s="664" t="e">
        <f t="shared" si="225"/>
        <v>#VALUE!</v>
      </c>
      <c r="AO240" s="665" t="e">
        <f t="shared" si="226"/>
        <v>#VALUE!</v>
      </c>
      <c r="AP240" s="666" t="e">
        <f t="shared" si="227"/>
        <v>#VALUE!</v>
      </c>
      <c r="AQ240" s="660" t="e">
        <f t="shared" si="228"/>
        <v>#VALUE!</v>
      </c>
      <c r="AR240" s="667" t="e">
        <f t="shared" si="229"/>
        <v>#VALUE!</v>
      </c>
      <c r="AS240" s="667" t="e">
        <f t="shared" si="230"/>
        <v>#VALUE!</v>
      </c>
      <c r="AT240" s="668" t="e">
        <f t="shared" si="231"/>
        <v>#VALUE!</v>
      </c>
      <c r="AU240" s="667" t="e">
        <f t="shared" si="232"/>
        <v>#VALUE!</v>
      </c>
      <c r="AV240" s="669" t="e">
        <f t="shared" si="233"/>
        <v>#VALUE!</v>
      </c>
      <c r="AW240" s="667" t="e">
        <f t="shared" si="234"/>
        <v>#VALUE!</v>
      </c>
      <c r="AX240" s="667" t="e">
        <f t="shared" si="235"/>
        <v>#VALUE!</v>
      </c>
      <c r="AY240" s="660" t="e">
        <f t="shared" si="236"/>
        <v>#VALUE!</v>
      </c>
      <c r="AZ240" s="670" t="e">
        <f t="shared" si="237"/>
        <v>#VALUE!</v>
      </c>
      <c r="BB240" s="662" t="e">
        <f>INDEX('Barge Gauging Data'!$B$26:$V$56,MATCH($C240,'Barge Gauging Data'!$B$26:$B$56,0),$BB$198)</f>
        <v>#N/A</v>
      </c>
      <c r="BC240" s="662" t="e">
        <f>INDEX('Barge Gauging Data'!$B$26:$V$56,MATCH($C240,'Barge Gauging Data'!$B$26:$B$56,0),$BC$198)</f>
        <v>#N/A</v>
      </c>
      <c r="BD240" s="662" t="e">
        <f>INDEX('Barge Gauging Data'!$B$26:$V$56,MATCH($C240,'Barge Gauging Data'!$B$26:$B$56,0),$BD$198)</f>
        <v>#N/A</v>
      </c>
      <c r="BE240" s="662" t="e">
        <f>INDEX('Barge Gauging Data'!$B$26:$V$56,MATCH($C240,'Barge Gauging Data'!$B$26:$B$56,0),$BE$198)</f>
        <v>#N/A</v>
      </c>
    </row>
    <row r="241" spans="1:57" hidden="1">
      <c r="A241" s="641" t="str">
        <f t="shared" si="217"/>
        <v>N</v>
      </c>
      <c r="C241" s="237" t="str">
        <f t="shared" si="203"/>
        <v/>
      </c>
      <c r="D241" s="238" t="str">
        <f t="shared" si="203"/>
        <v/>
      </c>
      <c r="E241" s="1017" t="str">
        <f t="shared" si="202"/>
        <v/>
      </c>
      <c r="F241" s="1017" t="str">
        <f t="shared" si="204"/>
        <v/>
      </c>
      <c r="G241" s="1017" t="str">
        <f t="shared" si="205"/>
        <v/>
      </c>
      <c r="H241" s="1017" t="str">
        <f t="shared" si="205"/>
        <v/>
      </c>
      <c r="I241" s="238" t="str">
        <f t="shared" si="206"/>
        <v/>
      </c>
      <c r="J241" s="1017" t="str">
        <f t="shared" si="207"/>
        <v/>
      </c>
      <c r="K241" s="240" t="str">
        <f t="shared" si="208"/>
        <v/>
      </c>
      <c r="L241" s="239" t="str">
        <f t="shared" si="209"/>
        <v/>
      </c>
      <c r="M241" s="1126" t="str">
        <f>IF(OR($C241="",$C241=0),"",INDEX(API2DENST_2,MATCH($C241,'Barge Gauging Data'!$B$27:$B$56,0),$AA$1))</f>
        <v/>
      </c>
      <c r="N241" s="239" t="str">
        <f t="shared" si="210"/>
        <v/>
      </c>
      <c r="O241" s="1017" t="str">
        <f t="shared" si="211"/>
        <v/>
      </c>
      <c r="P241" s="1126" t="str">
        <f t="shared" si="212"/>
        <v/>
      </c>
      <c r="Q241" s="1017" t="str">
        <f t="shared" si="213"/>
        <v/>
      </c>
      <c r="R241" s="241" t="str">
        <f t="shared" si="214"/>
        <v/>
      </c>
      <c r="S241" s="1126" t="str">
        <f t="shared" si="215"/>
        <v/>
      </c>
      <c r="T241" s="242" t="str">
        <f t="shared" si="216"/>
        <v/>
      </c>
      <c r="W241" s="642" t="e">
        <f>INDEX('Barge Gauging Data'!$B$26:$V$56,MATCH($C241,'Barge Gauging Data'!$B$26:$B$56,0),$W$198)</f>
        <v>#N/A</v>
      </c>
      <c r="X241" s="642" t="e">
        <f>INDEX('Barge Gauging Data'!$B$26:$V$56,MATCH($C241,'Barge Gauging Data'!$B$26:$B$56,0),$X$198)</f>
        <v>#N/A</v>
      </c>
      <c r="Y241" s="642" t="e">
        <f>INDEX('Barge Gauging Data'!$B$26:$V$56,MATCH($C241,'Barge Gauging Data'!$B$26:$B$56,0),$Y$198)</f>
        <v>#N/A</v>
      </c>
      <c r="Z241" s="642" t="e">
        <f>INDEX('Barge Gauging Data'!$B$26:$V$56,MATCH($C241,'Barge Gauging Data'!$B$26:$B$56,0),$Z$198)</f>
        <v>#N/A</v>
      </c>
      <c r="AB241" s="642" t="e">
        <f>INDEX(API2DENST_2,MATCH($C241,'Barge Gauging Data'!$B$27:$B$56,0),1)</f>
        <v>#N/A</v>
      </c>
      <c r="AC241" s="642" t="e">
        <f t="shared" si="218"/>
        <v>#N/A</v>
      </c>
      <c r="AE241" s="661" t="e">
        <f t="shared" si="219"/>
        <v>#VALUE!</v>
      </c>
      <c r="AF241" s="661" t="e">
        <f t="shared" si="220"/>
        <v>#VALUE!</v>
      </c>
      <c r="AH241" s="662" t="str">
        <f t="shared" si="194"/>
        <v/>
      </c>
      <c r="AI241" s="662" t="str">
        <f t="shared" si="195"/>
        <v/>
      </c>
      <c r="AJ241" s="663">
        <f t="shared" si="221"/>
        <v>192.4571</v>
      </c>
      <c r="AK241" s="660">
        <f t="shared" si="222"/>
        <v>0.24379999999999999</v>
      </c>
      <c r="AL241" s="660" t="e">
        <f t="shared" si="223"/>
        <v>#VALUE!</v>
      </c>
      <c r="AM241" s="664" t="e">
        <f t="shared" si="224"/>
        <v>#VALUE!</v>
      </c>
      <c r="AN241" s="664" t="e">
        <f t="shared" si="225"/>
        <v>#VALUE!</v>
      </c>
      <c r="AO241" s="665" t="e">
        <f t="shared" si="226"/>
        <v>#VALUE!</v>
      </c>
      <c r="AP241" s="666" t="e">
        <f t="shared" si="227"/>
        <v>#VALUE!</v>
      </c>
      <c r="AQ241" s="660" t="e">
        <f t="shared" si="228"/>
        <v>#VALUE!</v>
      </c>
      <c r="AR241" s="667" t="e">
        <f t="shared" si="229"/>
        <v>#VALUE!</v>
      </c>
      <c r="AS241" s="667" t="e">
        <f t="shared" si="230"/>
        <v>#VALUE!</v>
      </c>
      <c r="AT241" s="668" t="e">
        <f t="shared" si="231"/>
        <v>#VALUE!</v>
      </c>
      <c r="AU241" s="667" t="e">
        <f t="shared" si="232"/>
        <v>#VALUE!</v>
      </c>
      <c r="AV241" s="669" t="e">
        <f t="shared" si="233"/>
        <v>#VALUE!</v>
      </c>
      <c r="AW241" s="667" t="e">
        <f t="shared" si="234"/>
        <v>#VALUE!</v>
      </c>
      <c r="AX241" s="667" t="e">
        <f t="shared" si="235"/>
        <v>#VALUE!</v>
      </c>
      <c r="AY241" s="660" t="e">
        <f t="shared" si="236"/>
        <v>#VALUE!</v>
      </c>
      <c r="AZ241" s="670" t="e">
        <f t="shared" si="237"/>
        <v>#VALUE!</v>
      </c>
      <c r="BB241" s="662" t="e">
        <f>INDEX('Barge Gauging Data'!$B$26:$V$56,MATCH($C241,'Barge Gauging Data'!$B$26:$B$56,0),$BB$198)</f>
        <v>#N/A</v>
      </c>
      <c r="BC241" s="662" t="e">
        <f>INDEX('Barge Gauging Data'!$B$26:$V$56,MATCH($C241,'Barge Gauging Data'!$B$26:$B$56,0),$BC$198)</f>
        <v>#N/A</v>
      </c>
      <c r="BD241" s="662" t="e">
        <f>INDEX('Barge Gauging Data'!$B$26:$V$56,MATCH($C241,'Barge Gauging Data'!$B$26:$B$56,0),$BD$198)</f>
        <v>#N/A</v>
      </c>
      <c r="BE241" s="662" t="e">
        <f>INDEX('Barge Gauging Data'!$B$26:$V$56,MATCH($C241,'Barge Gauging Data'!$B$26:$B$56,0),$BE$198)</f>
        <v>#N/A</v>
      </c>
    </row>
    <row r="242" spans="1:57" hidden="1">
      <c r="A242" s="641" t="str">
        <f t="shared" si="217"/>
        <v>N</v>
      </c>
      <c r="C242" s="671"/>
      <c r="D242" s="671"/>
      <c r="E242" s="672"/>
      <c r="F242" s="672"/>
      <c r="G242" s="672"/>
      <c r="H242" s="1501"/>
      <c r="I242" s="671"/>
      <c r="J242" s="672"/>
      <c r="K242" s="673"/>
      <c r="L242" s="672"/>
      <c r="M242" s="674"/>
      <c r="N242" s="672"/>
      <c r="O242" s="672"/>
      <c r="P242" s="1127"/>
      <c r="Q242" s="672"/>
      <c r="R242" s="675"/>
      <c r="S242" s="1137" t="s">
        <v>401</v>
      </c>
      <c r="T242" s="619">
        <f>SUM(T222:T241)</f>
        <v>0</v>
      </c>
      <c r="V242" s="619">
        <f>SUM(Q222:Q241)</f>
        <v>0</v>
      </c>
      <c r="W242" s="619">
        <f>SUM(R222:R241)</f>
        <v>0</v>
      </c>
      <c r="X242" s="1166">
        <f>(T65-T242)/(V65-V242)</f>
        <v>0.91950120876779173</v>
      </c>
      <c r="Y242" s="1166">
        <f>(U65-U242)/(W65-W242)</f>
        <v>0</v>
      </c>
      <c r="Z242" s="1164">
        <f>IF('Barge BQS Report'!$AA$1=1,ROUND((W65-W242)/(V65-V242),4),ROUND((1/((((X242)*2204.62/8.32823/42)+1.22269727*10^-3)/1.00122697/141.5))-131.5,4))</f>
        <v>0.92059999999999997</v>
      </c>
      <c r="AA242" s="676"/>
      <c r="AB242" s="719"/>
      <c r="AC242" s="719"/>
      <c r="AD242" s="676"/>
      <c r="AE242" s="720"/>
      <c r="AF242" s="720"/>
      <c r="AG242" s="676"/>
      <c r="AH242" s="721"/>
      <c r="AI242" s="721"/>
      <c r="AJ242" s="722"/>
      <c r="AK242" s="723"/>
      <c r="AL242" s="723"/>
      <c r="AM242" s="724"/>
      <c r="AN242" s="724"/>
      <c r="AO242" s="725"/>
      <c r="AP242" s="726"/>
      <c r="AQ242" s="723"/>
      <c r="AR242" s="727"/>
      <c r="AS242" s="727"/>
      <c r="AT242" s="728"/>
      <c r="AU242" s="727"/>
      <c r="AV242" s="729"/>
      <c r="AW242" s="727"/>
      <c r="AX242" s="727"/>
      <c r="AY242" s="723"/>
      <c r="AZ242" s="730"/>
      <c r="BA242" s="676"/>
      <c r="BB242" s="721"/>
      <c r="BC242" s="721"/>
      <c r="BD242" s="721"/>
      <c r="BE242" s="721"/>
    </row>
    <row r="243" spans="1:57" s="702" customFormat="1" ht="5.25" hidden="1">
      <c r="A243" s="702" t="str">
        <f t="shared" si="217"/>
        <v>N</v>
      </c>
      <c r="C243" s="704"/>
      <c r="D243" s="704"/>
      <c r="E243" s="704"/>
      <c r="F243" s="704"/>
      <c r="G243" s="704"/>
      <c r="H243" s="704"/>
      <c r="I243" s="704"/>
      <c r="J243" s="705"/>
      <c r="K243" s="705"/>
      <c r="L243" s="705"/>
      <c r="M243" s="705"/>
      <c r="N243" s="705"/>
      <c r="O243" s="705"/>
      <c r="P243" s="1128"/>
      <c r="Q243" s="705"/>
      <c r="R243" s="705"/>
      <c r="S243" s="1136"/>
      <c r="T243" s="706"/>
      <c r="V243" s="707"/>
      <c r="W243" s="707"/>
      <c r="X243" s="707"/>
      <c r="Y243" s="707"/>
      <c r="Z243" s="707"/>
      <c r="AA243" s="707"/>
      <c r="AB243" s="707"/>
      <c r="AC243" s="707"/>
      <c r="AD243" s="707"/>
      <c r="AE243" s="708"/>
      <c r="AF243" s="708"/>
      <c r="AG243" s="707"/>
      <c r="AH243" s="709"/>
      <c r="AI243" s="709"/>
      <c r="AJ243" s="710"/>
      <c r="AK243" s="711"/>
      <c r="AL243" s="711"/>
      <c r="AM243" s="712"/>
      <c r="AN243" s="712"/>
      <c r="AO243" s="713"/>
      <c r="AP243" s="714"/>
      <c r="AQ243" s="711"/>
      <c r="AR243" s="715"/>
      <c r="AS243" s="715"/>
      <c r="AT243" s="716"/>
      <c r="AU243" s="715"/>
      <c r="AV243" s="717"/>
      <c r="AW243" s="715"/>
      <c r="AX243" s="715"/>
      <c r="AY243" s="711"/>
      <c r="AZ243" s="718"/>
      <c r="BA243" s="707"/>
      <c r="BB243" s="709"/>
      <c r="BC243" s="709"/>
      <c r="BD243" s="709"/>
      <c r="BE243" s="709"/>
    </row>
    <row r="244" spans="1:57" ht="15.75" hidden="1">
      <c r="A244" s="641" t="str">
        <f t="shared" si="217"/>
        <v>N</v>
      </c>
      <c r="B244" s="641">
        <v>3</v>
      </c>
      <c r="C244" s="2797" t="s">
        <v>163</v>
      </c>
      <c r="D244" s="2798"/>
      <c r="E244" s="2799" t="str">
        <f t="shared" ref="E244:E264" si="238">E67</f>
        <v>MDO</v>
      </c>
      <c r="F244" s="2800"/>
      <c r="G244" s="2800"/>
      <c r="H244" s="2824"/>
      <c r="I244" s="2801"/>
      <c r="J244" s="698"/>
      <c r="K244" s="699"/>
      <c r="L244" s="700"/>
      <c r="M244" s="699"/>
      <c r="N244" s="699"/>
      <c r="O244" s="700"/>
      <c r="P244" s="1129"/>
      <c r="Q244" s="700"/>
      <c r="R244" s="701"/>
      <c r="S244" s="1129"/>
      <c r="T244" s="701"/>
      <c r="V244" s="676"/>
      <c r="W244" s="731"/>
      <c r="X244" s="731"/>
      <c r="Y244" s="731"/>
      <c r="Z244" s="731"/>
      <c r="AA244" s="676"/>
      <c r="AB244" s="731"/>
      <c r="AC244" s="731"/>
      <c r="AD244" s="676"/>
      <c r="AE244" s="732"/>
      <c r="AF244" s="732"/>
      <c r="AG244" s="676"/>
      <c r="AH244" s="733"/>
      <c r="AI244" s="733"/>
      <c r="AJ244" s="734"/>
      <c r="AK244" s="735"/>
      <c r="AL244" s="735"/>
      <c r="AM244" s="736"/>
      <c r="AN244" s="736"/>
      <c r="AO244" s="737"/>
      <c r="AP244" s="738"/>
      <c r="AQ244" s="735"/>
      <c r="AR244" s="739"/>
      <c r="AS244" s="739"/>
      <c r="AT244" s="740"/>
      <c r="AU244" s="739"/>
      <c r="AV244" s="741"/>
      <c r="AW244" s="739"/>
      <c r="AX244" s="739"/>
      <c r="AY244" s="735"/>
      <c r="AZ244" s="742"/>
      <c r="BA244" s="676"/>
      <c r="BB244" s="733"/>
      <c r="BC244" s="733"/>
      <c r="BD244" s="733"/>
      <c r="BE244" s="733"/>
    </row>
    <row r="245" spans="1:57" hidden="1">
      <c r="A245" s="641" t="str">
        <f t="shared" si="217"/>
        <v>N</v>
      </c>
      <c r="C245" s="622" t="str">
        <f t="shared" ref="C245:D264" si="239">C68</f>
        <v/>
      </c>
      <c r="D245" s="623" t="str">
        <f t="shared" si="239"/>
        <v/>
      </c>
      <c r="E245" s="1018" t="str">
        <f t="shared" si="238"/>
        <v/>
      </c>
      <c r="F245" s="1018" t="str">
        <f t="shared" ref="F245:F264" si="240">IF(ISERROR(W245),"",IF(OR($C245="",$C245=0),"",IF(ISTEXT(W245),W245,IF($AB$1=1,W245*UNITOR_2,INT(W245*UNITOR_2)&amp;"'-"&amp;TRIM(TEXT(ROUND(MOD(W245*UNITOR_2,1)*12,1),"# ???/???"))&amp;""""))))</f>
        <v/>
      </c>
      <c r="G245" s="1018" t="str">
        <f t="shared" ref="G245:H264" si="241">IF(ISERROR(X245),"",IF(OR($C245="",$C245=0),"",IF(ISTEXT(X245),X245,IF($AB$1=1,X245*UNITOR_2,INT(X245*UNITOR_2)&amp;"'-"&amp;TRIM(TEXT(ROUND(MOD(X245*UNITOR_2,1)*12,1),"# ???/???"))&amp;""""))))</f>
        <v/>
      </c>
      <c r="H245" s="1018" t="str">
        <f t="shared" si="241"/>
        <v/>
      </c>
      <c r="I245" s="623" t="str">
        <f t="shared" ref="I245:I264" si="242">IF(ISERROR($BB245),"",IF(OR($C245="",$C245=0,$BB245=0),"",$BB245))</f>
        <v/>
      </c>
      <c r="J245" s="1016" t="str">
        <f t="shared" ref="J245:J264" si="243">IF(ISERROR($BC245),"",IF(OR($C245="",$C245=0,$BC245=""),"",IF(ISTEXT($BC245),$BC245,$BC245*IF($AA$1=B1SEL_2,1,IF($AA$1=2,FBBLS,1/FBBLS)))))</f>
        <v/>
      </c>
      <c r="K245" s="213" t="str">
        <f t="shared" ref="K245:K264" si="244">IF(ISERROR($BD245),"",IF(OR($C245="",$C245=0,$BD245=""),0,IF(ISTEXT($BD245),$BD245,$BD245*IF($AB$1=W1SEL_2,1,IF($AB$1=2,FINCH,1/FINCH)))))</f>
        <v/>
      </c>
      <c r="L245" s="212" t="str">
        <f t="shared" ref="L245:L264" si="245">IF(ISERROR($BE245),"",IF(OR($C245="",$C245=0,$BE245=""),0,IF(ISTEXT($BE245),$BE245,$BE245*IF($AA$1=B1SEL_2,1,IF($AA$1=2,FBBLS,1/FBBLS)))))</f>
        <v/>
      </c>
      <c r="M245" s="1125" t="str">
        <f>IF(OR($C245="",$C245=0),"",INDEX(API2DENST_2,MATCH($C245,'Barge Gauging Data'!$B$27:$B$56,0),$AA$1))</f>
        <v/>
      </c>
      <c r="N245" s="212" t="str">
        <f t="shared" ref="N245:N264" si="246">IF(ISERROR(Z245),"",IF(OR($C245="",$C245=0,Z245=""),"",IF(ISTEXT(Z245),Z245,IF($AA$1=T1SEL_2,Z245,IF($AA$1=2,(Z245*9/5)+32,(Z245-32)*5/9)))))</f>
        <v/>
      </c>
      <c r="O245" s="1016" t="str">
        <f t="shared" ref="O245:O264" si="247">IF(OR(J245="",L245=""),"",IF(ISTEXT(J245),"N/A",IF(ISTEXT(L245),J245,J245-L245)))</f>
        <v/>
      </c>
      <c r="P245" s="1125" t="str">
        <f t="shared" ref="P245:P264" si="248">IF(OR(M245="",N245=""),"",IF(OR(ISTEXT(M245),ISTEXT(N245)),"N/A",IF($AA$1=1,ROUND(EXP(-AF245*(N245-15)*(1+0.8*AF245*(N245-15))),5),AZ245)))</f>
        <v/>
      </c>
      <c r="Q245" s="1016" t="str">
        <f t="shared" ref="Q245:Q264" si="249">IF(OR(M245="",N245=""),"",IF(OR(ISTEXT(M245),ISTEXT(N245)),"N/A",ROUND(O245*P245,3)))</f>
        <v/>
      </c>
      <c r="R245" s="214" t="str">
        <f t="shared" ref="R245:R264" si="250">IF(M245="","",IF($AA$1=1,IF(ISTEXT(Q245),"N/A",ROUND(Q245*M245,3)),IF(ISTEXT(T245),"N/A",ROUND(T245*AC245,3))))</f>
        <v/>
      </c>
      <c r="S245" s="1125" t="str">
        <f t="shared" ref="S245:S264" si="251">IF(M245="","",IF($AA$1=1,ROUND(M245-0.0011,5),ROUND((1.00122697*(141.5/(M245+131.5))-1.22269727*10^-3)*8.32823*42/2204.62,5+2)))</f>
        <v/>
      </c>
      <c r="T245" s="236" t="str">
        <f t="shared" ref="T245:T264" si="252">IF(OR(M245="",N245=""),"",IF(ISTEXT(Q245),"N/A",IF($AA$1=1,ROUND((Q245*(M245-0.0011)),3),ROUND(Q245*S245,3))))</f>
        <v/>
      </c>
      <c r="W245" s="642" t="e">
        <f>INDEX('Barge Gauging Data'!$B$26:$V$56,MATCH($C245,'Barge Gauging Data'!$B$26:$B$56,0),$W$198)</f>
        <v>#N/A</v>
      </c>
      <c r="X245" s="642" t="e">
        <f>INDEX('Barge Gauging Data'!$B$26:$V$56,MATCH($C245,'Barge Gauging Data'!$B$26:$B$56,0),$X$198)</f>
        <v>#N/A</v>
      </c>
      <c r="Y245" s="642" t="e">
        <f>INDEX('Barge Gauging Data'!$B$26:$V$56,MATCH($C245,'Barge Gauging Data'!$B$26:$B$56,0),$Y$198)</f>
        <v>#N/A</v>
      </c>
      <c r="Z245" s="642" t="e">
        <f>INDEX('Barge Gauging Data'!$B$26:$V$56,MATCH($C245,'Barge Gauging Data'!$B$26:$B$56,0),$Z$198)</f>
        <v>#N/A</v>
      </c>
      <c r="AB245" s="642" t="e">
        <f>INDEX(API2DENST_2,MATCH($C245,'Barge Gauging Data'!$B$27:$B$56,0),1)</f>
        <v>#N/A</v>
      </c>
      <c r="AC245" s="642" t="e">
        <f t="shared" si="218"/>
        <v>#N/A</v>
      </c>
      <c r="AE245" s="661" t="e">
        <f t="shared" si="219"/>
        <v>#VALUE!</v>
      </c>
      <c r="AF245" s="661" t="e">
        <f t="shared" si="220"/>
        <v>#VALUE!</v>
      </c>
      <c r="AH245" s="662" t="str">
        <f t="shared" si="194"/>
        <v/>
      </c>
      <c r="AI245" s="662" t="str">
        <f t="shared" si="195"/>
        <v/>
      </c>
      <c r="AJ245" s="663">
        <f t="shared" si="221"/>
        <v>192.4571</v>
      </c>
      <c r="AK245" s="660">
        <f t="shared" si="222"/>
        <v>0.24379999999999999</v>
      </c>
      <c r="AL245" s="660" t="e">
        <f t="shared" si="223"/>
        <v>#VALUE!</v>
      </c>
      <c r="AM245" s="664" t="e">
        <f t="shared" si="224"/>
        <v>#VALUE!</v>
      </c>
      <c r="AN245" s="664" t="e">
        <f t="shared" si="225"/>
        <v>#VALUE!</v>
      </c>
      <c r="AO245" s="665" t="e">
        <f t="shared" si="226"/>
        <v>#VALUE!</v>
      </c>
      <c r="AP245" s="666" t="e">
        <f t="shared" si="227"/>
        <v>#VALUE!</v>
      </c>
      <c r="AQ245" s="660" t="e">
        <f t="shared" si="228"/>
        <v>#VALUE!</v>
      </c>
      <c r="AR245" s="667" t="e">
        <f t="shared" si="229"/>
        <v>#VALUE!</v>
      </c>
      <c r="AS245" s="667" t="e">
        <f t="shared" si="230"/>
        <v>#VALUE!</v>
      </c>
      <c r="AT245" s="668" t="e">
        <f t="shared" si="231"/>
        <v>#VALUE!</v>
      </c>
      <c r="AU245" s="667" t="e">
        <f t="shared" si="232"/>
        <v>#VALUE!</v>
      </c>
      <c r="AV245" s="669" t="e">
        <f t="shared" si="233"/>
        <v>#VALUE!</v>
      </c>
      <c r="AW245" s="667" t="e">
        <f t="shared" si="234"/>
        <v>#VALUE!</v>
      </c>
      <c r="AX245" s="667" t="e">
        <f t="shared" si="235"/>
        <v>#VALUE!</v>
      </c>
      <c r="AY245" s="660" t="e">
        <f t="shared" si="236"/>
        <v>#VALUE!</v>
      </c>
      <c r="AZ245" s="670" t="e">
        <f t="shared" si="237"/>
        <v>#VALUE!</v>
      </c>
      <c r="BB245" s="662" t="e">
        <f>INDEX('Barge Gauging Data'!$B$26:$V$56,MATCH($C245,'Barge Gauging Data'!$B$26:$B$56,0),$BB$198)</f>
        <v>#N/A</v>
      </c>
      <c r="BC245" s="662" t="e">
        <f>INDEX('Barge Gauging Data'!$B$26:$V$56,MATCH($C245,'Barge Gauging Data'!$B$26:$B$56,0),$BC$198)</f>
        <v>#N/A</v>
      </c>
      <c r="BD245" s="662" t="e">
        <f>INDEX('Barge Gauging Data'!$B$26:$V$56,MATCH($C245,'Barge Gauging Data'!$B$26:$B$56,0),$BD$198)</f>
        <v>#N/A</v>
      </c>
      <c r="BE245" s="662" t="e">
        <f>INDEX('Barge Gauging Data'!$B$26:$V$56,MATCH($C245,'Barge Gauging Data'!$B$26:$B$56,0),$BE$198)</f>
        <v>#N/A</v>
      </c>
    </row>
    <row r="246" spans="1:57" hidden="1">
      <c r="A246" s="641" t="str">
        <f t="shared" si="217"/>
        <v>N</v>
      </c>
      <c r="C246" s="235" t="str">
        <f t="shared" si="239"/>
        <v/>
      </c>
      <c r="D246" s="211" t="str">
        <f t="shared" si="239"/>
        <v/>
      </c>
      <c r="E246" s="1016" t="str">
        <f t="shared" si="238"/>
        <v/>
      </c>
      <c r="F246" s="1016" t="str">
        <f t="shared" si="240"/>
        <v/>
      </c>
      <c r="G246" s="1016" t="str">
        <f t="shared" si="241"/>
        <v/>
      </c>
      <c r="H246" s="1016" t="str">
        <f t="shared" si="241"/>
        <v/>
      </c>
      <c r="I246" s="211" t="str">
        <f t="shared" si="242"/>
        <v/>
      </c>
      <c r="J246" s="1016" t="str">
        <f t="shared" si="243"/>
        <v/>
      </c>
      <c r="K246" s="213" t="str">
        <f t="shared" si="244"/>
        <v/>
      </c>
      <c r="L246" s="212" t="str">
        <f t="shared" si="245"/>
        <v/>
      </c>
      <c r="M246" s="1125" t="str">
        <f>IF(OR($C246="",$C246=0),"",INDEX(API2DENST_2,MATCH($C246,'Barge Gauging Data'!$B$27:$B$56,0),$AA$1))</f>
        <v/>
      </c>
      <c r="N246" s="212" t="str">
        <f t="shared" si="246"/>
        <v/>
      </c>
      <c r="O246" s="1016" t="str">
        <f t="shared" si="247"/>
        <v/>
      </c>
      <c r="P246" s="1125" t="str">
        <f t="shared" si="248"/>
        <v/>
      </c>
      <c r="Q246" s="1016" t="str">
        <f t="shared" si="249"/>
        <v/>
      </c>
      <c r="R246" s="214" t="str">
        <f t="shared" si="250"/>
        <v/>
      </c>
      <c r="S246" s="1125" t="str">
        <f t="shared" si="251"/>
        <v/>
      </c>
      <c r="T246" s="236" t="str">
        <f t="shared" si="252"/>
        <v/>
      </c>
      <c r="W246" s="642" t="e">
        <f>INDEX('Barge Gauging Data'!$B$26:$V$56,MATCH($C246,'Barge Gauging Data'!$B$26:$B$56,0),$W$198)</f>
        <v>#N/A</v>
      </c>
      <c r="X246" s="642" t="e">
        <f>INDEX('Barge Gauging Data'!$B$26:$V$56,MATCH($C246,'Barge Gauging Data'!$B$26:$B$56,0),$X$198)</f>
        <v>#N/A</v>
      </c>
      <c r="Y246" s="642" t="e">
        <f>INDEX('Barge Gauging Data'!$B$26:$V$56,MATCH($C246,'Barge Gauging Data'!$B$26:$B$56,0),$Y$198)</f>
        <v>#N/A</v>
      </c>
      <c r="Z246" s="642" t="e">
        <f>INDEX('Barge Gauging Data'!$B$26:$V$56,MATCH($C246,'Barge Gauging Data'!$B$26:$B$56,0),$Z$198)</f>
        <v>#N/A</v>
      </c>
      <c r="AB246" s="642" t="e">
        <f>INDEX(API2DENST_2,MATCH($C246,'Barge Gauging Data'!$B$27:$B$56,0),1)</f>
        <v>#N/A</v>
      </c>
      <c r="AC246" s="642" t="e">
        <f t="shared" si="218"/>
        <v>#N/A</v>
      </c>
      <c r="AE246" s="661" t="e">
        <f t="shared" si="219"/>
        <v>#VALUE!</v>
      </c>
      <c r="AF246" s="661" t="e">
        <f t="shared" si="220"/>
        <v>#VALUE!</v>
      </c>
      <c r="AH246" s="662" t="str">
        <f t="shared" si="194"/>
        <v/>
      </c>
      <c r="AI246" s="662" t="str">
        <f t="shared" si="195"/>
        <v/>
      </c>
      <c r="AJ246" s="663">
        <f t="shared" si="221"/>
        <v>192.4571</v>
      </c>
      <c r="AK246" s="660">
        <f t="shared" si="222"/>
        <v>0.24379999999999999</v>
      </c>
      <c r="AL246" s="660" t="e">
        <f t="shared" si="223"/>
        <v>#VALUE!</v>
      </c>
      <c r="AM246" s="664" t="e">
        <f t="shared" si="224"/>
        <v>#VALUE!</v>
      </c>
      <c r="AN246" s="664" t="e">
        <f t="shared" si="225"/>
        <v>#VALUE!</v>
      </c>
      <c r="AO246" s="665" t="e">
        <f t="shared" si="226"/>
        <v>#VALUE!</v>
      </c>
      <c r="AP246" s="666" t="e">
        <f t="shared" si="227"/>
        <v>#VALUE!</v>
      </c>
      <c r="AQ246" s="660" t="e">
        <f t="shared" si="228"/>
        <v>#VALUE!</v>
      </c>
      <c r="AR246" s="667" t="e">
        <f t="shared" si="229"/>
        <v>#VALUE!</v>
      </c>
      <c r="AS246" s="667" t="e">
        <f t="shared" si="230"/>
        <v>#VALUE!</v>
      </c>
      <c r="AT246" s="668" t="e">
        <f t="shared" si="231"/>
        <v>#VALUE!</v>
      </c>
      <c r="AU246" s="667" t="e">
        <f t="shared" si="232"/>
        <v>#VALUE!</v>
      </c>
      <c r="AV246" s="669" t="e">
        <f t="shared" si="233"/>
        <v>#VALUE!</v>
      </c>
      <c r="AW246" s="667" t="e">
        <f t="shared" si="234"/>
        <v>#VALUE!</v>
      </c>
      <c r="AX246" s="667" t="e">
        <f t="shared" si="235"/>
        <v>#VALUE!</v>
      </c>
      <c r="AY246" s="660" t="e">
        <f t="shared" si="236"/>
        <v>#VALUE!</v>
      </c>
      <c r="AZ246" s="670" t="e">
        <f t="shared" si="237"/>
        <v>#VALUE!</v>
      </c>
      <c r="BB246" s="662" t="e">
        <f>INDEX('Barge Gauging Data'!$B$26:$V$56,MATCH($C246,'Barge Gauging Data'!$B$26:$B$56,0),$BB$198)</f>
        <v>#N/A</v>
      </c>
      <c r="BC246" s="662" t="e">
        <f>INDEX('Barge Gauging Data'!$B$26:$V$56,MATCH($C246,'Barge Gauging Data'!$B$26:$B$56,0),$BC$198)</f>
        <v>#N/A</v>
      </c>
      <c r="BD246" s="662" t="e">
        <f>INDEX('Barge Gauging Data'!$B$26:$V$56,MATCH($C246,'Barge Gauging Data'!$B$26:$B$56,0),$BD$198)</f>
        <v>#N/A</v>
      </c>
      <c r="BE246" s="662" t="e">
        <f>INDEX('Barge Gauging Data'!$B$26:$V$56,MATCH($C246,'Barge Gauging Data'!$B$26:$B$56,0),$BE$198)</f>
        <v>#N/A</v>
      </c>
    </row>
    <row r="247" spans="1:57" hidden="1">
      <c r="A247" s="641" t="str">
        <f t="shared" si="217"/>
        <v>N</v>
      </c>
      <c r="C247" s="235" t="str">
        <f t="shared" si="239"/>
        <v/>
      </c>
      <c r="D247" s="211" t="str">
        <f t="shared" si="239"/>
        <v/>
      </c>
      <c r="E247" s="1016" t="str">
        <f t="shared" si="238"/>
        <v/>
      </c>
      <c r="F247" s="1016" t="str">
        <f t="shared" si="240"/>
        <v/>
      </c>
      <c r="G247" s="1016" t="str">
        <f t="shared" si="241"/>
        <v/>
      </c>
      <c r="H247" s="1016" t="str">
        <f t="shared" si="241"/>
        <v/>
      </c>
      <c r="I247" s="211" t="str">
        <f t="shared" si="242"/>
        <v/>
      </c>
      <c r="J247" s="1016" t="str">
        <f t="shared" si="243"/>
        <v/>
      </c>
      <c r="K247" s="213" t="str">
        <f t="shared" si="244"/>
        <v/>
      </c>
      <c r="L247" s="212" t="str">
        <f t="shared" si="245"/>
        <v/>
      </c>
      <c r="M247" s="1125" t="str">
        <f>IF(OR($C247="",$C247=0),"",INDEX(API2DENST_2,MATCH($C247,'Barge Gauging Data'!$B$27:$B$56,0),$AA$1))</f>
        <v/>
      </c>
      <c r="N247" s="212" t="str">
        <f t="shared" si="246"/>
        <v/>
      </c>
      <c r="O247" s="1016" t="str">
        <f t="shared" si="247"/>
        <v/>
      </c>
      <c r="P247" s="1125" t="str">
        <f t="shared" si="248"/>
        <v/>
      </c>
      <c r="Q247" s="1016" t="str">
        <f t="shared" si="249"/>
        <v/>
      </c>
      <c r="R247" s="214" t="str">
        <f t="shared" si="250"/>
        <v/>
      </c>
      <c r="S247" s="1125" t="str">
        <f t="shared" si="251"/>
        <v/>
      </c>
      <c r="T247" s="236" t="str">
        <f t="shared" si="252"/>
        <v/>
      </c>
      <c r="W247" s="642" t="e">
        <f>INDEX('Barge Gauging Data'!$B$26:$V$56,MATCH($C247,'Barge Gauging Data'!$B$26:$B$56,0),$W$198)</f>
        <v>#N/A</v>
      </c>
      <c r="X247" s="642" t="e">
        <f>INDEX('Barge Gauging Data'!$B$26:$V$56,MATCH($C247,'Barge Gauging Data'!$B$26:$B$56,0),$X$198)</f>
        <v>#N/A</v>
      </c>
      <c r="Y247" s="642" t="e">
        <f>INDEX('Barge Gauging Data'!$B$26:$V$56,MATCH($C247,'Barge Gauging Data'!$B$26:$B$56,0),$Y$198)</f>
        <v>#N/A</v>
      </c>
      <c r="Z247" s="642" t="e">
        <f>INDEX('Barge Gauging Data'!$B$26:$V$56,MATCH($C247,'Barge Gauging Data'!$B$26:$B$56,0),$Z$198)</f>
        <v>#N/A</v>
      </c>
      <c r="AB247" s="642" t="e">
        <f>INDEX(API2DENST_2,MATCH($C247,'Barge Gauging Data'!$B$27:$B$56,0),1)</f>
        <v>#N/A</v>
      </c>
      <c r="AC247" s="642" t="e">
        <f t="shared" si="218"/>
        <v>#N/A</v>
      </c>
      <c r="AE247" s="661" t="e">
        <f t="shared" si="219"/>
        <v>#VALUE!</v>
      </c>
      <c r="AF247" s="661" t="e">
        <f t="shared" si="220"/>
        <v>#VALUE!</v>
      </c>
      <c r="AH247" s="662" t="str">
        <f t="shared" si="194"/>
        <v/>
      </c>
      <c r="AI247" s="662" t="str">
        <f t="shared" si="195"/>
        <v/>
      </c>
      <c r="AJ247" s="663">
        <f t="shared" si="221"/>
        <v>192.4571</v>
      </c>
      <c r="AK247" s="660">
        <f t="shared" si="222"/>
        <v>0.24379999999999999</v>
      </c>
      <c r="AL247" s="660" t="e">
        <f t="shared" si="223"/>
        <v>#VALUE!</v>
      </c>
      <c r="AM247" s="664" t="e">
        <f t="shared" si="224"/>
        <v>#VALUE!</v>
      </c>
      <c r="AN247" s="664" t="e">
        <f t="shared" si="225"/>
        <v>#VALUE!</v>
      </c>
      <c r="AO247" s="665" t="e">
        <f t="shared" si="226"/>
        <v>#VALUE!</v>
      </c>
      <c r="AP247" s="666" t="e">
        <f t="shared" si="227"/>
        <v>#VALUE!</v>
      </c>
      <c r="AQ247" s="660" t="e">
        <f t="shared" si="228"/>
        <v>#VALUE!</v>
      </c>
      <c r="AR247" s="667" t="e">
        <f t="shared" si="229"/>
        <v>#VALUE!</v>
      </c>
      <c r="AS247" s="667" t="e">
        <f t="shared" si="230"/>
        <v>#VALUE!</v>
      </c>
      <c r="AT247" s="668" t="e">
        <f t="shared" si="231"/>
        <v>#VALUE!</v>
      </c>
      <c r="AU247" s="667" t="e">
        <f t="shared" si="232"/>
        <v>#VALUE!</v>
      </c>
      <c r="AV247" s="669" t="e">
        <f t="shared" si="233"/>
        <v>#VALUE!</v>
      </c>
      <c r="AW247" s="667" t="e">
        <f t="shared" si="234"/>
        <v>#VALUE!</v>
      </c>
      <c r="AX247" s="667" t="e">
        <f t="shared" si="235"/>
        <v>#VALUE!</v>
      </c>
      <c r="AY247" s="660" t="e">
        <f t="shared" si="236"/>
        <v>#VALUE!</v>
      </c>
      <c r="AZ247" s="670" t="e">
        <f t="shared" si="237"/>
        <v>#VALUE!</v>
      </c>
      <c r="BB247" s="662" t="e">
        <f>INDEX('Barge Gauging Data'!$B$26:$V$56,MATCH($C247,'Barge Gauging Data'!$B$26:$B$56,0),$BB$198)</f>
        <v>#N/A</v>
      </c>
      <c r="BC247" s="662" t="e">
        <f>INDEX('Barge Gauging Data'!$B$26:$V$56,MATCH($C247,'Barge Gauging Data'!$B$26:$B$56,0),$BC$198)</f>
        <v>#N/A</v>
      </c>
      <c r="BD247" s="662" t="e">
        <f>INDEX('Barge Gauging Data'!$B$26:$V$56,MATCH($C247,'Barge Gauging Data'!$B$26:$B$56,0),$BD$198)</f>
        <v>#N/A</v>
      </c>
      <c r="BE247" s="662" t="e">
        <f>INDEX('Barge Gauging Data'!$B$26:$V$56,MATCH($C247,'Barge Gauging Data'!$B$26:$B$56,0),$BE$198)</f>
        <v>#N/A</v>
      </c>
    </row>
    <row r="248" spans="1:57" hidden="1">
      <c r="A248" s="641" t="str">
        <f t="shared" si="217"/>
        <v>N</v>
      </c>
      <c r="C248" s="235" t="str">
        <f t="shared" si="239"/>
        <v/>
      </c>
      <c r="D248" s="211" t="str">
        <f t="shared" si="239"/>
        <v/>
      </c>
      <c r="E248" s="1016" t="str">
        <f t="shared" si="238"/>
        <v/>
      </c>
      <c r="F248" s="1016" t="str">
        <f t="shared" si="240"/>
        <v/>
      </c>
      <c r="G248" s="1016" t="str">
        <f t="shared" si="241"/>
        <v/>
      </c>
      <c r="H248" s="1016" t="str">
        <f t="shared" si="241"/>
        <v/>
      </c>
      <c r="I248" s="211" t="str">
        <f t="shared" si="242"/>
        <v/>
      </c>
      <c r="J248" s="1016" t="str">
        <f t="shared" si="243"/>
        <v/>
      </c>
      <c r="K248" s="213" t="str">
        <f t="shared" si="244"/>
        <v/>
      </c>
      <c r="L248" s="212" t="str">
        <f t="shared" si="245"/>
        <v/>
      </c>
      <c r="M248" s="1125" t="str">
        <f>IF(OR($C248="",$C248=0),"",INDEX(API2DENST_2,MATCH($C248,'Barge Gauging Data'!$B$27:$B$56,0),$AA$1))</f>
        <v/>
      </c>
      <c r="N248" s="212" t="str">
        <f t="shared" si="246"/>
        <v/>
      </c>
      <c r="O248" s="1016" t="str">
        <f t="shared" si="247"/>
        <v/>
      </c>
      <c r="P248" s="1125" t="str">
        <f t="shared" si="248"/>
        <v/>
      </c>
      <c r="Q248" s="1016" t="str">
        <f t="shared" si="249"/>
        <v/>
      </c>
      <c r="R248" s="214" t="str">
        <f t="shared" si="250"/>
        <v/>
      </c>
      <c r="S248" s="1125" t="str">
        <f t="shared" si="251"/>
        <v/>
      </c>
      <c r="T248" s="236" t="str">
        <f t="shared" si="252"/>
        <v/>
      </c>
      <c r="W248" s="642" t="e">
        <f>INDEX('Barge Gauging Data'!$B$26:$V$56,MATCH($C248,'Barge Gauging Data'!$B$26:$B$56,0),$W$198)</f>
        <v>#N/A</v>
      </c>
      <c r="X248" s="642" t="e">
        <f>INDEX('Barge Gauging Data'!$B$26:$V$56,MATCH($C248,'Barge Gauging Data'!$B$26:$B$56,0),$X$198)</f>
        <v>#N/A</v>
      </c>
      <c r="Y248" s="642" t="e">
        <f>INDEX('Barge Gauging Data'!$B$26:$V$56,MATCH($C248,'Barge Gauging Data'!$B$26:$B$56,0),$Y$198)</f>
        <v>#N/A</v>
      </c>
      <c r="Z248" s="642" t="e">
        <f>INDEX('Barge Gauging Data'!$B$26:$V$56,MATCH($C248,'Barge Gauging Data'!$B$26:$B$56,0),$Z$198)</f>
        <v>#N/A</v>
      </c>
      <c r="AB248" s="642" t="e">
        <f>INDEX(API2DENST_2,MATCH($C248,'Barge Gauging Data'!$B$27:$B$56,0),1)</f>
        <v>#N/A</v>
      </c>
      <c r="AC248" s="642" t="e">
        <f t="shared" si="218"/>
        <v>#N/A</v>
      </c>
      <c r="AE248" s="661" t="e">
        <f t="shared" si="219"/>
        <v>#VALUE!</v>
      </c>
      <c r="AF248" s="661" t="e">
        <f t="shared" si="220"/>
        <v>#VALUE!</v>
      </c>
      <c r="AH248" s="662" t="str">
        <f t="shared" si="194"/>
        <v/>
      </c>
      <c r="AI248" s="662" t="str">
        <f t="shared" si="195"/>
        <v/>
      </c>
      <c r="AJ248" s="663">
        <f t="shared" si="221"/>
        <v>192.4571</v>
      </c>
      <c r="AK248" s="660">
        <f t="shared" si="222"/>
        <v>0.24379999999999999</v>
      </c>
      <c r="AL248" s="660" t="e">
        <f t="shared" si="223"/>
        <v>#VALUE!</v>
      </c>
      <c r="AM248" s="664" t="e">
        <f t="shared" si="224"/>
        <v>#VALUE!</v>
      </c>
      <c r="AN248" s="664" t="e">
        <f t="shared" si="225"/>
        <v>#VALUE!</v>
      </c>
      <c r="AO248" s="665" t="e">
        <f t="shared" si="226"/>
        <v>#VALUE!</v>
      </c>
      <c r="AP248" s="666" t="e">
        <f t="shared" si="227"/>
        <v>#VALUE!</v>
      </c>
      <c r="AQ248" s="660" t="e">
        <f t="shared" si="228"/>
        <v>#VALUE!</v>
      </c>
      <c r="AR248" s="667" t="e">
        <f t="shared" si="229"/>
        <v>#VALUE!</v>
      </c>
      <c r="AS248" s="667" t="e">
        <f t="shared" si="230"/>
        <v>#VALUE!</v>
      </c>
      <c r="AT248" s="668" t="e">
        <f t="shared" si="231"/>
        <v>#VALUE!</v>
      </c>
      <c r="AU248" s="667" t="e">
        <f t="shared" si="232"/>
        <v>#VALUE!</v>
      </c>
      <c r="AV248" s="669" t="e">
        <f t="shared" si="233"/>
        <v>#VALUE!</v>
      </c>
      <c r="AW248" s="667" t="e">
        <f t="shared" si="234"/>
        <v>#VALUE!</v>
      </c>
      <c r="AX248" s="667" t="e">
        <f t="shared" si="235"/>
        <v>#VALUE!</v>
      </c>
      <c r="AY248" s="660" t="e">
        <f t="shared" si="236"/>
        <v>#VALUE!</v>
      </c>
      <c r="AZ248" s="670" t="e">
        <f t="shared" si="237"/>
        <v>#VALUE!</v>
      </c>
      <c r="BB248" s="662" t="e">
        <f>INDEX('Barge Gauging Data'!$B$26:$V$56,MATCH($C248,'Barge Gauging Data'!$B$26:$B$56,0),$BB$198)</f>
        <v>#N/A</v>
      </c>
      <c r="BC248" s="662" t="e">
        <f>INDEX('Barge Gauging Data'!$B$26:$V$56,MATCH($C248,'Barge Gauging Data'!$B$26:$B$56,0),$BC$198)</f>
        <v>#N/A</v>
      </c>
      <c r="BD248" s="662" t="e">
        <f>INDEX('Barge Gauging Data'!$B$26:$V$56,MATCH($C248,'Barge Gauging Data'!$B$26:$B$56,0),$BD$198)</f>
        <v>#N/A</v>
      </c>
      <c r="BE248" s="662" t="e">
        <f>INDEX('Barge Gauging Data'!$B$26:$V$56,MATCH($C248,'Barge Gauging Data'!$B$26:$B$56,0),$BE$198)</f>
        <v>#N/A</v>
      </c>
    </row>
    <row r="249" spans="1:57" hidden="1">
      <c r="A249" s="641" t="str">
        <f t="shared" si="217"/>
        <v>N</v>
      </c>
      <c r="C249" s="235" t="str">
        <f t="shared" si="239"/>
        <v/>
      </c>
      <c r="D249" s="211" t="str">
        <f t="shared" si="239"/>
        <v/>
      </c>
      <c r="E249" s="1016" t="str">
        <f t="shared" si="238"/>
        <v/>
      </c>
      <c r="F249" s="1016" t="str">
        <f t="shared" si="240"/>
        <v/>
      </c>
      <c r="G249" s="1016" t="str">
        <f t="shared" si="241"/>
        <v/>
      </c>
      <c r="H249" s="1016" t="str">
        <f t="shared" si="241"/>
        <v/>
      </c>
      <c r="I249" s="211" t="str">
        <f t="shared" si="242"/>
        <v/>
      </c>
      <c r="J249" s="1016" t="str">
        <f t="shared" si="243"/>
        <v/>
      </c>
      <c r="K249" s="213" t="str">
        <f t="shared" si="244"/>
        <v/>
      </c>
      <c r="L249" s="212" t="str">
        <f t="shared" si="245"/>
        <v/>
      </c>
      <c r="M249" s="1125" t="str">
        <f>IF(OR($C249="",$C249=0),"",INDEX(API2DENST_2,MATCH($C249,'Barge Gauging Data'!$B$27:$B$56,0),$AA$1))</f>
        <v/>
      </c>
      <c r="N249" s="212" t="str">
        <f t="shared" si="246"/>
        <v/>
      </c>
      <c r="O249" s="1016" t="str">
        <f t="shared" si="247"/>
        <v/>
      </c>
      <c r="P249" s="1125" t="str">
        <f t="shared" si="248"/>
        <v/>
      </c>
      <c r="Q249" s="1016" t="str">
        <f t="shared" si="249"/>
        <v/>
      </c>
      <c r="R249" s="214" t="str">
        <f t="shared" si="250"/>
        <v/>
      </c>
      <c r="S249" s="1125" t="str">
        <f t="shared" si="251"/>
        <v/>
      </c>
      <c r="T249" s="236" t="str">
        <f t="shared" si="252"/>
        <v/>
      </c>
      <c r="W249" s="642" t="e">
        <f>INDEX('Barge Gauging Data'!$B$26:$V$56,MATCH($C249,'Barge Gauging Data'!$B$26:$B$56,0),$W$198)</f>
        <v>#N/A</v>
      </c>
      <c r="X249" s="642" t="e">
        <f>INDEX('Barge Gauging Data'!$B$26:$V$56,MATCH($C249,'Barge Gauging Data'!$B$26:$B$56,0),$X$198)</f>
        <v>#N/A</v>
      </c>
      <c r="Y249" s="642" t="e">
        <f>INDEX('Barge Gauging Data'!$B$26:$V$56,MATCH($C249,'Barge Gauging Data'!$B$26:$B$56,0),$Y$198)</f>
        <v>#N/A</v>
      </c>
      <c r="Z249" s="642" t="e">
        <f>INDEX('Barge Gauging Data'!$B$26:$V$56,MATCH($C249,'Barge Gauging Data'!$B$26:$B$56,0),$Z$198)</f>
        <v>#N/A</v>
      </c>
      <c r="AB249" s="642" t="e">
        <f>INDEX(API2DENST_2,MATCH($C249,'Barge Gauging Data'!$B$27:$B$56,0),1)</f>
        <v>#N/A</v>
      </c>
      <c r="AC249" s="642" t="e">
        <f t="shared" si="218"/>
        <v>#N/A</v>
      </c>
      <c r="AE249" s="661" t="e">
        <f t="shared" si="219"/>
        <v>#VALUE!</v>
      </c>
      <c r="AF249" s="661" t="e">
        <f t="shared" si="220"/>
        <v>#VALUE!</v>
      </c>
      <c r="AH249" s="662" t="str">
        <f t="shared" si="194"/>
        <v/>
      </c>
      <c r="AI249" s="662" t="str">
        <f t="shared" si="195"/>
        <v/>
      </c>
      <c r="AJ249" s="663">
        <f t="shared" si="221"/>
        <v>192.4571</v>
      </c>
      <c r="AK249" s="660">
        <f t="shared" si="222"/>
        <v>0.24379999999999999</v>
      </c>
      <c r="AL249" s="660" t="e">
        <f t="shared" si="223"/>
        <v>#VALUE!</v>
      </c>
      <c r="AM249" s="664" t="e">
        <f t="shared" si="224"/>
        <v>#VALUE!</v>
      </c>
      <c r="AN249" s="664" t="e">
        <f t="shared" si="225"/>
        <v>#VALUE!</v>
      </c>
      <c r="AO249" s="665" t="e">
        <f t="shared" si="226"/>
        <v>#VALUE!</v>
      </c>
      <c r="AP249" s="666" t="e">
        <f t="shared" si="227"/>
        <v>#VALUE!</v>
      </c>
      <c r="AQ249" s="660" t="e">
        <f t="shared" si="228"/>
        <v>#VALUE!</v>
      </c>
      <c r="AR249" s="667" t="e">
        <f t="shared" si="229"/>
        <v>#VALUE!</v>
      </c>
      <c r="AS249" s="667" t="e">
        <f t="shared" si="230"/>
        <v>#VALUE!</v>
      </c>
      <c r="AT249" s="668" t="e">
        <f t="shared" si="231"/>
        <v>#VALUE!</v>
      </c>
      <c r="AU249" s="667" t="e">
        <f t="shared" si="232"/>
        <v>#VALUE!</v>
      </c>
      <c r="AV249" s="669" t="e">
        <f t="shared" si="233"/>
        <v>#VALUE!</v>
      </c>
      <c r="AW249" s="667" t="e">
        <f t="shared" si="234"/>
        <v>#VALUE!</v>
      </c>
      <c r="AX249" s="667" t="e">
        <f t="shared" si="235"/>
        <v>#VALUE!</v>
      </c>
      <c r="AY249" s="660" t="e">
        <f t="shared" si="236"/>
        <v>#VALUE!</v>
      </c>
      <c r="AZ249" s="670" t="e">
        <f t="shared" si="237"/>
        <v>#VALUE!</v>
      </c>
      <c r="BB249" s="662" t="e">
        <f>INDEX('Barge Gauging Data'!$B$26:$V$56,MATCH($C249,'Barge Gauging Data'!$B$26:$B$56,0),$BB$198)</f>
        <v>#N/A</v>
      </c>
      <c r="BC249" s="662" t="e">
        <f>INDEX('Barge Gauging Data'!$B$26:$V$56,MATCH($C249,'Barge Gauging Data'!$B$26:$B$56,0),$BC$198)</f>
        <v>#N/A</v>
      </c>
      <c r="BD249" s="662" t="e">
        <f>INDEX('Barge Gauging Data'!$B$26:$V$56,MATCH($C249,'Barge Gauging Data'!$B$26:$B$56,0),$BD$198)</f>
        <v>#N/A</v>
      </c>
      <c r="BE249" s="662" t="e">
        <f>INDEX('Barge Gauging Data'!$B$26:$V$56,MATCH($C249,'Barge Gauging Data'!$B$26:$B$56,0),$BE$198)</f>
        <v>#N/A</v>
      </c>
    </row>
    <row r="250" spans="1:57" hidden="1">
      <c r="A250" s="641" t="str">
        <f t="shared" si="217"/>
        <v>N</v>
      </c>
      <c r="C250" s="235" t="str">
        <f t="shared" si="239"/>
        <v/>
      </c>
      <c r="D250" s="211" t="str">
        <f t="shared" si="239"/>
        <v/>
      </c>
      <c r="E250" s="1016" t="str">
        <f t="shared" si="238"/>
        <v/>
      </c>
      <c r="F250" s="1016" t="str">
        <f t="shared" si="240"/>
        <v/>
      </c>
      <c r="G250" s="1016" t="str">
        <f t="shared" si="241"/>
        <v/>
      </c>
      <c r="H250" s="1016" t="str">
        <f t="shared" si="241"/>
        <v/>
      </c>
      <c r="I250" s="211" t="str">
        <f t="shared" si="242"/>
        <v/>
      </c>
      <c r="J250" s="1016" t="str">
        <f t="shared" si="243"/>
        <v/>
      </c>
      <c r="K250" s="213" t="str">
        <f t="shared" si="244"/>
        <v/>
      </c>
      <c r="L250" s="212" t="str">
        <f t="shared" si="245"/>
        <v/>
      </c>
      <c r="M250" s="1125" t="str">
        <f>IF(OR($C250="",$C250=0),"",INDEX(API2DENST_2,MATCH($C250,'Barge Gauging Data'!$B$27:$B$56,0),$AA$1))</f>
        <v/>
      </c>
      <c r="N250" s="212" t="str">
        <f t="shared" si="246"/>
        <v/>
      </c>
      <c r="O250" s="1016" t="str">
        <f t="shared" si="247"/>
        <v/>
      </c>
      <c r="P250" s="1125" t="str">
        <f t="shared" si="248"/>
        <v/>
      </c>
      <c r="Q250" s="1016" t="str">
        <f t="shared" si="249"/>
        <v/>
      </c>
      <c r="R250" s="214" t="str">
        <f t="shared" si="250"/>
        <v/>
      </c>
      <c r="S250" s="1125" t="str">
        <f t="shared" si="251"/>
        <v/>
      </c>
      <c r="T250" s="236" t="str">
        <f t="shared" si="252"/>
        <v/>
      </c>
      <c r="W250" s="642" t="e">
        <f>INDEX('Barge Gauging Data'!$B$26:$V$56,MATCH($C250,'Barge Gauging Data'!$B$26:$B$56,0),$W$198)</f>
        <v>#N/A</v>
      </c>
      <c r="X250" s="642" t="e">
        <f>INDEX('Barge Gauging Data'!$B$26:$V$56,MATCH($C250,'Barge Gauging Data'!$B$26:$B$56,0),$X$198)</f>
        <v>#N/A</v>
      </c>
      <c r="Y250" s="642" t="e">
        <f>INDEX('Barge Gauging Data'!$B$26:$V$56,MATCH($C250,'Barge Gauging Data'!$B$26:$B$56,0),$Y$198)</f>
        <v>#N/A</v>
      </c>
      <c r="Z250" s="642" t="e">
        <f>INDEX('Barge Gauging Data'!$B$26:$V$56,MATCH($C250,'Barge Gauging Data'!$B$26:$B$56,0),$Z$198)</f>
        <v>#N/A</v>
      </c>
      <c r="AB250" s="642" t="e">
        <f>INDEX(API2DENST_2,MATCH($C250,'Barge Gauging Data'!$B$27:$B$56,0),1)</f>
        <v>#N/A</v>
      </c>
      <c r="AC250" s="642" t="e">
        <f t="shared" si="218"/>
        <v>#N/A</v>
      </c>
      <c r="AE250" s="661" t="e">
        <f t="shared" si="219"/>
        <v>#VALUE!</v>
      </c>
      <c r="AF250" s="661" t="e">
        <f t="shared" si="220"/>
        <v>#VALUE!</v>
      </c>
      <c r="AH250" s="662" t="str">
        <f t="shared" si="194"/>
        <v/>
      </c>
      <c r="AI250" s="662" t="str">
        <f t="shared" si="195"/>
        <v/>
      </c>
      <c r="AJ250" s="663">
        <f t="shared" si="221"/>
        <v>192.4571</v>
      </c>
      <c r="AK250" s="660">
        <f t="shared" si="222"/>
        <v>0.24379999999999999</v>
      </c>
      <c r="AL250" s="660" t="e">
        <f t="shared" si="223"/>
        <v>#VALUE!</v>
      </c>
      <c r="AM250" s="664" t="e">
        <f t="shared" si="224"/>
        <v>#VALUE!</v>
      </c>
      <c r="AN250" s="664" t="e">
        <f t="shared" si="225"/>
        <v>#VALUE!</v>
      </c>
      <c r="AO250" s="665" t="e">
        <f t="shared" si="226"/>
        <v>#VALUE!</v>
      </c>
      <c r="AP250" s="666" t="e">
        <f t="shared" si="227"/>
        <v>#VALUE!</v>
      </c>
      <c r="AQ250" s="660" t="e">
        <f t="shared" si="228"/>
        <v>#VALUE!</v>
      </c>
      <c r="AR250" s="667" t="e">
        <f t="shared" si="229"/>
        <v>#VALUE!</v>
      </c>
      <c r="AS250" s="667" t="e">
        <f t="shared" si="230"/>
        <v>#VALUE!</v>
      </c>
      <c r="AT250" s="668" t="e">
        <f t="shared" si="231"/>
        <v>#VALUE!</v>
      </c>
      <c r="AU250" s="667" t="e">
        <f t="shared" si="232"/>
        <v>#VALUE!</v>
      </c>
      <c r="AV250" s="669" t="e">
        <f t="shared" si="233"/>
        <v>#VALUE!</v>
      </c>
      <c r="AW250" s="667" t="e">
        <f t="shared" si="234"/>
        <v>#VALUE!</v>
      </c>
      <c r="AX250" s="667" t="e">
        <f t="shared" si="235"/>
        <v>#VALUE!</v>
      </c>
      <c r="AY250" s="660" t="e">
        <f t="shared" si="236"/>
        <v>#VALUE!</v>
      </c>
      <c r="AZ250" s="670" t="e">
        <f t="shared" si="237"/>
        <v>#VALUE!</v>
      </c>
      <c r="BB250" s="662" t="e">
        <f>INDEX('Barge Gauging Data'!$B$26:$V$56,MATCH($C250,'Barge Gauging Data'!$B$26:$B$56,0),$BB$198)</f>
        <v>#N/A</v>
      </c>
      <c r="BC250" s="662" t="e">
        <f>INDEX('Barge Gauging Data'!$B$26:$V$56,MATCH($C250,'Barge Gauging Data'!$B$26:$B$56,0),$BC$198)</f>
        <v>#N/A</v>
      </c>
      <c r="BD250" s="662" t="e">
        <f>INDEX('Barge Gauging Data'!$B$26:$V$56,MATCH($C250,'Barge Gauging Data'!$B$26:$B$56,0),$BD$198)</f>
        <v>#N/A</v>
      </c>
      <c r="BE250" s="662" t="e">
        <f>INDEX('Barge Gauging Data'!$B$26:$V$56,MATCH($C250,'Barge Gauging Data'!$B$26:$B$56,0),$BE$198)</f>
        <v>#N/A</v>
      </c>
    </row>
    <row r="251" spans="1:57" hidden="1">
      <c r="A251" s="641" t="str">
        <f t="shared" si="217"/>
        <v>N</v>
      </c>
      <c r="C251" s="235" t="str">
        <f t="shared" si="239"/>
        <v/>
      </c>
      <c r="D251" s="211" t="str">
        <f t="shared" si="239"/>
        <v/>
      </c>
      <c r="E251" s="1016" t="str">
        <f t="shared" si="238"/>
        <v/>
      </c>
      <c r="F251" s="1016" t="str">
        <f t="shared" si="240"/>
        <v/>
      </c>
      <c r="G251" s="1016" t="str">
        <f t="shared" si="241"/>
        <v/>
      </c>
      <c r="H251" s="1016" t="str">
        <f t="shared" si="241"/>
        <v/>
      </c>
      <c r="I251" s="211" t="str">
        <f t="shared" si="242"/>
        <v/>
      </c>
      <c r="J251" s="1016" t="str">
        <f t="shared" si="243"/>
        <v/>
      </c>
      <c r="K251" s="213" t="str">
        <f t="shared" si="244"/>
        <v/>
      </c>
      <c r="L251" s="212" t="str">
        <f t="shared" si="245"/>
        <v/>
      </c>
      <c r="M251" s="1125" t="str">
        <f>IF(OR($C251="",$C251=0),"",INDEX(API2DENST_2,MATCH($C251,'Barge Gauging Data'!$B$27:$B$56,0),$AA$1))</f>
        <v/>
      </c>
      <c r="N251" s="212" t="str">
        <f t="shared" si="246"/>
        <v/>
      </c>
      <c r="O251" s="1016" t="str">
        <f t="shared" si="247"/>
        <v/>
      </c>
      <c r="P251" s="1125" t="str">
        <f t="shared" si="248"/>
        <v/>
      </c>
      <c r="Q251" s="1016" t="str">
        <f t="shared" si="249"/>
        <v/>
      </c>
      <c r="R251" s="214" t="str">
        <f t="shared" si="250"/>
        <v/>
      </c>
      <c r="S251" s="1125" t="str">
        <f t="shared" si="251"/>
        <v/>
      </c>
      <c r="T251" s="236" t="str">
        <f t="shared" si="252"/>
        <v/>
      </c>
      <c r="W251" s="642" t="e">
        <f>INDEX('Barge Gauging Data'!$B$26:$V$56,MATCH($C251,'Barge Gauging Data'!$B$26:$B$56,0),$W$198)</f>
        <v>#N/A</v>
      </c>
      <c r="X251" s="642" t="e">
        <f>INDEX('Barge Gauging Data'!$B$26:$V$56,MATCH($C251,'Barge Gauging Data'!$B$26:$B$56,0),$X$198)</f>
        <v>#N/A</v>
      </c>
      <c r="Y251" s="642" t="e">
        <f>INDEX('Barge Gauging Data'!$B$26:$V$56,MATCH($C251,'Barge Gauging Data'!$B$26:$B$56,0),$Y$198)</f>
        <v>#N/A</v>
      </c>
      <c r="Z251" s="642" t="e">
        <f>INDEX('Barge Gauging Data'!$B$26:$V$56,MATCH($C251,'Barge Gauging Data'!$B$26:$B$56,0),$Z$198)</f>
        <v>#N/A</v>
      </c>
      <c r="AB251" s="642" t="e">
        <f>INDEX(API2DENST_2,MATCH($C251,'Barge Gauging Data'!$B$27:$B$56,0),1)</f>
        <v>#N/A</v>
      </c>
      <c r="AC251" s="642" t="e">
        <f t="shared" si="218"/>
        <v>#N/A</v>
      </c>
      <c r="AE251" s="661" t="e">
        <f t="shared" si="219"/>
        <v>#VALUE!</v>
      </c>
      <c r="AF251" s="661" t="e">
        <f t="shared" si="220"/>
        <v>#VALUE!</v>
      </c>
      <c r="AH251" s="662" t="str">
        <f t="shared" si="194"/>
        <v/>
      </c>
      <c r="AI251" s="662" t="str">
        <f t="shared" si="195"/>
        <v/>
      </c>
      <c r="AJ251" s="663">
        <f t="shared" si="221"/>
        <v>192.4571</v>
      </c>
      <c r="AK251" s="660">
        <f t="shared" si="222"/>
        <v>0.24379999999999999</v>
      </c>
      <c r="AL251" s="660" t="e">
        <f t="shared" si="223"/>
        <v>#VALUE!</v>
      </c>
      <c r="AM251" s="664" t="e">
        <f t="shared" si="224"/>
        <v>#VALUE!</v>
      </c>
      <c r="AN251" s="664" t="e">
        <f t="shared" si="225"/>
        <v>#VALUE!</v>
      </c>
      <c r="AO251" s="665" t="e">
        <f t="shared" si="226"/>
        <v>#VALUE!</v>
      </c>
      <c r="AP251" s="666" t="e">
        <f t="shared" si="227"/>
        <v>#VALUE!</v>
      </c>
      <c r="AQ251" s="660" t="e">
        <f t="shared" si="228"/>
        <v>#VALUE!</v>
      </c>
      <c r="AR251" s="667" t="e">
        <f t="shared" si="229"/>
        <v>#VALUE!</v>
      </c>
      <c r="AS251" s="667" t="e">
        <f t="shared" si="230"/>
        <v>#VALUE!</v>
      </c>
      <c r="AT251" s="668" t="e">
        <f t="shared" si="231"/>
        <v>#VALUE!</v>
      </c>
      <c r="AU251" s="667" t="e">
        <f t="shared" si="232"/>
        <v>#VALUE!</v>
      </c>
      <c r="AV251" s="669" t="e">
        <f t="shared" si="233"/>
        <v>#VALUE!</v>
      </c>
      <c r="AW251" s="667" t="e">
        <f t="shared" si="234"/>
        <v>#VALUE!</v>
      </c>
      <c r="AX251" s="667" t="e">
        <f t="shared" si="235"/>
        <v>#VALUE!</v>
      </c>
      <c r="AY251" s="660" t="e">
        <f t="shared" si="236"/>
        <v>#VALUE!</v>
      </c>
      <c r="AZ251" s="670" t="e">
        <f t="shared" si="237"/>
        <v>#VALUE!</v>
      </c>
      <c r="BB251" s="662" t="e">
        <f>INDEX('Barge Gauging Data'!$B$26:$V$56,MATCH($C251,'Barge Gauging Data'!$B$26:$B$56,0),$BB$198)</f>
        <v>#N/A</v>
      </c>
      <c r="BC251" s="662" t="e">
        <f>INDEX('Barge Gauging Data'!$B$26:$V$56,MATCH($C251,'Barge Gauging Data'!$B$26:$B$56,0),$BC$198)</f>
        <v>#N/A</v>
      </c>
      <c r="BD251" s="662" t="e">
        <f>INDEX('Barge Gauging Data'!$B$26:$V$56,MATCH($C251,'Barge Gauging Data'!$B$26:$B$56,0),$BD$198)</f>
        <v>#N/A</v>
      </c>
      <c r="BE251" s="662" t="e">
        <f>INDEX('Barge Gauging Data'!$B$26:$V$56,MATCH($C251,'Barge Gauging Data'!$B$26:$B$56,0),$BE$198)</f>
        <v>#N/A</v>
      </c>
    </row>
    <row r="252" spans="1:57" hidden="1">
      <c r="A252" s="641" t="str">
        <f t="shared" si="217"/>
        <v>N</v>
      </c>
      <c r="C252" s="235" t="str">
        <f t="shared" si="239"/>
        <v/>
      </c>
      <c r="D252" s="211" t="str">
        <f t="shared" si="239"/>
        <v/>
      </c>
      <c r="E252" s="1016" t="str">
        <f t="shared" si="238"/>
        <v/>
      </c>
      <c r="F252" s="1016" t="str">
        <f t="shared" si="240"/>
        <v/>
      </c>
      <c r="G252" s="1016" t="str">
        <f t="shared" si="241"/>
        <v/>
      </c>
      <c r="H252" s="1016" t="str">
        <f t="shared" si="241"/>
        <v/>
      </c>
      <c r="I252" s="211" t="str">
        <f t="shared" si="242"/>
        <v/>
      </c>
      <c r="J252" s="1016" t="str">
        <f t="shared" si="243"/>
        <v/>
      </c>
      <c r="K252" s="213" t="str">
        <f t="shared" si="244"/>
        <v/>
      </c>
      <c r="L252" s="212" t="str">
        <f t="shared" si="245"/>
        <v/>
      </c>
      <c r="M252" s="1125" t="str">
        <f>IF(OR($C252="",$C252=0),"",INDEX(API2DENST_2,MATCH($C252,'Barge Gauging Data'!$B$27:$B$56,0),$AA$1))</f>
        <v/>
      </c>
      <c r="N252" s="212" t="str">
        <f t="shared" si="246"/>
        <v/>
      </c>
      <c r="O252" s="1016" t="str">
        <f t="shared" si="247"/>
        <v/>
      </c>
      <c r="P252" s="1125" t="str">
        <f t="shared" si="248"/>
        <v/>
      </c>
      <c r="Q252" s="1016" t="str">
        <f t="shared" si="249"/>
        <v/>
      </c>
      <c r="R252" s="214" t="str">
        <f t="shared" si="250"/>
        <v/>
      </c>
      <c r="S252" s="1125" t="str">
        <f t="shared" si="251"/>
        <v/>
      </c>
      <c r="T252" s="236" t="str">
        <f t="shared" si="252"/>
        <v/>
      </c>
      <c r="W252" s="642" t="e">
        <f>INDEX('Barge Gauging Data'!$B$26:$V$56,MATCH($C252,'Barge Gauging Data'!$B$26:$B$56,0),$W$198)</f>
        <v>#N/A</v>
      </c>
      <c r="X252" s="642" t="e">
        <f>INDEX('Barge Gauging Data'!$B$26:$V$56,MATCH($C252,'Barge Gauging Data'!$B$26:$B$56,0),$X$198)</f>
        <v>#N/A</v>
      </c>
      <c r="Y252" s="642" t="e">
        <f>INDEX('Barge Gauging Data'!$B$26:$V$56,MATCH($C252,'Barge Gauging Data'!$B$26:$B$56,0),$Y$198)</f>
        <v>#N/A</v>
      </c>
      <c r="Z252" s="642" t="e">
        <f>INDEX('Barge Gauging Data'!$B$26:$V$56,MATCH($C252,'Barge Gauging Data'!$B$26:$B$56,0),$Z$198)</f>
        <v>#N/A</v>
      </c>
      <c r="AB252" s="642" t="e">
        <f>INDEX(API2DENST_2,MATCH($C252,'Barge Gauging Data'!$B$27:$B$56,0),1)</f>
        <v>#N/A</v>
      </c>
      <c r="AC252" s="642" t="e">
        <f t="shared" si="218"/>
        <v>#N/A</v>
      </c>
      <c r="AE252" s="661" t="e">
        <f t="shared" si="219"/>
        <v>#VALUE!</v>
      </c>
      <c r="AF252" s="661" t="e">
        <f t="shared" si="220"/>
        <v>#VALUE!</v>
      </c>
      <c r="AH252" s="662" t="str">
        <f t="shared" si="194"/>
        <v/>
      </c>
      <c r="AI252" s="662" t="str">
        <f t="shared" si="195"/>
        <v/>
      </c>
      <c r="AJ252" s="663">
        <f t="shared" si="221"/>
        <v>192.4571</v>
      </c>
      <c r="AK252" s="660">
        <f t="shared" si="222"/>
        <v>0.24379999999999999</v>
      </c>
      <c r="AL252" s="660" t="e">
        <f t="shared" si="223"/>
        <v>#VALUE!</v>
      </c>
      <c r="AM252" s="664" t="e">
        <f t="shared" si="224"/>
        <v>#VALUE!</v>
      </c>
      <c r="AN252" s="664" t="e">
        <f t="shared" si="225"/>
        <v>#VALUE!</v>
      </c>
      <c r="AO252" s="665" t="e">
        <f t="shared" si="226"/>
        <v>#VALUE!</v>
      </c>
      <c r="AP252" s="666" t="e">
        <f t="shared" si="227"/>
        <v>#VALUE!</v>
      </c>
      <c r="AQ252" s="660" t="e">
        <f t="shared" si="228"/>
        <v>#VALUE!</v>
      </c>
      <c r="AR252" s="667" t="e">
        <f t="shared" si="229"/>
        <v>#VALUE!</v>
      </c>
      <c r="AS252" s="667" t="e">
        <f t="shared" si="230"/>
        <v>#VALUE!</v>
      </c>
      <c r="AT252" s="668" t="e">
        <f t="shared" si="231"/>
        <v>#VALUE!</v>
      </c>
      <c r="AU252" s="667" t="e">
        <f t="shared" si="232"/>
        <v>#VALUE!</v>
      </c>
      <c r="AV252" s="669" t="e">
        <f t="shared" si="233"/>
        <v>#VALUE!</v>
      </c>
      <c r="AW252" s="667" t="e">
        <f t="shared" si="234"/>
        <v>#VALUE!</v>
      </c>
      <c r="AX252" s="667" t="e">
        <f t="shared" si="235"/>
        <v>#VALUE!</v>
      </c>
      <c r="AY252" s="660" t="e">
        <f t="shared" si="236"/>
        <v>#VALUE!</v>
      </c>
      <c r="AZ252" s="670" t="e">
        <f t="shared" si="237"/>
        <v>#VALUE!</v>
      </c>
      <c r="BB252" s="662" t="e">
        <f>INDEX('Barge Gauging Data'!$B$26:$V$56,MATCH($C252,'Barge Gauging Data'!$B$26:$B$56,0),$BB$198)</f>
        <v>#N/A</v>
      </c>
      <c r="BC252" s="662" t="e">
        <f>INDEX('Barge Gauging Data'!$B$26:$V$56,MATCH($C252,'Barge Gauging Data'!$B$26:$B$56,0),$BC$198)</f>
        <v>#N/A</v>
      </c>
      <c r="BD252" s="662" t="e">
        <f>INDEX('Barge Gauging Data'!$B$26:$V$56,MATCH($C252,'Barge Gauging Data'!$B$26:$B$56,0),$BD$198)</f>
        <v>#N/A</v>
      </c>
      <c r="BE252" s="662" t="e">
        <f>INDEX('Barge Gauging Data'!$B$26:$V$56,MATCH($C252,'Barge Gauging Data'!$B$26:$B$56,0),$BE$198)</f>
        <v>#N/A</v>
      </c>
    </row>
    <row r="253" spans="1:57" hidden="1">
      <c r="A253" s="641" t="str">
        <f t="shared" si="217"/>
        <v>N</v>
      </c>
      <c r="C253" s="235" t="str">
        <f t="shared" si="239"/>
        <v/>
      </c>
      <c r="D253" s="211" t="str">
        <f t="shared" si="239"/>
        <v/>
      </c>
      <c r="E253" s="1016" t="str">
        <f t="shared" si="238"/>
        <v/>
      </c>
      <c r="F253" s="1016" t="str">
        <f t="shared" si="240"/>
        <v/>
      </c>
      <c r="G253" s="1016" t="str">
        <f t="shared" si="241"/>
        <v/>
      </c>
      <c r="H253" s="1016" t="str">
        <f t="shared" si="241"/>
        <v/>
      </c>
      <c r="I253" s="211" t="str">
        <f t="shared" si="242"/>
        <v/>
      </c>
      <c r="J253" s="1016" t="str">
        <f t="shared" si="243"/>
        <v/>
      </c>
      <c r="K253" s="213" t="str">
        <f t="shared" si="244"/>
        <v/>
      </c>
      <c r="L253" s="212" t="str">
        <f t="shared" si="245"/>
        <v/>
      </c>
      <c r="M253" s="1125" t="str">
        <f>IF(OR($C253="",$C253=0),"",INDEX(API2DENST_2,MATCH($C253,'Barge Gauging Data'!$B$27:$B$56,0),$AA$1))</f>
        <v/>
      </c>
      <c r="N253" s="212" t="str">
        <f t="shared" si="246"/>
        <v/>
      </c>
      <c r="O253" s="1016" t="str">
        <f t="shared" si="247"/>
        <v/>
      </c>
      <c r="P253" s="1125" t="str">
        <f t="shared" si="248"/>
        <v/>
      </c>
      <c r="Q253" s="1016" t="str">
        <f t="shared" si="249"/>
        <v/>
      </c>
      <c r="R253" s="214" t="str">
        <f t="shared" si="250"/>
        <v/>
      </c>
      <c r="S253" s="1125" t="str">
        <f t="shared" si="251"/>
        <v/>
      </c>
      <c r="T253" s="236" t="str">
        <f t="shared" si="252"/>
        <v/>
      </c>
      <c r="W253" s="642" t="e">
        <f>INDEX('Barge Gauging Data'!$B$26:$V$56,MATCH($C253,'Barge Gauging Data'!$B$26:$B$56,0),$W$198)</f>
        <v>#N/A</v>
      </c>
      <c r="X253" s="642" t="e">
        <f>INDEX('Barge Gauging Data'!$B$26:$V$56,MATCH($C253,'Barge Gauging Data'!$B$26:$B$56,0),$X$198)</f>
        <v>#N/A</v>
      </c>
      <c r="Y253" s="642" t="e">
        <f>INDEX('Barge Gauging Data'!$B$26:$V$56,MATCH($C253,'Barge Gauging Data'!$B$26:$B$56,0),$Y$198)</f>
        <v>#N/A</v>
      </c>
      <c r="Z253" s="642" t="e">
        <f>INDEX('Barge Gauging Data'!$B$26:$V$56,MATCH($C253,'Barge Gauging Data'!$B$26:$B$56,0),$Z$198)</f>
        <v>#N/A</v>
      </c>
      <c r="AB253" s="642" t="e">
        <f>INDEX(API2DENST_2,MATCH($C253,'Barge Gauging Data'!$B$27:$B$56,0),1)</f>
        <v>#N/A</v>
      </c>
      <c r="AC253" s="642" t="e">
        <f t="shared" si="218"/>
        <v>#N/A</v>
      </c>
      <c r="AE253" s="661" t="e">
        <f t="shared" si="219"/>
        <v>#VALUE!</v>
      </c>
      <c r="AF253" s="661" t="e">
        <f t="shared" si="220"/>
        <v>#VALUE!</v>
      </c>
      <c r="AH253" s="662" t="str">
        <f t="shared" si="194"/>
        <v/>
      </c>
      <c r="AI253" s="662" t="str">
        <f t="shared" si="195"/>
        <v/>
      </c>
      <c r="AJ253" s="663">
        <f t="shared" si="221"/>
        <v>192.4571</v>
      </c>
      <c r="AK253" s="660">
        <f t="shared" si="222"/>
        <v>0.24379999999999999</v>
      </c>
      <c r="AL253" s="660" t="e">
        <f t="shared" si="223"/>
        <v>#VALUE!</v>
      </c>
      <c r="AM253" s="664" t="e">
        <f t="shared" si="224"/>
        <v>#VALUE!</v>
      </c>
      <c r="AN253" s="664" t="e">
        <f t="shared" si="225"/>
        <v>#VALUE!</v>
      </c>
      <c r="AO253" s="665" t="e">
        <f t="shared" si="226"/>
        <v>#VALUE!</v>
      </c>
      <c r="AP253" s="666" t="e">
        <f t="shared" si="227"/>
        <v>#VALUE!</v>
      </c>
      <c r="AQ253" s="660" t="e">
        <f t="shared" si="228"/>
        <v>#VALUE!</v>
      </c>
      <c r="AR253" s="667" t="e">
        <f t="shared" si="229"/>
        <v>#VALUE!</v>
      </c>
      <c r="AS253" s="667" t="e">
        <f t="shared" si="230"/>
        <v>#VALUE!</v>
      </c>
      <c r="AT253" s="668" t="e">
        <f t="shared" si="231"/>
        <v>#VALUE!</v>
      </c>
      <c r="AU253" s="667" t="e">
        <f t="shared" si="232"/>
        <v>#VALUE!</v>
      </c>
      <c r="AV253" s="669" t="e">
        <f t="shared" si="233"/>
        <v>#VALUE!</v>
      </c>
      <c r="AW253" s="667" t="e">
        <f t="shared" si="234"/>
        <v>#VALUE!</v>
      </c>
      <c r="AX253" s="667" t="e">
        <f t="shared" si="235"/>
        <v>#VALUE!</v>
      </c>
      <c r="AY253" s="660" t="e">
        <f t="shared" si="236"/>
        <v>#VALUE!</v>
      </c>
      <c r="AZ253" s="670" t="e">
        <f t="shared" si="237"/>
        <v>#VALUE!</v>
      </c>
      <c r="BB253" s="662" t="e">
        <f>INDEX('Barge Gauging Data'!$B$26:$V$56,MATCH($C253,'Barge Gauging Data'!$B$26:$B$56,0),$BB$198)</f>
        <v>#N/A</v>
      </c>
      <c r="BC253" s="662" t="e">
        <f>INDEX('Barge Gauging Data'!$B$26:$V$56,MATCH($C253,'Barge Gauging Data'!$B$26:$B$56,0),$BC$198)</f>
        <v>#N/A</v>
      </c>
      <c r="BD253" s="662" t="e">
        <f>INDEX('Barge Gauging Data'!$B$26:$V$56,MATCH($C253,'Barge Gauging Data'!$B$26:$B$56,0),$BD$198)</f>
        <v>#N/A</v>
      </c>
      <c r="BE253" s="662" t="e">
        <f>INDEX('Barge Gauging Data'!$B$26:$V$56,MATCH($C253,'Barge Gauging Data'!$B$26:$B$56,0),$BE$198)</f>
        <v>#N/A</v>
      </c>
    </row>
    <row r="254" spans="1:57" hidden="1">
      <c r="A254" s="641" t="str">
        <f t="shared" si="217"/>
        <v>N</v>
      </c>
      <c r="C254" s="235" t="str">
        <f t="shared" si="239"/>
        <v/>
      </c>
      <c r="D254" s="211" t="str">
        <f t="shared" si="239"/>
        <v/>
      </c>
      <c r="E254" s="1016" t="str">
        <f t="shared" si="238"/>
        <v/>
      </c>
      <c r="F254" s="1016" t="str">
        <f t="shared" si="240"/>
        <v/>
      </c>
      <c r="G254" s="1016" t="str">
        <f t="shared" si="241"/>
        <v/>
      </c>
      <c r="H254" s="1016" t="str">
        <f t="shared" si="241"/>
        <v/>
      </c>
      <c r="I254" s="211" t="str">
        <f t="shared" si="242"/>
        <v/>
      </c>
      <c r="J254" s="1016" t="str">
        <f t="shared" si="243"/>
        <v/>
      </c>
      <c r="K254" s="213" t="str">
        <f t="shared" si="244"/>
        <v/>
      </c>
      <c r="L254" s="212" t="str">
        <f t="shared" si="245"/>
        <v/>
      </c>
      <c r="M254" s="1125" t="str">
        <f>IF(OR($C254="",$C254=0),"",INDEX(API2DENST_2,MATCH($C254,'Barge Gauging Data'!$B$27:$B$56,0),$AA$1))</f>
        <v/>
      </c>
      <c r="N254" s="212" t="str">
        <f t="shared" si="246"/>
        <v/>
      </c>
      <c r="O254" s="1016" t="str">
        <f t="shared" si="247"/>
        <v/>
      </c>
      <c r="P254" s="1125" t="str">
        <f t="shared" si="248"/>
        <v/>
      </c>
      <c r="Q254" s="1016" t="str">
        <f t="shared" si="249"/>
        <v/>
      </c>
      <c r="R254" s="214" t="str">
        <f t="shared" si="250"/>
        <v/>
      </c>
      <c r="S254" s="1125" t="str">
        <f t="shared" si="251"/>
        <v/>
      </c>
      <c r="T254" s="236" t="str">
        <f t="shared" si="252"/>
        <v/>
      </c>
      <c r="W254" s="642" t="e">
        <f>INDEX('Barge Gauging Data'!$B$26:$V$56,MATCH($C254,'Barge Gauging Data'!$B$26:$B$56,0),$W$198)</f>
        <v>#N/A</v>
      </c>
      <c r="X254" s="642" t="e">
        <f>INDEX('Barge Gauging Data'!$B$26:$V$56,MATCH($C254,'Barge Gauging Data'!$B$26:$B$56,0),$X$198)</f>
        <v>#N/A</v>
      </c>
      <c r="Y254" s="642" t="e">
        <f>INDEX('Barge Gauging Data'!$B$26:$V$56,MATCH($C254,'Barge Gauging Data'!$B$26:$B$56,0),$Y$198)</f>
        <v>#N/A</v>
      </c>
      <c r="Z254" s="642" t="e">
        <f>INDEX('Barge Gauging Data'!$B$26:$V$56,MATCH($C254,'Barge Gauging Data'!$B$26:$B$56,0),$Z$198)</f>
        <v>#N/A</v>
      </c>
      <c r="AB254" s="642" t="e">
        <f>INDEX(API2DENST_2,MATCH($C254,'Barge Gauging Data'!$B$27:$B$56,0),1)</f>
        <v>#N/A</v>
      </c>
      <c r="AC254" s="642" t="e">
        <f t="shared" si="218"/>
        <v>#N/A</v>
      </c>
      <c r="AE254" s="661" t="e">
        <f t="shared" si="219"/>
        <v>#VALUE!</v>
      </c>
      <c r="AF254" s="661" t="e">
        <f t="shared" si="220"/>
        <v>#VALUE!</v>
      </c>
      <c r="AH254" s="662" t="str">
        <f t="shared" si="194"/>
        <v/>
      </c>
      <c r="AI254" s="662" t="str">
        <f t="shared" si="195"/>
        <v/>
      </c>
      <c r="AJ254" s="663">
        <f t="shared" si="221"/>
        <v>192.4571</v>
      </c>
      <c r="AK254" s="660">
        <f t="shared" si="222"/>
        <v>0.24379999999999999</v>
      </c>
      <c r="AL254" s="660" t="e">
        <f t="shared" si="223"/>
        <v>#VALUE!</v>
      </c>
      <c r="AM254" s="664" t="e">
        <f t="shared" si="224"/>
        <v>#VALUE!</v>
      </c>
      <c r="AN254" s="664" t="e">
        <f t="shared" si="225"/>
        <v>#VALUE!</v>
      </c>
      <c r="AO254" s="665" t="e">
        <f t="shared" si="226"/>
        <v>#VALUE!</v>
      </c>
      <c r="AP254" s="666" t="e">
        <f t="shared" si="227"/>
        <v>#VALUE!</v>
      </c>
      <c r="AQ254" s="660" t="e">
        <f t="shared" si="228"/>
        <v>#VALUE!</v>
      </c>
      <c r="AR254" s="667" t="e">
        <f t="shared" si="229"/>
        <v>#VALUE!</v>
      </c>
      <c r="AS254" s="667" t="e">
        <f t="shared" si="230"/>
        <v>#VALUE!</v>
      </c>
      <c r="AT254" s="668" t="e">
        <f t="shared" si="231"/>
        <v>#VALUE!</v>
      </c>
      <c r="AU254" s="667" t="e">
        <f t="shared" si="232"/>
        <v>#VALUE!</v>
      </c>
      <c r="AV254" s="669" t="e">
        <f t="shared" si="233"/>
        <v>#VALUE!</v>
      </c>
      <c r="AW254" s="667" t="e">
        <f t="shared" si="234"/>
        <v>#VALUE!</v>
      </c>
      <c r="AX254" s="667" t="e">
        <f t="shared" si="235"/>
        <v>#VALUE!</v>
      </c>
      <c r="AY254" s="660" t="e">
        <f t="shared" si="236"/>
        <v>#VALUE!</v>
      </c>
      <c r="AZ254" s="670" t="e">
        <f t="shared" si="237"/>
        <v>#VALUE!</v>
      </c>
      <c r="BB254" s="662" t="e">
        <f>INDEX('Barge Gauging Data'!$B$26:$V$56,MATCH($C254,'Barge Gauging Data'!$B$26:$B$56,0),$BB$198)</f>
        <v>#N/A</v>
      </c>
      <c r="BC254" s="662" t="e">
        <f>INDEX('Barge Gauging Data'!$B$26:$V$56,MATCH($C254,'Barge Gauging Data'!$B$26:$B$56,0),$BC$198)</f>
        <v>#N/A</v>
      </c>
      <c r="BD254" s="662" t="e">
        <f>INDEX('Barge Gauging Data'!$B$26:$V$56,MATCH($C254,'Barge Gauging Data'!$B$26:$B$56,0),$BD$198)</f>
        <v>#N/A</v>
      </c>
      <c r="BE254" s="662" t="e">
        <f>INDEX('Barge Gauging Data'!$B$26:$V$56,MATCH($C254,'Barge Gauging Data'!$B$26:$B$56,0),$BE$198)</f>
        <v>#N/A</v>
      </c>
    </row>
    <row r="255" spans="1:57" hidden="1">
      <c r="A255" s="641" t="str">
        <f t="shared" si="217"/>
        <v>N</v>
      </c>
      <c r="C255" s="235" t="str">
        <f t="shared" si="239"/>
        <v/>
      </c>
      <c r="D255" s="211" t="str">
        <f t="shared" si="239"/>
        <v/>
      </c>
      <c r="E255" s="1016" t="str">
        <f t="shared" si="238"/>
        <v/>
      </c>
      <c r="F255" s="1016" t="str">
        <f t="shared" si="240"/>
        <v/>
      </c>
      <c r="G255" s="1016" t="str">
        <f t="shared" si="241"/>
        <v/>
      </c>
      <c r="H255" s="1016" t="str">
        <f t="shared" si="241"/>
        <v/>
      </c>
      <c r="I255" s="211" t="str">
        <f t="shared" si="242"/>
        <v/>
      </c>
      <c r="J255" s="1016" t="str">
        <f t="shared" si="243"/>
        <v/>
      </c>
      <c r="K255" s="213" t="str">
        <f t="shared" si="244"/>
        <v/>
      </c>
      <c r="L255" s="212" t="str">
        <f t="shared" si="245"/>
        <v/>
      </c>
      <c r="M255" s="1125" t="str">
        <f>IF(OR($C255="",$C255=0),"",INDEX(API2DENST_2,MATCH($C255,'Barge Gauging Data'!$B$27:$B$56,0),$AA$1))</f>
        <v/>
      </c>
      <c r="N255" s="212" t="str">
        <f t="shared" si="246"/>
        <v/>
      </c>
      <c r="O255" s="1016" t="str">
        <f t="shared" si="247"/>
        <v/>
      </c>
      <c r="P255" s="1125" t="str">
        <f t="shared" si="248"/>
        <v/>
      </c>
      <c r="Q255" s="1016" t="str">
        <f t="shared" si="249"/>
        <v/>
      </c>
      <c r="R255" s="214" t="str">
        <f t="shared" si="250"/>
        <v/>
      </c>
      <c r="S255" s="1125" t="str">
        <f t="shared" si="251"/>
        <v/>
      </c>
      <c r="T255" s="236" t="str">
        <f t="shared" si="252"/>
        <v/>
      </c>
      <c r="W255" s="642" t="e">
        <f>INDEX('Barge Gauging Data'!$B$26:$V$56,MATCH($C255,'Barge Gauging Data'!$B$26:$B$56,0),$W$198)</f>
        <v>#N/A</v>
      </c>
      <c r="X255" s="642" t="e">
        <f>INDEX('Barge Gauging Data'!$B$26:$V$56,MATCH($C255,'Barge Gauging Data'!$B$26:$B$56,0),$X$198)</f>
        <v>#N/A</v>
      </c>
      <c r="Y255" s="642" t="e">
        <f>INDEX('Barge Gauging Data'!$B$26:$V$56,MATCH($C255,'Barge Gauging Data'!$B$26:$B$56,0),$Y$198)</f>
        <v>#N/A</v>
      </c>
      <c r="Z255" s="642" t="e">
        <f>INDEX('Barge Gauging Data'!$B$26:$V$56,MATCH($C255,'Barge Gauging Data'!$B$26:$B$56,0),$Z$198)</f>
        <v>#N/A</v>
      </c>
      <c r="AB255" s="642" t="e">
        <f>INDEX(API2DENST_2,MATCH($C255,'Barge Gauging Data'!$B$27:$B$56,0),1)</f>
        <v>#N/A</v>
      </c>
      <c r="AC255" s="642" t="e">
        <f t="shared" si="218"/>
        <v>#N/A</v>
      </c>
      <c r="AE255" s="661" t="e">
        <f t="shared" si="219"/>
        <v>#VALUE!</v>
      </c>
      <c r="AF255" s="661" t="e">
        <f t="shared" si="220"/>
        <v>#VALUE!</v>
      </c>
      <c r="AH255" s="662" t="str">
        <f t="shared" si="194"/>
        <v/>
      </c>
      <c r="AI255" s="662" t="str">
        <f t="shared" si="195"/>
        <v/>
      </c>
      <c r="AJ255" s="663">
        <f t="shared" si="221"/>
        <v>192.4571</v>
      </c>
      <c r="AK255" s="660">
        <f t="shared" si="222"/>
        <v>0.24379999999999999</v>
      </c>
      <c r="AL255" s="660" t="e">
        <f t="shared" si="223"/>
        <v>#VALUE!</v>
      </c>
      <c r="AM255" s="664" t="e">
        <f t="shared" si="224"/>
        <v>#VALUE!</v>
      </c>
      <c r="AN255" s="664" t="e">
        <f t="shared" si="225"/>
        <v>#VALUE!</v>
      </c>
      <c r="AO255" s="665" t="e">
        <f t="shared" si="226"/>
        <v>#VALUE!</v>
      </c>
      <c r="AP255" s="666" t="e">
        <f t="shared" si="227"/>
        <v>#VALUE!</v>
      </c>
      <c r="AQ255" s="660" t="e">
        <f t="shared" si="228"/>
        <v>#VALUE!</v>
      </c>
      <c r="AR255" s="667" t="e">
        <f t="shared" si="229"/>
        <v>#VALUE!</v>
      </c>
      <c r="AS255" s="667" t="e">
        <f t="shared" si="230"/>
        <v>#VALUE!</v>
      </c>
      <c r="AT255" s="668" t="e">
        <f t="shared" si="231"/>
        <v>#VALUE!</v>
      </c>
      <c r="AU255" s="667" t="e">
        <f t="shared" si="232"/>
        <v>#VALUE!</v>
      </c>
      <c r="AV255" s="669" t="e">
        <f t="shared" si="233"/>
        <v>#VALUE!</v>
      </c>
      <c r="AW255" s="667" t="e">
        <f t="shared" si="234"/>
        <v>#VALUE!</v>
      </c>
      <c r="AX255" s="667" t="e">
        <f t="shared" si="235"/>
        <v>#VALUE!</v>
      </c>
      <c r="AY255" s="660" t="e">
        <f t="shared" si="236"/>
        <v>#VALUE!</v>
      </c>
      <c r="AZ255" s="670" t="e">
        <f t="shared" si="237"/>
        <v>#VALUE!</v>
      </c>
      <c r="BB255" s="662" t="e">
        <f>INDEX('Barge Gauging Data'!$B$26:$V$56,MATCH($C255,'Barge Gauging Data'!$B$26:$B$56,0),$BB$198)</f>
        <v>#N/A</v>
      </c>
      <c r="BC255" s="662" t="e">
        <f>INDEX('Barge Gauging Data'!$B$26:$V$56,MATCH($C255,'Barge Gauging Data'!$B$26:$B$56,0),$BC$198)</f>
        <v>#N/A</v>
      </c>
      <c r="BD255" s="662" t="e">
        <f>INDEX('Barge Gauging Data'!$B$26:$V$56,MATCH($C255,'Barge Gauging Data'!$B$26:$B$56,0),$BD$198)</f>
        <v>#N/A</v>
      </c>
      <c r="BE255" s="662" t="e">
        <f>INDEX('Barge Gauging Data'!$B$26:$V$56,MATCH($C255,'Barge Gauging Data'!$B$26:$B$56,0),$BE$198)</f>
        <v>#N/A</v>
      </c>
    </row>
    <row r="256" spans="1:57" hidden="1">
      <c r="A256" s="641" t="str">
        <f t="shared" si="217"/>
        <v>N</v>
      </c>
      <c r="C256" s="235" t="str">
        <f t="shared" si="239"/>
        <v/>
      </c>
      <c r="D256" s="211" t="str">
        <f t="shared" si="239"/>
        <v/>
      </c>
      <c r="E256" s="1016" t="str">
        <f t="shared" si="238"/>
        <v/>
      </c>
      <c r="F256" s="1016" t="str">
        <f t="shared" si="240"/>
        <v/>
      </c>
      <c r="G256" s="1016" t="str">
        <f t="shared" si="241"/>
        <v/>
      </c>
      <c r="H256" s="1016" t="str">
        <f t="shared" si="241"/>
        <v/>
      </c>
      <c r="I256" s="211" t="str">
        <f t="shared" si="242"/>
        <v/>
      </c>
      <c r="J256" s="1016" t="str">
        <f t="shared" si="243"/>
        <v/>
      </c>
      <c r="K256" s="213" t="str">
        <f t="shared" si="244"/>
        <v/>
      </c>
      <c r="L256" s="212" t="str">
        <f t="shared" si="245"/>
        <v/>
      </c>
      <c r="M256" s="1125" t="str">
        <f>IF(OR($C256="",$C256=0),"",INDEX(API2DENST_2,MATCH($C256,'Barge Gauging Data'!$B$27:$B$56,0),$AA$1))</f>
        <v/>
      </c>
      <c r="N256" s="212" t="str">
        <f t="shared" si="246"/>
        <v/>
      </c>
      <c r="O256" s="1016" t="str">
        <f t="shared" si="247"/>
        <v/>
      </c>
      <c r="P256" s="1125" t="str">
        <f t="shared" si="248"/>
        <v/>
      </c>
      <c r="Q256" s="1016" t="str">
        <f t="shared" si="249"/>
        <v/>
      </c>
      <c r="R256" s="214" t="str">
        <f t="shared" si="250"/>
        <v/>
      </c>
      <c r="S256" s="1125" t="str">
        <f t="shared" si="251"/>
        <v/>
      </c>
      <c r="T256" s="236" t="str">
        <f t="shared" si="252"/>
        <v/>
      </c>
      <c r="W256" s="642" t="e">
        <f>INDEX('Barge Gauging Data'!$B$26:$V$56,MATCH($C256,'Barge Gauging Data'!$B$26:$B$56,0),$W$198)</f>
        <v>#N/A</v>
      </c>
      <c r="X256" s="642" t="e">
        <f>INDEX('Barge Gauging Data'!$B$26:$V$56,MATCH($C256,'Barge Gauging Data'!$B$26:$B$56,0),$X$198)</f>
        <v>#N/A</v>
      </c>
      <c r="Y256" s="642" t="e">
        <f>INDEX('Barge Gauging Data'!$B$26:$V$56,MATCH($C256,'Barge Gauging Data'!$B$26:$B$56,0),$Y$198)</f>
        <v>#N/A</v>
      </c>
      <c r="Z256" s="642" t="e">
        <f>INDEX('Barge Gauging Data'!$B$26:$V$56,MATCH($C256,'Barge Gauging Data'!$B$26:$B$56,0),$Z$198)</f>
        <v>#N/A</v>
      </c>
      <c r="AB256" s="642" t="e">
        <f>INDEX(API2DENST_2,MATCH($C256,'Barge Gauging Data'!$B$27:$B$56,0),1)</f>
        <v>#N/A</v>
      </c>
      <c r="AC256" s="642" t="e">
        <f t="shared" si="218"/>
        <v>#N/A</v>
      </c>
      <c r="AE256" s="661" t="e">
        <f t="shared" si="219"/>
        <v>#VALUE!</v>
      </c>
      <c r="AF256" s="661" t="e">
        <f t="shared" si="220"/>
        <v>#VALUE!</v>
      </c>
      <c r="AH256" s="662" t="str">
        <f t="shared" si="194"/>
        <v/>
      </c>
      <c r="AI256" s="662" t="str">
        <f t="shared" si="195"/>
        <v/>
      </c>
      <c r="AJ256" s="663">
        <f t="shared" si="221"/>
        <v>192.4571</v>
      </c>
      <c r="AK256" s="660">
        <f t="shared" si="222"/>
        <v>0.24379999999999999</v>
      </c>
      <c r="AL256" s="660" t="e">
        <f t="shared" si="223"/>
        <v>#VALUE!</v>
      </c>
      <c r="AM256" s="664" t="e">
        <f t="shared" si="224"/>
        <v>#VALUE!</v>
      </c>
      <c r="AN256" s="664" t="e">
        <f t="shared" si="225"/>
        <v>#VALUE!</v>
      </c>
      <c r="AO256" s="665" t="e">
        <f t="shared" si="226"/>
        <v>#VALUE!</v>
      </c>
      <c r="AP256" s="666" t="e">
        <f t="shared" si="227"/>
        <v>#VALUE!</v>
      </c>
      <c r="AQ256" s="660" t="e">
        <f t="shared" si="228"/>
        <v>#VALUE!</v>
      </c>
      <c r="AR256" s="667" t="e">
        <f t="shared" si="229"/>
        <v>#VALUE!</v>
      </c>
      <c r="AS256" s="667" t="e">
        <f t="shared" si="230"/>
        <v>#VALUE!</v>
      </c>
      <c r="AT256" s="668" t="e">
        <f t="shared" si="231"/>
        <v>#VALUE!</v>
      </c>
      <c r="AU256" s="667" t="e">
        <f t="shared" si="232"/>
        <v>#VALUE!</v>
      </c>
      <c r="AV256" s="669" t="e">
        <f t="shared" si="233"/>
        <v>#VALUE!</v>
      </c>
      <c r="AW256" s="667" t="e">
        <f t="shared" si="234"/>
        <v>#VALUE!</v>
      </c>
      <c r="AX256" s="667" t="e">
        <f t="shared" si="235"/>
        <v>#VALUE!</v>
      </c>
      <c r="AY256" s="660" t="e">
        <f t="shared" si="236"/>
        <v>#VALUE!</v>
      </c>
      <c r="AZ256" s="670" t="e">
        <f t="shared" si="237"/>
        <v>#VALUE!</v>
      </c>
      <c r="BB256" s="662" t="e">
        <f>INDEX('Barge Gauging Data'!$B$26:$V$56,MATCH($C256,'Barge Gauging Data'!$B$26:$B$56,0),$BB$198)</f>
        <v>#N/A</v>
      </c>
      <c r="BC256" s="662" t="e">
        <f>INDEX('Barge Gauging Data'!$B$26:$V$56,MATCH($C256,'Barge Gauging Data'!$B$26:$B$56,0),$BC$198)</f>
        <v>#N/A</v>
      </c>
      <c r="BD256" s="662" t="e">
        <f>INDEX('Barge Gauging Data'!$B$26:$V$56,MATCH($C256,'Barge Gauging Data'!$B$26:$B$56,0),$BD$198)</f>
        <v>#N/A</v>
      </c>
      <c r="BE256" s="662" t="e">
        <f>INDEX('Barge Gauging Data'!$B$26:$V$56,MATCH($C256,'Barge Gauging Data'!$B$26:$B$56,0),$BE$198)</f>
        <v>#N/A</v>
      </c>
    </row>
    <row r="257" spans="1:57" hidden="1">
      <c r="A257" s="641" t="str">
        <f t="shared" si="217"/>
        <v>N</v>
      </c>
      <c r="C257" s="235" t="str">
        <f t="shared" si="239"/>
        <v/>
      </c>
      <c r="D257" s="211" t="str">
        <f t="shared" si="239"/>
        <v/>
      </c>
      <c r="E257" s="1016" t="str">
        <f t="shared" si="238"/>
        <v/>
      </c>
      <c r="F257" s="1016" t="str">
        <f t="shared" si="240"/>
        <v/>
      </c>
      <c r="G257" s="1016" t="str">
        <f t="shared" si="241"/>
        <v/>
      </c>
      <c r="H257" s="1016" t="str">
        <f t="shared" si="241"/>
        <v/>
      </c>
      <c r="I257" s="211" t="str">
        <f t="shared" si="242"/>
        <v/>
      </c>
      <c r="J257" s="1016" t="str">
        <f t="shared" si="243"/>
        <v/>
      </c>
      <c r="K257" s="213" t="str">
        <f t="shared" si="244"/>
        <v/>
      </c>
      <c r="L257" s="212" t="str">
        <f t="shared" si="245"/>
        <v/>
      </c>
      <c r="M257" s="1125" t="str">
        <f>IF(OR($C257="",$C257=0),"",INDEX(API2DENST_2,MATCH($C257,'Barge Gauging Data'!$B$27:$B$56,0),$AA$1))</f>
        <v/>
      </c>
      <c r="N257" s="212" t="str">
        <f t="shared" si="246"/>
        <v/>
      </c>
      <c r="O257" s="1016" t="str">
        <f t="shared" si="247"/>
        <v/>
      </c>
      <c r="P257" s="1125" t="str">
        <f t="shared" si="248"/>
        <v/>
      </c>
      <c r="Q257" s="1016" t="str">
        <f t="shared" si="249"/>
        <v/>
      </c>
      <c r="R257" s="214" t="str">
        <f t="shared" si="250"/>
        <v/>
      </c>
      <c r="S257" s="1125" t="str">
        <f t="shared" si="251"/>
        <v/>
      </c>
      <c r="T257" s="236" t="str">
        <f t="shared" si="252"/>
        <v/>
      </c>
      <c r="W257" s="642" t="e">
        <f>INDEX('Barge Gauging Data'!$B$26:$V$56,MATCH($C257,'Barge Gauging Data'!$B$26:$B$56,0),$W$198)</f>
        <v>#N/A</v>
      </c>
      <c r="X257" s="642" t="e">
        <f>INDEX('Barge Gauging Data'!$B$26:$V$56,MATCH($C257,'Barge Gauging Data'!$B$26:$B$56,0),$X$198)</f>
        <v>#N/A</v>
      </c>
      <c r="Y257" s="642" t="e">
        <f>INDEX('Barge Gauging Data'!$B$26:$V$56,MATCH($C257,'Barge Gauging Data'!$B$26:$B$56,0),$Y$198)</f>
        <v>#N/A</v>
      </c>
      <c r="Z257" s="642" t="e">
        <f>INDEX('Barge Gauging Data'!$B$26:$V$56,MATCH($C257,'Barge Gauging Data'!$B$26:$B$56,0),$Z$198)</f>
        <v>#N/A</v>
      </c>
      <c r="AB257" s="642" t="e">
        <f>INDEX(API2DENST_2,MATCH($C257,'Barge Gauging Data'!$B$27:$B$56,0),1)</f>
        <v>#N/A</v>
      </c>
      <c r="AC257" s="642" t="e">
        <f t="shared" si="218"/>
        <v>#N/A</v>
      </c>
      <c r="AE257" s="661" t="e">
        <f t="shared" si="219"/>
        <v>#VALUE!</v>
      </c>
      <c r="AF257" s="661" t="e">
        <f t="shared" si="220"/>
        <v>#VALUE!</v>
      </c>
      <c r="AH257" s="662" t="str">
        <f t="shared" si="194"/>
        <v/>
      </c>
      <c r="AI257" s="662" t="str">
        <f t="shared" si="195"/>
        <v/>
      </c>
      <c r="AJ257" s="663">
        <f t="shared" si="221"/>
        <v>192.4571</v>
      </c>
      <c r="AK257" s="660">
        <f t="shared" si="222"/>
        <v>0.24379999999999999</v>
      </c>
      <c r="AL257" s="660" t="e">
        <f t="shared" si="223"/>
        <v>#VALUE!</v>
      </c>
      <c r="AM257" s="664" t="e">
        <f t="shared" si="224"/>
        <v>#VALUE!</v>
      </c>
      <c r="AN257" s="664" t="e">
        <f t="shared" si="225"/>
        <v>#VALUE!</v>
      </c>
      <c r="AO257" s="665" t="e">
        <f t="shared" si="226"/>
        <v>#VALUE!</v>
      </c>
      <c r="AP257" s="666" t="e">
        <f t="shared" si="227"/>
        <v>#VALUE!</v>
      </c>
      <c r="AQ257" s="660" t="e">
        <f t="shared" si="228"/>
        <v>#VALUE!</v>
      </c>
      <c r="AR257" s="667" t="e">
        <f t="shared" si="229"/>
        <v>#VALUE!</v>
      </c>
      <c r="AS257" s="667" t="e">
        <f t="shared" si="230"/>
        <v>#VALUE!</v>
      </c>
      <c r="AT257" s="668" t="e">
        <f t="shared" si="231"/>
        <v>#VALUE!</v>
      </c>
      <c r="AU257" s="667" t="e">
        <f t="shared" si="232"/>
        <v>#VALUE!</v>
      </c>
      <c r="AV257" s="669" t="e">
        <f t="shared" si="233"/>
        <v>#VALUE!</v>
      </c>
      <c r="AW257" s="667" t="e">
        <f t="shared" si="234"/>
        <v>#VALUE!</v>
      </c>
      <c r="AX257" s="667" t="e">
        <f t="shared" si="235"/>
        <v>#VALUE!</v>
      </c>
      <c r="AY257" s="660" t="e">
        <f t="shared" si="236"/>
        <v>#VALUE!</v>
      </c>
      <c r="AZ257" s="670" t="e">
        <f t="shared" si="237"/>
        <v>#VALUE!</v>
      </c>
      <c r="BB257" s="662" t="e">
        <f>INDEX('Barge Gauging Data'!$B$26:$V$56,MATCH($C257,'Barge Gauging Data'!$B$26:$B$56,0),$BB$198)</f>
        <v>#N/A</v>
      </c>
      <c r="BC257" s="662" t="e">
        <f>INDEX('Barge Gauging Data'!$B$26:$V$56,MATCH($C257,'Barge Gauging Data'!$B$26:$B$56,0),$BC$198)</f>
        <v>#N/A</v>
      </c>
      <c r="BD257" s="662" t="e">
        <f>INDEX('Barge Gauging Data'!$B$26:$V$56,MATCH($C257,'Barge Gauging Data'!$B$26:$B$56,0),$BD$198)</f>
        <v>#N/A</v>
      </c>
      <c r="BE257" s="662" t="e">
        <f>INDEX('Barge Gauging Data'!$B$26:$V$56,MATCH($C257,'Barge Gauging Data'!$B$26:$B$56,0),$BE$198)</f>
        <v>#N/A</v>
      </c>
    </row>
    <row r="258" spans="1:57" hidden="1">
      <c r="A258" s="641" t="str">
        <f t="shared" si="217"/>
        <v>N</v>
      </c>
      <c r="C258" s="235" t="str">
        <f t="shared" si="239"/>
        <v/>
      </c>
      <c r="D258" s="211" t="str">
        <f t="shared" si="239"/>
        <v/>
      </c>
      <c r="E258" s="1016" t="str">
        <f t="shared" si="238"/>
        <v/>
      </c>
      <c r="F258" s="1016" t="str">
        <f t="shared" si="240"/>
        <v/>
      </c>
      <c r="G258" s="1016" t="str">
        <f t="shared" si="241"/>
        <v/>
      </c>
      <c r="H258" s="1016" t="str">
        <f t="shared" si="241"/>
        <v/>
      </c>
      <c r="I258" s="211" t="str">
        <f t="shared" si="242"/>
        <v/>
      </c>
      <c r="J258" s="1016" t="str">
        <f t="shared" si="243"/>
        <v/>
      </c>
      <c r="K258" s="213" t="str">
        <f t="shared" si="244"/>
        <v/>
      </c>
      <c r="L258" s="212" t="str">
        <f t="shared" si="245"/>
        <v/>
      </c>
      <c r="M258" s="1125" t="str">
        <f>IF(OR($C258="",$C258=0),"",INDEX(API2DENST_2,MATCH($C258,'Barge Gauging Data'!$B$27:$B$56,0),$AA$1))</f>
        <v/>
      </c>
      <c r="N258" s="212" t="str">
        <f t="shared" si="246"/>
        <v/>
      </c>
      <c r="O258" s="1016" t="str">
        <f t="shared" si="247"/>
        <v/>
      </c>
      <c r="P258" s="1125" t="str">
        <f t="shared" si="248"/>
        <v/>
      </c>
      <c r="Q258" s="1016" t="str">
        <f t="shared" si="249"/>
        <v/>
      </c>
      <c r="R258" s="214" t="str">
        <f t="shared" si="250"/>
        <v/>
      </c>
      <c r="S258" s="1125" t="str">
        <f t="shared" si="251"/>
        <v/>
      </c>
      <c r="T258" s="236" t="str">
        <f t="shared" si="252"/>
        <v/>
      </c>
      <c r="W258" s="642" t="e">
        <f>INDEX('Barge Gauging Data'!$B$26:$V$56,MATCH($C258,'Barge Gauging Data'!$B$26:$B$56,0),$W$198)</f>
        <v>#N/A</v>
      </c>
      <c r="X258" s="642" t="e">
        <f>INDEX('Barge Gauging Data'!$B$26:$V$56,MATCH($C258,'Barge Gauging Data'!$B$26:$B$56,0),$X$198)</f>
        <v>#N/A</v>
      </c>
      <c r="Y258" s="642" t="e">
        <f>INDEX('Barge Gauging Data'!$B$26:$V$56,MATCH($C258,'Barge Gauging Data'!$B$26:$B$56,0),$Y$198)</f>
        <v>#N/A</v>
      </c>
      <c r="Z258" s="642" t="e">
        <f>INDEX('Barge Gauging Data'!$B$26:$V$56,MATCH($C258,'Barge Gauging Data'!$B$26:$B$56,0),$Z$198)</f>
        <v>#N/A</v>
      </c>
      <c r="AB258" s="642" t="e">
        <f>INDEX(API2DENST_2,MATCH($C258,'Barge Gauging Data'!$B$27:$B$56,0),1)</f>
        <v>#N/A</v>
      </c>
      <c r="AC258" s="642" t="e">
        <f t="shared" si="218"/>
        <v>#N/A</v>
      </c>
      <c r="AE258" s="661" t="e">
        <f t="shared" si="219"/>
        <v>#VALUE!</v>
      </c>
      <c r="AF258" s="661" t="e">
        <f t="shared" si="220"/>
        <v>#VALUE!</v>
      </c>
      <c r="AH258" s="662" t="str">
        <f t="shared" si="194"/>
        <v/>
      </c>
      <c r="AI258" s="662" t="str">
        <f t="shared" si="195"/>
        <v/>
      </c>
      <c r="AJ258" s="663">
        <f t="shared" si="221"/>
        <v>192.4571</v>
      </c>
      <c r="AK258" s="660">
        <f t="shared" si="222"/>
        <v>0.24379999999999999</v>
      </c>
      <c r="AL258" s="660" t="e">
        <f t="shared" si="223"/>
        <v>#VALUE!</v>
      </c>
      <c r="AM258" s="664" t="e">
        <f t="shared" si="224"/>
        <v>#VALUE!</v>
      </c>
      <c r="AN258" s="664" t="e">
        <f t="shared" si="225"/>
        <v>#VALUE!</v>
      </c>
      <c r="AO258" s="665" t="e">
        <f t="shared" si="226"/>
        <v>#VALUE!</v>
      </c>
      <c r="AP258" s="666" t="e">
        <f t="shared" si="227"/>
        <v>#VALUE!</v>
      </c>
      <c r="AQ258" s="660" t="e">
        <f t="shared" si="228"/>
        <v>#VALUE!</v>
      </c>
      <c r="AR258" s="667" t="e">
        <f t="shared" si="229"/>
        <v>#VALUE!</v>
      </c>
      <c r="AS258" s="667" t="e">
        <f t="shared" si="230"/>
        <v>#VALUE!</v>
      </c>
      <c r="AT258" s="668" t="e">
        <f t="shared" si="231"/>
        <v>#VALUE!</v>
      </c>
      <c r="AU258" s="667" t="e">
        <f t="shared" si="232"/>
        <v>#VALUE!</v>
      </c>
      <c r="AV258" s="669" t="e">
        <f t="shared" si="233"/>
        <v>#VALUE!</v>
      </c>
      <c r="AW258" s="667" t="e">
        <f t="shared" si="234"/>
        <v>#VALUE!</v>
      </c>
      <c r="AX258" s="667" t="e">
        <f t="shared" si="235"/>
        <v>#VALUE!</v>
      </c>
      <c r="AY258" s="660" t="e">
        <f t="shared" si="236"/>
        <v>#VALUE!</v>
      </c>
      <c r="AZ258" s="670" t="e">
        <f t="shared" si="237"/>
        <v>#VALUE!</v>
      </c>
      <c r="BB258" s="662" t="e">
        <f>INDEX('Barge Gauging Data'!$B$26:$V$56,MATCH($C258,'Barge Gauging Data'!$B$26:$B$56,0),$BB$198)</f>
        <v>#N/A</v>
      </c>
      <c r="BC258" s="662" t="e">
        <f>INDEX('Barge Gauging Data'!$B$26:$V$56,MATCH($C258,'Barge Gauging Data'!$B$26:$B$56,0),$BC$198)</f>
        <v>#N/A</v>
      </c>
      <c r="BD258" s="662" t="e">
        <f>INDEX('Barge Gauging Data'!$B$26:$V$56,MATCH($C258,'Barge Gauging Data'!$B$26:$B$56,0),$BD$198)</f>
        <v>#N/A</v>
      </c>
      <c r="BE258" s="662" t="e">
        <f>INDEX('Barge Gauging Data'!$B$26:$V$56,MATCH($C258,'Barge Gauging Data'!$B$26:$B$56,0),$BE$198)</f>
        <v>#N/A</v>
      </c>
    </row>
    <row r="259" spans="1:57" hidden="1">
      <c r="A259" s="641" t="str">
        <f t="shared" si="217"/>
        <v>N</v>
      </c>
      <c r="C259" s="235" t="str">
        <f t="shared" si="239"/>
        <v/>
      </c>
      <c r="D259" s="211" t="str">
        <f t="shared" si="239"/>
        <v/>
      </c>
      <c r="E259" s="1016" t="str">
        <f t="shared" si="238"/>
        <v/>
      </c>
      <c r="F259" s="1016" t="str">
        <f t="shared" si="240"/>
        <v/>
      </c>
      <c r="G259" s="1016" t="str">
        <f t="shared" si="241"/>
        <v/>
      </c>
      <c r="H259" s="1016" t="str">
        <f t="shared" si="241"/>
        <v/>
      </c>
      <c r="I259" s="211" t="str">
        <f t="shared" si="242"/>
        <v/>
      </c>
      <c r="J259" s="1016" t="str">
        <f t="shared" si="243"/>
        <v/>
      </c>
      <c r="K259" s="213" t="str">
        <f t="shared" si="244"/>
        <v/>
      </c>
      <c r="L259" s="212" t="str">
        <f t="shared" si="245"/>
        <v/>
      </c>
      <c r="M259" s="1125" t="str">
        <f>IF(OR($C259="",$C259=0),"",INDEX(API2DENST_2,MATCH($C259,'Barge Gauging Data'!$B$27:$B$56,0),$AA$1))</f>
        <v/>
      </c>
      <c r="N259" s="212" t="str">
        <f t="shared" si="246"/>
        <v/>
      </c>
      <c r="O259" s="1016" t="str">
        <f t="shared" si="247"/>
        <v/>
      </c>
      <c r="P259" s="1125" t="str">
        <f t="shared" si="248"/>
        <v/>
      </c>
      <c r="Q259" s="1016" t="str">
        <f t="shared" si="249"/>
        <v/>
      </c>
      <c r="R259" s="214" t="str">
        <f t="shared" si="250"/>
        <v/>
      </c>
      <c r="S259" s="1125" t="str">
        <f t="shared" si="251"/>
        <v/>
      </c>
      <c r="T259" s="236" t="str">
        <f t="shared" si="252"/>
        <v/>
      </c>
      <c r="W259" s="642" t="e">
        <f>INDEX('Barge Gauging Data'!$B$26:$V$56,MATCH($C259,'Barge Gauging Data'!$B$26:$B$56,0),$W$198)</f>
        <v>#N/A</v>
      </c>
      <c r="X259" s="642" t="e">
        <f>INDEX('Barge Gauging Data'!$B$26:$V$56,MATCH($C259,'Barge Gauging Data'!$B$26:$B$56,0),$X$198)</f>
        <v>#N/A</v>
      </c>
      <c r="Y259" s="642" t="e">
        <f>INDEX('Barge Gauging Data'!$B$26:$V$56,MATCH($C259,'Barge Gauging Data'!$B$26:$B$56,0),$Y$198)</f>
        <v>#N/A</v>
      </c>
      <c r="Z259" s="642" t="e">
        <f>INDEX('Barge Gauging Data'!$B$26:$V$56,MATCH($C259,'Barge Gauging Data'!$B$26:$B$56,0),$Z$198)</f>
        <v>#N/A</v>
      </c>
      <c r="AB259" s="642" t="e">
        <f>INDEX(API2DENST_2,MATCH($C259,'Barge Gauging Data'!$B$27:$B$56,0),1)</f>
        <v>#N/A</v>
      </c>
      <c r="AC259" s="642" t="e">
        <f t="shared" si="218"/>
        <v>#N/A</v>
      </c>
      <c r="AE259" s="661" t="e">
        <f t="shared" si="219"/>
        <v>#VALUE!</v>
      </c>
      <c r="AF259" s="661" t="e">
        <f t="shared" si="220"/>
        <v>#VALUE!</v>
      </c>
      <c r="AH259" s="662" t="str">
        <f t="shared" si="194"/>
        <v/>
      </c>
      <c r="AI259" s="662" t="str">
        <f t="shared" si="195"/>
        <v/>
      </c>
      <c r="AJ259" s="663">
        <f t="shared" si="221"/>
        <v>192.4571</v>
      </c>
      <c r="AK259" s="660">
        <f t="shared" si="222"/>
        <v>0.24379999999999999</v>
      </c>
      <c r="AL259" s="660" t="e">
        <f t="shared" si="223"/>
        <v>#VALUE!</v>
      </c>
      <c r="AM259" s="664" t="e">
        <f t="shared" si="224"/>
        <v>#VALUE!</v>
      </c>
      <c r="AN259" s="664" t="e">
        <f t="shared" si="225"/>
        <v>#VALUE!</v>
      </c>
      <c r="AO259" s="665" t="e">
        <f t="shared" si="226"/>
        <v>#VALUE!</v>
      </c>
      <c r="AP259" s="666" t="e">
        <f t="shared" si="227"/>
        <v>#VALUE!</v>
      </c>
      <c r="AQ259" s="660" t="e">
        <f t="shared" si="228"/>
        <v>#VALUE!</v>
      </c>
      <c r="AR259" s="667" t="e">
        <f t="shared" si="229"/>
        <v>#VALUE!</v>
      </c>
      <c r="AS259" s="667" t="e">
        <f t="shared" si="230"/>
        <v>#VALUE!</v>
      </c>
      <c r="AT259" s="668" t="e">
        <f t="shared" si="231"/>
        <v>#VALUE!</v>
      </c>
      <c r="AU259" s="667" t="e">
        <f t="shared" si="232"/>
        <v>#VALUE!</v>
      </c>
      <c r="AV259" s="669" t="e">
        <f t="shared" si="233"/>
        <v>#VALUE!</v>
      </c>
      <c r="AW259" s="667" t="e">
        <f t="shared" si="234"/>
        <v>#VALUE!</v>
      </c>
      <c r="AX259" s="667" t="e">
        <f t="shared" si="235"/>
        <v>#VALUE!</v>
      </c>
      <c r="AY259" s="660" t="e">
        <f t="shared" si="236"/>
        <v>#VALUE!</v>
      </c>
      <c r="AZ259" s="670" t="e">
        <f t="shared" si="237"/>
        <v>#VALUE!</v>
      </c>
      <c r="BB259" s="662" t="e">
        <f>INDEX('Barge Gauging Data'!$B$26:$V$56,MATCH($C259,'Barge Gauging Data'!$B$26:$B$56,0),$BB$198)</f>
        <v>#N/A</v>
      </c>
      <c r="BC259" s="662" t="e">
        <f>INDEX('Barge Gauging Data'!$B$26:$V$56,MATCH($C259,'Barge Gauging Data'!$B$26:$B$56,0),$BC$198)</f>
        <v>#N/A</v>
      </c>
      <c r="BD259" s="662" t="e">
        <f>INDEX('Barge Gauging Data'!$B$26:$V$56,MATCH($C259,'Barge Gauging Data'!$B$26:$B$56,0),$BD$198)</f>
        <v>#N/A</v>
      </c>
      <c r="BE259" s="662" t="e">
        <f>INDEX('Barge Gauging Data'!$B$26:$V$56,MATCH($C259,'Barge Gauging Data'!$B$26:$B$56,0),$BE$198)</f>
        <v>#N/A</v>
      </c>
    </row>
    <row r="260" spans="1:57" hidden="1">
      <c r="A260" s="641" t="str">
        <f t="shared" si="217"/>
        <v>N</v>
      </c>
      <c r="C260" s="235" t="str">
        <f t="shared" si="239"/>
        <v/>
      </c>
      <c r="D260" s="211" t="str">
        <f t="shared" si="239"/>
        <v/>
      </c>
      <c r="E260" s="1016" t="str">
        <f t="shared" si="238"/>
        <v/>
      </c>
      <c r="F260" s="1016" t="str">
        <f t="shared" si="240"/>
        <v/>
      </c>
      <c r="G260" s="1016" t="str">
        <f t="shared" si="241"/>
        <v/>
      </c>
      <c r="H260" s="1016" t="str">
        <f t="shared" si="241"/>
        <v/>
      </c>
      <c r="I260" s="211" t="str">
        <f t="shared" si="242"/>
        <v/>
      </c>
      <c r="J260" s="1016" t="str">
        <f t="shared" si="243"/>
        <v/>
      </c>
      <c r="K260" s="213" t="str">
        <f t="shared" si="244"/>
        <v/>
      </c>
      <c r="L260" s="212" t="str">
        <f t="shared" si="245"/>
        <v/>
      </c>
      <c r="M260" s="1125" t="str">
        <f>IF(OR($C260="",$C260=0),"",INDEX(API2DENST_2,MATCH($C260,'Barge Gauging Data'!$B$27:$B$56,0),$AA$1))</f>
        <v/>
      </c>
      <c r="N260" s="212" t="str">
        <f t="shared" si="246"/>
        <v/>
      </c>
      <c r="O260" s="1016" t="str">
        <f t="shared" si="247"/>
        <v/>
      </c>
      <c r="P260" s="1125" t="str">
        <f t="shared" si="248"/>
        <v/>
      </c>
      <c r="Q260" s="1016" t="str">
        <f t="shared" si="249"/>
        <v/>
      </c>
      <c r="R260" s="214" t="str">
        <f t="shared" si="250"/>
        <v/>
      </c>
      <c r="S260" s="1125" t="str">
        <f t="shared" si="251"/>
        <v/>
      </c>
      <c r="T260" s="236" t="str">
        <f t="shared" si="252"/>
        <v/>
      </c>
      <c r="W260" s="642" t="e">
        <f>INDEX('Barge Gauging Data'!$B$26:$V$56,MATCH($C260,'Barge Gauging Data'!$B$26:$B$56,0),$W$198)</f>
        <v>#N/A</v>
      </c>
      <c r="X260" s="642" t="e">
        <f>INDEX('Barge Gauging Data'!$B$26:$V$56,MATCH($C260,'Barge Gauging Data'!$B$26:$B$56,0),$X$198)</f>
        <v>#N/A</v>
      </c>
      <c r="Y260" s="642" t="e">
        <f>INDEX('Barge Gauging Data'!$B$26:$V$56,MATCH($C260,'Barge Gauging Data'!$B$26:$B$56,0),$Y$198)</f>
        <v>#N/A</v>
      </c>
      <c r="Z260" s="642" t="e">
        <f>INDEX('Barge Gauging Data'!$B$26:$V$56,MATCH($C260,'Barge Gauging Data'!$B$26:$B$56,0),$Z$198)</f>
        <v>#N/A</v>
      </c>
      <c r="AB260" s="642" t="e">
        <f>INDEX(API2DENST_2,MATCH($C260,'Barge Gauging Data'!$B$27:$B$56,0),1)</f>
        <v>#N/A</v>
      </c>
      <c r="AC260" s="642" t="e">
        <f t="shared" si="218"/>
        <v>#N/A</v>
      </c>
      <c r="AE260" s="661" t="e">
        <f t="shared" si="219"/>
        <v>#VALUE!</v>
      </c>
      <c r="AF260" s="661" t="e">
        <f t="shared" si="220"/>
        <v>#VALUE!</v>
      </c>
      <c r="AH260" s="662" t="str">
        <f t="shared" si="194"/>
        <v/>
      </c>
      <c r="AI260" s="662" t="str">
        <f t="shared" si="195"/>
        <v/>
      </c>
      <c r="AJ260" s="663">
        <f t="shared" si="221"/>
        <v>192.4571</v>
      </c>
      <c r="AK260" s="660">
        <f t="shared" si="222"/>
        <v>0.24379999999999999</v>
      </c>
      <c r="AL260" s="660" t="e">
        <f t="shared" si="223"/>
        <v>#VALUE!</v>
      </c>
      <c r="AM260" s="664" t="e">
        <f t="shared" si="224"/>
        <v>#VALUE!</v>
      </c>
      <c r="AN260" s="664" t="e">
        <f t="shared" si="225"/>
        <v>#VALUE!</v>
      </c>
      <c r="AO260" s="665" t="e">
        <f t="shared" si="226"/>
        <v>#VALUE!</v>
      </c>
      <c r="AP260" s="666" t="e">
        <f t="shared" si="227"/>
        <v>#VALUE!</v>
      </c>
      <c r="AQ260" s="660" t="e">
        <f t="shared" si="228"/>
        <v>#VALUE!</v>
      </c>
      <c r="AR260" s="667" t="e">
        <f t="shared" si="229"/>
        <v>#VALUE!</v>
      </c>
      <c r="AS260" s="667" t="e">
        <f t="shared" si="230"/>
        <v>#VALUE!</v>
      </c>
      <c r="AT260" s="668" t="e">
        <f t="shared" si="231"/>
        <v>#VALUE!</v>
      </c>
      <c r="AU260" s="667" t="e">
        <f t="shared" si="232"/>
        <v>#VALUE!</v>
      </c>
      <c r="AV260" s="669" t="e">
        <f t="shared" si="233"/>
        <v>#VALUE!</v>
      </c>
      <c r="AW260" s="667" t="e">
        <f t="shared" si="234"/>
        <v>#VALUE!</v>
      </c>
      <c r="AX260" s="667" t="e">
        <f t="shared" si="235"/>
        <v>#VALUE!</v>
      </c>
      <c r="AY260" s="660" t="e">
        <f t="shared" si="236"/>
        <v>#VALUE!</v>
      </c>
      <c r="AZ260" s="670" t="e">
        <f t="shared" si="237"/>
        <v>#VALUE!</v>
      </c>
      <c r="BB260" s="662" t="e">
        <f>INDEX('Barge Gauging Data'!$B$26:$V$56,MATCH($C260,'Barge Gauging Data'!$B$26:$B$56,0),$BB$198)</f>
        <v>#N/A</v>
      </c>
      <c r="BC260" s="662" t="e">
        <f>INDEX('Barge Gauging Data'!$B$26:$V$56,MATCH($C260,'Barge Gauging Data'!$B$26:$B$56,0),$BC$198)</f>
        <v>#N/A</v>
      </c>
      <c r="BD260" s="662" t="e">
        <f>INDEX('Barge Gauging Data'!$B$26:$V$56,MATCH($C260,'Barge Gauging Data'!$B$26:$B$56,0),$BD$198)</f>
        <v>#N/A</v>
      </c>
      <c r="BE260" s="662" t="e">
        <f>INDEX('Barge Gauging Data'!$B$26:$V$56,MATCH($C260,'Barge Gauging Data'!$B$26:$B$56,0),$BE$198)</f>
        <v>#N/A</v>
      </c>
    </row>
    <row r="261" spans="1:57" hidden="1">
      <c r="A261" s="641" t="str">
        <f t="shared" si="217"/>
        <v>N</v>
      </c>
      <c r="C261" s="235" t="str">
        <f t="shared" si="239"/>
        <v/>
      </c>
      <c r="D261" s="211" t="str">
        <f t="shared" si="239"/>
        <v/>
      </c>
      <c r="E261" s="1016" t="str">
        <f t="shared" si="238"/>
        <v/>
      </c>
      <c r="F261" s="1016" t="str">
        <f t="shared" si="240"/>
        <v/>
      </c>
      <c r="G261" s="1016" t="str">
        <f t="shared" si="241"/>
        <v/>
      </c>
      <c r="H261" s="1016" t="str">
        <f t="shared" si="241"/>
        <v/>
      </c>
      <c r="I261" s="211" t="str">
        <f t="shared" si="242"/>
        <v/>
      </c>
      <c r="J261" s="1016" t="str">
        <f t="shared" si="243"/>
        <v/>
      </c>
      <c r="K261" s="213" t="str">
        <f t="shared" si="244"/>
        <v/>
      </c>
      <c r="L261" s="212" t="str">
        <f t="shared" si="245"/>
        <v/>
      </c>
      <c r="M261" s="1125" t="str">
        <f>IF(OR($C261="",$C261=0),"",INDEX(API2DENST_2,MATCH($C261,'Barge Gauging Data'!$B$27:$B$56,0),$AA$1))</f>
        <v/>
      </c>
      <c r="N261" s="212" t="str">
        <f t="shared" si="246"/>
        <v/>
      </c>
      <c r="O261" s="1016" t="str">
        <f t="shared" si="247"/>
        <v/>
      </c>
      <c r="P261" s="1125" t="str">
        <f t="shared" si="248"/>
        <v/>
      </c>
      <c r="Q261" s="1016" t="str">
        <f t="shared" si="249"/>
        <v/>
      </c>
      <c r="R261" s="214" t="str">
        <f t="shared" si="250"/>
        <v/>
      </c>
      <c r="S261" s="1125" t="str">
        <f t="shared" si="251"/>
        <v/>
      </c>
      <c r="T261" s="236" t="str">
        <f t="shared" si="252"/>
        <v/>
      </c>
      <c r="W261" s="642" t="e">
        <f>INDEX('Barge Gauging Data'!$B$26:$V$56,MATCH($C261,'Barge Gauging Data'!$B$26:$B$56,0),$W$198)</f>
        <v>#N/A</v>
      </c>
      <c r="X261" s="642" t="e">
        <f>INDEX('Barge Gauging Data'!$B$26:$V$56,MATCH($C261,'Barge Gauging Data'!$B$26:$B$56,0),$X$198)</f>
        <v>#N/A</v>
      </c>
      <c r="Y261" s="642" t="e">
        <f>INDEX('Barge Gauging Data'!$B$26:$V$56,MATCH($C261,'Barge Gauging Data'!$B$26:$B$56,0),$Y$198)</f>
        <v>#N/A</v>
      </c>
      <c r="Z261" s="642" t="e">
        <f>INDEX('Barge Gauging Data'!$B$26:$V$56,MATCH($C261,'Barge Gauging Data'!$B$26:$B$56,0),$Z$198)</f>
        <v>#N/A</v>
      </c>
      <c r="AB261" s="642" t="e">
        <f>INDEX(API2DENST_2,MATCH($C261,'Barge Gauging Data'!$B$27:$B$56,0),1)</f>
        <v>#N/A</v>
      </c>
      <c r="AC261" s="642" t="e">
        <f t="shared" si="218"/>
        <v>#N/A</v>
      </c>
      <c r="AE261" s="661" t="e">
        <f t="shared" si="219"/>
        <v>#VALUE!</v>
      </c>
      <c r="AF261" s="661" t="e">
        <f t="shared" si="220"/>
        <v>#VALUE!</v>
      </c>
      <c r="AH261" s="662" t="str">
        <f t="shared" si="194"/>
        <v/>
      </c>
      <c r="AI261" s="662" t="str">
        <f t="shared" si="195"/>
        <v/>
      </c>
      <c r="AJ261" s="663">
        <f t="shared" si="221"/>
        <v>192.4571</v>
      </c>
      <c r="AK261" s="660">
        <f t="shared" si="222"/>
        <v>0.24379999999999999</v>
      </c>
      <c r="AL261" s="660" t="e">
        <f t="shared" si="223"/>
        <v>#VALUE!</v>
      </c>
      <c r="AM261" s="664" t="e">
        <f t="shared" si="224"/>
        <v>#VALUE!</v>
      </c>
      <c r="AN261" s="664" t="e">
        <f t="shared" si="225"/>
        <v>#VALUE!</v>
      </c>
      <c r="AO261" s="665" t="e">
        <f t="shared" si="226"/>
        <v>#VALUE!</v>
      </c>
      <c r="AP261" s="666" t="e">
        <f t="shared" si="227"/>
        <v>#VALUE!</v>
      </c>
      <c r="AQ261" s="660" t="e">
        <f t="shared" si="228"/>
        <v>#VALUE!</v>
      </c>
      <c r="AR261" s="667" t="e">
        <f t="shared" si="229"/>
        <v>#VALUE!</v>
      </c>
      <c r="AS261" s="667" t="e">
        <f t="shared" si="230"/>
        <v>#VALUE!</v>
      </c>
      <c r="AT261" s="668" t="e">
        <f t="shared" si="231"/>
        <v>#VALUE!</v>
      </c>
      <c r="AU261" s="667" t="e">
        <f t="shared" si="232"/>
        <v>#VALUE!</v>
      </c>
      <c r="AV261" s="669" t="e">
        <f t="shared" si="233"/>
        <v>#VALUE!</v>
      </c>
      <c r="AW261" s="667" t="e">
        <f t="shared" si="234"/>
        <v>#VALUE!</v>
      </c>
      <c r="AX261" s="667" t="e">
        <f t="shared" si="235"/>
        <v>#VALUE!</v>
      </c>
      <c r="AY261" s="660" t="e">
        <f t="shared" si="236"/>
        <v>#VALUE!</v>
      </c>
      <c r="AZ261" s="670" t="e">
        <f t="shared" si="237"/>
        <v>#VALUE!</v>
      </c>
      <c r="BB261" s="662" t="e">
        <f>INDEX('Barge Gauging Data'!$B$26:$V$56,MATCH($C261,'Barge Gauging Data'!$B$26:$B$56,0),$BB$198)</f>
        <v>#N/A</v>
      </c>
      <c r="BC261" s="662" t="e">
        <f>INDEX('Barge Gauging Data'!$B$26:$V$56,MATCH($C261,'Barge Gauging Data'!$B$26:$B$56,0),$BC$198)</f>
        <v>#N/A</v>
      </c>
      <c r="BD261" s="662" t="e">
        <f>INDEX('Barge Gauging Data'!$B$26:$V$56,MATCH($C261,'Barge Gauging Data'!$B$26:$B$56,0),$BD$198)</f>
        <v>#N/A</v>
      </c>
      <c r="BE261" s="662" t="e">
        <f>INDEX('Barge Gauging Data'!$B$26:$V$56,MATCH($C261,'Barge Gauging Data'!$B$26:$B$56,0),$BE$198)</f>
        <v>#N/A</v>
      </c>
    </row>
    <row r="262" spans="1:57" hidden="1">
      <c r="A262" s="641" t="str">
        <f t="shared" ref="A262:A293" si="253">A85</f>
        <v>N</v>
      </c>
      <c r="C262" s="235" t="str">
        <f t="shared" si="239"/>
        <v/>
      </c>
      <c r="D262" s="211" t="str">
        <f t="shared" si="239"/>
        <v/>
      </c>
      <c r="E262" s="1016" t="str">
        <f t="shared" si="238"/>
        <v/>
      </c>
      <c r="F262" s="1016" t="str">
        <f t="shared" si="240"/>
        <v/>
      </c>
      <c r="G262" s="1016" t="str">
        <f t="shared" si="241"/>
        <v/>
      </c>
      <c r="H262" s="1016" t="str">
        <f t="shared" si="241"/>
        <v/>
      </c>
      <c r="I262" s="211" t="str">
        <f t="shared" si="242"/>
        <v/>
      </c>
      <c r="J262" s="1016" t="str">
        <f t="shared" si="243"/>
        <v/>
      </c>
      <c r="K262" s="213" t="str">
        <f t="shared" si="244"/>
        <v/>
      </c>
      <c r="L262" s="212" t="str">
        <f t="shared" si="245"/>
        <v/>
      </c>
      <c r="M262" s="1125" t="str">
        <f>IF(OR($C262="",$C262=0),"",INDEX(API2DENST_2,MATCH($C262,'Barge Gauging Data'!$B$27:$B$56,0),$AA$1))</f>
        <v/>
      </c>
      <c r="N262" s="212" t="str">
        <f t="shared" si="246"/>
        <v/>
      </c>
      <c r="O262" s="1016" t="str">
        <f t="shared" si="247"/>
        <v/>
      </c>
      <c r="P262" s="1125" t="str">
        <f t="shared" si="248"/>
        <v/>
      </c>
      <c r="Q262" s="1016" t="str">
        <f t="shared" si="249"/>
        <v/>
      </c>
      <c r="R262" s="214" t="str">
        <f t="shared" si="250"/>
        <v/>
      </c>
      <c r="S262" s="1125" t="str">
        <f t="shared" si="251"/>
        <v/>
      </c>
      <c r="T262" s="236" t="str">
        <f t="shared" si="252"/>
        <v/>
      </c>
      <c r="W262" s="642" t="e">
        <f>INDEX('Barge Gauging Data'!$B$26:$V$56,MATCH($C262,'Barge Gauging Data'!$B$26:$B$56,0),$W$198)</f>
        <v>#N/A</v>
      </c>
      <c r="X262" s="642" t="e">
        <f>INDEX('Barge Gauging Data'!$B$26:$V$56,MATCH($C262,'Barge Gauging Data'!$B$26:$B$56,0),$X$198)</f>
        <v>#N/A</v>
      </c>
      <c r="Y262" s="642" t="e">
        <f>INDEX('Barge Gauging Data'!$B$26:$V$56,MATCH($C262,'Barge Gauging Data'!$B$26:$B$56,0),$Y$198)</f>
        <v>#N/A</v>
      </c>
      <c r="Z262" s="642" t="e">
        <f>INDEX('Barge Gauging Data'!$B$26:$V$56,MATCH($C262,'Barge Gauging Data'!$B$26:$B$56,0),$Z$198)</f>
        <v>#N/A</v>
      </c>
      <c r="AB262" s="642" t="e">
        <f>INDEX(API2DENST_2,MATCH($C262,'Barge Gauging Data'!$B$27:$B$56,0),1)</f>
        <v>#N/A</v>
      </c>
      <c r="AC262" s="642" t="e">
        <f t="shared" si="218"/>
        <v>#N/A</v>
      </c>
      <c r="AE262" s="661" t="e">
        <f t="shared" si="219"/>
        <v>#VALUE!</v>
      </c>
      <c r="AF262" s="661" t="e">
        <f t="shared" si="220"/>
        <v>#VALUE!</v>
      </c>
      <c r="AH262" s="662" t="str">
        <f t="shared" si="194"/>
        <v/>
      </c>
      <c r="AI262" s="662" t="str">
        <f t="shared" si="195"/>
        <v/>
      </c>
      <c r="AJ262" s="663">
        <f t="shared" si="221"/>
        <v>192.4571</v>
      </c>
      <c r="AK262" s="660">
        <f t="shared" si="222"/>
        <v>0.24379999999999999</v>
      </c>
      <c r="AL262" s="660" t="e">
        <f t="shared" si="223"/>
        <v>#VALUE!</v>
      </c>
      <c r="AM262" s="664" t="e">
        <f t="shared" si="224"/>
        <v>#VALUE!</v>
      </c>
      <c r="AN262" s="664" t="e">
        <f t="shared" si="225"/>
        <v>#VALUE!</v>
      </c>
      <c r="AO262" s="665" t="e">
        <f t="shared" si="226"/>
        <v>#VALUE!</v>
      </c>
      <c r="AP262" s="666" t="e">
        <f t="shared" si="227"/>
        <v>#VALUE!</v>
      </c>
      <c r="AQ262" s="660" t="e">
        <f t="shared" si="228"/>
        <v>#VALUE!</v>
      </c>
      <c r="AR262" s="667" t="e">
        <f t="shared" si="229"/>
        <v>#VALUE!</v>
      </c>
      <c r="AS262" s="667" t="e">
        <f t="shared" si="230"/>
        <v>#VALUE!</v>
      </c>
      <c r="AT262" s="668" t="e">
        <f t="shared" si="231"/>
        <v>#VALUE!</v>
      </c>
      <c r="AU262" s="667" t="e">
        <f t="shared" si="232"/>
        <v>#VALUE!</v>
      </c>
      <c r="AV262" s="669" t="e">
        <f t="shared" si="233"/>
        <v>#VALUE!</v>
      </c>
      <c r="AW262" s="667" t="e">
        <f t="shared" si="234"/>
        <v>#VALUE!</v>
      </c>
      <c r="AX262" s="667" t="e">
        <f t="shared" si="235"/>
        <v>#VALUE!</v>
      </c>
      <c r="AY262" s="660" t="e">
        <f t="shared" si="236"/>
        <v>#VALUE!</v>
      </c>
      <c r="AZ262" s="670" t="e">
        <f t="shared" si="237"/>
        <v>#VALUE!</v>
      </c>
      <c r="BB262" s="662" t="e">
        <f>INDEX('Barge Gauging Data'!$B$26:$V$56,MATCH($C262,'Barge Gauging Data'!$B$26:$B$56,0),$BB$198)</f>
        <v>#N/A</v>
      </c>
      <c r="BC262" s="662" t="e">
        <f>INDEX('Barge Gauging Data'!$B$26:$V$56,MATCH($C262,'Barge Gauging Data'!$B$26:$B$56,0),$BC$198)</f>
        <v>#N/A</v>
      </c>
      <c r="BD262" s="662" t="e">
        <f>INDEX('Barge Gauging Data'!$B$26:$V$56,MATCH($C262,'Barge Gauging Data'!$B$26:$B$56,0),$BD$198)</f>
        <v>#N/A</v>
      </c>
      <c r="BE262" s="662" t="e">
        <f>INDEX('Barge Gauging Data'!$B$26:$V$56,MATCH($C262,'Barge Gauging Data'!$B$26:$B$56,0),$BE$198)</f>
        <v>#N/A</v>
      </c>
    </row>
    <row r="263" spans="1:57" hidden="1">
      <c r="A263" s="641" t="str">
        <f t="shared" si="253"/>
        <v>N</v>
      </c>
      <c r="C263" s="235" t="str">
        <f t="shared" si="239"/>
        <v/>
      </c>
      <c r="D263" s="211" t="str">
        <f t="shared" si="239"/>
        <v/>
      </c>
      <c r="E263" s="1016" t="str">
        <f t="shared" si="238"/>
        <v/>
      </c>
      <c r="F263" s="1016" t="str">
        <f t="shared" si="240"/>
        <v/>
      </c>
      <c r="G263" s="1016" t="str">
        <f t="shared" si="241"/>
        <v/>
      </c>
      <c r="H263" s="1016" t="str">
        <f t="shared" si="241"/>
        <v/>
      </c>
      <c r="I263" s="211" t="str">
        <f t="shared" si="242"/>
        <v/>
      </c>
      <c r="J263" s="1016" t="str">
        <f t="shared" si="243"/>
        <v/>
      </c>
      <c r="K263" s="213" t="str">
        <f t="shared" si="244"/>
        <v/>
      </c>
      <c r="L263" s="212" t="str">
        <f t="shared" si="245"/>
        <v/>
      </c>
      <c r="M263" s="1125" t="str">
        <f>IF(OR($C263="",$C263=0),"",INDEX(API2DENST_2,MATCH($C263,'Barge Gauging Data'!$B$27:$B$56,0),$AA$1))</f>
        <v/>
      </c>
      <c r="N263" s="212" t="str">
        <f t="shared" si="246"/>
        <v/>
      </c>
      <c r="O263" s="1016" t="str">
        <f t="shared" si="247"/>
        <v/>
      </c>
      <c r="P263" s="1125" t="str">
        <f t="shared" si="248"/>
        <v/>
      </c>
      <c r="Q263" s="1016" t="str">
        <f t="shared" si="249"/>
        <v/>
      </c>
      <c r="R263" s="214" t="str">
        <f t="shared" si="250"/>
        <v/>
      </c>
      <c r="S263" s="1125" t="str">
        <f t="shared" si="251"/>
        <v/>
      </c>
      <c r="T263" s="236" t="str">
        <f t="shared" si="252"/>
        <v/>
      </c>
      <c r="W263" s="642" t="e">
        <f>INDEX('Barge Gauging Data'!$B$26:$V$56,MATCH($C263,'Barge Gauging Data'!$B$26:$B$56,0),$W$198)</f>
        <v>#N/A</v>
      </c>
      <c r="X263" s="642" t="e">
        <f>INDEX('Barge Gauging Data'!$B$26:$V$56,MATCH($C263,'Barge Gauging Data'!$B$26:$B$56,0),$X$198)</f>
        <v>#N/A</v>
      </c>
      <c r="Y263" s="642" t="e">
        <f>INDEX('Barge Gauging Data'!$B$26:$V$56,MATCH($C263,'Barge Gauging Data'!$B$26:$B$56,0),$Y$198)</f>
        <v>#N/A</v>
      </c>
      <c r="Z263" s="642" t="e">
        <f>INDEX('Barge Gauging Data'!$B$26:$V$56,MATCH($C263,'Barge Gauging Data'!$B$26:$B$56,0),$Z$198)</f>
        <v>#N/A</v>
      </c>
      <c r="AB263" s="642" t="e">
        <f>INDEX(API2DENST_2,MATCH($C263,'Barge Gauging Data'!$B$27:$B$56,0),1)</f>
        <v>#N/A</v>
      </c>
      <c r="AC263" s="642" t="e">
        <f t="shared" si="218"/>
        <v>#N/A</v>
      </c>
      <c r="AE263" s="661" t="e">
        <f t="shared" si="219"/>
        <v>#VALUE!</v>
      </c>
      <c r="AF263" s="661" t="e">
        <f t="shared" si="220"/>
        <v>#VALUE!</v>
      </c>
      <c r="AH263" s="662" t="str">
        <f t="shared" si="194"/>
        <v/>
      </c>
      <c r="AI263" s="662" t="str">
        <f t="shared" si="195"/>
        <v/>
      </c>
      <c r="AJ263" s="663">
        <f t="shared" si="221"/>
        <v>192.4571</v>
      </c>
      <c r="AK263" s="660">
        <f t="shared" si="222"/>
        <v>0.24379999999999999</v>
      </c>
      <c r="AL263" s="660" t="e">
        <f t="shared" si="223"/>
        <v>#VALUE!</v>
      </c>
      <c r="AM263" s="664" t="e">
        <f t="shared" si="224"/>
        <v>#VALUE!</v>
      </c>
      <c r="AN263" s="664" t="e">
        <f t="shared" si="225"/>
        <v>#VALUE!</v>
      </c>
      <c r="AO263" s="665" t="e">
        <f t="shared" si="226"/>
        <v>#VALUE!</v>
      </c>
      <c r="AP263" s="666" t="e">
        <f t="shared" si="227"/>
        <v>#VALUE!</v>
      </c>
      <c r="AQ263" s="660" t="e">
        <f t="shared" si="228"/>
        <v>#VALUE!</v>
      </c>
      <c r="AR263" s="667" t="e">
        <f t="shared" si="229"/>
        <v>#VALUE!</v>
      </c>
      <c r="AS263" s="667" t="e">
        <f t="shared" si="230"/>
        <v>#VALUE!</v>
      </c>
      <c r="AT263" s="668" t="e">
        <f t="shared" si="231"/>
        <v>#VALUE!</v>
      </c>
      <c r="AU263" s="667" t="e">
        <f t="shared" si="232"/>
        <v>#VALUE!</v>
      </c>
      <c r="AV263" s="669" t="e">
        <f t="shared" si="233"/>
        <v>#VALUE!</v>
      </c>
      <c r="AW263" s="667" t="e">
        <f t="shared" si="234"/>
        <v>#VALUE!</v>
      </c>
      <c r="AX263" s="667" t="e">
        <f t="shared" si="235"/>
        <v>#VALUE!</v>
      </c>
      <c r="AY263" s="660" t="e">
        <f t="shared" si="236"/>
        <v>#VALUE!</v>
      </c>
      <c r="AZ263" s="670" t="e">
        <f t="shared" si="237"/>
        <v>#VALUE!</v>
      </c>
      <c r="BB263" s="662" t="e">
        <f>INDEX('Barge Gauging Data'!$B$26:$V$56,MATCH($C263,'Barge Gauging Data'!$B$26:$B$56,0),$BB$198)</f>
        <v>#N/A</v>
      </c>
      <c r="BC263" s="662" t="e">
        <f>INDEX('Barge Gauging Data'!$B$26:$V$56,MATCH($C263,'Barge Gauging Data'!$B$26:$B$56,0),$BC$198)</f>
        <v>#N/A</v>
      </c>
      <c r="BD263" s="662" t="e">
        <f>INDEX('Barge Gauging Data'!$B$26:$V$56,MATCH($C263,'Barge Gauging Data'!$B$26:$B$56,0),$BD$198)</f>
        <v>#N/A</v>
      </c>
      <c r="BE263" s="662" t="e">
        <f>INDEX('Barge Gauging Data'!$B$26:$V$56,MATCH($C263,'Barge Gauging Data'!$B$26:$B$56,0),$BE$198)</f>
        <v>#N/A</v>
      </c>
    </row>
    <row r="264" spans="1:57" hidden="1">
      <c r="A264" s="641" t="str">
        <f t="shared" si="253"/>
        <v>N</v>
      </c>
      <c r="C264" s="237" t="str">
        <f t="shared" si="239"/>
        <v/>
      </c>
      <c r="D264" s="238" t="str">
        <f t="shared" si="239"/>
        <v/>
      </c>
      <c r="E264" s="1017" t="str">
        <f t="shared" si="238"/>
        <v/>
      </c>
      <c r="F264" s="1017" t="str">
        <f t="shared" si="240"/>
        <v/>
      </c>
      <c r="G264" s="1017" t="str">
        <f t="shared" si="241"/>
        <v/>
      </c>
      <c r="H264" s="1017" t="str">
        <f t="shared" si="241"/>
        <v/>
      </c>
      <c r="I264" s="238" t="str">
        <f t="shared" si="242"/>
        <v/>
      </c>
      <c r="J264" s="1017" t="str">
        <f t="shared" si="243"/>
        <v/>
      </c>
      <c r="K264" s="240" t="str">
        <f t="shared" si="244"/>
        <v/>
      </c>
      <c r="L264" s="239" t="str">
        <f t="shared" si="245"/>
        <v/>
      </c>
      <c r="M264" s="1126" t="str">
        <f>IF(OR($C264="",$C264=0),"",INDEX(API2DENST_2,MATCH($C264,'Barge Gauging Data'!$B$27:$B$56,0),$AA$1))</f>
        <v/>
      </c>
      <c r="N264" s="239" t="str">
        <f t="shared" si="246"/>
        <v/>
      </c>
      <c r="O264" s="1017" t="str">
        <f t="shared" si="247"/>
        <v/>
      </c>
      <c r="P264" s="1126" t="str">
        <f t="shared" si="248"/>
        <v/>
      </c>
      <c r="Q264" s="1017" t="str">
        <f t="shared" si="249"/>
        <v/>
      </c>
      <c r="R264" s="241" t="str">
        <f t="shared" si="250"/>
        <v/>
      </c>
      <c r="S264" s="1126" t="str">
        <f t="shared" si="251"/>
        <v/>
      </c>
      <c r="T264" s="242" t="str">
        <f t="shared" si="252"/>
        <v/>
      </c>
      <c r="W264" s="642" t="e">
        <f>INDEX('Barge Gauging Data'!$B$26:$V$56,MATCH($C264,'Barge Gauging Data'!$B$26:$B$56,0),$W$198)</f>
        <v>#N/A</v>
      </c>
      <c r="X264" s="642" t="e">
        <f>INDEX('Barge Gauging Data'!$B$26:$V$56,MATCH($C264,'Barge Gauging Data'!$B$26:$B$56,0),$X$198)</f>
        <v>#N/A</v>
      </c>
      <c r="Y264" s="642" t="e">
        <f>INDEX('Barge Gauging Data'!$B$26:$V$56,MATCH($C264,'Barge Gauging Data'!$B$26:$B$56,0),$Y$198)</f>
        <v>#N/A</v>
      </c>
      <c r="Z264" s="642" t="e">
        <f>INDEX('Barge Gauging Data'!$B$26:$V$56,MATCH($C264,'Barge Gauging Data'!$B$26:$B$56,0),$Z$198)</f>
        <v>#N/A</v>
      </c>
      <c r="AB264" s="642" t="e">
        <f>INDEX(API2DENST_2,MATCH($C264,'Barge Gauging Data'!$B$27:$B$56,0),1)</f>
        <v>#N/A</v>
      </c>
      <c r="AC264" s="642" t="e">
        <f t="shared" si="218"/>
        <v>#N/A</v>
      </c>
      <c r="AE264" s="661" t="e">
        <f t="shared" si="219"/>
        <v>#VALUE!</v>
      </c>
      <c r="AF264" s="661" t="e">
        <f t="shared" si="220"/>
        <v>#VALUE!</v>
      </c>
      <c r="AH264" s="662" t="str">
        <f t="shared" si="194"/>
        <v/>
      </c>
      <c r="AI264" s="662" t="str">
        <f t="shared" si="195"/>
        <v/>
      </c>
      <c r="AJ264" s="663">
        <f t="shared" si="221"/>
        <v>192.4571</v>
      </c>
      <c r="AK264" s="660">
        <f t="shared" si="222"/>
        <v>0.24379999999999999</v>
      </c>
      <c r="AL264" s="660" t="e">
        <f t="shared" si="223"/>
        <v>#VALUE!</v>
      </c>
      <c r="AM264" s="664" t="e">
        <f t="shared" si="224"/>
        <v>#VALUE!</v>
      </c>
      <c r="AN264" s="664" t="e">
        <f t="shared" si="225"/>
        <v>#VALUE!</v>
      </c>
      <c r="AO264" s="665" t="e">
        <f t="shared" si="226"/>
        <v>#VALUE!</v>
      </c>
      <c r="AP264" s="666" t="e">
        <f t="shared" si="227"/>
        <v>#VALUE!</v>
      </c>
      <c r="AQ264" s="660" t="e">
        <f t="shared" si="228"/>
        <v>#VALUE!</v>
      </c>
      <c r="AR264" s="667" t="e">
        <f t="shared" si="229"/>
        <v>#VALUE!</v>
      </c>
      <c r="AS264" s="667" t="e">
        <f t="shared" si="230"/>
        <v>#VALUE!</v>
      </c>
      <c r="AT264" s="668" t="e">
        <f t="shared" si="231"/>
        <v>#VALUE!</v>
      </c>
      <c r="AU264" s="667" t="e">
        <f t="shared" si="232"/>
        <v>#VALUE!</v>
      </c>
      <c r="AV264" s="669" t="e">
        <f t="shared" si="233"/>
        <v>#VALUE!</v>
      </c>
      <c r="AW264" s="667" t="e">
        <f t="shared" si="234"/>
        <v>#VALUE!</v>
      </c>
      <c r="AX264" s="667" t="e">
        <f t="shared" si="235"/>
        <v>#VALUE!</v>
      </c>
      <c r="AY264" s="660" t="e">
        <f t="shared" si="236"/>
        <v>#VALUE!</v>
      </c>
      <c r="AZ264" s="670" t="e">
        <f t="shared" si="237"/>
        <v>#VALUE!</v>
      </c>
      <c r="BB264" s="662" t="e">
        <f>INDEX('Barge Gauging Data'!$B$26:$V$56,MATCH($C264,'Barge Gauging Data'!$B$26:$B$56,0),$BB$198)</f>
        <v>#N/A</v>
      </c>
      <c r="BC264" s="662" t="e">
        <f>INDEX('Barge Gauging Data'!$B$26:$V$56,MATCH($C264,'Barge Gauging Data'!$B$26:$B$56,0),$BC$198)</f>
        <v>#N/A</v>
      </c>
      <c r="BD264" s="662" t="e">
        <f>INDEX('Barge Gauging Data'!$B$26:$V$56,MATCH($C264,'Barge Gauging Data'!$B$26:$B$56,0),$BD$198)</f>
        <v>#N/A</v>
      </c>
      <c r="BE264" s="662" t="e">
        <f>INDEX('Barge Gauging Data'!$B$26:$V$56,MATCH($C264,'Barge Gauging Data'!$B$26:$B$56,0),$BE$198)</f>
        <v>#N/A</v>
      </c>
    </row>
    <row r="265" spans="1:57" hidden="1">
      <c r="A265" s="641" t="str">
        <f t="shared" si="253"/>
        <v>N</v>
      </c>
      <c r="C265" s="671"/>
      <c r="D265" s="671"/>
      <c r="E265" s="672"/>
      <c r="F265" s="672"/>
      <c r="G265" s="672"/>
      <c r="H265" s="1501"/>
      <c r="I265" s="671"/>
      <c r="J265" s="672"/>
      <c r="K265" s="673"/>
      <c r="L265" s="672"/>
      <c r="M265" s="674"/>
      <c r="N265" s="672"/>
      <c r="O265" s="672"/>
      <c r="P265" s="1127"/>
      <c r="Q265" s="672"/>
      <c r="R265" s="675"/>
      <c r="S265" s="1137" t="s">
        <v>401</v>
      </c>
      <c r="T265" s="619">
        <f>SUM(T245:T264)</f>
        <v>0</v>
      </c>
      <c r="V265" s="619">
        <f>SUM(Q245:Q264)</f>
        <v>0</v>
      </c>
      <c r="W265" s="619">
        <f>SUM(R245:R264)</f>
        <v>0</v>
      </c>
      <c r="X265" s="1166" t="e">
        <f>(T88-T265)/(V88-V265)</f>
        <v>#DIV/0!</v>
      </c>
      <c r="Y265" s="1166" t="e">
        <f>(U88-U265)/(W88-W265)</f>
        <v>#DIV/0!</v>
      </c>
      <c r="Z265" s="1164" t="e">
        <f>IF('Barge BQS Report'!$AA$1=1,ROUND((W88-W265)/(V88-V265),4),ROUND((1/((((X265)*2204.62/8.32823/42)+1.22269727*10^-3)/1.00122697/141.5))-131.5,4))</f>
        <v>#DIV/0!</v>
      </c>
      <c r="AA265" s="676"/>
      <c r="AB265" s="719"/>
      <c r="AC265" s="719"/>
      <c r="AD265" s="676"/>
      <c r="AE265" s="720"/>
      <c r="AF265" s="720"/>
      <c r="AG265" s="676"/>
      <c r="AH265" s="721"/>
      <c r="AI265" s="721"/>
      <c r="AJ265" s="722"/>
      <c r="AK265" s="723"/>
      <c r="AL265" s="723"/>
      <c r="AM265" s="724"/>
      <c r="AN265" s="724"/>
      <c r="AO265" s="725"/>
      <c r="AP265" s="726"/>
      <c r="AQ265" s="723"/>
      <c r="AR265" s="727"/>
      <c r="AS265" s="727"/>
      <c r="AT265" s="728"/>
      <c r="AU265" s="727"/>
      <c r="AV265" s="729"/>
      <c r="AW265" s="727"/>
      <c r="AX265" s="727"/>
      <c r="AY265" s="723"/>
      <c r="AZ265" s="730"/>
      <c r="BA265" s="676"/>
      <c r="BB265" s="721"/>
      <c r="BC265" s="721"/>
      <c r="BD265" s="721"/>
      <c r="BE265" s="721"/>
    </row>
    <row r="266" spans="1:57" s="702" customFormat="1" ht="5.25" hidden="1">
      <c r="A266" s="702" t="str">
        <f t="shared" si="253"/>
        <v>N</v>
      </c>
      <c r="C266" s="704"/>
      <c r="D266" s="704"/>
      <c r="E266" s="704"/>
      <c r="F266" s="704"/>
      <c r="G266" s="704"/>
      <c r="H266" s="704"/>
      <c r="I266" s="704"/>
      <c r="J266" s="705"/>
      <c r="K266" s="705"/>
      <c r="L266" s="705"/>
      <c r="M266" s="705"/>
      <c r="N266" s="705"/>
      <c r="O266" s="705"/>
      <c r="P266" s="1128"/>
      <c r="Q266" s="705"/>
      <c r="R266" s="705"/>
      <c r="S266" s="1136"/>
      <c r="T266" s="706"/>
      <c r="V266" s="707"/>
      <c r="W266" s="707"/>
      <c r="X266" s="707"/>
      <c r="Y266" s="707"/>
      <c r="Z266" s="707"/>
      <c r="AA266" s="707"/>
      <c r="AB266" s="707"/>
      <c r="AC266" s="707"/>
      <c r="AD266" s="707"/>
      <c r="AE266" s="708"/>
      <c r="AF266" s="708"/>
      <c r="AG266" s="707"/>
      <c r="AH266" s="709"/>
      <c r="AI266" s="709"/>
      <c r="AJ266" s="710"/>
      <c r="AK266" s="711"/>
      <c r="AL266" s="711"/>
      <c r="AM266" s="712"/>
      <c r="AN266" s="712"/>
      <c r="AO266" s="713"/>
      <c r="AP266" s="714"/>
      <c r="AQ266" s="711"/>
      <c r="AR266" s="715"/>
      <c r="AS266" s="715"/>
      <c r="AT266" s="716"/>
      <c r="AU266" s="715"/>
      <c r="AV266" s="717"/>
      <c r="AW266" s="715"/>
      <c r="AX266" s="715"/>
      <c r="AY266" s="711"/>
      <c r="AZ266" s="718"/>
      <c r="BA266" s="707"/>
      <c r="BB266" s="709"/>
      <c r="BC266" s="709"/>
      <c r="BD266" s="709"/>
      <c r="BE266" s="709"/>
    </row>
    <row r="267" spans="1:57" ht="15.75" hidden="1">
      <c r="A267" s="641" t="str">
        <f t="shared" si="253"/>
        <v>N</v>
      </c>
      <c r="B267" s="641">
        <v>4</v>
      </c>
      <c r="C267" s="2797" t="s">
        <v>163</v>
      </c>
      <c r="D267" s="2798"/>
      <c r="E267" s="2799" t="str">
        <f t="shared" ref="E267" si="254">E90</f>
        <v>LSMDO</v>
      </c>
      <c r="F267" s="2800"/>
      <c r="G267" s="2800"/>
      <c r="H267" s="2824"/>
      <c r="I267" s="2801"/>
      <c r="J267" s="698"/>
      <c r="K267" s="699"/>
      <c r="L267" s="700"/>
      <c r="M267" s="699"/>
      <c r="N267" s="699"/>
      <c r="O267" s="700"/>
      <c r="P267" s="1129"/>
      <c r="Q267" s="700"/>
      <c r="R267" s="701"/>
      <c r="S267" s="1129"/>
      <c r="T267" s="701"/>
      <c r="V267" s="676"/>
      <c r="W267" s="731"/>
      <c r="X267" s="731"/>
      <c r="Y267" s="731"/>
      <c r="Z267" s="731"/>
      <c r="AA267" s="676"/>
      <c r="AB267" s="731"/>
      <c r="AC267" s="731"/>
      <c r="AD267" s="676"/>
      <c r="AE267" s="732"/>
      <c r="AF267" s="732"/>
      <c r="AG267" s="676"/>
      <c r="AH267" s="733"/>
      <c r="AI267" s="733"/>
      <c r="AJ267" s="734"/>
      <c r="AK267" s="735"/>
      <c r="AL267" s="735"/>
      <c r="AM267" s="736"/>
      <c r="AN267" s="736"/>
      <c r="AO267" s="737"/>
      <c r="AP267" s="738"/>
      <c r="AQ267" s="735"/>
      <c r="AR267" s="739"/>
      <c r="AS267" s="739"/>
      <c r="AT267" s="740"/>
      <c r="AU267" s="739"/>
      <c r="AV267" s="741"/>
      <c r="AW267" s="739"/>
      <c r="AX267" s="739"/>
      <c r="AY267" s="735"/>
      <c r="AZ267" s="742"/>
      <c r="BA267" s="676"/>
      <c r="BB267" s="733"/>
      <c r="BC267" s="733"/>
      <c r="BD267" s="733"/>
      <c r="BE267" s="733"/>
    </row>
    <row r="268" spans="1:57" hidden="1">
      <c r="A268" s="641" t="str">
        <f t="shared" si="253"/>
        <v>N</v>
      </c>
      <c r="C268" s="622" t="str">
        <f t="shared" ref="C268:E287" si="255">C91</f>
        <v/>
      </c>
      <c r="D268" s="623" t="str">
        <f t="shared" si="255"/>
        <v/>
      </c>
      <c r="E268" s="1018" t="str">
        <f t="shared" si="255"/>
        <v/>
      </c>
      <c r="F268" s="1018" t="str">
        <f t="shared" ref="F268:F287" si="256">IF(ISERROR(W268),"",IF(OR($C268="",$C268=0),"",IF(ISTEXT(W268),W268,IF($AB$1=1,W268*UNITOR_2,INT(W268*UNITOR_2)&amp;"'-"&amp;TRIM(TEXT(ROUND(MOD(W268*UNITOR_2,1)*12,1),"# ???/???"))&amp;""""))))</f>
        <v/>
      </c>
      <c r="G268" s="1018" t="str">
        <f t="shared" ref="G268:H287" si="257">IF(ISERROR(X268),"",IF(OR($C268="",$C268=0),"",IF(ISTEXT(X268),X268,IF($AB$1=1,X268*UNITOR_2,INT(X268*UNITOR_2)&amp;"'-"&amp;TRIM(TEXT(ROUND(MOD(X268*UNITOR_2,1)*12,1),"# ???/???"))&amp;""""))))</f>
        <v/>
      </c>
      <c r="H268" s="1018" t="str">
        <f t="shared" si="257"/>
        <v/>
      </c>
      <c r="I268" s="623" t="str">
        <f t="shared" ref="I268:I287" si="258">IF(ISERROR($BB268),"",IF(OR($C268="",$C268=0,$BB268=0),"",$BB268))</f>
        <v/>
      </c>
      <c r="J268" s="1016" t="str">
        <f t="shared" ref="J268:J287" si="259">IF(ISERROR($BC268),"",IF(OR($C268="",$C268=0,$BC268=""),"",IF(ISTEXT($BC268),$BC268,$BC268*IF($AA$1=B1SEL_2,1,IF($AA$1=2,FBBLS,1/FBBLS)))))</f>
        <v/>
      </c>
      <c r="K268" s="213" t="str">
        <f t="shared" ref="K268:K287" si="260">IF(ISERROR($BD268),"",IF(OR($C268="",$C268=0,$BD268=""),0,IF(ISTEXT($BD268),$BD268,$BD268*IF($AB$1=W1SEL_2,1,IF($AB$1=2,FINCH,1/FINCH)))))</f>
        <v/>
      </c>
      <c r="L268" s="212" t="str">
        <f t="shared" ref="L268:L287" si="261">IF(ISERROR($BE268),"",IF(OR($C268="",$C268=0,$BE268=""),0,IF(ISTEXT($BE268),$BE268,$BE268*IF($AA$1=B1SEL_2,1,IF($AA$1=2,FBBLS,1/FBBLS)))))</f>
        <v/>
      </c>
      <c r="M268" s="1125" t="str">
        <f>IF(OR($C268="",$C268=0),"",INDEX(API2DENST_2,MATCH($C268,'Barge Gauging Data'!$B$27:$B$56,0),$AA$1))</f>
        <v/>
      </c>
      <c r="N268" s="212" t="str">
        <f t="shared" ref="N268:N287" si="262">IF(ISERROR(Z268),"",IF(OR($C268="",$C268=0,Z268=""),"",IF(ISTEXT(Z268),Z268,IF($AA$1=T1SEL_2,Z268,IF($AA$1=2,(Z268*9/5)+32,(Z268-32)*5/9)))))</f>
        <v/>
      </c>
      <c r="O268" s="1016" t="str">
        <f t="shared" ref="O268:O287" si="263">IF(OR(J268="",L268=""),"",IF(ISTEXT(J268),"N/A",IF(ISTEXT(L268),J268,J268-L268)))</f>
        <v/>
      </c>
      <c r="P268" s="1125" t="str">
        <f t="shared" ref="P268:P287" si="264">IF(OR(M268="",N268=""),"",IF(OR(ISTEXT(M268),ISTEXT(N268)),"N/A",IF($AA$1=1,ROUND(EXP(-AF268*(N268-15)*(1+0.8*AF268*(N268-15))),5),AZ268)))</f>
        <v/>
      </c>
      <c r="Q268" s="1016" t="str">
        <f t="shared" ref="Q268:Q287" si="265">IF(OR(M268="",N268=""),"",IF(OR(ISTEXT(M268),ISTEXT(N268)),"N/A",ROUND(O268*P268,3)))</f>
        <v/>
      </c>
      <c r="R268" s="214" t="str">
        <f t="shared" ref="R268:R287" si="266">IF(M268="","",IF($AA$1=1,IF(ISTEXT(Q268),"N/A",ROUND(Q268*M268,3)),IF(ISTEXT(T268),"N/A",ROUND(T268*AC268,3))))</f>
        <v/>
      </c>
      <c r="S268" s="1125" t="str">
        <f t="shared" ref="S268:S287" si="267">IF(M268="","",IF($AA$1=1,ROUND(M268-0.0011,5),ROUND((1.00122697*(141.5/(M268+131.5))-1.22269727*10^-3)*8.32823*42/2204.62,5+2)))</f>
        <v/>
      </c>
      <c r="T268" s="236" t="str">
        <f t="shared" ref="T268:T287" si="268">IF(OR(M268="",N268=""),"",IF(ISTEXT(Q268),"N/A",IF($AA$1=1,ROUND((Q268*(M268-0.0011)),3),ROUND(Q268*S268,3))))</f>
        <v/>
      </c>
      <c r="W268" s="642" t="e">
        <f>INDEX('Barge Gauging Data'!$B$26:$V$56,MATCH($C268,'Barge Gauging Data'!$B$26:$B$56,0),$W$198)</f>
        <v>#N/A</v>
      </c>
      <c r="X268" s="642" t="e">
        <f>INDEX('Barge Gauging Data'!$B$26:$V$56,MATCH($C268,'Barge Gauging Data'!$B$26:$B$56,0),$X$198)</f>
        <v>#N/A</v>
      </c>
      <c r="Y268" s="642" t="e">
        <f>INDEX('Barge Gauging Data'!$B$26:$V$56,MATCH($C268,'Barge Gauging Data'!$B$26:$B$56,0),$Y$198)</f>
        <v>#N/A</v>
      </c>
      <c r="Z268" s="642" t="e">
        <f>INDEX('Barge Gauging Data'!$B$26:$V$56,MATCH($C268,'Barge Gauging Data'!$B$26:$B$56,0),$Z$198)</f>
        <v>#N/A</v>
      </c>
      <c r="AB268" s="642" t="e">
        <f>INDEX(API2DENST_2,MATCH($C268,'Barge Gauging Data'!$B$27:$B$56,0),1)</f>
        <v>#N/A</v>
      </c>
      <c r="AC268" s="642" t="e">
        <f t="shared" si="218"/>
        <v>#N/A</v>
      </c>
      <c r="AE268" s="661" t="e">
        <f t="shared" si="219"/>
        <v>#VALUE!</v>
      </c>
      <c r="AF268" s="661" t="e">
        <f t="shared" si="220"/>
        <v>#VALUE!</v>
      </c>
      <c r="AH268" s="662" t="str">
        <f t="shared" si="194"/>
        <v/>
      </c>
      <c r="AI268" s="662" t="str">
        <f t="shared" si="195"/>
        <v/>
      </c>
      <c r="AJ268" s="663">
        <f t="shared" si="221"/>
        <v>192.4571</v>
      </c>
      <c r="AK268" s="660">
        <f t="shared" si="222"/>
        <v>0.24379999999999999</v>
      </c>
      <c r="AL268" s="660" t="e">
        <f t="shared" si="223"/>
        <v>#VALUE!</v>
      </c>
      <c r="AM268" s="664" t="e">
        <f t="shared" si="224"/>
        <v>#VALUE!</v>
      </c>
      <c r="AN268" s="664" t="e">
        <f t="shared" si="225"/>
        <v>#VALUE!</v>
      </c>
      <c r="AO268" s="665" t="e">
        <f t="shared" si="226"/>
        <v>#VALUE!</v>
      </c>
      <c r="AP268" s="666" t="e">
        <f t="shared" si="227"/>
        <v>#VALUE!</v>
      </c>
      <c r="AQ268" s="660" t="e">
        <f t="shared" si="228"/>
        <v>#VALUE!</v>
      </c>
      <c r="AR268" s="667" t="e">
        <f t="shared" si="229"/>
        <v>#VALUE!</v>
      </c>
      <c r="AS268" s="667" t="e">
        <f t="shared" si="230"/>
        <v>#VALUE!</v>
      </c>
      <c r="AT268" s="668" t="e">
        <f t="shared" si="231"/>
        <v>#VALUE!</v>
      </c>
      <c r="AU268" s="667" t="e">
        <f t="shared" si="232"/>
        <v>#VALUE!</v>
      </c>
      <c r="AV268" s="669" t="e">
        <f t="shared" si="233"/>
        <v>#VALUE!</v>
      </c>
      <c r="AW268" s="667" t="e">
        <f t="shared" si="234"/>
        <v>#VALUE!</v>
      </c>
      <c r="AX268" s="667" t="e">
        <f t="shared" si="235"/>
        <v>#VALUE!</v>
      </c>
      <c r="AY268" s="660" t="e">
        <f t="shared" si="236"/>
        <v>#VALUE!</v>
      </c>
      <c r="AZ268" s="670" t="e">
        <f t="shared" si="237"/>
        <v>#VALUE!</v>
      </c>
      <c r="BB268" s="662" t="e">
        <f>INDEX('Barge Gauging Data'!$B$26:$V$56,MATCH($C268,'Barge Gauging Data'!$B$26:$B$56,0),$BB$198)</f>
        <v>#N/A</v>
      </c>
      <c r="BC268" s="662" t="e">
        <f>INDEX('Barge Gauging Data'!$B$26:$V$56,MATCH($C268,'Barge Gauging Data'!$B$26:$B$56,0),$BC$198)</f>
        <v>#N/A</v>
      </c>
      <c r="BD268" s="662" t="e">
        <f>INDEX('Barge Gauging Data'!$B$26:$V$56,MATCH($C268,'Barge Gauging Data'!$B$26:$B$56,0),$BD$198)</f>
        <v>#N/A</v>
      </c>
      <c r="BE268" s="662" t="e">
        <f>INDEX('Barge Gauging Data'!$B$26:$V$56,MATCH($C268,'Barge Gauging Data'!$B$26:$B$56,0),$BE$198)</f>
        <v>#N/A</v>
      </c>
    </row>
    <row r="269" spans="1:57" hidden="1">
      <c r="A269" s="641" t="str">
        <f t="shared" si="253"/>
        <v>N</v>
      </c>
      <c r="C269" s="235" t="str">
        <f t="shared" si="255"/>
        <v/>
      </c>
      <c r="D269" s="211" t="str">
        <f t="shared" si="255"/>
        <v/>
      </c>
      <c r="E269" s="1016" t="str">
        <f t="shared" si="255"/>
        <v/>
      </c>
      <c r="F269" s="1016" t="str">
        <f t="shared" si="256"/>
        <v/>
      </c>
      <c r="G269" s="1016" t="str">
        <f t="shared" si="257"/>
        <v/>
      </c>
      <c r="H269" s="1016" t="str">
        <f t="shared" si="257"/>
        <v/>
      </c>
      <c r="I269" s="211" t="str">
        <f t="shared" si="258"/>
        <v/>
      </c>
      <c r="J269" s="1016" t="str">
        <f t="shared" si="259"/>
        <v/>
      </c>
      <c r="K269" s="213" t="str">
        <f t="shared" si="260"/>
        <v/>
      </c>
      <c r="L269" s="212" t="str">
        <f t="shared" si="261"/>
        <v/>
      </c>
      <c r="M269" s="1125" t="str">
        <f>IF(OR($C269="",$C269=0),"",INDEX(API2DENST_2,MATCH($C269,'Barge Gauging Data'!$B$27:$B$56,0),$AA$1))</f>
        <v/>
      </c>
      <c r="N269" s="212" t="str">
        <f t="shared" si="262"/>
        <v/>
      </c>
      <c r="O269" s="1016" t="str">
        <f t="shared" si="263"/>
        <v/>
      </c>
      <c r="P269" s="1125" t="str">
        <f t="shared" si="264"/>
        <v/>
      </c>
      <c r="Q269" s="1016" t="str">
        <f t="shared" si="265"/>
        <v/>
      </c>
      <c r="R269" s="214" t="str">
        <f t="shared" si="266"/>
        <v/>
      </c>
      <c r="S269" s="1125" t="str">
        <f t="shared" si="267"/>
        <v/>
      </c>
      <c r="T269" s="236" t="str">
        <f t="shared" si="268"/>
        <v/>
      </c>
      <c r="W269" s="642" t="e">
        <f>INDEX('Barge Gauging Data'!$B$26:$V$56,MATCH($C269,'Barge Gauging Data'!$B$26:$B$56,0),$W$198)</f>
        <v>#N/A</v>
      </c>
      <c r="X269" s="642" t="e">
        <f>INDEX('Barge Gauging Data'!$B$26:$V$56,MATCH($C269,'Barge Gauging Data'!$B$26:$B$56,0),$X$198)</f>
        <v>#N/A</v>
      </c>
      <c r="Y269" s="642" t="e">
        <f>INDEX('Barge Gauging Data'!$B$26:$V$56,MATCH($C269,'Barge Gauging Data'!$B$26:$B$56,0),$Y$198)</f>
        <v>#N/A</v>
      </c>
      <c r="Z269" s="642" t="e">
        <f>INDEX('Barge Gauging Data'!$B$26:$V$56,MATCH($C269,'Barge Gauging Data'!$B$26:$B$56,0),$Z$198)</f>
        <v>#N/A</v>
      </c>
      <c r="AB269" s="642" t="e">
        <f>INDEX(API2DENST_2,MATCH($C269,'Barge Gauging Data'!$B$27:$B$56,0),1)</f>
        <v>#N/A</v>
      </c>
      <c r="AC269" s="642" t="e">
        <f t="shared" si="218"/>
        <v>#N/A</v>
      </c>
      <c r="AE269" s="661" t="e">
        <f t="shared" si="219"/>
        <v>#VALUE!</v>
      </c>
      <c r="AF269" s="661" t="e">
        <f t="shared" si="220"/>
        <v>#VALUE!</v>
      </c>
      <c r="AH269" s="662" t="str">
        <f t="shared" ref="AH269:AH338" si="269">N269</f>
        <v/>
      </c>
      <c r="AI269" s="662" t="str">
        <f t="shared" ref="AI269:AI338" si="270">M269</f>
        <v/>
      </c>
      <c r="AJ269" s="663">
        <f t="shared" si="221"/>
        <v>192.4571</v>
      </c>
      <c r="AK269" s="660">
        <f t="shared" si="222"/>
        <v>0.24379999999999999</v>
      </c>
      <c r="AL269" s="660" t="e">
        <f t="shared" si="223"/>
        <v>#VALUE!</v>
      </c>
      <c r="AM269" s="664" t="e">
        <f t="shared" si="224"/>
        <v>#VALUE!</v>
      </c>
      <c r="AN269" s="664" t="e">
        <f t="shared" si="225"/>
        <v>#VALUE!</v>
      </c>
      <c r="AO269" s="665" t="e">
        <f t="shared" si="226"/>
        <v>#VALUE!</v>
      </c>
      <c r="AP269" s="666" t="e">
        <f t="shared" si="227"/>
        <v>#VALUE!</v>
      </c>
      <c r="AQ269" s="660" t="e">
        <f t="shared" si="228"/>
        <v>#VALUE!</v>
      </c>
      <c r="AR269" s="667" t="e">
        <f t="shared" si="229"/>
        <v>#VALUE!</v>
      </c>
      <c r="AS269" s="667" t="e">
        <f t="shared" si="230"/>
        <v>#VALUE!</v>
      </c>
      <c r="AT269" s="668" t="e">
        <f t="shared" si="231"/>
        <v>#VALUE!</v>
      </c>
      <c r="AU269" s="667" t="e">
        <f t="shared" si="232"/>
        <v>#VALUE!</v>
      </c>
      <c r="AV269" s="669" t="e">
        <f t="shared" si="233"/>
        <v>#VALUE!</v>
      </c>
      <c r="AW269" s="667" t="e">
        <f t="shared" si="234"/>
        <v>#VALUE!</v>
      </c>
      <c r="AX269" s="667" t="e">
        <f t="shared" si="235"/>
        <v>#VALUE!</v>
      </c>
      <c r="AY269" s="660" t="e">
        <f t="shared" si="236"/>
        <v>#VALUE!</v>
      </c>
      <c r="AZ269" s="670" t="e">
        <f t="shared" si="237"/>
        <v>#VALUE!</v>
      </c>
      <c r="BB269" s="662" t="e">
        <f>INDEX('Barge Gauging Data'!$B$26:$V$56,MATCH($C269,'Barge Gauging Data'!$B$26:$B$56,0),$BB$198)</f>
        <v>#N/A</v>
      </c>
      <c r="BC269" s="662" t="e">
        <f>INDEX('Barge Gauging Data'!$B$26:$V$56,MATCH($C269,'Barge Gauging Data'!$B$26:$B$56,0),$BC$198)</f>
        <v>#N/A</v>
      </c>
      <c r="BD269" s="662" t="e">
        <f>INDEX('Barge Gauging Data'!$B$26:$V$56,MATCH($C269,'Barge Gauging Data'!$B$26:$B$56,0),$BD$198)</f>
        <v>#N/A</v>
      </c>
      <c r="BE269" s="662" t="e">
        <f>INDEX('Barge Gauging Data'!$B$26:$V$56,MATCH($C269,'Barge Gauging Data'!$B$26:$B$56,0),$BE$198)</f>
        <v>#N/A</v>
      </c>
    </row>
    <row r="270" spans="1:57" hidden="1">
      <c r="A270" s="641" t="str">
        <f t="shared" si="253"/>
        <v>N</v>
      </c>
      <c r="C270" s="235" t="str">
        <f t="shared" si="255"/>
        <v/>
      </c>
      <c r="D270" s="211" t="str">
        <f t="shared" si="255"/>
        <v/>
      </c>
      <c r="E270" s="1016" t="str">
        <f t="shared" si="255"/>
        <v/>
      </c>
      <c r="F270" s="1016" t="str">
        <f t="shared" si="256"/>
        <v/>
      </c>
      <c r="G270" s="1016" t="str">
        <f t="shared" si="257"/>
        <v/>
      </c>
      <c r="H270" s="1016" t="str">
        <f t="shared" si="257"/>
        <v/>
      </c>
      <c r="I270" s="211" t="str">
        <f t="shared" si="258"/>
        <v/>
      </c>
      <c r="J270" s="1016" t="str">
        <f t="shared" si="259"/>
        <v/>
      </c>
      <c r="K270" s="213" t="str">
        <f t="shared" si="260"/>
        <v/>
      </c>
      <c r="L270" s="212" t="str">
        <f t="shared" si="261"/>
        <v/>
      </c>
      <c r="M270" s="1125" t="str">
        <f>IF(OR($C270="",$C270=0),"",INDEX(API2DENST_2,MATCH($C270,'Barge Gauging Data'!$B$27:$B$56,0),$AA$1))</f>
        <v/>
      </c>
      <c r="N270" s="212" t="str">
        <f t="shared" si="262"/>
        <v/>
      </c>
      <c r="O270" s="1016" t="str">
        <f t="shared" si="263"/>
        <v/>
      </c>
      <c r="P270" s="1125" t="str">
        <f t="shared" si="264"/>
        <v/>
      </c>
      <c r="Q270" s="1016" t="str">
        <f t="shared" si="265"/>
        <v/>
      </c>
      <c r="R270" s="214" t="str">
        <f t="shared" si="266"/>
        <v/>
      </c>
      <c r="S270" s="1125" t="str">
        <f t="shared" si="267"/>
        <v/>
      </c>
      <c r="T270" s="236" t="str">
        <f t="shared" si="268"/>
        <v/>
      </c>
      <c r="W270" s="642" t="e">
        <f>INDEX('Barge Gauging Data'!$B$26:$V$56,MATCH($C270,'Barge Gauging Data'!$B$26:$B$56,0),$W$198)</f>
        <v>#N/A</v>
      </c>
      <c r="X270" s="642" t="e">
        <f>INDEX('Barge Gauging Data'!$B$26:$V$56,MATCH($C270,'Barge Gauging Data'!$B$26:$B$56,0),$X$198)</f>
        <v>#N/A</v>
      </c>
      <c r="Y270" s="642" t="e">
        <f>INDEX('Barge Gauging Data'!$B$26:$V$56,MATCH($C270,'Barge Gauging Data'!$B$26:$B$56,0),$Y$198)</f>
        <v>#N/A</v>
      </c>
      <c r="Z270" s="642" t="e">
        <f>INDEX('Barge Gauging Data'!$B$26:$V$56,MATCH($C270,'Barge Gauging Data'!$B$26:$B$56,0),$Z$198)</f>
        <v>#N/A</v>
      </c>
      <c r="AB270" s="642" t="e">
        <f>INDEX(API2DENST_2,MATCH($C270,'Barge Gauging Data'!$B$27:$B$56,0),1)</f>
        <v>#N/A</v>
      </c>
      <c r="AC270" s="642" t="e">
        <f t="shared" si="218"/>
        <v>#N/A</v>
      </c>
      <c r="AE270" s="661" t="e">
        <f t="shared" si="219"/>
        <v>#VALUE!</v>
      </c>
      <c r="AF270" s="661" t="e">
        <f t="shared" si="220"/>
        <v>#VALUE!</v>
      </c>
      <c r="AH270" s="662" t="str">
        <f t="shared" si="269"/>
        <v/>
      </c>
      <c r="AI270" s="662" t="str">
        <f t="shared" si="270"/>
        <v/>
      </c>
      <c r="AJ270" s="663">
        <f t="shared" si="221"/>
        <v>192.4571</v>
      </c>
      <c r="AK270" s="660">
        <f t="shared" si="222"/>
        <v>0.24379999999999999</v>
      </c>
      <c r="AL270" s="660" t="e">
        <f t="shared" si="223"/>
        <v>#VALUE!</v>
      </c>
      <c r="AM270" s="664" t="e">
        <f t="shared" si="224"/>
        <v>#VALUE!</v>
      </c>
      <c r="AN270" s="664" t="e">
        <f t="shared" si="225"/>
        <v>#VALUE!</v>
      </c>
      <c r="AO270" s="665" t="e">
        <f t="shared" si="226"/>
        <v>#VALUE!</v>
      </c>
      <c r="AP270" s="666" t="e">
        <f t="shared" si="227"/>
        <v>#VALUE!</v>
      </c>
      <c r="AQ270" s="660" t="e">
        <f t="shared" si="228"/>
        <v>#VALUE!</v>
      </c>
      <c r="AR270" s="667" t="e">
        <f t="shared" si="229"/>
        <v>#VALUE!</v>
      </c>
      <c r="AS270" s="667" t="e">
        <f t="shared" si="230"/>
        <v>#VALUE!</v>
      </c>
      <c r="AT270" s="668" t="e">
        <f t="shared" si="231"/>
        <v>#VALUE!</v>
      </c>
      <c r="AU270" s="667" t="e">
        <f t="shared" si="232"/>
        <v>#VALUE!</v>
      </c>
      <c r="AV270" s="669" t="e">
        <f t="shared" si="233"/>
        <v>#VALUE!</v>
      </c>
      <c r="AW270" s="667" t="e">
        <f t="shared" si="234"/>
        <v>#VALUE!</v>
      </c>
      <c r="AX270" s="667" t="e">
        <f t="shared" si="235"/>
        <v>#VALUE!</v>
      </c>
      <c r="AY270" s="660" t="e">
        <f t="shared" si="236"/>
        <v>#VALUE!</v>
      </c>
      <c r="AZ270" s="670" t="e">
        <f t="shared" si="237"/>
        <v>#VALUE!</v>
      </c>
      <c r="BB270" s="662" t="e">
        <f>INDEX('Barge Gauging Data'!$B$26:$V$56,MATCH($C270,'Barge Gauging Data'!$B$26:$B$56,0),$BB$198)</f>
        <v>#N/A</v>
      </c>
      <c r="BC270" s="662" t="e">
        <f>INDEX('Barge Gauging Data'!$B$26:$V$56,MATCH($C270,'Barge Gauging Data'!$B$26:$B$56,0),$BC$198)</f>
        <v>#N/A</v>
      </c>
      <c r="BD270" s="662" t="e">
        <f>INDEX('Barge Gauging Data'!$B$26:$V$56,MATCH($C270,'Barge Gauging Data'!$B$26:$B$56,0),$BD$198)</f>
        <v>#N/A</v>
      </c>
      <c r="BE270" s="662" t="e">
        <f>INDEX('Barge Gauging Data'!$B$26:$V$56,MATCH($C270,'Barge Gauging Data'!$B$26:$B$56,0),$BE$198)</f>
        <v>#N/A</v>
      </c>
    </row>
    <row r="271" spans="1:57" hidden="1">
      <c r="A271" s="641" t="str">
        <f t="shared" si="253"/>
        <v>N</v>
      </c>
      <c r="C271" s="235" t="str">
        <f t="shared" si="255"/>
        <v/>
      </c>
      <c r="D271" s="211" t="str">
        <f t="shared" si="255"/>
        <v/>
      </c>
      <c r="E271" s="1016" t="str">
        <f t="shared" si="255"/>
        <v/>
      </c>
      <c r="F271" s="1016" t="str">
        <f t="shared" si="256"/>
        <v/>
      </c>
      <c r="G271" s="1016" t="str">
        <f t="shared" si="257"/>
        <v/>
      </c>
      <c r="H271" s="1016" t="str">
        <f t="shared" si="257"/>
        <v/>
      </c>
      <c r="I271" s="211" t="str">
        <f t="shared" si="258"/>
        <v/>
      </c>
      <c r="J271" s="1016" t="str">
        <f t="shared" si="259"/>
        <v/>
      </c>
      <c r="K271" s="213" t="str">
        <f t="shared" si="260"/>
        <v/>
      </c>
      <c r="L271" s="212" t="str">
        <f t="shared" si="261"/>
        <v/>
      </c>
      <c r="M271" s="1125" t="str">
        <f>IF(OR($C271="",$C271=0),"",INDEX(API2DENST_2,MATCH($C271,'Barge Gauging Data'!$B$27:$B$56,0),$AA$1))</f>
        <v/>
      </c>
      <c r="N271" s="212" t="str">
        <f t="shared" si="262"/>
        <v/>
      </c>
      <c r="O271" s="1016" t="str">
        <f t="shared" si="263"/>
        <v/>
      </c>
      <c r="P271" s="1125" t="str">
        <f t="shared" si="264"/>
        <v/>
      </c>
      <c r="Q271" s="1016" t="str">
        <f t="shared" si="265"/>
        <v/>
      </c>
      <c r="R271" s="214" t="str">
        <f t="shared" si="266"/>
        <v/>
      </c>
      <c r="S271" s="1125" t="str">
        <f t="shared" si="267"/>
        <v/>
      </c>
      <c r="T271" s="236" t="str">
        <f t="shared" si="268"/>
        <v/>
      </c>
      <c r="W271" s="642" t="e">
        <f>INDEX('Barge Gauging Data'!$B$26:$V$56,MATCH($C271,'Barge Gauging Data'!$B$26:$B$56,0),$W$198)</f>
        <v>#N/A</v>
      </c>
      <c r="X271" s="642" t="e">
        <f>INDEX('Barge Gauging Data'!$B$26:$V$56,MATCH($C271,'Barge Gauging Data'!$B$26:$B$56,0),$X$198)</f>
        <v>#N/A</v>
      </c>
      <c r="Y271" s="642" t="e">
        <f>INDEX('Barge Gauging Data'!$B$26:$V$56,MATCH($C271,'Barge Gauging Data'!$B$26:$B$56,0),$Y$198)</f>
        <v>#N/A</v>
      </c>
      <c r="Z271" s="642" t="e">
        <f>INDEX('Barge Gauging Data'!$B$26:$V$56,MATCH($C271,'Barge Gauging Data'!$B$26:$B$56,0),$Z$198)</f>
        <v>#N/A</v>
      </c>
      <c r="AB271" s="642" t="e">
        <f>INDEX(API2DENST_2,MATCH($C271,'Barge Gauging Data'!$B$27:$B$56,0),1)</f>
        <v>#N/A</v>
      </c>
      <c r="AC271" s="642" t="e">
        <f t="shared" si="218"/>
        <v>#N/A</v>
      </c>
      <c r="AE271" s="661" t="e">
        <f t="shared" si="219"/>
        <v>#VALUE!</v>
      </c>
      <c r="AF271" s="661" t="e">
        <f t="shared" si="220"/>
        <v>#VALUE!</v>
      </c>
      <c r="AH271" s="662" t="str">
        <f t="shared" si="269"/>
        <v/>
      </c>
      <c r="AI271" s="662" t="str">
        <f t="shared" si="270"/>
        <v/>
      </c>
      <c r="AJ271" s="663">
        <f t="shared" si="221"/>
        <v>192.4571</v>
      </c>
      <c r="AK271" s="660">
        <f t="shared" si="222"/>
        <v>0.24379999999999999</v>
      </c>
      <c r="AL271" s="660" t="e">
        <f t="shared" si="223"/>
        <v>#VALUE!</v>
      </c>
      <c r="AM271" s="664" t="e">
        <f t="shared" si="224"/>
        <v>#VALUE!</v>
      </c>
      <c r="AN271" s="664" t="e">
        <f t="shared" si="225"/>
        <v>#VALUE!</v>
      </c>
      <c r="AO271" s="665" t="e">
        <f t="shared" si="226"/>
        <v>#VALUE!</v>
      </c>
      <c r="AP271" s="666" t="e">
        <f t="shared" si="227"/>
        <v>#VALUE!</v>
      </c>
      <c r="AQ271" s="660" t="e">
        <f t="shared" si="228"/>
        <v>#VALUE!</v>
      </c>
      <c r="AR271" s="667" t="e">
        <f t="shared" si="229"/>
        <v>#VALUE!</v>
      </c>
      <c r="AS271" s="667" t="e">
        <f t="shared" si="230"/>
        <v>#VALUE!</v>
      </c>
      <c r="AT271" s="668" t="e">
        <f t="shared" si="231"/>
        <v>#VALUE!</v>
      </c>
      <c r="AU271" s="667" t="e">
        <f t="shared" si="232"/>
        <v>#VALUE!</v>
      </c>
      <c r="AV271" s="669" t="e">
        <f t="shared" si="233"/>
        <v>#VALUE!</v>
      </c>
      <c r="AW271" s="667" t="e">
        <f t="shared" si="234"/>
        <v>#VALUE!</v>
      </c>
      <c r="AX271" s="667" t="e">
        <f t="shared" si="235"/>
        <v>#VALUE!</v>
      </c>
      <c r="AY271" s="660" t="e">
        <f t="shared" si="236"/>
        <v>#VALUE!</v>
      </c>
      <c r="AZ271" s="670" t="e">
        <f t="shared" si="237"/>
        <v>#VALUE!</v>
      </c>
      <c r="BB271" s="662" t="e">
        <f>INDEX('Barge Gauging Data'!$B$26:$V$56,MATCH($C271,'Barge Gauging Data'!$B$26:$B$56,0),$BB$198)</f>
        <v>#N/A</v>
      </c>
      <c r="BC271" s="662" t="e">
        <f>INDEX('Barge Gauging Data'!$B$26:$V$56,MATCH($C271,'Barge Gauging Data'!$B$26:$B$56,0),$BC$198)</f>
        <v>#N/A</v>
      </c>
      <c r="BD271" s="662" t="e">
        <f>INDEX('Barge Gauging Data'!$B$26:$V$56,MATCH($C271,'Barge Gauging Data'!$B$26:$B$56,0),$BD$198)</f>
        <v>#N/A</v>
      </c>
      <c r="BE271" s="662" t="e">
        <f>INDEX('Barge Gauging Data'!$B$26:$V$56,MATCH($C271,'Barge Gauging Data'!$B$26:$B$56,0),$BE$198)</f>
        <v>#N/A</v>
      </c>
    </row>
    <row r="272" spans="1:57" hidden="1">
      <c r="A272" s="641" t="str">
        <f t="shared" si="253"/>
        <v>N</v>
      </c>
      <c r="C272" s="235" t="str">
        <f t="shared" si="255"/>
        <v/>
      </c>
      <c r="D272" s="211" t="str">
        <f t="shared" si="255"/>
        <v/>
      </c>
      <c r="E272" s="1016" t="str">
        <f t="shared" si="255"/>
        <v/>
      </c>
      <c r="F272" s="1016" t="str">
        <f t="shared" si="256"/>
        <v/>
      </c>
      <c r="G272" s="1016" t="str">
        <f t="shared" si="257"/>
        <v/>
      </c>
      <c r="H272" s="1016" t="str">
        <f t="shared" si="257"/>
        <v/>
      </c>
      <c r="I272" s="211" t="str">
        <f t="shared" si="258"/>
        <v/>
      </c>
      <c r="J272" s="1016" t="str">
        <f t="shared" si="259"/>
        <v/>
      </c>
      <c r="K272" s="213" t="str">
        <f t="shared" si="260"/>
        <v/>
      </c>
      <c r="L272" s="212" t="str">
        <f t="shared" si="261"/>
        <v/>
      </c>
      <c r="M272" s="1125" t="str">
        <f>IF(OR($C272="",$C272=0),"",INDEX(API2DENST_2,MATCH($C272,'Barge Gauging Data'!$B$27:$B$56,0),$AA$1))</f>
        <v/>
      </c>
      <c r="N272" s="212" t="str">
        <f t="shared" si="262"/>
        <v/>
      </c>
      <c r="O272" s="1016" t="str">
        <f t="shared" si="263"/>
        <v/>
      </c>
      <c r="P272" s="1125" t="str">
        <f t="shared" si="264"/>
        <v/>
      </c>
      <c r="Q272" s="1016" t="str">
        <f t="shared" si="265"/>
        <v/>
      </c>
      <c r="R272" s="214" t="str">
        <f t="shared" si="266"/>
        <v/>
      </c>
      <c r="S272" s="1125" t="str">
        <f t="shared" si="267"/>
        <v/>
      </c>
      <c r="T272" s="236" t="str">
        <f t="shared" si="268"/>
        <v/>
      </c>
      <c r="W272" s="642" t="e">
        <f>INDEX('Barge Gauging Data'!$B$26:$V$56,MATCH($C272,'Barge Gauging Data'!$B$26:$B$56,0),$W$198)</f>
        <v>#N/A</v>
      </c>
      <c r="X272" s="642" t="e">
        <f>INDEX('Barge Gauging Data'!$B$26:$V$56,MATCH($C272,'Barge Gauging Data'!$B$26:$B$56,0),$X$198)</f>
        <v>#N/A</v>
      </c>
      <c r="Y272" s="642" t="e">
        <f>INDEX('Barge Gauging Data'!$B$26:$V$56,MATCH($C272,'Barge Gauging Data'!$B$26:$B$56,0),$Y$198)</f>
        <v>#N/A</v>
      </c>
      <c r="Z272" s="642" t="e">
        <f>INDEX('Barge Gauging Data'!$B$26:$V$56,MATCH($C272,'Barge Gauging Data'!$B$26:$B$56,0),$Z$198)</f>
        <v>#N/A</v>
      </c>
      <c r="AB272" s="642" t="e">
        <f>INDEX(API2DENST_2,MATCH($C272,'Barge Gauging Data'!$B$27:$B$56,0),1)</f>
        <v>#N/A</v>
      </c>
      <c r="AC272" s="642" t="e">
        <f t="shared" si="218"/>
        <v>#N/A</v>
      </c>
      <c r="AE272" s="661" t="e">
        <f t="shared" si="219"/>
        <v>#VALUE!</v>
      </c>
      <c r="AF272" s="661" t="e">
        <f t="shared" si="220"/>
        <v>#VALUE!</v>
      </c>
      <c r="AH272" s="662" t="str">
        <f t="shared" si="269"/>
        <v/>
      </c>
      <c r="AI272" s="662" t="str">
        <f t="shared" si="270"/>
        <v/>
      </c>
      <c r="AJ272" s="663">
        <f t="shared" si="221"/>
        <v>192.4571</v>
      </c>
      <c r="AK272" s="660">
        <f t="shared" si="222"/>
        <v>0.24379999999999999</v>
      </c>
      <c r="AL272" s="660" t="e">
        <f t="shared" si="223"/>
        <v>#VALUE!</v>
      </c>
      <c r="AM272" s="664" t="e">
        <f t="shared" si="224"/>
        <v>#VALUE!</v>
      </c>
      <c r="AN272" s="664" t="e">
        <f t="shared" si="225"/>
        <v>#VALUE!</v>
      </c>
      <c r="AO272" s="665" t="e">
        <f t="shared" si="226"/>
        <v>#VALUE!</v>
      </c>
      <c r="AP272" s="666" t="e">
        <f t="shared" si="227"/>
        <v>#VALUE!</v>
      </c>
      <c r="AQ272" s="660" t="e">
        <f t="shared" si="228"/>
        <v>#VALUE!</v>
      </c>
      <c r="AR272" s="667" t="e">
        <f t="shared" si="229"/>
        <v>#VALUE!</v>
      </c>
      <c r="AS272" s="667" t="e">
        <f t="shared" si="230"/>
        <v>#VALUE!</v>
      </c>
      <c r="AT272" s="668" t="e">
        <f t="shared" si="231"/>
        <v>#VALUE!</v>
      </c>
      <c r="AU272" s="667" t="e">
        <f t="shared" si="232"/>
        <v>#VALUE!</v>
      </c>
      <c r="AV272" s="669" t="e">
        <f t="shared" si="233"/>
        <v>#VALUE!</v>
      </c>
      <c r="AW272" s="667" t="e">
        <f t="shared" si="234"/>
        <v>#VALUE!</v>
      </c>
      <c r="AX272" s="667" t="e">
        <f t="shared" si="235"/>
        <v>#VALUE!</v>
      </c>
      <c r="AY272" s="660" t="e">
        <f t="shared" si="236"/>
        <v>#VALUE!</v>
      </c>
      <c r="AZ272" s="670" t="e">
        <f t="shared" si="237"/>
        <v>#VALUE!</v>
      </c>
      <c r="BB272" s="662" t="e">
        <f>INDEX('Barge Gauging Data'!$B$26:$V$56,MATCH($C272,'Barge Gauging Data'!$B$26:$B$56,0),$BB$198)</f>
        <v>#N/A</v>
      </c>
      <c r="BC272" s="662" t="e">
        <f>INDEX('Barge Gauging Data'!$B$26:$V$56,MATCH($C272,'Barge Gauging Data'!$B$26:$B$56,0),$BC$198)</f>
        <v>#N/A</v>
      </c>
      <c r="BD272" s="662" t="e">
        <f>INDEX('Barge Gauging Data'!$B$26:$V$56,MATCH($C272,'Barge Gauging Data'!$B$26:$B$56,0),$BD$198)</f>
        <v>#N/A</v>
      </c>
      <c r="BE272" s="662" t="e">
        <f>INDEX('Barge Gauging Data'!$B$26:$V$56,MATCH($C272,'Barge Gauging Data'!$B$26:$B$56,0),$BE$198)</f>
        <v>#N/A</v>
      </c>
    </row>
    <row r="273" spans="1:57" hidden="1">
      <c r="A273" s="641" t="str">
        <f t="shared" si="253"/>
        <v>N</v>
      </c>
      <c r="C273" s="235" t="str">
        <f t="shared" si="255"/>
        <v/>
      </c>
      <c r="D273" s="211" t="str">
        <f t="shared" si="255"/>
        <v/>
      </c>
      <c r="E273" s="1016" t="str">
        <f t="shared" si="255"/>
        <v/>
      </c>
      <c r="F273" s="1016" t="str">
        <f t="shared" si="256"/>
        <v/>
      </c>
      <c r="G273" s="1016" t="str">
        <f t="shared" si="257"/>
        <v/>
      </c>
      <c r="H273" s="1016" t="str">
        <f t="shared" si="257"/>
        <v/>
      </c>
      <c r="I273" s="211" t="str">
        <f t="shared" si="258"/>
        <v/>
      </c>
      <c r="J273" s="1016" t="str">
        <f t="shared" si="259"/>
        <v/>
      </c>
      <c r="K273" s="213" t="str">
        <f t="shared" si="260"/>
        <v/>
      </c>
      <c r="L273" s="212" t="str">
        <f t="shared" si="261"/>
        <v/>
      </c>
      <c r="M273" s="1125" t="str">
        <f>IF(OR($C273="",$C273=0),"",INDEX(API2DENST_2,MATCH($C273,'Barge Gauging Data'!$B$27:$B$56,0),$AA$1))</f>
        <v/>
      </c>
      <c r="N273" s="212" t="str">
        <f t="shared" si="262"/>
        <v/>
      </c>
      <c r="O273" s="1016" t="str">
        <f t="shared" si="263"/>
        <v/>
      </c>
      <c r="P273" s="1125" t="str">
        <f t="shared" si="264"/>
        <v/>
      </c>
      <c r="Q273" s="1016" t="str">
        <f t="shared" si="265"/>
        <v/>
      </c>
      <c r="R273" s="214" t="str">
        <f t="shared" si="266"/>
        <v/>
      </c>
      <c r="S273" s="1125" t="str">
        <f t="shared" si="267"/>
        <v/>
      </c>
      <c r="T273" s="236" t="str">
        <f t="shared" si="268"/>
        <v/>
      </c>
      <c r="W273" s="642" t="e">
        <f>INDEX('Barge Gauging Data'!$B$26:$V$56,MATCH($C273,'Barge Gauging Data'!$B$26:$B$56,0),$W$198)</f>
        <v>#N/A</v>
      </c>
      <c r="X273" s="642" t="e">
        <f>INDEX('Barge Gauging Data'!$B$26:$V$56,MATCH($C273,'Barge Gauging Data'!$B$26:$B$56,0),$X$198)</f>
        <v>#N/A</v>
      </c>
      <c r="Y273" s="642" t="e">
        <f>INDEX('Barge Gauging Data'!$B$26:$V$56,MATCH($C273,'Barge Gauging Data'!$B$26:$B$56,0),$Y$198)</f>
        <v>#N/A</v>
      </c>
      <c r="Z273" s="642" t="e">
        <f>INDEX('Barge Gauging Data'!$B$26:$V$56,MATCH($C273,'Barge Gauging Data'!$B$26:$B$56,0),$Z$198)</f>
        <v>#N/A</v>
      </c>
      <c r="AB273" s="642" t="e">
        <f>INDEX(API2DENST_2,MATCH($C273,'Barge Gauging Data'!$B$27:$B$56,0),1)</f>
        <v>#N/A</v>
      </c>
      <c r="AC273" s="642" t="e">
        <f t="shared" si="218"/>
        <v>#N/A</v>
      </c>
      <c r="AE273" s="661" t="e">
        <f t="shared" si="219"/>
        <v>#VALUE!</v>
      </c>
      <c r="AF273" s="661" t="e">
        <f t="shared" si="220"/>
        <v>#VALUE!</v>
      </c>
      <c r="AH273" s="662" t="str">
        <f t="shared" si="269"/>
        <v/>
      </c>
      <c r="AI273" s="662" t="str">
        <f t="shared" si="270"/>
        <v/>
      </c>
      <c r="AJ273" s="663">
        <f t="shared" si="221"/>
        <v>192.4571</v>
      </c>
      <c r="AK273" s="660">
        <f t="shared" si="222"/>
        <v>0.24379999999999999</v>
      </c>
      <c r="AL273" s="660" t="e">
        <f t="shared" si="223"/>
        <v>#VALUE!</v>
      </c>
      <c r="AM273" s="664" t="e">
        <f t="shared" si="224"/>
        <v>#VALUE!</v>
      </c>
      <c r="AN273" s="664" t="e">
        <f t="shared" si="225"/>
        <v>#VALUE!</v>
      </c>
      <c r="AO273" s="665" t="e">
        <f t="shared" si="226"/>
        <v>#VALUE!</v>
      </c>
      <c r="AP273" s="666" t="e">
        <f t="shared" si="227"/>
        <v>#VALUE!</v>
      </c>
      <c r="AQ273" s="660" t="e">
        <f t="shared" si="228"/>
        <v>#VALUE!</v>
      </c>
      <c r="AR273" s="667" t="e">
        <f t="shared" si="229"/>
        <v>#VALUE!</v>
      </c>
      <c r="AS273" s="667" t="e">
        <f t="shared" si="230"/>
        <v>#VALUE!</v>
      </c>
      <c r="AT273" s="668" t="e">
        <f t="shared" si="231"/>
        <v>#VALUE!</v>
      </c>
      <c r="AU273" s="667" t="e">
        <f t="shared" si="232"/>
        <v>#VALUE!</v>
      </c>
      <c r="AV273" s="669" t="e">
        <f t="shared" si="233"/>
        <v>#VALUE!</v>
      </c>
      <c r="AW273" s="667" t="e">
        <f t="shared" si="234"/>
        <v>#VALUE!</v>
      </c>
      <c r="AX273" s="667" t="e">
        <f t="shared" si="235"/>
        <v>#VALUE!</v>
      </c>
      <c r="AY273" s="660" t="e">
        <f t="shared" si="236"/>
        <v>#VALUE!</v>
      </c>
      <c r="AZ273" s="670" t="e">
        <f t="shared" si="237"/>
        <v>#VALUE!</v>
      </c>
      <c r="BB273" s="662" t="e">
        <f>INDEX('Barge Gauging Data'!$B$26:$V$56,MATCH($C273,'Barge Gauging Data'!$B$26:$B$56,0),$BB$198)</f>
        <v>#N/A</v>
      </c>
      <c r="BC273" s="662" t="e">
        <f>INDEX('Barge Gauging Data'!$B$26:$V$56,MATCH($C273,'Barge Gauging Data'!$B$26:$B$56,0),$BC$198)</f>
        <v>#N/A</v>
      </c>
      <c r="BD273" s="662" t="e">
        <f>INDEX('Barge Gauging Data'!$B$26:$V$56,MATCH($C273,'Barge Gauging Data'!$B$26:$B$56,0),$BD$198)</f>
        <v>#N/A</v>
      </c>
      <c r="BE273" s="662" t="e">
        <f>INDEX('Barge Gauging Data'!$B$26:$V$56,MATCH($C273,'Barge Gauging Data'!$B$26:$B$56,0),$BE$198)</f>
        <v>#N/A</v>
      </c>
    </row>
    <row r="274" spans="1:57" hidden="1">
      <c r="A274" s="641" t="str">
        <f t="shared" si="253"/>
        <v>N</v>
      </c>
      <c r="C274" s="235" t="str">
        <f t="shared" si="255"/>
        <v/>
      </c>
      <c r="D274" s="211" t="str">
        <f t="shared" si="255"/>
        <v/>
      </c>
      <c r="E274" s="1016" t="str">
        <f t="shared" si="255"/>
        <v/>
      </c>
      <c r="F274" s="1016" t="str">
        <f t="shared" si="256"/>
        <v/>
      </c>
      <c r="G274" s="1016" t="str">
        <f t="shared" si="257"/>
        <v/>
      </c>
      <c r="H274" s="1016" t="str">
        <f t="shared" si="257"/>
        <v/>
      </c>
      <c r="I274" s="211" t="str">
        <f t="shared" si="258"/>
        <v/>
      </c>
      <c r="J274" s="1016" t="str">
        <f t="shared" si="259"/>
        <v/>
      </c>
      <c r="K274" s="213" t="str">
        <f t="shared" si="260"/>
        <v/>
      </c>
      <c r="L274" s="212" t="str">
        <f t="shared" si="261"/>
        <v/>
      </c>
      <c r="M274" s="1125" t="str">
        <f>IF(OR($C274="",$C274=0),"",INDEX(API2DENST_2,MATCH($C274,'Barge Gauging Data'!$B$27:$B$56,0),$AA$1))</f>
        <v/>
      </c>
      <c r="N274" s="212" t="str">
        <f t="shared" si="262"/>
        <v/>
      </c>
      <c r="O274" s="1016" t="str">
        <f t="shared" si="263"/>
        <v/>
      </c>
      <c r="P274" s="1125" t="str">
        <f t="shared" si="264"/>
        <v/>
      </c>
      <c r="Q274" s="1016" t="str">
        <f t="shared" si="265"/>
        <v/>
      </c>
      <c r="R274" s="214" t="str">
        <f t="shared" si="266"/>
        <v/>
      </c>
      <c r="S274" s="1125" t="str">
        <f t="shared" si="267"/>
        <v/>
      </c>
      <c r="T274" s="236" t="str">
        <f t="shared" si="268"/>
        <v/>
      </c>
      <c r="W274" s="642" t="e">
        <f>INDEX('Barge Gauging Data'!$B$26:$V$56,MATCH($C274,'Barge Gauging Data'!$B$26:$B$56,0),$W$198)</f>
        <v>#N/A</v>
      </c>
      <c r="X274" s="642" t="e">
        <f>INDEX('Barge Gauging Data'!$B$26:$V$56,MATCH($C274,'Barge Gauging Data'!$B$26:$B$56,0),$X$198)</f>
        <v>#N/A</v>
      </c>
      <c r="Y274" s="642" t="e">
        <f>INDEX('Barge Gauging Data'!$B$26:$V$56,MATCH($C274,'Barge Gauging Data'!$B$26:$B$56,0),$Y$198)</f>
        <v>#N/A</v>
      </c>
      <c r="Z274" s="642" t="e">
        <f>INDEX('Barge Gauging Data'!$B$26:$V$56,MATCH($C274,'Barge Gauging Data'!$B$26:$B$56,0),$Z$198)</f>
        <v>#N/A</v>
      </c>
      <c r="AB274" s="642" t="e">
        <f>INDEX(API2DENST_2,MATCH($C274,'Barge Gauging Data'!$B$27:$B$56,0),1)</f>
        <v>#N/A</v>
      </c>
      <c r="AC274" s="642" t="e">
        <f t="shared" si="218"/>
        <v>#N/A</v>
      </c>
      <c r="AE274" s="661" t="e">
        <f t="shared" si="219"/>
        <v>#VALUE!</v>
      </c>
      <c r="AF274" s="661" t="e">
        <f t="shared" si="220"/>
        <v>#VALUE!</v>
      </c>
      <c r="AH274" s="662" t="str">
        <f t="shared" si="269"/>
        <v/>
      </c>
      <c r="AI274" s="662" t="str">
        <f t="shared" si="270"/>
        <v/>
      </c>
      <c r="AJ274" s="663">
        <f t="shared" si="221"/>
        <v>192.4571</v>
      </c>
      <c r="AK274" s="660">
        <f t="shared" si="222"/>
        <v>0.24379999999999999</v>
      </c>
      <c r="AL274" s="660" t="e">
        <f t="shared" si="223"/>
        <v>#VALUE!</v>
      </c>
      <c r="AM274" s="664" t="e">
        <f t="shared" si="224"/>
        <v>#VALUE!</v>
      </c>
      <c r="AN274" s="664" t="e">
        <f t="shared" si="225"/>
        <v>#VALUE!</v>
      </c>
      <c r="AO274" s="665" t="e">
        <f t="shared" si="226"/>
        <v>#VALUE!</v>
      </c>
      <c r="AP274" s="666" t="e">
        <f t="shared" si="227"/>
        <v>#VALUE!</v>
      </c>
      <c r="AQ274" s="660" t="e">
        <f t="shared" si="228"/>
        <v>#VALUE!</v>
      </c>
      <c r="AR274" s="667" t="e">
        <f t="shared" si="229"/>
        <v>#VALUE!</v>
      </c>
      <c r="AS274" s="667" t="e">
        <f t="shared" si="230"/>
        <v>#VALUE!</v>
      </c>
      <c r="AT274" s="668" t="e">
        <f t="shared" si="231"/>
        <v>#VALUE!</v>
      </c>
      <c r="AU274" s="667" t="e">
        <f t="shared" si="232"/>
        <v>#VALUE!</v>
      </c>
      <c r="AV274" s="669" t="e">
        <f t="shared" si="233"/>
        <v>#VALUE!</v>
      </c>
      <c r="AW274" s="667" t="e">
        <f t="shared" si="234"/>
        <v>#VALUE!</v>
      </c>
      <c r="AX274" s="667" t="e">
        <f t="shared" si="235"/>
        <v>#VALUE!</v>
      </c>
      <c r="AY274" s="660" t="e">
        <f t="shared" si="236"/>
        <v>#VALUE!</v>
      </c>
      <c r="AZ274" s="670" t="e">
        <f t="shared" si="237"/>
        <v>#VALUE!</v>
      </c>
      <c r="BB274" s="662" t="e">
        <f>INDEX('Barge Gauging Data'!$B$26:$V$56,MATCH($C274,'Barge Gauging Data'!$B$26:$B$56,0),$BB$198)</f>
        <v>#N/A</v>
      </c>
      <c r="BC274" s="662" t="e">
        <f>INDEX('Barge Gauging Data'!$B$26:$V$56,MATCH($C274,'Barge Gauging Data'!$B$26:$B$56,0),$BC$198)</f>
        <v>#N/A</v>
      </c>
      <c r="BD274" s="662" t="e">
        <f>INDEX('Barge Gauging Data'!$B$26:$V$56,MATCH($C274,'Barge Gauging Data'!$B$26:$B$56,0),$BD$198)</f>
        <v>#N/A</v>
      </c>
      <c r="BE274" s="662" t="e">
        <f>INDEX('Barge Gauging Data'!$B$26:$V$56,MATCH($C274,'Barge Gauging Data'!$B$26:$B$56,0),$BE$198)</f>
        <v>#N/A</v>
      </c>
    </row>
    <row r="275" spans="1:57" hidden="1">
      <c r="A275" s="641" t="str">
        <f t="shared" si="253"/>
        <v>N</v>
      </c>
      <c r="C275" s="235" t="str">
        <f t="shared" si="255"/>
        <v/>
      </c>
      <c r="D275" s="211" t="str">
        <f t="shared" si="255"/>
        <v/>
      </c>
      <c r="E275" s="1016" t="str">
        <f t="shared" si="255"/>
        <v/>
      </c>
      <c r="F275" s="1016" t="str">
        <f t="shared" si="256"/>
        <v/>
      </c>
      <c r="G275" s="1016" t="str">
        <f t="shared" si="257"/>
        <v/>
      </c>
      <c r="H275" s="1016" t="str">
        <f t="shared" si="257"/>
        <v/>
      </c>
      <c r="I275" s="211" t="str">
        <f t="shared" si="258"/>
        <v/>
      </c>
      <c r="J275" s="1016" t="str">
        <f t="shared" si="259"/>
        <v/>
      </c>
      <c r="K275" s="213" t="str">
        <f t="shared" si="260"/>
        <v/>
      </c>
      <c r="L275" s="212" t="str">
        <f t="shared" si="261"/>
        <v/>
      </c>
      <c r="M275" s="1125" t="str">
        <f>IF(OR($C275="",$C275=0),"",INDEX(API2DENST_2,MATCH($C275,'Barge Gauging Data'!$B$27:$B$56,0),$AA$1))</f>
        <v/>
      </c>
      <c r="N275" s="212" t="str">
        <f t="shared" si="262"/>
        <v/>
      </c>
      <c r="O275" s="1016" t="str">
        <f t="shared" si="263"/>
        <v/>
      </c>
      <c r="P275" s="1125" t="str">
        <f t="shared" si="264"/>
        <v/>
      </c>
      <c r="Q275" s="1016" t="str">
        <f t="shared" si="265"/>
        <v/>
      </c>
      <c r="R275" s="214" t="str">
        <f t="shared" si="266"/>
        <v/>
      </c>
      <c r="S275" s="1125" t="str">
        <f t="shared" si="267"/>
        <v/>
      </c>
      <c r="T275" s="236" t="str">
        <f t="shared" si="268"/>
        <v/>
      </c>
      <c r="W275" s="642" t="e">
        <f>INDEX('Barge Gauging Data'!$B$26:$V$56,MATCH($C275,'Barge Gauging Data'!$B$26:$B$56,0),$W$198)</f>
        <v>#N/A</v>
      </c>
      <c r="X275" s="642" t="e">
        <f>INDEX('Barge Gauging Data'!$B$26:$V$56,MATCH($C275,'Barge Gauging Data'!$B$26:$B$56,0),$X$198)</f>
        <v>#N/A</v>
      </c>
      <c r="Y275" s="642" t="e">
        <f>INDEX('Barge Gauging Data'!$B$26:$V$56,MATCH($C275,'Barge Gauging Data'!$B$26:$B$56,0),$Y$198)</f>
        <v>#N/A</v>
      </c>
      <c r="Z275" s="642" t="e">
        <f>INDEX('Barge Gauging Data'!$B$26:$V$56,MATCH($C275,'Barge Gauging Data'!$B$26:$B$56,0),$Z$198)</f>
        <v>#N/A</v>
      </c>
      <c r="AB275" s="642" t="e">
        <f>INDEX(API2DENST_2,MATCH($C275,'Barge Gauging Data'!$B$27:$B$56,0),1)</f>
        <v>#N/A</v>
      </c>
      <c r="AC275" s="642" t="e">
        <f t="shared" si="218"/>
        <v>#N/A</v>
      </c>
      <c r="AE275" s="661" t="e">
        <f t="shared" si="219"/>
        <v>#VALUE!</v>
      </c>
      <c r="AF275" s="661" t="e">
        <f t="shared" si="220"/>
        <v>#VALUE!</v>
      </c>
      <c r="AH275" s="662" t="str">
        <f t="shared" si="269"/>
        <v/>
      </c>
      <c r="AI275" s="662" t="str">
        <f t="shared" si="270"/>
        <v/>
      </c>
      <c r="AJ275" s="663">
        <f t="shared" si="221"/>
        <v>192.4571</v>
      </c>
      <c r="AK275" s="660">
        <f t="shared" si="222"/>
        <v>0.24379999999999999</v>
      </c>
      <c r="AL275" s="660" t="e">
        <f t="shared" si="223"/>
        <v>#VALUE!</v>
      </c>
      <c r="AM275" s="664" t="e">
        <f t="shared" si="224"/>
        <v>#VALUE!</v>
      </c>
      <c r="AN275" s="664" t="e">
        <f t="shared" si="225"/>
        <v>#VALUE!</v>
      </c>
      <c r="AO275" s="665" t="e">
        <f t="shared" si="226"/>
        <v>#VALUE!</v>
      </c>
      <c r="AP275" s="666" t="e">
        <f t="shared" si="227"/>
        <v>#VALUE!</v>
      </c>
      <c r="AQ275" s="660" t="e">
        <f t="shared" si="228"/>
        <v>#VALUE!</v>
      </c>
      <c r="AR275" s="667" t="e">
        <f t="shared" si="229"/>
        <v>#VALUE!</v>
      </c>
      <c r="AS275" s="667" t="e">
        <f t="shared" si="230"/>
        <v>#VALUE!</v>
      </c>
      <c r="AT275" s="668" t="e">
        <f t="shared" si="231"/>
        <v>#VALUE!</v>
      </c>
      <c r="AU275" s="667" t="e">
        <f t="shared" si="232"/>
        <v>#VALUE!</v>
      </c>
      <c r="AV275" s="669" t="e">
        <f t="shared" si="233"/>
        <v>#VALUE!</v>
      </c>
      <c r="AW275" s="667" t="e">
        <f t="shared" si="234"/>
        <v>#VALUE!</v>
      </c>
      <c r="AX275" s="667" t="e">
        <f t="shared" si="235"/>
        <v>#VALUE!</v>
      </c>
      <c r="AY275" s="660" t="e">
        <f t="shared" si="236"/>
        <v>#VALUE!</v>
      </c>
      <c r="AZ275" s="670" t="e">
        <f t="shared" si="237"/>
        <v>#VALUE!</v>
      </c>
      <c r="BB275" s="662" t="e">
        <f>INDEX('Barge Gauging Data'!$B$26:$V$56,MATCH($C275,'Barge Gauging Data'!$B$26:$B$56,0),$BB$198)</f>
        <v>#N/A</v>
      </c>
      <c r="BC275" s="662" t="e">
        <f>INDEX('Barge Gauging Data'!$B$26:$V$56,MATCH($C275,'Barge Gauging Data'!$B$26:$B$56,0),$BC$198)</f>
        <v>#N/A</v>
      </c>
      <c r="BD275" s="662" t="e">
        <f>INDEX('Barge Gauging Data'!$B$26:$V$56,MATCH($C275,'Barge Gauging Data'!$B$26:$B$56,0),$BD$198)</f>
        <v>#N/A</v>
      </c>
      <c r="BE275" s="662" t="e">
        <f>INDEX('Barge Gauging Data'!$B$26:$V$56,MATCH($C275,'Barge Gauging Data'!$B$26:$B$56,0),$BE$198)</f>
        <v>#N/A</v>
      </c>
    </row>
    <row r="276" spans="1:57" hidden="1">
      <c r="A276" s="641" t="str">
        <f t="shared" si="253"/>
        <v>N</v>
      </c>
      <c r="C276" s="235" t="str">
        <f t="shared" si="255"/>
        <v/>
      </c>
      <c r="D276" s="211" t="str">
        <f t="shared" si="255"/>
        <v/>
      </c>
      <c r="E276" s="1016" t="str">
        <f t="shared" si="255"/>
        <v/>
      </c>
      <c r="F276" s="1016" t="str">
        <f t="shared" si="256"/>
        <v/>
      </c>
      <c r="G276" s="1016" t="str">
        <f t="shared" si="257"/>
        <v/>
      </c>
      <c r="H276" s="1016" t="str">
        <f t="shared" si="257"/>
        <v/>
      </c>
      <c r="I276" s="211" t="str">
        <f t="shared" si="258"/>
        <v/>
      </c>
      <c r="J276" s="1016" t="str">
        <f t="shared" si="259"/>
        <v/>
      </c>
      <c r="K276" s="213" t="str">
        <f t="shared" si="260"/>
        <v/>
      </c>
      <c r="L276" s="212" t="str">
        <f t="shared" si="261"/>
        <v/>
      </c>
      <c r="M276" s="1125" t="str">
        <f>IF(OR($C276="",$C276=0),"",INDEX(API2DENST_2,MATCH($C276,'Barge Gauging Data'!$B$27:$B$56,0),$AA$1))</f>
        <v/>
      </c>
      <c r="N276" s="212" t="str">
        <f t="shared" si="262"/>
        <v/>
      </c>
      <c r="O276" s="1016" t="str">
        <f t="shared" si="263"/>
        <v/>
      </c>
      <c r="P276" s="1125" t="str">
        <f t="shared" si="264"/>
        <v/>
      </c>
      <c r="Q276" s="1016" t="str">
        <f t="shared" si="265"/>
        <v/>
      </c>
      <c r="R276" s="214" t="str">
        <f t="shared" si="266"/>
        <v/>
      </c>
      <c r="S276" s="1125" t="str">
        <f t="shared" si="267"/>
        <v/>
      </c>
      <c r="T276" s="236" t="str">
        <f t="shared" si="268"/>
        <v/>
      </c>
      <c r="W276" s="642" t="e">
        <f>INDEX('Barge Gauging Data'!$B$26:$V$56,MATCH($C276,'Barge Gauging Data'!$B$26:$B$56,0),$W$198)</f>
        <v>#N/A</v>
      </c>
      <c r="X276" s="642" t="e">
        <f>INDEX('Barge Gauging Data'!$B$26:$V$56,MATCH($C276,'Barge Gauging Data'!$B$26:$B$56,0),$X$198)</f>
        <v>#N/A</v>
      </c>
      <c r="Y276" s="642" t="e">
        <f>INDEX('Barge Gauging Data'!$B$26:$V$56,MATCH($C276,'Barge Gauging Data'!$B$26:$B$56,0),$Y$198)</f>
        <v>#N/A</v>
      </c>
      <c r="Z276" s="642" t="e">
        <f>INDEX('Barge Gauging Data'!$B$26:$V$56,MATCH($C276,'Barge Gauging Data'!$B$26:$B$56,0),$Z$198)</f>
        <v>#N/A</v>
      </c>
      <c r="AB276" s="642" t="e">
        <f>INDEX(API2DENST_2,MATCH($C276,'Barge Gauging Data'!$B$27:$B$56,0),1)</f>
        <v>#N/A</v>
      </c>
      <c r="AC276" s="642" t="e">
        <f t="shared" si="218"/>
        <v>#N/A</v>
      </c>
      <c r="AE276" s="661" t="e">
        <f t="shared" si="219"/>
        <v>#VALUE!</v>
      </c>
      <c r="AF276" s="661" t="e">
        <f t="shared" si="220"/>
        <v>#VALUE!</v>
      </c>
      <c r="AH276" s="662" t="str">
        <f t="shared" si="269"/>
        <v/>
      </c>
      <c r="AI276" s="662" t="str">
        <f t="shared" si="270"/>
        <v/>
      </c>
      <c r="AJ276" s="663">
        <f t="shared" si="221"/>
        <v>192.4571</v>
      </c>
      <c r="AK276" s="660">
        <f t="shared" si="222"/>
        <v>0.24379999999999999</v>
      </c>
      <c r="AL276" s="660" t="e">
        <f t="shared" si="223"/>
        <v>#VALUE!</v>
      </c>
      <c r="AM276" s="664" t="e">
        <f t="shared" si="224"/>
        <v>#VALUE!</v>
      </c>
      <c r="AN276" s="664" t="e">
        <f t="shared" si="225"/>
        <v>#VALUE!</v>
      </c>
      <c r="AO276" s="665" t="e">
        <f t="shared" si="226"/>
        <v>#VALUE!</v>
      </c>
      <c r="AP276" s="666" t="e">
        <f t="shared" si="227"/>
        <v>#VALUE!</v>
      </c>
      <c r="AQ276" s="660" t="e">
        <f t="shared" si="228"/>
        <v>#VALUE!</v>
      </c>
      <c r="AR276" s="667" t="e">
        <f t="shared" si="229"/>
        <v>#VALUE!</v>
      </c>
      <c r="AS276" s="667" t="e">
        <f t="shared" si="230"/>
        <v>#VALUE!</v>
      </c>
      <c r="AT276" s="668" t="e">
        <f t="shared" si="231"/>
        <v>#VALUE!</v>
      </c>
      <c r="AU276" s="667" t="e">
        <f t="shared" si="232"/>
        <v>#VALUE!</v>
      </c>
      <c r="AV276" s="669" t="e">
        <f t="shared" si="233"/>
        <v>#VALUE!</v>
      </c>
      <c r="AW276" s="667" t="e">
        <f t="shared" si="234"/>
        <v>#VALUE!</v>
      </c>
      <c r="AX276" s="667" t="e">
        <f t="shared" si="235"/>
        <v>#VALUE!</v>
      </c>
      <c r="AY276" s="660" t="e">
        <f t="shared" si="236"/>
        <v>#VALUE!</v>
      </c>
      <c r="AZ276" s="670" t="e">
        <f t="shared" si="237"/>
        <v>#VALUE!</v>
      </c>
      <c r="BB276" s="662" t="e">
        <f>INDEX('Barge Gauging Data'!$B$26:$V$56,MATCH($C276,'Barge Gauging Data'!$B$26:$B$56,0),$BB$198)</f>
        <v>#N/A</v>
      </c>
      <c r="BC276" s="662" t="e">
        <f>INDEX('Barge Gauging Data'!$B$26:$V$56,MATCH($C276,'Barge Gauging Data'!$B$26:$B$56,0),$BC$198)</f>
        <v>#N/A</v>
      </c>
      <c r="BD276" s="662" t="e">
        <f>INDEX('Barge Gauging Data'!$B$26:$V$56,MATCH($C276,'Barge Gauging Data'!$B$26:$B$56,0),$BD$198)</f>
        <v>#N/A</v>
      </c>
      <c r="BE276" s="662" t="e">
        <f>INDEX('Barge Gauging Data'!$B$26:$V$56,MATCH($C276,'Barge Gauging Data'!$B$26:$B$56,0),$BE$198)</f>
        <v>#N/A</v>
      </c>
    </row>
    <row r="277" spans="1:57" hidden="1">
      <c r="A277" s="641" t="str">
        <f t="shared" si="253"/>
        <v>N</v>
      </c>
      <c r="C277" s="235" t="str">
        <f t="shared" si="255"/>
        <v/>
      </c>
      <c r="D277" s="211" t="str">
        <f t="shared" si="255"/>
        <v/>
      </c>
      <c r="E277" s="1016" t="str">
        <f t="shared" si="255"/>
        <v/>
      </c>
      <c r="F277" s="1016" t="str">
        <f t="shared" si="256"/>
        <v/>
      </c>
      <c r="G277" s="1016" t="str">
        <f t="shared" si="257"/>
        <v/>
      </c>
      <c r="H277" s="1016" t="str">
        <f t="shared" si="257"/>
        <v/>
      </c>
      <c r="I277" s="211" t="str">
        <f t="shared" si="258"/>
        <v/>
      </c>
      <c r="J277" s="1016" t="str">
        <f t="shared" si="259"/>
        <v/>
      </c>
      <c r="K277" s="213" t="str">
        <f t="shared" si="260"/>
        <v/>
      </c>
      <c r="L277" s="212" t="str">
        <f t="shared" si="261"/>
        <v/>
      </c>
      <c r="M277" s="1125" t="str">
        <f>IF(OR($C277="",$C277=0),"",INDEX(API2DENST_2,MATCH($C277,'Barge Gauging Data'!$B$27:$B$56,0),$AA$1))</f>
        <v/>
      </c>
      <c r="N277" s="212" t="str">
        <f t="shared" si="262"/>
        <v/>
      </c>
      <c r="O277" s="1016" t="str">
        <f t="shared" si="263"/>
        <v/>
      </c>
      <c r="P277" s="1125" t="str">
        <f t="shared" si="264"/>
        <v/>
      </c>
      <c r="Q277" s="1016" t="str">
        <f t="shared" si="265"/>
        <v/>
      </c>
      <c r="R277" s="214" t="str">
        <f t="shared" si="266"/>
        <v/>
      </c>
      <c r="S277" s="1125" t="str">
        <f t="shared" si="267"/>
        <v/>
      </c>
      <c r="T277" s="236" t="str">
        <f t="shared" si="268"/>
        <v/>
      </c>
      <c r="W277" s="642" t="e">
        <f>INDEX('Barge Gauging Data'!$B$26:$V$56,MATCH($C277,'Barge Gauging Data'!$B$26:$B$56,0),$W$198)</f>
        <v>#N/A</v>
      </c>
      <c r="X277" s="642" t="e">
        <f>INDEX('Barge Gauging Data'!$B$26:$V$56,MATCH($C277,'Barge Gauging Data'!$B$26:$B$56,0),$X$198)</f>
        <v>#N/A</v>
      </c>
      <c r="Y277" s="642" t="e">
        <f>INDEX('Barge Gauging Data'!$B$26:$V$56,MATCH($C277,'Barge Gauging Data'!$B$26:$B$56,0),$Y$198)</f>
        <v>#N/A</v>
      </c>
      <c r="Z277" s="642" t="e">
        <f>INDEX('Barge Gauging Data'!$B$26:$V$56,MATCH($C277,'Barge Gauging Data'!$B$26:$B$56,0),$Z$198)</f>
        <v>#N/A</v>
      </c>
      <c r="AB277" s="642" t="e">
        <f>INDEX(API2DENST_2,MATCH($C277,'Barge Gauging Data'!$B$27:$B$56,0),1)</f>
        <v>#N/A</v>
      </c>
      <c r="AC277" s="642" t="e">
        <f t="shared" si="218"/>
        <v>#N/A</v>
      </c>
      <c r="AE277" s="661" t="e">
        <f t="shared" si="219"/>
        <v>#VALUE!</v>
      </c>
      <c r="AF277" s="661" t="e">
        <f t="shared" si="220"/>
        <v>#VALUE!</v>
      </c>
      <c r="AH277" s="662" t="str">
        <f t="shared" si="269"/>
        <v/>
      </c>
      <c r="AI277" s="662" t="str">
        <f t="shared" si="270"/>
        <v/>
      </c>
      <c r="AJ277" s="663">
        <f t="shared" si="221"/>
        <v>192.4571</v>
      </c>
      <c r="AK277" s="660">
        <f t="shared" si="222"/>
        <v>0.24379999999999999</v>
      </c>
      <c r="AL277" s="660" t="e">
        <f t="shared" si="223"/>
        <v>#VALUE!</v>
      </c>
      <c r="AM277" s="664" t="e">
        <f t="shared" si="224"/>
        <v>#VALUE!</v>
      </c>
      <c r="AN277" s="664" t="e">
        <f t="shared" si="225"/>
        <v>#VALUE!</v>
      </c>
      <c r="AO277" s="665" t="e">
        <f t="shared" si="226"/>
        <v>#VALUE!</v>
      </c>
      <c r="AP277" s="666" t="e">
        <f t="shared" si="227"/>
        <v>#VALUE!</v>
      </c>
      <c r="AQ277" s="660" t="e">
        <f t="shared" si="228"/>
        <v>#VALUE!</v>
      </c>
      <c r="AR277" s="667" t="e">
        <f t="shared" si="229"/>
        <v>#VALUE!</v>
      </c>
      <c r="AS277" s="667" t="e">
        <f t="shared" si="230"/>
        <v>#VALUE!</v>
      </c>
      <c r="AT277" s="668" t="e">
        <f t="shared" si="231"/>
        <v>#VALUE!</v>
      </c>
      <c r="AU277" s="667" t="e">
        <f t="shared" si="232"/>
        <v>#VALUE!</v>
      </c>
      <c r="AV277" s="669" t="e">
        <f t="shared" si="233"/>
        <v>#VALUE!</v>
      </c>
      <c r="AW277" s="667" t="e">
        <f t="shared" si="234"/>
        <v>#VALUE!</v>
      </c>
      <c r="AX277" s="667" t="e">
        <f t="shared" si="235"/>
        <v>#VALUE!</v>
      </c>
      <c r="AY277" s="660" t="e">
        <f t="shared" si="236"/>
        <v>#VALUE!</v>
      </c>
      <c r="AZ277" s="670" t="e">
        <f t="shared" si="237"/>
        <v>#VALUE!</v>
      </c>
      <c r="BB277" s="662" t="e">
        <f>INDEX('Barge Gauging Data'!$B$26:$V$56,MATCH($C277,'Barge Gauging Data'!$B$26:$B$56,0),$BB$198)</f>
        <v>#N/A</v>
      </c>
      <c r="BC277" s="662" t="e">
        <f>INDEX('Barge Gauging Data'!$B$26:$V$56,MATCH($C277,'Barge Gauging Data'!$B$26:$B$56,0),$BC$198)</f>
        <v>#N/A</v>
      </c>
      <c r="BD277" s="662" t="e">
        <f>INDEX('Barge Gauging Data'!$B$26:$V$56,MATCH($C277,'Barge Gauging Data'!$B$26:$B$56,0),$BD$198)</f>
        <v>#N/A</v>
      </c>
      <c r="BE277" s="662" t="e">
        <f>INDEX('Barge Gauging Data'!$B$26:$V$56,MATCH($C277,'Barge Gauging Data'!$B$26:$B$56,0),$BE$198)</f>
        <v>#N/A</v>
      </c>
    </row>
    <row r="278" spans="1:57" hidden="1">
      <c r="A278" s="641" t="str">
        <f t="shared" si="253"/>
        <v>N</v>
      </c>
      <c r="C278" s="235" t="str">
        <f t="shared" si="255"/>
        <v/>
      </c>
      <c r="D278" s="211" t="str">
        <f t="shared" si="255"/>
        <v/>
      </c>
      <c r="E278" s="1016" t="str">
        <f t="shared" si="255"/>
        <v/>
      </c>
      <c r="F278" s="1016" t="str">
        <f t="shared" si="256"/>
        <v/>
      </c>
      <c r="G278" s="1016" t="str">
        <f t="shared" si="257"/>
        <v/>
      </c>
      <c r="H278" s="1016" t="str">
        <f t="shared" si="257"/>
        <v/>
      </c>
      <c r="I278" s="211" t="str">
        <f t="shared" si="258"/>
        <v/>
      </c>
      <c r="J278" s="1016" t="str">
        <f t="shared" si="259"/>
        <v/>
      </c>
      <c r="K278" s="213" t="str">
        <f t="shared" si="260"/>
        <v/>
      </c>
      <c r="L278" s="212" t="str">
        <f t="shared" si="261"/>
        <v/>
      </c>
      <c r="M278" s="1125" t="str">
        <f>IF(OR($C278="",$C278=0),"",INDEX(API2DENST_2,MATCH($C278,'Barge Gauging Data'!$B$27:$B$56,0),$AA$1))</f>
        <v/>
      </c>
      <c r="N278" s="212" t="str">
        <f t="shared" si="262"/>
        <v/>
      </c>
      <c r="O278" s="1016" t="str">
        <f t="shared" si="263"/>
        <v/>
      </c>
      <c r="P278" s="1125" t="str">
        <f t="shared" si="264"/>
        <v/>
      </c>
      <c r="Q278" s="1016" t="str">
        <f t="shared" si="265"/>
        <v/>
      </c>
      <c r="R278" s="214" t="str">
        <f t="shared" si="266"/>
        <v/>
      </c>
      <c r="S278" s="1125" t="str">
        <f t="shared" si="267"/>
        <v/>
      </c>
      <c r="T278" s="236" t="str">
        <f t="shared" si="268"/>
        <v/>
      </c>
      <c r="W278" s="642" t="e">
        <f>INDEX('Barge Gauging Data'!$B$26:$V$56,MATCH($C278,'Barge Gauging Data'!$B$26:$B$56,0),$W$198)</f>
        <v>#N/A</v>
      </c>
      <c r="X278" s="642" t="e">
        <f>INDEX('Barge Gauging Data'!$B$26:$V$56,MATCH($C278,'Barge Gauging Data'!$B$26:$B$56,0),$X$198)</f>
        <v>#N/A</v>
      </c>
      <c r="Y278" s="642" t="e">
        <f>INDEX('Barge Gauging Data'!$B$26:$V$56,MATCH($C278,'Barge Gauging Data'!$B$26:$B$56,0),$Y$198)</f>
        <v>#N/A</v>
      </c>
      <c r="Z278" s="642" t="e">
        <f>INDEX('Barge Gauging Data'!$B$26:$V$56,MATCH($C278,'Barge Gauging Data'!$B$26:$B$56,0),$Z$198)</f>
        <v>#N/A</v>
      </c>
      <c r="AB278" s="642" t="e">
        <f>INDEX(API2DENST_2,MATCH($C278,'Barge Gauging Data'!$B$27:$B$56,0),1)</f>
        <v>#N/A</v>
      </c>
      <c r="AC278" s="642" t="e">
        <f t="shared" si="218"/>
        <v>#N/A</v>
      </c>
      <c r="AE278" s="661" t="e">
        <f t="shared" si="219"/>
        <v>#VALUE!</v>
      </c>
      <c r="AF278" s="661" t="e">
        <f t="shared" si="220"/>
        <v>#VALUE!</v>
      </c>
      <c r="AH278" s="662" t="str">
        <f t="shared" si="269"/>
        <v/>
      </c>
      <c r="AI278" s="662" t="str">
        <f t="shared" si="270"/>
        <v/>
      </c>
      <c r="AJ278" s="663">
        <f t="shared" si="221"/>
        <v>192.4571</v>
      </c>
      <c r="AK278" s="660">
        <f t="shared" si="222"/>
        <v>0.24379999999999999</v>
      </c>
      <c r="AL278" s="660" t="e">
        <f t="shared" si="223"/>
        <v>#VALUE!</v>
      </c>
      <c r="AM278" s="664" t="e">
        <f t="shared" si="224"/>
        <v>#VALUE!</v>
      </c>
      <c r="AN278" s="664" t="e">
        <f t="shared" si="225"/>
        <v>#VALUE!</v>
      </c>
      <c r="AO278" s="665" t="e">
        <f t="shared" si="226"/>
        <v>#VALUE!</v>
      </c>
      <c r="AP278" s="666" t="e">
        <f t="shared" si="227"/>
        <v>#VALUE!</v>
      </c>
      <c r="AQ278" s="660" t="e">
        <f t="shared" si="228"/>
        <v>#VALUE!</v>
      </c>
      <c r="AR278" s="667" t="e">
        <f t="shared" si="229"/>
        <v>#VALUE!</v>
      </c>
      <c r="AS278" s="667" t="e">
        <f t="shared" si="230"/>
        <v>#VALUE!</v>
      </c>
      <c r="AT278" s="668" t="e">
        <f t="shared" si="231"/>
        <v>#VALUE!</v>
      </c>
      <c r="AU278" s="667" t="e">
        <f t="shared" si="232"/>
        <v>#VALUE!</v>
      </c>
      <c r="AV278" s="669" t="e">
        <f t="shared" si="233"/>
        <v>#VALUE!</v>
      </c>
      <c r="AW278" s="667" t="e">
        <f t="shared" si="234"/>
        <v>#VALUE!</v>
      </c>
      <c r="AX278" s="667" t="e">
        <f t="shared" si="235"/>
        <v>#VALUE!</v>
      </c>
      <c r="AY278" s="660" t="e">
        <f t="shared" si="236"/>
        <v>#VALUE!</v>
      </c>
      <c r="AZ278" s="670" t="e">
        <f t="shared" si="237"/>
        <v>#VALUE!</v>
      </c>
      <c r="BB278" s="662" t="e">
        <f>INDEX('Barge Gauging Data'!$B$26:$V$56,MATCH($C278,'Barge Gauging Data'!$B$26:$B$56,0),$BB$198)</f>
        <v>#N/A</v>
      </c>
      <c r="BC278" s="662" t="e">
        <f>INDEX('Barge Gauging Data'!$B$26:$V$56,MATCH($C278,'Barge Gauging Data'!$B$26:$B$56,0),$BC$198)</f>
        <v>#N/A</v>
      </c>
      <c r="BD278" s="662" t="e">
        <f>INDEX('Barge Gauging Data'!$B$26:$V$56,MATCH($C278,'Barge Gauging Data'!$B$26:$B$56,0),$BD$198)</f>
        <v>#N/A</v>
      </c>
      <c r="BE278" s="662" t="e">
        <f>INDEX('Barge Gauging Data'!$B$26:$V$56,MATCH($C278,'Barge Gauging Data'!$B$26:$B$56,0),$BE$198)</f>
        <v>#N/A</v>
      </c>
    </row>
    <row r="279" spans="1:57" hidden="1">
      <c r="A279" s="641" t="str">
        <f t="shared" si="253"/>
        <v>N</v>
      </c>
      <c r="C279" s="235" t="str">
        <f t="shared" si="255"/>
        <v/>
      </c>
      <c r="D279" s="211" t="str">
        <f t="shared" si="255"/>
        <v/>
      </c>
      <c r="E279" s="1016" t="str">
        <f t="shared" si="255"/>
        <v/>
      </c>
      <c r="F279" s="1016" t="str">
        <f t="shared" si="256"/>
        <v/>
      </c>
      <c r="G279" s="1016" t="str">
        <f t="shared" si="257"/>
        <v/>
      </c>
      <c r="H279" s="1016" t="str">
        <f t="shared" si="257"/>
        <v/>
      </c>
      <c r="I279" s="211" t="str">
        <f t="shared" si="258"/>
        <v/>
      </c>
      <c r="J279" s="1016" t="str">
        <f t="shared" si="259"/>
        <v/>
      </c>
      <c r="K279" s="213" t="str">
        <f t="shared" si="260"/>
        <v/>
      </c>
      <c r="L279" s="212" t="str">
        <f t="shared" si="261"/>
        <v/>
      </c>
      <c r="M279" s="1125" t="str">
        <f>IF(OR($C279="",$C279=0),"",INDEX(API2DENST_2,MATCH($C279,'Barge Gauging Data'!$B$27:$B$56,0),$AA$1))</f>
        <v/>
      </c>
      <c r="N279" s="212" t="str">
        <f t="shared" si="262"/>
        <v/>
      </c>
      <c r="O279" s="1016" t="str">
        <f t="shared" si="263"/>
        <v/>
      </c>
      <c r="P279" s="1125" t="str">
        <f t="shared" si="264"/>
        <v/>
      </c>
      <c r="Q279" s="1016" t="str">
        <f t="shared" si="265"/>
        <v/>
      </c>
      <c r="R279" s="214" t="str">
        <f t="shared" si="266"/>
        <v/>
      </c>
      <c r="S279" s="1125" t="str">
        <f t="shared" si="267"/>
        <v/>
      </c>
      <c r="T279" s="236" t="str">
        <f t="shared" si="268"/>
        <v/>
      </c>
      <c r="W279" s="642" t="e">
        <f>INDEX('Barge Gauging Data'!$B$26:$V$56,MATCH($C279,'Barge Gauging Data'!$B$26:$B$56,0),$W$198)</f>
        <v>#N/A</v>
      </c>
      <c r="X279" s="642" t="e">
        <f>INDEX('Barge Gauging Data'!$B$26:$V$56,MATCH($C279,'Barge Gauging Data'!$B$26:$B$56,0),$X$198)</f>
        <v>#N/A</v>
      </c>
      <c r="Y279" s="642" t="e">
        <f>INDEX('Barge Gauging Data'!$B$26:$V$56,MATCH($C279,'Barge Gauging Data'!$B$26:$B$56,0),$Y$198)</f>
        <v>#N/A</v>
      </c>
      <c r="Z279" s="642" t="e">
        <f>INDEX('Barge Gauging Data'!$B$26:$V$56,MATCH($C279,'Barge Gauging Data'!$B$26:$B$56,0),$Z$198)</f>
        <v>#N/A</v>
      </c>
      <c r="AB279" s="642" t="e">
        <f>INDEX(API2DENST_2,MATCH($C279,'Barge Gauging Data'!$B$27:$B$56,0),1)</f>
        <v>#N/A</v>
      </c>
      <c r="AC279" s="642" t="e">
        <f t="shared" si="218"/>
        <v>#N/A</v>
      </c>
      <c r="AE279" s="661" t="e">
        <f t="shared" si="219"/>
        <v>#VALUE!</v>
      </c>
      <c r="AF279" s="661" t="e">
        <f t="shared" si="220"/>
        <v>#VALUE!</v>
      </c>
      <c r="AH279" s="662" t="str">
        <f t="shared" si="269"/>
        <v/>
      </c>
      <c r="AI279" s="662" t="str">
        <f t="shared" si="270"/>
        <v/>
      </c>
      <c r="AJ279" s="663">
        <f t="shared" si="221"/>
        <v>192.4571</v>
      </c>
      <c r="AK279" s="660">
        <f t="shared" si="222"/>
        <v>0.24379999999999999</v>
      </c>
      <c r="AL279" s="660" t="e">
        <f t="shared" si="223"/>
        <v>#VALUE!</v>
      </c>
      <c r="AM279" s="664" t="e">
        <f t="shared" si="224"/>
        <v>#VALUE!</v>
      </c>
      <c r="AN279" s="664" t="e">
        <f t="shared" si="225"/>
        <v>#VALUE!</v>
      </c>
      <c r="AO279" s="665" t="e">
        <f t="shared" si="226"/>
        <v>#VALUE!</v>
      </c>
      <c r="AP279" s="666" t="e">
        <f t="shared" si="227"/>
        <v>#VALUE!</v>
      </c>
      <c r="AQ279" s="660" t="e">
        <f t="shared" si="228"/>
        <v>#VALUE!</v>
      </c>
      <c r="AR279" s="667" t="e">
        <f t="shared" si="229"/>
        <v>#VALUE!</v>
      </c>
      <c r="AS279" s="667" t="e">
        <f t="shared" si="230"/>
        <v>#VALUE!</v>
      </c>
      <c r="AT279" s="668" t="e">
        <f t="shared" si="231"/>
        <v>#VALUE!</v>
      </c>
      <c r="AU279" s="667" t="e">
        <f t="shared" si="232"/>
        <v>#VALUE!</v>
      </c>
      <c r="AV279" s="669" t="e">
        <f t="shared" si="233"/>
        <v>#VALUE!</v>
      </c>
      <c r="AW279" s="667" t="e">
        <f t="shared" si="234"/>
        <v>#VALUE!</v>
      </c>
      <c r="AX279" s="667" t="e">
        <f t="shared" si="235"/>
        <v>#VALUE!</v>
      </c>
      <c r="AY279" s="660" t="e">
        <f t="shared" si="236"/>
        <v>#VALUE!</v>
      </c>
      <c r="AZ279" s="670" t="e">
        <f t="shared" si="237"/>
        <v>#VALUE!</v>
      </c>
      <c r="BB279" s="662" t="e">
        <f>INDEX('Barge Gauging Data'!$B$26:$V$56,MATCH($C279,'Barge Gauging Data'!$B$26:$B$56,0),$BB$198)</f>
        <v>#N/A</v>
      </c>
      <c r="BC279" s="662" t="e">
        <f>INDEX('Barge Gauging Data'!$B$26:$V$56,MATCH($C279,'Barge Gauging Data'!$B$26:$B$56,0),$BC$198)</f>
        <v>#N/A</v>
      </c>
      <c r="BD279" s="662" t="e">
        <f>INDEX('Barge Gauging Data'!$B$26:$V$56,MATCH($C279,'Barge Gauging Data'!$B$26:$B$56,0),$BD$198)</f>
        <v>#N/A</v>
      </c>
      <c r="BE279" s="662" t="e">
        <f>INDEX('Barge Gauging Data'!$B$26:$V$56,MATCH($C279,'Barge Gauging Data'!$B$26:$B$56,0),$BE$198)</f>
        <v>#N/A</v>
      </c>
    </row>
    <row r="280" spans="1:57" hidden="1">
      <c r="A280" s="641" t="str">
        <f t="shared" si="253"/>
        <v>N</v>
      </c>
      <c r="C280" s="235" t="str">
        <f t="shared" si="255"/>
        <v/>
      </c>
      <c r="D280" s="211" t="str">
        <f t="shared" si="255"/>
        <v/>
      </c>
      <c r="E280" s="1016" t="str">
        <f t="shared" si="255"/>
        <v/>
      </c>
      <c r="F280" s="1016" t="str">
        <f t="shared" si="256"/>
        <v/>
      </c>
      <c r="G280" s="1016" t="str">
        <f t="shared" si="257"/>
        <v/>
      </c>
      <c r="H280" s="1016" t="str">
        <f t="shared" si="257"/>
        <v/>
      </c>
      <c r="I280" s="211" t="str">
        <f t="shared" si="258"/>
        <v/>
      </c>
      <c r="J280" s="1016" t="str">
        <f t="shared" si="259"/>
        <v/>
      </c>
      <c r="K280" s="213" t="str">
        <f t="shared" si="260"/>
        <v/>
      </c>
      <c r="L280" s="212" t="str">
        <f t="shared" si="261"/>
        <v/>
      </c>
      <c r="M280" s="1125" t="str">
        <f>IF(OR($C280="",$C280=0),"",INDEX(API2DENST_2,MATCH($C280,'Barge Gauging Data'!$B$27:$B$56,0),$AA$1))</f>
        <v/>
      </c>
      <c r="N280" s="212" t="str">
        <f t="shared" si="262"/>
        <v/>
      </c>
      <c r="O280" s="1016" t="str">
        <f t="shared" si="263"/>
        <v/>
      </c>
      <c r="P280" s="1125" t="str">
        <f t="shared" si="264"/>
        <v/>
      </c>
      <c r="Q280" s="1016" t="str">
        <f t="shared" si="265"/>
        <v/>
      </c>
      <c r="R280" s="214" t="str">
        <f t="shared" si="266"/>
        <v/>
      </c>
      <c r="S280" s="1125" t="str">
        <f t="shared" si="267"/>
        <v/>
      </c>
      <c r="T280" s="236" t="str">
        <f t="shared" si="268"/>
        <v/>
      </c>
      <c r="W280" s="642" t="e">
        <f>INDEX('Barge Gauging Data'!$B$26:$V$56,MATCH($C280,'Barge Gauging Data'!$B$26:$B$56,0),$W$198)</f>
        <v>#N/A</v>
      </c>
      <c r="X280" s="642" t="e">
        <f>INDEX('Barge Gauging Data'!$B$26:$V$56,MATCH($C280,'Barge Gauging Data'!$B$26:$B$56,0),$X$198)</f>
        <v>#N/A</v>
      </c>
      <c r="Y280" s="642" t="e">
        <f>INDEX('Barge Gauging Data'!$B$26:$V$56,MATCH($C280,'Barge Gauging Data'!$B$26:$B$56,0),$Y$198)</f>
        <v>#N/A</v>
      </c>
      <c r="Z280" s="642" t="e">
        <f>INDEX('Barge Gauging Data'!$B$26:$V$56,MATCH($C280,'Barge Gauging Data'!$B$26:$B$56,0),$Z$198)</f>
        <v>#N/A</v>
      </c>
      <c r="AB280" s="642" t="e">
        <f>INDEX(API2DENST_2,MATCH($C280,'Barge Gauging Data'!$B$27:$B$56,0),1)</f>
        <v>#N/A</v>
      </c>
      <c r="AC280" s="642" t="e">
        <f t="shared" si="218"/>
        <v>#N/A</v>
      </c>
      <c r="AE280" s="661" t="e">
        <f t="shared" si="219"/>
        <v>#VALUE!</v>
      </c>
      <c r="AF280" s="661" t="e">
        <f t="shared" si="220"/>
        <v>#VALUE!</v>
      </c>
      <c r="AH280" s="662" t="str">
        <f t="shared" si="269"/>
        <v/>
      </c>
      <c r="AI280" s="662" t="str">
        <f t="shared" si="270"/>
        <v/>
      </c>
      <c r="AJ280" s="663">
        <f t="shared" si="221"/>
        <v>192.4571</v>
      </c>
      <c r="AK280" s="660">
        <f t="shared" si="222"/>
        <v>0.24379999999999999</v>
      </c>
      <c r="AL280" s="660" t="e">
        <f t="shared" si="223"/>
        <v>#VALUE!</v>
      </c>
      <c r="AM280" s="664" t="e">
        <f t="shared" si="224"/>
        <v>#VALUE!</v>
      </c>
      <c r="AN280" s="664" t="e">
        <f t="shared" si="225"/>
        <v>#VALUE!</v>
      </c>
      <c r="AO280" s="665" t="e">
        <f t="shared" si="226"/>
        <v>#VALUE!</v>
      </c>
      <c r="AP280" s="666" t="e">
        <f t="shared" si="227"/>
        <v>#VALUE!</v>
      </c>
      <c r="AQ280" s="660" t="e">
        <f t="shared" si="228"/>
        <v>#VALUE!</v>
      </c>
      <c r="AR280" s="667" t="e">
        <f t="shared" si="229"/>
        <v>#VALUE!</v>
      </c>
      <c r="AS280" s="667" t="e">
        <f t="shared" si="230"/>
        <v>#VALUE!</v>
      </c>
      <c r="AT280" s="668" t="e">
        <f t="shared" si="231"/>
        <v>#VALUE!</v>
      </c>
      <c r="AU280" s="667" t="e">
        <f t="shared" si="232"/>
        <v>#VALUE!</v>
      </c>
      <c r="AV280" s="669" t="e">
        <f t="shared" si="233"/>
        <v>#VALUE!</v>
      </c>
      <c r="AW280" s="667" t="e">
        <f t="shared" si="234"/>
        <v>#VALUE!</v>
      </c>
      <c r="AX280" s="667" t="e">
        <f t="shared" si="235"/>
        <v>#VALUE!</v>
      </c>
      <c r="AY280" s="660" t="e">
        <f t="shared" si="236"/>
        <v>#VALUE!</v>
      </c>
      <c r="AZ280" s="670" t="e">
        <f t="shared" si="237"/>
        <v>#VALUE!</v>
      </c>
      <c r="BB280" s="662" t="e">
        <f>INDEX('Barge Gauging Data'!$B$26:$V$56,MATCH($C280,'Barge Gauging Data'!$B$26:$B$56,0),$BB$198)</f>
        <v>#N/A</v>
      </c>
      <c r="BC280" s="662" t="e">
        <f>INDEX('Barge Gauging Data'!$B$26:$V$56,MATCH($C280,'Barge Gauging Data'!$B$26:$B$56,0),$BC$198)</f>
        <v>#N/A</v>
      </c>
      <c r="BD280" s="662" t="e">
        <f>INDEX('Barge Gauging Data'!$B$26:$V$56,MATCH($C280,'Barge Gauging Data'!$B$26:$B$56,0),$BD$198)</f>
        <v>#N/A</v>
      </c>
      <c r="BE280" s="662" t="e">
        <f>INDEX('Barge Gauging Data'!$B$26:$V$56,MATCH($C280,'Barge Gauging Data'!$B$26:$B$56,0),$BE$198)</f>
        <v>#N/A</v>
      </c>
    </row>
    <row r="281" spans="1:57" hidden="1">
      <c r="A281" s="641" t="str">
        <f t="shared" si="253"/>
        <v>N</v>
      </c>
      <c r="C281" s="235" t="str">
        <f t="shared" si="255"/>
        <v/>
      </c>
      <c r="D281" s="211" t="str">
        <f t="shared" si="255"/>
        <v/>
      </c>
      <c r="E281" s="1016" t="str">
        <f t="shared" si="255"/>
        <v/>
      </c>
      <c r="F281" s="1016" t="str">
        <f t="shared" si="256"/>
        <v/>
      </c>
      <c r="G281" s="1016" t="str">
        <f t="shared" si="257"/>
        <v/>
      </c>
      <c r="H281" s="1016" t="str">
        <f t="shared" si="257"/>
        <v/>
      </c>
      <c r="I281" s="211" t="str">
        <f t="shared" si="258"/>
        <v/>
      </c>
      <c r="J281" s="1016" t="str">
        <f t="shared" si="259"/>
        <v/>
      </c>
      <c r="K281" s="213" t="str">
        <f t="shared" si="260"/>
        <v/>
      </c>
      <c r="L281" s="212" t="str">
        <f t="shared" si="261"/>
        <v/>
      </c>
      <c r="M281" s="1125" t="str">
        <f>IF(OR($C281="",$C281=0),"",INDEX(API2DENST_2,MATCH($C281,'Barge Gauging Data'!$B$27:$B$56,0),$AA$1))</f>
        <v/>
      </c>
      <c r="N281" s="212" t="str">
        <f t="shared" si="262"/>
        <v/>
      </c>
      <c r="O281" s="1016" t="str">
        <f t="shared" si="263"/>
        <v/>
      </c>
      <c r="P281" s="1125" t="str">
        <f t="shared" si="264"/>
        <v/>
      </c>
      <c r="Q281" s="1016" t="str">
        <f t="shared" si="265"/>
        <v/>
      </c>
      <c r="R281" s="214" t="str">
        <f t="shared" si="266"/>
        <v/>
      </c>
      <c r="S281" s="1125" t="str">
        <f t="shared" si="267"/>
        <v/>
      </c>
      <c r="T281" s="236" t="str">
        <f t="shared" si="268"/>
        <v/>
      </c>
      <c r="W281" s="642" t="e">
        <f>INDEX('Barge Gauging Data'!$B$26:$V$56,MATCH($C281,'Barge Gauging Data'!$B$26:$B$56,0),$W$198)</f>
        <v>#N/A</v>
      </c>
      <c r="X281" s="642" t="e">
        <f>INDEX('Barge Gauging Data'!$B$26:$V$56,MATCH($C281,'Barge Gauging Data'!$B$26:$B$56,0),$X$198)</f>
        <v>#N/A</v>
      </c>
      <c r="Y281" s="642" t="e">
        <f>INDEX('Barge Gauging Data'!$B$26:$V$56,MATCH($C281,'Barge Gauging Data'!$B$26:$B$56,0),$Y$198)</f>
        <v>#N/A</v>
      </c>
      <c r="Z281" s="642" t="e">
        <f>INDEX('Barge Gauging Data'!$B$26:$V$56,MATCH($C281,'Barge Gauging Data'!$B$26:$B$56,0),$Z$198)</f>
        <v>#N/A</v>
      </c>
      <c r="AB281" s="642" t="e">
        <f>INDEX(API2DENST_2,MATCH($C281,'Barge Gauging Data'!$B$27:$B$56,0),1)</f>
        <v>#N/A</v>
      </c>
      <c r="AC281" s="642" t="e">
        <f t="shared" si="218"/>
        <v>#N/A</v>
      </c>
      <c r="AE281" s="661" t="e">
        <f t="shared" si="219"/>
        <v>#VALUE!</v>
      </c>
      <c r="AF281" s="661" t="e">
        <f t="shared" si="220"/>
        <v>#VALUE!</v>
      </c>
      <c r="AH281" s="662" t="str">
        <f t="shared" si="269"/>
        <v/>
      </c>
      <c r="AI281" s="662" t="str">
        <f t="shared" si="270"/>
        <v/>
      </c>
      <c r="AJ281" s="663">
        <f t="shared" si="221"/>
        <v>192.4571</v>
      </c>
      <c r="AK281" s="660">
        <f t="shared" si="222"/>
        <v>0.24379999999999999</v>
      </c>
      <c r="AL281" s="660" t="e">
        <f t="shared" si="223"/>
        <v>#VALUE!</v>
      </c>
      <c r="AM281" s="664" t="e">
        <f t="shared" si="224"/>
        <v>#VALUE!</v>
      </c>
      <c r="AN281" s="664" t="e">
        <f t="shared" si="225"/>
        <v>#VALUE!</v>
      </c>
      <c r="AO281" s="665" t="e">
        <f t="shared" si="226"/>
        <v>#VALUE!</v>
      </c>
      <c r="AP281" s="666" t="e">
        <f t="shared" si="227"/>
        <v>#VALUE!</v>
      </c>
      <c r="AQ281" s="660" t="e">
        <f t="shared" si="228"/>
        <v>#VALUE!</v>
      </c>
      <c r="AR281" s="667" t="e">
        <f t="shared" si="229"/>
        <v>#VALUE!</v>
      </c>
      <c r="AS281" s="667" t="e">
        <f t="shared" si="230"/>
        <v>#VALUE!</v>
      </c>
      <c r="AT281" s="668" t="e">
        <f t="shared" si="231"/>
        <v>#VALUE!</v>
      </c>
      <c r="AU281" s="667" t="e">
        <f t="shared" si="232"/>
        <v>#VALUE!</v>
      </c>
      <c r="AV281" s="669" t="e">
        <f t="shared" si="233"/>
        <v>#VALUE!</v>
      </c>
      <c r="AW281" s="667" t="e">
        <f t="shared" si="234"/>
        <v>#VALUE!</v>
      </c>
      <c r="AX281" s="667" t="e">
        <f t="shared" si="235"/>
        <v>#VALUE!</v>
      </c>
      <c r="AY281" s="660" t="e">
        <f t="shared" si="236"/>
        <v>#VALUE!</v>
      </c>
      <c r="AZ281" s="670" t="e">
        <f t="shared" si="237"/>
        <v>#VALUE!</v>
      </c>
      <c r="BB281" s="662" t="e">
        <f>INDEX('Barge Gauging Data'!$B$26:$V$56,MATCH($C281,'Barge Gauging Data'!$B$26:$B$56,0),$BB$198)</f>
        <v>#N/A</v>
      </c>
      <c r="BC281" s="662" t="e">
        <f>INDEX('Barge Gauging Data'!$B$26:$V$56,MATCH($C281,'Barge Gauging Data'!$B$26:$B$56,0),$BC$198)</f>
        <v>#N/A</v>
      </c>
      <c r="BD281" s="662" t="e">
        <f>INDEX('Barge Gauging Data'!$B$26:$V$56,MATCH($C281,'Barge Gauging Data'!$B$26:$B$56,0),$BD$198)</f>
        <v>#N/A</v>
      </c>
      <c r="BE281" s="662" t="e">
        <f>INDEX('Barge Gauging Data'!$B$26:$V$56,MATCH($C281,'Barge Gauging Data'!$B$26:$B$56,0),$BE$198)</f>
        <v>#N/A</v>
      </c>
    </row>
    <row r="282" spans="1:57" hidden="1">
      <c r="A282" s="641" t="str">
        <f t="shared" si="253"/>
        <v>N</v>
      </c>
      <c r="C282" s="235" t="str">
        <f t="shared" si="255"/>
        <v/>
      </c>
      <c r="D282" s="211" t="str">
        <f t="shared" si="255"/>
        <v/>
      </c>
      <c r="E282" s="1016" t="str">
        <f t="shared" si="255"/>
        <v/>
      </c>
      <c r="F282" s="1016" t="str">
        <f t="shared" si="256"/>
        <v/>
      </c>
      <c r="G282" s="1016" t="str">
        <f t="shared" si="257"/>
        <v/>
      </c>
      <c r="H282" s="1016" t="str">
        <f t="shared" si="257"/>
        <v/>
      </c>
      <c r="I282" s="211" t="str">
        <f t="shared" si="258"/>
        <v/>
      </c>
      <c r="J282" s="1016" t="str">
        <f t="shared" si="259"/>
        <v/>
      </c>
      <c r="K282" s="213" t="str">
        <f t="shared" si="260"/>
        <v/>
      </c>
      <c r="L282" s="212" t="str">
        <f t="shared" si="261"/>
        <v/>
      </c>
      <c r="M282" s="1125" t="str">
        <f>IF(OR($C282="",$C282=0),"",INDEX(API2DENST_2,MATCH($C282,'Barge Gauging Data'!$B$27:$B$56,0),$AA$1))</f>
        <v/>
      </c>
      <c r="N282" s="212" t="str">
        <f t="shared" si="262"/>
        <v/>
      </c>
      <c r="O282" s="1016" t="str">
        <f t="shared" si="263"/>
        <v/>
      </c>
      <c r="P282" s="1125" t="str">
        <f t="shared" si="264"/>
        <v/>
      </c>
      <c r="Q282" s="1016" t="str">
        <f t="shared" si="265"/>
        <v/>
      </c>
      <c r="R282" s="214" t="str">
        <f t="shared" si="266"/>
        <v/>
      </c>
      <c r="S282" s="1125" t="str">
        <f t="shared" si="267"/>
        <v/>
      </c>
      <c r="T282" s="236" t="str">
        <f t="shared" si="268"/>
        <v/>
      </c>
      <c r="W282" s="642" t="e">
        <f>INDEX('Barge Gauging Data'!$B$26:$V$56,MATCH($C282,'Barge Gauging Data'!$B$26:$B$56,0),$W$198)</f>
        <v>#N/A</v>
      </c>
      <c r="X282" s="642" t="e">
        <f>INDEX('Barge Gauging Data'!$B$26:$V$56,MATCH($C282,'Barge Gauging Data'!$B$26:$B$56,0),$X$198)</f>
        <v>#N/A</v>
      </c>
      <c r="Y282" s="642" t="e">
        <f>INDEX('Barge Gauging Data'!$B$26:$V$56,MATCH($C282,'Barge Gauging Data'!$B$26:$B$56,0),$Y$198)</f>
        <v>#N/A</v>
      </c>
      <c r="Z282" s="642" t="e">
        <f>INDEX('Barge Gauging Data'!$B$26:$V$56,MATCH($C282,'Barge Gauging Data'!$B$26:$B$56,0),$Z$198)</f>
        <v>#N/A</v>
      </c>
      <c r="AB282" s="642" t="e">
        <f>INDEX(API2DENST_2,MATCH($C282,'Barge Gauging Data'!$B$27:$B$56,0),1)</f>
        <v>#N/A</v>
      </c>
      <c r="AC282" s="642" t="e">
        <f t="shared" si="218"/>
        <v>#N/A</v>
      </c>
      <c r="AE282" s="661" t="e">
        <f t="shared" si="219"/>
        <v>#VALUE!</v>
      </c>
      <c r="AF282" s="661" t="e">
        <f t="shared" si="220"/>
        <v>#VALUE!</v>
      </c>
      <c r="AH282" s="662" t="str">
        <f t="shared" si="269"/>
        <v/>
      </c>
      <c r="AI282" s="662" t="str">
        <f t="shared" si="270"/>
        <v/>
      </c>
      <c r="AJ282" s="663">
        <f t="shared" si="221"/>
        <v>192.4571</v>
      </c>
      <c r="AK282" s="660">
        <f t="shared" si="222"/>
        <v>0.24379999999999999</v>
      </c>
      <c r="AL282" s="660" t="e">
        <f t="shared" si="223"/>
        <v>#VALUE!</v>
      </c>
      <c r="AM282" s="664" t="e">
        <f t="shared" si="224"/>
        <v>#VALUE!</v>
      </c>
      <c r="AN282" s="664" t="e">
        <f t="shared" si="225"/>
        <v>#VALUE!</v>
      </c>
      <c r="AO282" s="665" t="e">
        <f t="shared" si="226"/>
        <v>#VALUE!</v>
      </c>
      <c r="AP282" s="666" t="e">
        <f t="shared" si="227"/>
        <v>#VALUE!</v>
      </c>
      <c r="AQ282" s="660" t="e">
        <f t="shared" si="228"/>
        <v>#VALUE!</v>
      </c>
      <c r="AR282" s="667" t="e">
        <f t="shared" si="229"/>
        <v>#VALUE!</v>
      </c>
      <c r="AS282" s="667" t="e">
        <f t="shared" si="230"/>
        <v>#VALUE!</v>
      </c>
      <c r="AT282" s="668" t="e">
        <f t="shared" si="231"/>
        <v>#VALUE!</v>
      </c>
      <c r="AU282" s="667" t="e">
        <f t="shared" si="232"/>
        <v>#VALUE!</v>
      </c>
      <c r="AV282" s="669" t="e">
        <f t="shared" si="233"/>
        <v>#VALUE!</v>
      </c>
      <c r="AW282" s="667" t="e">
        <f t="shared" si="234"/>
        <v>#VALUE!</v>
      </c>
      <c r="AX282" s="667" t="e">
        <f t="shared" si="235"/>
        <v>#VALUE!</v>
      </c>
      <c r="AY282" s="660" t="e">
        <f t="shared" si="236"/>
        <v>#VALUE!</v>
      </c>
      <c r="AZ282" s="670" t="e">
        <f t="shared" si="237"/>
        <v>#VALUE!</v>
      </c>
      <c r="BB282" s="662" t="e">
        <f>INDEX('Barge Gauging Data'!$B$26:$V$56,MATCH($C282,'Barge Gauging Data'!$B$26:$B$56,0),$BB$198)</f>
        <v>#N/A</v>
      </c>
      <c r="BC282" s="662" t="e">
        <f>INDEX('Barge Gauging Data'!$B$26:$V$56,MATCH($C282,'Barge Gauging Data'!$B$26:$B$56,0),$BC$198)</f>
        <v>#N/A</v>
      </c>
      <c r="BD282" s="662" t="e">
        <f>INDEX('Barge Gauging Data'!$B$26:$V$56,MATCH($C282,'Barge Gauging Data'!$B$26:$B$56,0),$BD$198)</f>
        <v>#N/A</v>
      </c>
      <c r="BE282" s="662" t="e">
        <f>INDEX('Barge Gauging Data'!$B$26:$V$56,MATCH($C282,'Barge Gauging Data'!$B$26:$B$56,0),$BE$198)</f>
        <v>#N/A</v>
      </c>
    </row>
    <row r="283" spans="1:57" hidden="1">
      <c r="A283" s="641" t="str">
        <f t="shared" si="253"/>
        <v>N</v>
      </c>
      <c r="C283" s="235" t="str">
        <f t="shared" si="255"/>
        <v/>
      </c>
      <c r="D283" s="211" t="str">
        <f t="shared" si="255"/>
        <v/>
      </c>
      <c r="E283" s="1016" t="str">
        <f t="shared" si="255"/>
        <v/>
      </c>
      <c r="F283" s="1016" t="str">
        <f t="shared" si="256"/>
        <v/>
      </c>
      <c r="G283" s="1016" t="str">
        <f t="shared" si="257"/>
        <v/>
      </c>
      <c r="H283" s="1016" t="str">
        <f t="shared" si="257"/>
        <v/>
      </c>
      <c r="I283" s="211" t="str">
        <f t="shared" si="258"/>
        <v/>
      </c>
      <c r="J283" s="1016" t="str">
        <f t="shared" si="259"/>
        <v/>
      </c>
      <c r="K283" s="213" t="str">
        <f t="shared" si="260"/>
        <v/>
      </c>
      <c r="L283" s="212" t="str">
        <f t="shared" si="261"/>
        <v/>
      </c>
      <c r="M283" s="1125" t="str">
        <f>IF(OR($C283="",$C283=0),"",INDEX(API2DENST_2,MATCH($C283,'Barge Gauging Data'!$B$27:$B$56,0),$AA$1))</f>
        <v/>
      </c>
      <c r="N283" s="212" t="str">
        <f t="shared" si="262"/>
        <v/>
      </c>
      <c r="O283" s="1016" t="str">
        <f t="shared" si="263"/>
        <v/>
      </c>
      <c r="P283" s="1125" t="str">
        <f t="shared" si="264"/>
        <v/>
      </c>
      <c r="Q283" s="1016" t="str">
        <f t="shared" si="265"/>
        <v/>
      </c>
      <c r="R283" s="214" t="str">
        <f t="shared" si="266"/>
        <v/>
      </c>
      <c r="S283" s="1125" t="str">
        <f t="shared" si="267"/>
        <v/>
      </c>
      <c r="T283" s="236" t="str">
        <f t="shared" si="268"/>
        <v/>
      </c>
      <c r="W283" s="642" t="e">
        <f>INDEX('Barge Gauging Data'!$B$26:$V$56,MATCH($C283,'Barge Gauging Data'!$B$26:$B$56,0),$W$198)</f>
        <v>#N/A</v>
      </c>
      <c r="X283" s="642" t="e">
        <f>INDEX('Barge Gauging Data'!$B$26:$V$56,MATCH($C283,'Barge Gauging Data'!$B$26:$B$56,0),$X$198)</f>
        <v>#N/A</v>
      </c>
      <c r="Y283" s="642" t="e">
        <f>INDEX('Barge Gauging Data'!$B$26:$V$56,MATCH($C283,'Barge Gauging Data'!$B$26:$B$56,0),$Y$198)</f>
        <v>#N/A</v>
      </c>
      <c r="Z283" s="642" t="e">
        <f>INDEX('Barge Gauging Data'!$B$26:$V$56,MATCH($C283,'Barge Gauging Data'!$B$26:$B$56,0),$Z$198)</f>
        <v>#N/A</v>
      </c>
      <c r="AB283" s="642" t="e">
        <f>INDEX(API2DENST_2,MATCH($C283,'Barge Gauging Data'!$B$27:$B$56,0),1)</f>
        <v>#N/A</v>
      </c>
      <c r="AC283" s="642" t="e">
        <f t="shared" si="218"/>
        <v>#N/A</v>
      </c>
      <c r="AE283" s="661" t="e">
        <f t="shared" si="219"/>
        <v>#VALUE!</v>
      </c>
      <c r="AF283" s="661" t="e">
        <f t="shared" si="220"/>
        <v>#VALUE!</v>
      </c>
      <c r="AH283" s="662" t="str">
        <f t="shared" si="269"/>
        <v/>
      </c>
      <c r="AI283" s="662" t="str">
        <f t="shared" si="270"/>
        <v/>
      </c>
      <c r="AJ283" s="663">
        <f t="shared" si="221"/>
        <v>192.4571</v>
      </c>
      <c r="AK283" s="660">
        <f t="shared" si="222"/>
        <v>0.24379999999999999</v>
      </c>
      <c r="AL283" s="660" t="e">
        <f t="shared" si="223"/>
        <v>#VALUE!</v>
      </c>
      <c r="AM283" s="664" t="e">
        <f t="shared" si="224"/>
        <v>#VALUE!</v>
      </c>
      <c r="AN283" s="664" t="e">
        <f t="shared" si="225"/>
        <v>#VALUE!</v>
      </c>
      <c r="AO283" s="665" t="e">
        <f t="shared" si="226"/>
        <v>#VALUE!</v>
      </c>
      <c r="AP283" s="666" t="e">
        <f t="shared" si="227"/>
        <v>#VALUE!</v>
      </c>
      <c r="AQ283" s="660" t="e">
        <f t="shared" si="228"/>
        <v>#VALUE!</v>
      </c>
      <c r="AR283" s="667" t="e">
        <f t="shared" si="229"/>
        <v>#VALUE!</v>
      </c>
      <c r="AS283" s="667" t="e">
        <f t="shared" si="230"/>
        <v>#VALUE!</v>
      </c>
      <c r="AT283" s="668" t="e">
        <f t="shared" si="231"/>
        <v>#VALUE!</v>
      </c>
      <c r="AU283" s="667" t="e">
        <f t="shared" si="232"/>
        <v>#VALUE!</v>
      </c>
      <c r="AV283" s="669" t="e">
        <f t="shared" si="233"/>
        <v>#VALUE!</v>
      </c>
      <c r="AW283" s="667" t="e">
        <f t="shared" si="234"/>
        <v>#VALUE!</v>
      </c>
      <c r="AX283" s="667" t="e">
        <f t="shared" si="235"/>
        <v>#VALUE!</v>
      </c>
      <c r="AY283" s="660" t="e">
        <f t="shared" si="236"/>
        <v>#VALUE!</v>
      </c>
      <c r="AZ283" s="670" t="e">
        <f t="shared" si="237"/>
        <v>#VALUE!</v>
      </c>
      <c r="BB283" s="662" t="e">
        <f>INDEX('Barge Gauging Data'!$B$26:$V$56,MATCH($C283,'Barge Gauging Data'!$B$26:$B$56,0),$BB$198)</f>
        <v>#N/A</v>
      </c>
      <c r="BC283" s="662" t="e">
        <f>INDEX('Barge Gauging Data'!$B$26:$V$56,MATCH($C283,'Barge Gauging Data'!$B$26:$B$56,0),$BC$198)</f>
        <v>#N/A</v>
      </c>
      <c r="BD283" s="662" t="e">
        <f>INDEX('Barge Gauging Data'!$B$26:$V$56,MATCH($C283,'Barge Gauging Data'!$B$26:$B$56,0),$BD$198)</f>
        <v>#N/A</v>
      </c>
      <c r="BE283" s="662" t="e">
        <f>INDEX('Barge Gauging Data'!$B$26:$V$56,MATCH($C283,'Barge Gauging Data'!$B$26:$B$56,0),$BE$198)</f>
        <v>#N/A</v>
      </c>
    </row>
    <row r="284" spans="1:57" hidden="1">
      <c r="A284" s="641" t="str">
        <f t="shared" si="253"/>
        <v>N</v>
      </c>
      <c r="C284" s="235" t="str">
        <f t="shared" si="255"/>
        <v/>
      </c>
      <c r="D284" s="211" t="str">
        <f t="shared" si="255"/>
        <v/>
      </c>
      <c r="E284" s="1016" t="str">
        <f t="shared" si="255"/>
        <v/>
      </c>
      <c r="F284" s="1016" t="str">
        <f t="shared" si="256"/>
        <v/>
      </c>
      <c r="G284" s="1016" t="str">
        <f t="shared" si="257"/>
        <v/>
      </c>
      <c r="H284" s="1016" t="str">
        <f t="shared" si="257"/>
        <v/>
      </c>
      <c r="I284" s="211" t="str">
        <f t="shared" si="258"/>
        <v/>
      </c>
      <c r="J284" s="1016" t="str">
        <f t="shared" si="259"/>
        <v/>
      </c>
      <c r="K284" s="213" t="str">
        <f t="shared" si="260"/>
        <v/>
      </c>
      <c r="L284" s="212" t="str">
        <f t="shared" si="261"/>
        <v/>
      </c>
      <c r="M284" s="1125" t="str">
        <f>IF(OR($C284="",$C284=0),"",INDEX(API2DENST_2,MATCH($C284,'Barge Gauging Data'!$B$27:$B$56,0),$AA$1))</f>
        <v/>
      </c>
      <c r="N284" s="212" t="str">
        <f t="shared" si="262"/>
        <v/>
      </c>
      <c r="O284" s="1016" t="str">
        <f t="shared" si="263"/>
        <v/>
      </c>
      <c r="P284" s="1125" t="str">
        <f t="shared" si="264"/>
        <v/>
      </c>
      <c r="Q284" s="1016" t="str">
        <f t="shared" si="265"/>
        <v/>
      </c>
      <c r="R284" s="214" t="str">
        <f t="shared" si="266"/>
        <v/>
      </c>
      <c r="S284" s="1125" t="str">
        <f t="shared" si="267"/>
        <v/>
      </c>
      <c r="T284" s="236" t="str">
        <f t="shared" si="268"/>
        <v/>
      </c>
      <c r="W284" s="642" t="e">
        <f>INDEX('Barge Gauging Data'!$B$26:$V$56,MATCH($C284,'Barge Gauging Data'!$B$26:$B$56,0),$W$198)</f>
        <v>#N/A</v>
      </c>
      <c r="X284" s="642" t="e">
        <f>INDEX('Barge Gauging Data'!$B$26:$V$56,MATCH($C284,'Barge Gauging Data'!$B$26:$B$56,0),$X$198)</f>
        <v>#N/A</v>
      </c>
      <c r="Y284" s="642" t="e">
        <f>INDEX('Barge Gauging Data'!$B$26:$V$56,MATCH($C284,'Barge Gauging Data'!$B$26:$B$56,0),$Y$198)</f>
        <v>#N/A</v>
      </c>
      <c r="Z284" s="642" t="e">
        <f>INDEX('Barge Gauging Data'!$B$26:$V$56,MATCH($C284,'Barge Gauging Data'!$B$26:$B$56,0),$Z$198)</f>
        <v>#N/A</v>
      </c>
      <c r="AB284" s="642" t="e">
        <f>INDEX(API2DENST_2,MATCH($C284,'Barge Gauging Data'!$B$27:$B$56,0),1)</f>
        <v>#N/A</v>
      </c>
      <c r="AC284" s="642" t="e">
        <f t="shared" si="218"/>
        <v>#N/A</v>
      </c>
      <c r="AE284" s="661" t="e">
        <f t="shared" si="219"/>
        <v>#VALUE!</v>
      </c>
      <c r="AF284" s="661" t="e">
        <f t="shared" si="220"/>
        <v>#VALUE!</v>
      </c>
      <c r="AH284" s="662" t="str">
        <f t="shared" si="269"/>
        <v/>
      </c>
      <c r="AI284" s="662" t="str">
        <f t="shared" si="270"/>
        <v/>
      </c>
      <c r="AJ284" s="663">
        <f t="shared" si="221"/>
        <v>192.4571</v>
      </c>
      <c r="AK284" s="660">
        <f t="shared" si="222"/>
        <v>0.24379999999999999</v>
      </c>
      <c r="AL284" s="660" t="e">
        <f t="shared" si="223"/>
        <v>#VALUE!</v>
      </c>
      <c r="AM284" s="664" t="e">
        <f t="shared" si="224"/>
        <v>#VALUE!</v>
      </c>
      <c r="AN284" s="664" t="e">
        <f t="shared" si="225"/>
        <v>#VALUE!</v>
      </c>
      <c r="AO284" s="665" t="e">
        <f t="shared" si="226"/>
        <v>#VALUE!</v>
      </c>
      <c r="AP284" s="666" t="e">
        <f t="shared" si="227"/>
        <v>#VALUE!</v>
      </c>
      <c r="AQ284" s="660" t="e">
        <f t="shared" si="228"/>
        <v>#VALUE!</v>
      </c>
      <c r="AR284" s="667" t="e">
        <f t="shared" si="229"/>
        <v>#VALUE!</v>
      </c>
      <c r="AS284" s="667" t="e">
        <f t="shared" si="230"/>
        <v>#VALUE!</v>
      </c>
      <c r="AT284" s="668" t="e">
        <f t="shared" si="231"/>
        <v>#VALUE!</v>
      </c>
      <c r="AU284" s="667" t="e">
        <f t="shared" si="232"/>
        <v>#VALUE!</v>
      </c>
      <c r="AV284" s="669" t="e">
        <f t="shared" si="233"/>
        <v>#VALUE!</v>
      </c>
      <c r="AW284" s="667" t="e">
        <f t="shared" si="234"/>
        <v>#VALUE!</v>
      </c>
      <c r="AX284" s="667" t="e">
        <f t="shared" si="235"/>
        <v>#VALUE!</v>
      </c>
      <c r="AY284" s="660" t="e">
        <f t="shared" si="236"/>
        <v>#VALUE!</v>
      </c>
      <c r="AZ284" s="670" t="e">
        <f t="shared" si="237"/>
        <v>#VALUE!</v>
      </c>
      <c r="BB284" s="662" t="e">
        <f>INDEX('Barge Gauging Data'!$B$26:$V$56,MATCH($C284,'Barge Gauging Data'!$B$26:$B$56,0),$BB$198)</f>
        <v>#N/A</v>
      </c>
      <c r="BC284" s="662" t="e">
        <f>INDEX('Barge Gauging Data'!$B$26:$V$56,MATCH($C284,'Barge Gauging Data'!$B$26:$B$56,0),$BC$198)</f>
        <v>#N/A</v>
      </c>
      <c r="BD284" s="662" t="e">
        <f>INDEX('Barge Gauging Data'!$B$26:$V$56,MATCH($C284,'Barge Gauging Data'!$B$26:$B$56,0),$BD$198)</f>
        <v>#N/A</v>
      </c>
      <c r="BE284" s="662" t="e">
        <f>INDEX('Barge Gauging Data'!$B$26:$V$56,MATCH($C284,'Barge Gauging Data'!$B$26:$B$56,0),$BE$198)</f>
        <v>#N/A</v>
      </c>
    </row>
    <row r="285" spans="1:57" hidden="1">
      <c r="A285" s="641" t="str">
        <f t="shared" si="253"/>
        <v>N</v>
      </c>
      <c r="C285" s="235" t="str">
        <f t="shared" si="255"/>
        <v/>
      </c>
      <c r="D285" s="211" t="str">
        <f t="shared" si="255"/>
        <v/>
      </c>
      <c r="E285" s="1016" t="str">
        <f t="shared" si="255"/>
        <v/>
      </c>
      <c r="F285" s="1016" t="str">
        <f t="shared" si="256"/>
        <v/>
      </c>
      <c r="G285" s="1016" t="str">
        <f t="shared" si="257"/>
        <v/>
      </c>
      <c r="H285" s="1016" t="str">
        <f t="shared" si="257"/>
        <v/>
      </c>
      <c r="I285" s="211" t="str">
        <f t="shared" si="258"/>
        <v/>
      </c>
      <c r="J285" s="1016" t="str">
        <f t="shared" si="259"/>
        <v/>
      </c>
      <c r="K285" s="213" t="str">
        <f t="shared" si="260"/>
        <v/>
      </c>
      <c r="L285" s="212" t="str">
        <f t="shared" si="261"/>
        <v/>
      </c>
      <c r="M285" s="1125" t="str">
        <f>IF(OR($C285="",$C285=0),"",INDEX(API2DENST_2,MATCH($C285,'Barge Gauging Data'!$B$27:$B$56,0),$AA$1))</f>
        <v/>
      </c>
      <c r="N285" s="212" t="str">
        <f t="shared" si="262"/>
        <v/>
      </c>
      <c r="O285" s="1016" t="str">
        <f t="shared" si="263"/>
        <v/>
      </c>
      <c r="P285" s="1125" t="str">
        <f t="shared" si="264"/>
        <v/>
      </c>
      <c r="Q285" s="1016" t="str">
        <f t="shared" si="265"/>
        <v/>
      </c>
      <c r="R285" s="214" t="str">
        <f t="shared" si="266"/>
        <v/>
      </c>
      <c r="S285" s="1125" t="str">
        <f t="shared" si="267"/>
        <v/>
      </c>
      <c r="T285" s="236" t="str">
        <f t="shared" si="268"/>
        <v/>
      </c>
      <c r="W285" s="642" t="e">
        <f>INDEX('Barge Gauging Data'!$B$26:$V$56,MATCH($C285,'Barge Gauging Data'!$B$26:$B$56,0),$W$198)</f>
        <v>#N/A</v>
      </c>
      <c r="X285" s="642" t="e">
        <f>INDEX('Barge Gauging Data'!$B$26:$V$56,MATCH($C285,'Barge Gauging Data'!$B$26:$B$56,0),$X$198)</f>
        <v>#N/A</v>
      </c>
      <c r="Y285" s="642" t="e">
        <f>INDEX('Barge Gauging Data'!$B$26:$V$56,MATCH($C285,'Barge Gauging Data'!$B$26:$B$56,0),$Y$198)</f>
        <v>#N/A</v>
      </c>
      <c r="Z285" s="642" t="e">
        <f>INDEX('Barge Gauging Data'!$B$26:$V$56,MATCH($C285,'Barge Gauging Data'!$B$26:$B$56,0),$Z$198)</f>
        <v>#N/A</v>
      </c>
      <c r="AB285" s="642" t="e">
        <f>INDEX(API2DENST_2,MATCH($C285,'Barge Gauging Data'!$B$27:$B$56,0),1)</f>
        <v>#N/A</v>
      </c>
      <c r="AC285" s="642" t="e">
        <f t="shared" si="218"/>
        <v>#N/A</v>
      </c>
      <c r="AE285" s="661" t="e">
        <f t="shared" si="219"/>
        <v>#VALUE!</v>
      </c>
      <c r="AF285" s="661" t="e">
        <f t="shared" si="220"/>
        <v>#VALUE!</v>
      </c>
      <c r="AH285" s="662" t="str">
        <f t="shared" si="269"/>
        <v/>
      </c>
      <c r="AI285" s="662" t="str">
        <f t="shared" si="270"/>
        <v/>
      </c>
      <c r="AJ285" s="663">
        <f t="shared" si="221"/>
        <v>192.4571</v>
      </c>
      <c r="AK285" s="660">
        <f t="shared" si="222"/>
        <v>0.24379999999999999</v>
      </c>
      <c r="AL285" s="660" t="e">
        <f t="shared" si="223"/>
        <v>#VALUE!</v>
      </c>
      <c r="AM285" s="664" t="e">
        <f t="shared" si="224"/>
        <v>#VALUE!</v>
      </c>
      <c r="AN285" s="664" t="e">
        <f t="shared" si="225"/>
        <v>#VALUE!</v>
      </c>
      <c r="AO285" s="665" t="e">
        <f t="shared" si="226"/>
        <v>#VALUE!</v>
      </c>
      <c r="AP285" s="666" t="e">
        <f t="shared" si="227"/>
        <v>#VALUE!</v>
      </c>
      <c r="AQ285" s="660" t="e">
        <f t="shared" si="228"/>
        <v>#VALUE!</v>
      </c>
      <c r="AR285" s="667" t="e">
        <f t="shared" si="229"/>
        <v>#VALUE!</v>
      </c>
      <c r="AS285" s="667" t="e">
        <f t="shared" si="230"/>
        <v>#VALUE!</v>
      </c>
      <c r="AT285" s="668" t="e">
        <f t="shared" si="231"/>
        <v>#VALUE!</v>
      </c>
      <c r="AU285" s="667" t="e">
        <f t="shared" si="232"/>
        <v>#VALUE!</v>
      </c>
      <c r="AV285" s="669" t="e">
        <f t="shared" si="233"/>
        <v>#VALUE!</v>
      </c>
      <c r="AW285" s="667" t="e">
        <f t="shared" si="234"/>
        <v>#VALUE!</v>
      </c>
      <c r="AX285" s="667" t="e">
        <f t="shared" si="235"/>
        <v>#VALUE!</v>
      </c>
      <c r="AY285" s="660" t="e">
        <f t="shared" si="236"/>
        <v>#VALUE!</v>
      </c>
      <c r="AZ285" s="670" t="e">
        <f t="shared" si="237"/>
        <v>#VALUE!</v>
      </c>
      <c r="BB285" s="662" t="e">
        <f>INDEX('Barge Gauging Data'!$B$26:$V$56,MATCH($C285,'Barge Gauging Data'!$B$26:$B$56,0),$BB$198)</f>
        <v>#N/A</v>
      </c>
      <c r="BC285" s="662" t="e">
        <f>INDEX('Barge Gauging Data'!$B$26:$V$56,MATCH($C285,'Barge Gauging Data'!$B$26:$B$56,0),$BC$198)</f>
        <v>#N/A</v>
      </c>
      <c r="BD285" s="662" t="e">
        <f>INDEX('Barge Gauging Data'!$B$26:$V$56,MATCH($C285,'Barge Gauging Data'!$B$26:$B$56,0),$BD$198)</f>
        <v>#N/A</v>
      </c>
      <c r="BE285" s="662" t="e">
        <f>INDEX('Barge Gauging Data'!$B$26:$V$56,MATCH($C285,'Barge Gauging Data'!$B$26:$B$56,0),$BE$198)</f>
        <v>#N/A</v>
      </c>
    </row>
    <row r="286" spans="1:57" hidden="1">
      <c r="A286" s="641" t="str">
        <f t="shared" si="253"/>
        <v>N</v>
      </c>
      <c r="C286" s="235" t="str">
        <f t="shared" si="255"/>
        <v/>
      </c>
      <c r="D286" s="211" t="str">
        <f t="shared" si="255"/>
        <v/>
      </c>
      <c r="E286" s="1016" t="str">
        <f t="shared" si="255"/>
        <v/>
      </c>
      <c r="F286" s="1016" t="str">
        <f t="shared" si="256"/>
        <v/>
      </c>
      <c r="G286" s="1016" t="str">
        <f t="shared" si="257"/>
        <v/>
      </c>
      <c r="H286" s="1016" t="str">
        <f t="shared" si="257"/>
        <v/>
      </c>
      <c r="I286" s="211" t="str">
        <f t="shared" si="258"/>
        <v/>
      </c>
      <c r="J286" s="1016" t="str">
        <f t="shared" si="259"/>
        <v/>
      </c>
      <c r="K286" s="213" t="str">
        <f t="shared" si="260"/>
        <v/>
      </c>
      <c r="L286" s="212" t="str">
        <f t="shared" si="261"/>
        <v/>
      </c>
      <c r="M286" s="1125" t="str">
        <f>IF(OR($C286="",$C286=0),"",INDEX(API2DENST_2,MATCH($C286,'Barge Gauging Data'!$B$27:$B$56,0),$AA$1))</f>
        <v/>
      </c>
      <c r="N286" s="212" t="str">
        <f t="shared" si="262"/>
        <v/>
      </c>
      <c r="O286" s="1016" t="str">
        <f t="shared" si="263"/>
        <v/>
      </c>
      <c r="P286" s="1125" t="str">
        <f t="shared" si="264"/>
        <v/>
      </c>
      <c r="Q286" s="1016" t="str">
        <f t="shared" si="265"/>
        <v/>
      </c>
      <c r="R286" s="214" t="str">
        <f t="shared" si="266"/>
        <v/>
      </c>
      <c r="S286" s="1125" t="str">
        <f t="shared" si="267"/>
        <v/>
      </c>
      <c r="T286" s="236" t="str">
        <f t="shared" si="268"/>
        <v/>
      </c>
      <c r="W286" s="642" t="e">
        <f>INDEX('Barge Gauging Data'!$B$26:$V$56,MATCH($C286,'Barge Gauging Data'!$B$26:$B$56,0),$W$198)</f>
        <v>#N/A</v>
      </c>
      <c r="X286" s="642" t="e">
        <f>INDEX('Barge Gauging Data'!$B$26:$V$56,MATCH($C286,'Barge Gauging Data'!$B$26:$B$56,0),$X$198)</f>
        <v>#N/A</v>
      </c>
      <c r="Y286" s="642" t="e">
        <f>INDEX('Barge Gauging Data'!$B$26:$V$56,MATCH($C286,'Barge Gauging Data'!$B$26:$B$56,0),$Y$198)</f>
        <v>#N/A</v>
      </c>
      <c r="Z286" s="642" t="e">
        <f>INDEX('Barge Gauging Data'!$B$26:$V$56,MATCH($C286,'Barge Gauging Data'!$B$26:$B$56,0),$Z$198)</f>
        <v>#N/A</v>
      </c>
      <c r="AB286" s="642" t="e">
        <f>INDEX(API2DENST_2,MATCH($C286,'Barge Gauging Data'!$B$27:$B$56,0),1)</f>
        <v>#N/A</v>
      </c>
      <c r="AC286" s="642" t="e">
        <f t="shared" si="218"/>
        <v>#N/A</v>
      </c>
      <c r="AE286" s="661" t="e">
        <f t="shared" si="219"/>
        <v>#VALUE!</v>
      </c>
      <c r="AF286" s="661" t="e">
        <f t="shared" si="220"/>
        <v>#VALUE!</v>
      </c>
      <c r="AH286" s="662" t="str">
        <f t="shared" si="269"/>
        <v/>
      </c>
      <c r="AI286" s="662" t="str">
        <f t="shared" si="270"/>
        <v/>
      </c>
      <c r="AJ286" s="663">
        <f t="shared" si="221"/>
        <v>192.4571</v>
      </c>
      <c r="AK286" s="660">
        <f t="shared" si="222"/>
        <v>0.24379999999999999</v>
      </c>
      <c r="AL286" s="660" t="e">
        <f t="shared" si="223"/>
        <v>#VALUE!</v>
      </c>
      <c r="AM286" s="664" t="e">
        <f t="shared" si="224"/>
        <v>#VALUE!</v>
      </c>
      <c r="AN286" s="664" t="e">
        <f t="shared" si="225"/>
        <v>#VALUE!</v>
      </c>
      <c r="AO286" s="665" t="e">
        <f t="shared" si="226"/>
        <v>#VALUE!</v>
      </c>
      <c r="AP286" s="666" t="e">
        <f t="shared" si="227"/>
        <v>#VALUE!</v>
      </c>
      <c r="AQ286" s="660" t="e">
        <f t="shared" si="228"/>
        <v>#VALUE!</v>
      </c>
      <c r="AR286" s="667" t="e">
        <f t="shared" si="229"/>
        <v>#VALUE!</v>
      </c>
      <c r="AS286" s="667" t="e">
        <f t="shared" si="230"/>
        <v>#VALUE!</v>
      </c>
      <c r="AT286" s="668" t="e">
        <f t="shared" si="231"/>
        <v>#VALUE!</v>
      </c>
      <c r="AU286" s="667" t="e">
        <f t="shared" si="232"/>
        <v>#VALUE!</v>
      </c>
      <c r="AV286" s="669" t="e">
        <f t="shared" si="233"/>
        <v>#VALUE!</v>
      </c>
      <c r="AW286" s="667" t="e">
        <f t="shared" si="234"/>
        <v>#VALUE!</v>
      </c>
      <c r="AX286" s="667" t="e">
        <f t="shared" si="235"/>
        <v>#VALUE!</v>
      </c>
      <c r="AY286" s="660" t="e">
        <f t="shared" si="236"/>
        <v>#VALUE!</v>
      </c>
      <c r="AZ286" s="670" t="e">
        <f t="shared" si="237"/>
        <v>#VALUE!</v>
      </c>
      <c r="BB286" s="662" t="e">
        <f>INDEX('Barge Gauging Data'!$B$26:$V$56,MATCH($C286,'Barge Gauging Data'!$B$26:$B$56,0),$BB$198)</f>
        <v>#N/A</v>
      </c>
      <c r="BC286" s="662" t="e">
        <f>INDEX('Barge Gauging Data'!$B$26:$V$56,MATCH($C286,'Barge Gauging Data'!$B$26:$B$56,0),$BC$198)</f>
        <v>#N/A</v>
      </c>
      <c r="BD286" s="662" t="e">
        <f>INDEX('Barge Gauging Data'!$B$26:$V$56,MATCH($C286,'Barge Gauging Data'!$B$26:$B$56,0),$BD$198)</f>
        <v>#N/A</v>
      </c>
      <c r="BE286" s="662" t="e">
        <f>INDEX('Barge Gauging Data'!$B$26:$V$56,MATCH($C286,'Barge Gauging Data'!$B$26:$B$56,0),$BE$198)</f>
        <v>#N/A</v>
      </c>
    </row>
    <row r="287" spans="1:57" hidden="1">
      <c r="A287" s="641" t="str">
        <f t="shared" si="253"/>
        <v>N</v>
      </c>
      <c r="C287" s="237" t="str">
        <f t="shared" si="255"/>
        <v/>
      </c>
      <c r="D287" s="238" t="str">
        <f t="shared" si="255"/>
        <v/>
      </c>
      <c r="E287" s="1017" t="str">
        <f t="shared" si="255"/>
        <v/>
      </c>
      <c r="F287" s="1017" t="str">
        <f t="shared" si="256"/>
        <v/>
      </c>
      <c r="G287" s="1017" t="str">
        <f t="shared" si="257"/>
        <v/>
      </c>
      <c r="H287" s="1017" t="str">
        <f t="shared" si="257"/>
        <v/>
      </c>
      <c r="I287" s="238" t="str">
        <f t="shared" si="258"/>
        <v/>
      </c>
      <c r="J287" s="1017" t="str">
        <f t="shared" si="259"/>
        <v/>
      </c>
      <c r="K287" s="240" t="str">
        <f t="shared" si="260"/>
        <v/>
      </c>
      <c r="L287" s="239" t="str">
        <f t="shared" si="261"/>
        <v/>
      </c>
      <c r="M287" s="1126" t="str">
        <f>IF(OR($C287="",$C287=0),"",INDEX(API2DENST_2,MATCH($C287,'Barge Gauging Data'!$B$27:$B$56,0),$AA$1))</f>
        <v/>
      </c>
      <c r="N287" s="239" t="str">
        <f t="shared" si="262"/>
        <v/>
      </c>
      <c r="O287" s="1017" t="str">
        <f t="shared" si="263"/>
        <v/>
      </c>
      <c r="P287" s="1126" t="str">
        <f t="shared" si="264"/>
        <v/>
      </c>
      <c r="Q287" s="1017" t="str">
        <f t="shared" si="265"/>
        <v/>
      </c>
      <c r="R287" s="241" t="str">
        <f t="shared" si="266"/>
        <v/>
      </c>
      <c r="S287" s="1126" t="str">
        <f t="shared" si="267"/>
        <v/>
      </c>
      <c r="T287" s="242" t="str">
        <f t="shared" si="268"/>
        <v/>
      </c>
      <c r="W287" s="642" t="e">
        <f>INDEX('Barge Gauging Data'!$B$26:$V$56,MATCH($C287,'Barge Gauging Data'!$B$26:$B$56,0),$W$198)</f>
        <v>#N/A</v>
      </c>
      <c r="X287" s="642" t="e">
        <f>INDEX('Barge Gauging Data'!$B$26:$V$56,MATCH($C287,'Barge Gauging Data'!$B$26:$B$56,0),$X$198)</f>
        <v>#N/A</v>
      </c>
      <c r="Y287" s="642" t="e">
        <f>INDEX('Barge Gauging Data'!$B$26:$V$56,MATCH($C287,'Barge Gauging Data'!$B$26:$B$56,0),$Y$198)</f>
        <v>#N/A</v>
      </c>
      <c r="Z287" s="642" t="e">
        <f>INDEX('Barge Gauging Data'!$B$26:$V$56,MATCH($C287,'Barge Gauging Data'!$B$26:$B$56,0),$Z$198)</f>
        <v>#N/A</v>
      </c>
      <c r="AB287" s="642" t="e">
        <f>INDEX(API2DENST_2,MATCH($C287,'Barge Gauging Data'!$B$27:$B$56,0),1)</f>
        <v>#N/A</v>
      </c>
      <c r="AC287" s="642" t="e">
        <f t="shared" si="218"/>
        <v>#N/A</v>
      </c>
      <c r="AE287" s="661" t="e">
        <f t="shared" si="219"/>
        <v>#VALUE!</v>
      </c>
      <c r="AF287" s="661" t="e">
        <f t="shared" si="220"/>
        <v>#VALUE!</v>
      </c>
      <c r="AH287" s="662" t="str">
        <f t="shared" si="269"/>
        <v/>
      </c>
      <c r="AI287" s="662" t="str">
        <f t="shared" si="270"/>
        <v/>
      </c>
      <c r="AJ287" s="663">
        <f t="shared" si="221"/>
        <v>192.4571</v>
      </c>
      <c r="AK287" s="660">
        <f t="shared" si="222"/>
        <v>0.24379999999999999</v>
      </c>
      <c r="AL287" s="660" t="e">
        <f t="shared" si="223"/>
        <v>#VALUE!</v>
      </c>
      <c r="AM287" s="664" t="e">
        <f t="shared" si="224"/>
        <v>#VALUE!</v>
      </c>
      <c r="AN287" s="664" t="e">
        <f t="shared" si="225"/>
        <v>#VALUE!</v>
      </c>
      <c r="AO287" s="665" t="e">
        <f t="shared" si="226"/>
        <v>#VALUE!</v>
      </c>
      <c r="AP287" s="666" t="e">
        <f t="shared" si="227"/>
        <v>#VALUE!</v>
      </c>
      <c r="AQ287" s="660" t="e">
        <f t="shared" si="228"/>
        <v>#VALUE!</v>
      </c>
      <c r="AR287" s="667" t="e">
        <f t="shared" si="229"/>
        <v>#VALUE!</v>
      </c>
      <c r="AS287" s="667" t="e">
        <f t="shared" si="230"/>
        <v>#VALUE!</v>
      </c>
      <c r="AT287" s="668" t="e">
        <f t="shared" si="231"/>
        <v>#VALUE!</v>
      </c>
      <c r="AU287" s="667" t="e">
        <f t="shared" si="232"/>
        <v>#VALUE!</v>
      </c>
      <c r="AV287" s="669" t="e">
        <f t="shared" si="233"/>
        <v>#VALUE!</v>
      </c>
      <c r="AW287" s="667" t="e">
        <f t="shared" si="234"/>
        <v>#VALUE!</v>
      </c>
      <c r="AX287" s="667" t="e">
        <f t="shared" si="235"/>
        <v>#VALUE!</v>
      </c>
      <c r="AY287" s="660" t="e">
        <f t="shared" si="236"/>
        <v>#VALUE!</v>
      </c>
      <c r="AZ287" s="670" t="e">
        <f t="shared" si="237"/>
        <v>#VALUE!</v>
      </c>
      <c r="BB287" s="662" t="e">
        <f>INDEX('Barge Gauging Data'!$B$26:$V$56,MATCH($C287,'Barge Gauging Data'!$B$26:$B$56,0),$BB$198)</f>
        <v>#N/A</v>
      </c>
      <c r="BC287" s="662" t="e">
        <f>INDEX('Barge Gauging Data'!$B$26:$V$56,MATCH($C287,'Barge Gauging Data'!$B$26:$B$56,0),$BC$198)</f>
        <v>#N/A</v>
      </c>
      <c r="BD287" s="662" t="e">
        <f>INDEX('Barge Gauging Data'!$B$26:$V$56,MATCH($C287,'Barge Gauging Data'!$B$26:$B$56,0),$BD$198)</f>
        <v>#N/A</v>
      </c>
      <c r="BE287" s="662" t="e">
        <f>INDEX('Barge Gauging Data'!$B$26:$V$56,MATCH($C287,'Barge Gauging Data'!$B$26:$B$56,0),$BE$198)</f>
        <v>#N/A</v>
      </c>
    </row>
    <row r="288" spans="1:57" hidden="1">
      <c r="A288" s="641" t="str">
        <f t="shared" si="253"/>
        <v>N</v>
      </c>
      <c r="C288" s="671"/>
      <c r="D288" s="671"/>
      <c r="E288" s="672"/>
      <c r="F288" s="672"/>
      <c r="G288" s="672"/>
      <c r="H288" s="1501"/>
      <c r="I288" s="671"/>
      <c r="J288" s="672"/>
      <c r="K288" s="673"/>
      <c r="L288" s="672"/>
      <c r="M288" s="674"/>
      <c r="N288" s="672"/>
      <c r="O288" s="672"/>
      <c r="P288" s="1127"/>
      <c r="Q288" s="672"/>
      <c r="R288" s="675"/>
      <c r="S288" s="1137" t="s">
        <v>401</v>
      </c>
      <c r="T288" s="619">
        <f>SUM(T268:T287)</f>
        <v>0</v>
      </c>
      <c r="V288" s="619">
        <f>SUM(Q268:Q287)</f>
        <v>0</v>
      </c>
      <c r="W288" s="619">
        <f>SUM(R268:R287)</f>
        <v>0</v>
      </c>
      <c r="X288" s="1166" t="e">
        <f>(T111-T288)/(V111-V288)</f>
        <v>#DIV/0!</v>
      </c>
      <c r="Y288" s="1166" t="e">
        <f>(U111-U288)/(W111-W288)</f>
        <v>#DIV/0!</v>
      </c>
      <c r="Z288" s="1164" t="e">
        <f>IF('Barge BQS Report'!$AA$1=1,ROUND((W111-W288)/(V111-V288),4),ROUND((1/((((X288)*2204.62/8.32823/42)+1.22269727*10^-3)/1.00122697/141.5))-131.5,4))</f>
        <v>#DIV/0!</v>
      </c>
      <c r="AA288" s="676"/>
      <c r="AB288" s="719"/>
      <c r="AC288" s="719"/>
      <c r="AD288" s="676"/>
      <c r="AE288" s="720"/>
      <c r="AF288" s="720"/>
      <c r="AG288" s="676"/>
      <c r="AH288" s="721"/>
      <c r="AI288" s="721"/>
      <c r="AJ288" s="722"/>
      <c r="AK288" s="723"/>
      <c r="AL288" s="723"/>
      <c r="AM288" s="724"/>
      <c r="AN288" s="724"/>
      <c r="AO288" s="725"/>
      <c r="AP288" s="726"/>
      <c r="AQ288" s="723"/>
      <c r="AR288" s="727"/>
      <c r="AS288" s="727"/>
      <c r="AT288" s="728"/>
      <c r="AU288" s="727"/>
      <c r="AV288" s="729"/>
      <c r="AW288" s="727"/>
      <c r="AX288" s="727"/>
      <c r="AY288" s="723"/>
      <c r="AZ288" s="730"/>
      <c r="BA288" s="676"/>
      <c r="BB288" s="721"/>
      <c r="BC288" s="721"/>
      <c r="BD288" s="721"/>
      <c r="BE288" s="721"/>
    </row>
    <row r="289" spans="1:57" s="702" customFormat="1" ht="5.25" hidden="1">
      <c r="A289" s="702" t="str">
        <f t="shared" si="253"/>
        <v>N</v>
      </c>
      <c r="C289" s="704"/>
      <c r="D289" s="704"/>
      <c r="E289" s="704"/>
      <c r="F289" s="704"/>
      <c r="G289" s="704"/>
      <c r="H289" s="704"/>
      <c r="I289" s="704"/>
      <c r="J289" s="705"/>
      <c r="K289" s="705"/>
      <c r="L289" s="705"/>
      <c r="M289" s="705"/>
      <c r="N289" s="705"/>
      <c r="O289" s="705"/>
      <c r="P289" s="1128"/>
      <c r="Q289" s="705"/>
      <c r="R289" s="705"/>
      <c r="S289" s="1136"/>
      <c r="T289" s="706"/>
      <c r="V289" s="707"/>
      <c r="W289" s="707"/>
      <c r="X289" s="707"/>
      <c r="Y289" s="707"/>
      <c r="Z289" s="707"/>
      <c r="AA289" s="707"/>
      <c r="AB289" s="707"/>
      <c r="AC289" s="707"/>
      <c r="AD289" s="707"/>
      <c r="AE289" s="708"/>
      <c r="AF289" s="708"/>
      <c r="AG289" s="707"/>
      <c r="AH289" s="709"/>
      <c r="AI289" s="709"/>
      <c r="AJ289" s="710"/>
      <c r="AK289" s="711"/>
      <c r="AL289" s="711"/>
      <c r="AM289" s="712"/>
      <c r="AN289" s="712"/>
      <c r="AO289" s="713"/>
      <c r="AP289" s="714"/>
      <c r="AQ289" s="711"/>
      <c r="AR289" s="715"/>
      <c r="AS289" s="715"/>
      <c r="AT289" s="716"/>
      <c r="AU289" s="715"/>
      <c r="AV289" s="717"/>
      <c r="AW289" s="715"/>
      <c r="AX289" s="715"/>
      <c r="AY289" s="711"/>
      <c r="AZ289" s="718"/>
      <c r="BA289" s="707"/>
      <c r="BB289" s="709"/>
      <c r="BC289" s="709"/>
      <c r="BD289" s="709"/>
      <c r="BE289" s="709"/>
    </row>
    <row r="290" spans="1:57" ht="15.75" hidden="1">
      <c r="A290" s="641" t="str">
        <f t="shared" si="253"/>
        <v>N</v>
      </c>
      <c r="B290" s="641">
        <v>5</v>
      </c>
      <c r="C290" s="2797" t="s">
        <v>163</v>
      </c>
      <c r="D290" s="2798"/>
      <c r="E290" s="2799" t="str">
        <f t="shared" ref="E290:E310" si="271">E113</f>
        <v>MGO</v>
      </c>
      <c r="F290" s="2800"/>
      <c r="G290" s="2800"/>
      <c r="H290" s="2824"/>
      <c r="I290" s="2801"/>
      <c r="J290" s="698"/>
      <c r="K290" s="699"/>
      <c r="L290" s="700"/>
      <c r="M290" s="699"/>
      <c r="N290" s="699"/>
      <c r="O290" s="700"/>
      <c r="P290" s="1129"/>
      <c r="Q290" s="700"/>
      <c r="R290" s="701"/>
      <c r="S290" s="1129"/>
      <c r="T290" s="701"/>
      <c r="V290" s="676"/>
      <c r="W290" s="731"/>
      <c r="X290" s="731"/>
      <c r="Y290" s="731"/>
      <c r="Z290" s="731"/>
      <c r="AA290" s="676"/>
      <c r="AB290" s="731"/>
      <c r="AC290" s="731"/>
      <c r="AD290" s="676"/>
      <c r="AE290" s="732"/>
      <c r="AF290" s="732"/>
      <c r="AG290" s="676"/>
      <c r="AH290" s="733"/>
      <c r="AI290" s="733"/>
      <c r="AJ290" s="734"/>
      <c r="AK290" s="735"/>
      <c r="AL290" s="735"/>
      <c r="AM290" s="736"/>
      <c r="AN290" s="736"/>
      <c r="AO290" s="737"/>
      <c r="AP290" s="738"/>
      <c r="AQ290" s="735"/>
      <c r="AR290" s="739"/>
      <c r="AS290" s="739"/>
      <c r="AT290" s="740"/>
      <c r="AU290" s="739"/>
      <c r="AV290" s="741"/>
      <c r="AW290" s="739"/>
      <c r="AX290" s="739"/>
      <c r="AY290" s="735"/>
      <c r="AZ290" s="742"/>
      <c r="BA290" s="676"/>
      <c r="BB290" s="733"/>
      <c r="BC290" s="733"/>
      <c r="BD290" s="733"/>
      <c r="BE290" s="733"/>
    </row>
    <row r="291" spans="1:57" hidden="1">
      <c r="A291" s="641" t="str">
        <f t="shared" si="253"/>
        <v>N</v>
      </c>
      <c r="C291" s="622" t="str">
        <f t="shared" ref="C291:D310" si="272">C114</f>
        <v/>
      </c>
      <c r="D291" s="623" t="str">
        <f t="shared" si="272"/>
        <v/>
      </c>
      <c r="E291" s="1018" t="str">
        <f t="shared" si="271"/>
        <v/>
      </c>
      <c r="F291" s="1018" t="str">
        <f t="shared" ref="F291:F310" si="273">IF(ISERROR(W291),"",IF(OR($C291="",$C291=0),"",IF(ISTEXT(W291),W291,IF($AB$1=1,W291*UNITOR_2,INT(W291*UNITOR_2)&amp;"'-"&amp;TRIM(TEXT(ROUND(MOD(W291*UNITOR_2,1)*12,1),"# ???/???"))&amp;""""))))</f>
        <v/>
      </c>
      <c r="G291" s="1018" t="str">
        <f t="shared" ref="G291:H310" si="274">IF(ISERROR(X291),"",IF(OR($C291="",$C291=0),"",IF(ISTEXT(X291),X291,IF($AB$1=1,X291*UNITOR_2,INT(X291*UNITOR_2)&amp;"'-"&amp;TRIM(TEXT(ROUND(MOD(X291*UNITOR_2,1)*12,1),"# ???/???"))&amp;""""))))</f>
        <v/>
      </c>
      <c r="H291" s="1018" t="str">
        <f t="shared" si="274"/>
        <v/>
      </c>
      <c r="I291" s="623" t="str">
        <f t="shared" ref="I291:I310" si="275">IF(ISERROR($BB291),"",IF(OR($C291="",$C291=0,$BB291=0),"",$BB291))</f>
        <v/>
      </c>
      <c r="J291" s="1016" t="str">
        <f t="shared" ref="J291:J310" si="276">IF(ISERROR($BC291),"",IF(OR($C291="",$C291=0,$BC291=""),"",IF(ISTEXT($BC291),$BC291,$BC291*IF($AA$1=B1SEL_2,1,IF($AA$1=2,FBBLS,1/FBBLS)))))</f>
        <v/>
      </c>
      <c r="K291" s="213" t="str">
        <f t="shared" ref="K291:K310" si="277">IF(ISERROR($BD291),"",IF(OR($C291="",$C291=0,$BD291=""),0,IF(ISTEXT($BD291),$BD291,$BD291*IF($AB$1=W1SEL_2,1,IF($AB$1=2,FINCH,1/FINCH)))))</f>
        <v/>
      </c>
      <c r="L291" s="212" t="str">
        <f t="shared" ref="L291:L310" si="278">IF(ISERROR($BE291),"",IF(OR($C291="",$C291=0,$BE291=""),0,IF(ISTEXT($BE291),$BE291,$BE291*IF($AA$1=B1SEL_2,1,IF($AA$1=2,FBBLS,1/FBBLS)))))</f>
        <v/>
      </c>
      <c r="M291" s="1125" t="str">
        <f>IF(OR($C291="",$C291=0),"",INDEX(API2DENST_2,MATCH($C291,'Barge Gauging Data'!$B$27:$B$56,0),$AA$1))</f>
        <v/>
      </c>
      <c r="N291" s="212" t="str">
        <f t="shared" ref="N291:N310" si="279">IF(ISERROR(Z291),"",IF(OR($C291="",$C291=0,Z291=""),"",IF(ISTEXT(Z291),Z291,IF($AA$1=T1SEL_2,Z291,IF($AA$1=2,(Z291*9/5)+32,(Z291-32)*5/9)))))</f>
        <v/>
      </c>
      <c r="O291" s="1016" t="str">
        <f t="shared" ref="O291:O310" si="280">IF(OR(J291="",L291=""),"",IF(ISTEXT(J291),"N/A",IF(ISTEXT(L291),J291,J291-L291)))</f>
        <v/>
      </c>
      <c r="P291" s="1125" t="str">
        <f t="shared" ref="P291:P310" si="281">IF(OR(M291="",N291=""),"",IF(OR(ISTEXT(M291),ISTEXT(N291)),"N/A",IF($AA$1=1,ROUND(EXP(-AF291*(N291-15)*(1+0.8*AF291*(N291-15))),5),AZ291)))</f>
        <v/>
      </c>
      <c r="Q291" s="1016" t="str">
        <f t="shared" ref="Q291:Q310" si="282">IF(OR(M291="",N291=""),"",IF(OR(ISTEXT(M291),ISTEXT(N291)),"N/A",ROUND(O291*P291,3)))</f>
        <v/>
      </c>
      <c r="R291" s="214" t="str">
        <f t="shared" ref="R291:R310" si="283">IF(M291="","",IF($AA$1=1,IF(ISTEXT(Q291),"N/A",ROUND(Q291*M291,3)),IF(ISTEXT(T291),"N/A",ROUND(T291*AC291,3))))</f>
        <v/>
      </c>
      <c r="S291" s="1125" t="str">
        <f t="shared" ref="S291:S310" si="284">IF(M291="","",IF($AA$1=1,ROUND(M291-0.0011,5),ROUND((1.00122697*(141.5/(M291+131.5))-1.22269727*10^-3)*8.32823*42/2204.62,5+2)))</f>
        <v/>
      </c>
      <c r="T291" s="236" t="str">
        <f t="shared" ref="T291:T310" si="285">IF(OR(M291="",N291=""),"",IF(ISTEXT(Q291),"N/A",IF($AA$1=1,ROUND((Q291*(M291-0.0011)),3),ROUND(Q291*S291,3))))</f>
        <v/>
      </c>
      <c r="W291" s="642" t="e">
        <f>INDEX('Barge Gauging Data'!$B$26:$V$56,MATCH($C291,'Barge Gauging Data'!$B$26:$B$56,0),$W$198)</f>
        <v>#N/A</v>
      </c>
      <c r="X291" s="642" t="e">
        <f>INDEX('Barge Gauging Data'!$B$26:$V$56,MATCH($C291,'Barge Gauging Data'!$B$26:$B$56,0),$X$198)</f>
        <v>#N/A</v>
      </c>
      <c r="Y291" s="642" t="e">
        <f>INDEX('Barge Gauging Data'!$B$26:$V$56,MATCH($C291,'Barge Gauging Data'!$B$26:$B$56,0),$Y$198)</f>
        <v>#N/A</v>
      </c>
      <c r="Z291" s="642" t="e">
        <f>INDEX('Barge Gauging Data'!$B$26:$V$56,MATCH($C291,'Barge Gauging Data'!$B$26:$B$56,0),$Z$198)</f>
        <v>#N/A</v>
      </c>
      <c r="AB291" s="642" t="e">
        <f>INDEX(API2DENST_2,MATCH($C291,'Barge Gauging Data'!$B$27:$B$56,0),1)</f>
        <v>#N/A</v>
      </c>
      <c r="AC291" s="642" t="e">
        <f t="shared" si="218"/>
        <v>#N/A</v>
      </c>
      <c r="AE291" s="661" t="e">
        <f t="shared" si="219"/>
        <v>#VALUE!</v>
      </c>
      <c r="AF291" s="661" t="e">
        <f t="shared" si="220"/>
        <v>#VALUE!</v>
      </c>
      <c r="AH291" s="662" t="str">
        <f t="shared" si="269"/>
        <v/>
      </c>
      <c r="AI291" s="662" t="str">
        <f t="shared" si="270"/>
        <v/>
      </c>
      <c r="AJ291" s="663">
        <f t="shared" si="221"/>
        <v>192.4571</v>
      </c>
      <c r="AK291" s="660">
        <f t="shared" si="222"/>
        <v>0.24379999999999999</v>
      </c>
      <c r="AL291" s="660" t="e">
        <f t="shared" si="223"/>
        <v>#VALUE!</v>
      </c>
      <c r="AM291" s="664" t="e">
        <f t="shared" si="224"/>
        <v>#VALUE!</v>
      </c>
      <c r="AN291" s="664" t="e">
        <f t="shared" si="225"/>
        <v>#VALUE!</v>
      </c>
      <c r="AO291" s="665" t="e">
        <f t="shared" si="226"/>
        <v>#VALUE!</v>
      </c>
      <c r="AP291" s="666" t="e">
        <f t="shared" si="227"/>
        <v>#VALUE!</v>
      </c>
      <c r="AQ291" s="660" t="e">
        <f t="shared" si="228"/>
        <v>#VALUE!</v>
      </c>
      <c r="AR291" s="667" t="e">
        <f t="shared" si="229"/>
        <v>#VALUE!</v>
      </c>
      <c r="AS291" s="667" t="e">
        <f t="shared" si="230"/>
        <v>#VALUE!</v>
      </c>
      <c r="AT291" s="668" t="e">
        <f t="shared" si="231"/>
        <v>#VALUE!</v>
      </c>
      <c r="AU291" s="667" t="e">
        <f t="shared" si="232"/>
        <v>#VALUE!</v>
      </c>
      <c r="AV291" s="669" t="e">
        <f t="shared" si="233"/>
        <v>#VALUE!</v>
      </c>
      <c r="AW291" s="667" t="e">
        <f t="shared" si="234"/>
        <v>#VALUE!</v>
      </c>
      <c r="AX291" s="667" t="e">
        <f t="shared" si="235"/>
        <v>#VALUE!</v>
      </c>
      <c r="AY291" s="660" t="e">
        <f t="shared" si="236"/>
        <v>#VALUE!</v>
      </c>
      <c r="AZ291" s="670" t="e">
        <f t="shared" si="237"/>
        <v>#VALUE!</v>
      </c>
      <c r="BB291" s="662" t="e">
        <f>INDEX('Barge Gauging Data'!$B$26:$V$56,MATCH($C291,'Barge Gauging Data'!$B$26:$B$56,0),$BB$198)</f>
        <v>#N/A</v>
      </c>
      <c r="BC291" s="662" t="e">
        <f>INDEX('Barge Gauging Data'!$B$26:$V$56,MATCH($C291,'Barge Gauging Data'!$B$26:$B$56,0),$BC$198)</f>
        <v>#N/A</v>
      </c>
      <c r="BD291" s="662" t="e">
        <f>INDEX('Barge Gauging Data'!$B$26:$V$56,MATCH($C291,'Barge Gauging Data'!$B$26:$B$56,0),$BD$198)</f>
        <v>#N/A</v>
      </c>
      <c r="BE291" s="662" t="e">
        <f>INDEX('Barge Gauging Data'!$B$26:$V$56,MATCH($C291,'Barge Gauging Data'!$B$26:$B$56,0),$BE$198)</f>
        <v>#N/A</v>
      </c>
    </row>
    <row r="292" spans="1:57" hidden="1">
      <c r="A292" s="641" t="str">
        <f t="shared" si="253"/>
        <v>N</v>
      </c>
      <c r="C292" s="235" t="str">
        <f t="shared" si="272"/>
        <v/>
      </c>
      <c r="D292" s="211" t="str">
        <f t="shared" si="272"/>
        <v/>
      </c>
      <c r="E292" s="1016" t="str">
        <f t="shared" si="271"/>
        <v/>
      </c>
      <c r="F292" s="1016" t="str">
        <f t="shared" si="273"/>
        <v/>
      </c>
      <c r="G292" s="1016" t="str">
        <f t="shared" si="274"/>
        <v/>
      </c>
      <c r="H292" s="1016" t="str">
        <f t="shared" si="274"/>
        <v/>
      </c>
      <c r="I292" s="211" t="str">
        <f t="shared" si="275"/>
        <v/>
      </c>
      <c r="J292" s="1016" t="str">
        <f t="shared" si="276"/>
        <v/>
      </c>
      <c r="K292" s="213" t="str">
        <f t="shared" si="277"/>
        <v/>
      </c>
      <c r="L292" s="212" t="str">
        <f t="shared" si="278"/>
        <v/>
      </c>
      <c r="M292" s="1125" t="str">
        <f>IF(OR($C292="",$C292=0),"",INDEX(API2DENST_2,MATCH($C292,'Barge Gauging Data'!$B$27:$B$56,0),$AA$1))</f>
        <v/>
      </c>
      <c r="N292" s="212" t="str">
        <f t="shared" si="279"/>
        <v/>
      </c>
      <c r="O292" s="1016" t="str">
        <f t="shared" si="280"/>
        <v/>
      </c>
      <c r="P292" s="1125" t="str">
        <f t="shared" si="281"/>
        <v/>
      </c>
      <c r="Q292" s="1016" t="str">
        <f t="shared" si="282"/>
        <v/>
      </c>
      <c r="R292" s="214" t="str">
        <f t="shared" si="283"/>
        <v/>
      </c>
      <c r="S292" s="1125" t="str">
        <f t="shared" si="284"/>
        <v/>
      </c>
      <c r="T292" s="236" t="str">
        <f t="shared" si="285"/>
        <v/>
      </c>
      <c r="W292" s="642" t="e">
        <f>INDEX('Barge Gauging Data'!$B$26:$V$56,MATCH($C292,'Barge Gauging Data'!$B$26:$B$56,0),$W$198)</f>
        <v>#N/A</v>
      </c>
      <c r="X292" s="642" t="e">
        <f>INDEX('Barge Gauging Data'!$B$26:$V$56,MATCH($C292,'Barge Gauging Data'!$B$26:$B$56,0),$X$198)</f>
        <v>#N/A</v>
      </c>
      <c r="Y292" s="642" t="e">
        <f>INDEX('Barge Gauging Data'!$B$26:$V$56,MATCH($C292,'Barge Gauging Data'!$B$26:$B$56,0),$Y$198)</f>
        <v>#N/A</v>
      </c>
      <c r="Z292" s="642" t="e">
        <f>INDEX('Barge Gauging Data'!$B$26:$V$56,MATCH($C292,'Barge Gauging Data'!$B$26:$B$56,0),$Z$198)</f>
        <v>#N/A</v>
      </c>
      <c r="AB292" s="642" t="e">
        <f>INDEX(API2DENST_2,MATCH($C292,'Barge Gauging Data'!$B$27:$B$56,0),1)</f>
        <v>#N/A</v>
      </c>
      <c r="AC292" s="642" t="e">
        <f t="shared" si="218"/>
        <v>#N/A</v>
      </c>
      <c r="AE292" s="661" t="e">
        <f t="shared" si="219"/>
        <v>#VALUE!</v>
      </c>
      <c r="AF292" s="661" t="e">
        <f t="shared" si="220"/>
        <v>#VALUE!</v>
      </c>
      <c r="AH292" s="662" t="str">
        <f t="shared" si="269"/>
        <v/>
      </c>
      <c r="AI292" s="662" t="str">
        <f t="shared" si="270"/>
        <v/>
      </c>
      <c r="AJ292" s="663">
        <f t="shared" si="221"/>
        <v>192.4571</v>
      </c>
      <c r="AK292" s="660">
        <f t="shared" si="222"/>
        <v>0.24379999999999999</v>
      </c>
      <c r="AL292" s="660" t="e">
        <f t="shared" si="223"/>
        <v>#VALUE!</v>
      </c>
      <c r="AM292" s="664" t="e">
        <f t="shared" si="224"/>
        <v>#VALUE!</v>
      </c>
      <c r="AN292" s="664" t="e">
        <f t="shared" si="225"/>
        <v>#VALUE!</v>
      </c>
      <c r="AO292" s="665" t="e">
        <f t="shared" si="226"/>
        <v>#VALUE!</v>
      </c>
      <c r="AP292" s="666" t="e">
        <f t="shared" si="227"/>
        <v>#VALUE!</v>
      </c>
      <c r="AQ292" s="660" t="e">
        <f t="shared" si="228"/>
        <v>#VALUE!</v>
      </c>
      <c r="AR292" s="667" t="e">
        <f t="shared" si="229"/>
        <v>#VALUE!</v>
      </c>
      <c r="AS292" s="667" t="e">
        <f t="shared" si="230"/>
        <v>#VALUE!</v>
      </c>
      <c r="AT292" s="668" t="e">
        <f t="shared" si="231"/>
        <v>#VALUE!</v>
      </c>
      <c r="AU292" s="667" t="e">
        <f t="shared" si="232"/>
        <v>#VALUE!</v>
      </c>
      <c r="AV292" s="669" t="e">
        <f t="shared" si="233"/>
        <v>#VALUE!</v>
      </c>
      <c r="AW292" s="667" t="e">
        <f t="shared" si="234"/>
        <v>#VALUE!</v>
      </c>
      <c r="AX292" s="667" t="e">
        <f t="shared" si="235"/>
        <v>#VALUE!</v>
      </c>
      <c r="AY292" s="660" t="e">
        <f t="shared" si="236"/>
        <v>#VALUE!</v>
      </c>
      <c r="AZ292" s="670" t="e">
        <f t="shared" si="237"/>
        <v>#VALUE!</v>
      </c>
      <c r="BB292" s="662" t="e">
        <f>INDEX('Barge Gauging Data'!$B$26:$V$56,MATCH($C292,'Barge Gauging Data'!$B$26:$B$56,0),$BB$198)</f>
        <v>#N/A</v>
      </c>
      <c r="BC292" s="662" t="e">
        <f>INDEX('Barge Gauging Data'!$B$26:$V$56,MATCH($C292,'Barge Gauging Data'!$B$26:$B$56,0),$BC$198)</f>
        <v>#N/A</v>
      </c>
      <c r="BD292" s="662" t="e">
        <f>INDEX('Barge Gauging Data'!$B$26:$V$56,MATCH($C292,'Barge Gauging Data'!$B$26:$B$56,0),$BD$198)</f>
        <v>#N/A</v>
      </c>
      <c r="BE292" s="662" t="e">
        <f>INDEX('Barge Gauging Data'!$B$26:$V$56,MATCH($C292,'Barge Gauging Data'!$B$26:$B$56,0),$BE$198)</f>
        <v>#N/A</v>
      </c>
    </row>
    <row r="293" spans="1:57" hidden="1">
      <c r="A293" s="641" t="str">
        <f t="shared" si="253"/>
        <v>N</v>
      </c>
      <c r="C293" s="235" t="str">
        <f t="shared" si="272"/>
        <v/>
      </c>
      <c r="D293" s="211" t="str">
        <f t="shared" si="272"/>
        <v/>
      </c>
      <c r="E293" s="1016" t="str">
        <f t="shared" si="271"/>
        <v/>
      </c>
      <c r="F293" s="1016" t="str">
        <f t="shared" si="273"/>
        <v/>
      </c>
      <c r="G293" s="1016" t="str">
        <f t="shared" si="274"/>
        <v/>
      </c>
      <c r="H293" s="1016" t="str">
        <f t="shared" si="274"/>
        <v/>
      </c>
      <c r="I293" s="211" t="str">
        <f t="shared" si="275"/>
        <v/>
      </c>
      <c r="J293" s="1016" t="str">
        <f t="shared" si="276"/>
        <v/>
      </c>
      <c r="K293" s="213" t="str">
        <f t="shared" si="277"/>
        <v/>
      </c>
      <c r="L293" s="212" t="str">
        <f t="shared" si="278"/>
        <v/>
      </c>
      <c r="M293" s="1125" t="str">
        <f>IF(OR($C293="",$C293=0),"",INDEX(API2DENST_2,MATCH($C293,'Barge Gauging Data'!$B$27:$B$56,0),$AA$1))</f>
        <v/>
      </c>
      <c r="N293" s="212" t="str">
        <f t="shared" si="279"/>
        <v/>
      </c>
      <c r="O293" s="1016" t="str">
        <f t="shared" si="280"/>
        <v/>
      </c>
      <c r="P293" s="1125" t="str">
        <f t="shared" si="281"/>
        <v/>
      </c>
      <c r="Q293" s="1016" t="str">
        <f t="shared" si="282"/>
        <v/>
      </c>
      <c r="R293" s="214" t="str">
        <f t="shared" si="283"/>
        <v/>
      </c>
      <c r="S293" s="1125" t="str">
        <f t="shared" si="284"/>
        <v/>
      </c>
      <c r="T293" s="236" t="str">
        <f t="shared" si="285"/>
        <v/>
      </c>
      <c r="W293" s="642" t="e">
        <f>INDEX('Barge Gauging Data'!$B$26:$V$56,MATCH($C293,'Barge Gauging Data'!$B$26:$B$56,0),$W$198)</f>
        <v>#N/A</v>
      </c>
      <c r="X293" s="642" t="e">
        <f>INDEX('Barge Gauging Data'!$B$26:$V$56,MATCH($C293,'Barge Gauging Data'!$B$26:$B$56,0),$X$198)</f>
        <v>#N/A</v>
      </c>
      <c r="Y293" s="642" t="e">
        <f>INDEX('Barge Gauging Data'!$B$26:$V$56,MATCH($C293,'Barge Gauging Data'!$B$26:$B$56,0),$Y$198)</f>
        <v>#N/A</v>
      </c>
      <c r="Z293" s="642" t="e">
        <f>INDEX('Barge Gauging Data'!$B$26:$V$56,MATCH($C293,'Barge Gauging Data'!$B$26:$B$56,0),$Z$198)</f>
        <v>#N/A</v>
      </c>
      <c r="AB293" s="642" t="e">
        <f>INDEX(API2DENST_2,MATCH($C293,'Barge Gauging Data'!$B$27:$B$56,0),1)</f>
        <v>#N/A</v>
      </c>
      <c r="AC293" s="642" t="e">
        <f t="shared" si="218"/>
        <v>#N/A</v>
      </c>
      <c r="AE293" s="661" t="e">
        <f t="shared" si="219"/>
        <v>#VALUE!</v>
      </c>
      <c r="AF293" s="661" t="e">
        <f t="shared" si="220"/>
        <v>#VALUE!</v>
      </c>
      <c r="AH293" s="662" t="str">
        <f t="shared" si="269"/>
        <v/>
      </c>
      <c r="AI293" s="662" t="str">
        <f t="shared" si="270"/>
        <v/>
      </c>
      <c r="AJ293" s="663">
        <f t="shared" si="221"/>
        <v>192.4571</v>
      </c>
      <c r="AK293" s="660">
        <f t="shared" si="222"/>
        <v>0.24379999999999999</v>
      </c>
      <c r="AL293" s="660" t="e">
        <f t="shared" si="223"/>
        <v>#VALUE!</v>
      </c>
      <c r="AM293" s="664" t="e">
        <f t="shared" si="224"/>
        <v>#VALUE!</v>
      </c>
      <c r="AN293" s="664" t="e">
        <f t="shared" si="225"/>
        <v>#VALUE!</v>
      </c>
      <c r="AO293" s="665" t="e">
        <f t="shared" si="226"/>
        <v>#VALUE!</v>
      </c>
      <c r="AP293" s="666" t="e">
        <f t="shared" si="227"/>
        <v>#VALUE!</v>
      </c>
      <c r="AQ293" s="660" t="e">
        <f t="shared" si="228"/>
        <v>#VALUE!</v>
      </c>
      <c r="AR293" s="667" t="e">
        <f t="shared" si="229"/>
        <v>#VALUE!</v>
      </c>
      <c r="AS293" s="667" t="e">
        <f t="shared" si="230"/>
        <v>#VALUE!</v>
      </c>
      <c r="AT293" s="668" t="e">
        <f t="shared" si="231"/>
        <v>#VALUE!</v>
      </c>
      <c r="AU293" s="667" t="e">
        <f t="shared" si="232"/>
        <v>#VALUE!</v>
      </c>
      <c r="AV293" s="669" t="e">
        <f t="shared" si="233"/>
        <v>#VALUE!</v>
      </c>
      <c r="AW293" s="667" t="e">
        <f t="shared" si="234"/>
        <v>#VALUE!</v>
      </c>
      <c r="AX293" s="667" t="e">
        <f t="shared" si="235"/>
        <v>#VALUE!</v>
      </c>
      <c r="AY293" s="660" t="e">
        <f t="shared" si="236"/>
        <v>#VALUE!</v>
      </c>
      <c r="AZ293" s="670" t="e">
        <f t="shared" si="237"/>
        <v>#VALUE!</v>
      </c>
      <c r="BB293" s="662" t="e">
        <f>INDEX('Barge Gauging Data'!$B$26:$V$56,MATCH($C293,'Barge Gauging Data'!$B$26:$B$56,0),$BB$198)</f>
        <v>#N/A</v>
      </c>
      <c r="BC293" s="662" t="e">
        <f>INDEX('Barge Gauging Data'!$B$26:$V$56,MATCH($C293,'Barge Gauging Data'!$B$26:$B$56,0),$BC$198)</f>
        <v>#N/A</v>
      </c>
      <c r="BD293" s="662" t="e">
        <f>INDEX('Barge Gauging Data'!$B$26:$V$56,MATCH($C293,'Barge Gauging Data'!$B$26:$B$56,0),$BD$198)</f>
        <v>#N/A</v>
      </c>
      <c r="BE293" s="662" t="e">
        <f>INDEX('Barge Gauging Data'!$B$26:$V$56,MATCH($C293,'Barge Gauging Data'!$B$26:$B$56,0),$BE$198)</f>
        <v>#N/A</v>
      </c>
    </row>
    <row r="294" spans="1:57" hidden="1">
      <c r="A294" s="641" t="str">
        <f t="shared" ref="A294:A325" si="286">A117</f>
        <v>N</v>
      </c>
      <c r="C294" s="235" t="str">
        <f t="shared" si="272"/>
        <v/>
      </c>
      <c r="D294" s="211" t="str">
        <f t="shared" si="272"/>
        <v/>
      </c>
      <c r="E294" s="1016" t="str">
        <f t="shared" si="271"/>
        <v/>
      </c>
      <c r="F294" s="1016" t="str">
        <f t="shared" si="273"/>
        <v/>
      </c>
      <c r="G294" s="1016" t="str">
        <f t="shared" si="274"/>
        <v/>
      </c>
      <c r="H294" s="1016" t="str">
        <f t="shared" si="274"/>
        <v/>
      </c>
      <c r="I294" s="211" t="str">
        <f t="shared" si="275"/>
        <v/>
      </c>
      <c r="J294" s="1016" t="str">
        <f t="shared" si="276"/>
        <v/>
      </c>
      <c r="K294" s="213" t="str">
        <f t="shared" si="277"/>
        <v/>
      </c>
      <c r="L294" s="212" t="str">
        <f t="shared" si="278"/>
        <v/>
      </c>
      <c r="M294" s="1125" t="str">
        <f>IF(OR($C294="",$C294=0),"",INDEX(API2DENST_2,MATCH($C294,'Barge Gauging Data'!$B$27:$B$56,0),$AA$1))</f>
        <v/>
      </c>
      <c r="N294" s="212" t="str">
        <f t="shared" si="279"/>
        <v/>
      </c>
      <c r="O294" s="1016" t="str">
        <f t="shared" si="280"/>
        <v/>
      </c>
      <c r="P294" s="1125" t="str">
        <f t="shared" si="281"/>
        <v/>
      </c>
      <c r="Q294" s="1016" t="str">
        <f t="shared" si="282"/>
        <v/>
      </c>
      <c r="R294" s="214" t="str">
        <f t="shared" si="283"/>
        <v/>
      </c>
      <c r="S294" s="1125" t="str">
        <f t="shared" si="284"/>
        <v/>
      </c>
      <c r="T294" s="236" t="str">
        <f t="shared" si="285"/>
        <v/>
      </c>
      <c r="W294" s="642" t="e">
        <f>INDEX('Barge Gauging Data'!$B$26:$V$56,MATCH($C294,'Barge Gauging Data'!$B$26:$B$56,0),$W$198)</f>
        <v>#N/A</v>
      </c>
      <c r="X294" s="642" t="e">
        <f>INDEX('Barge Gauging Data'!$B$26:$V$56,MATCH($C294,'Barge Gauging Data'!$B$26:$B$56,0),$X$198)</f>
        <v>#N/A</v>
      </c>
      <c r="Y294" s="642" t="e">
        <f>INDEX('Barge Gauging Data'!$B$26:$V$56,MATCH($C294,'Barge Gauging Data'!$B$26:$B$56,0),$Y$198)</f>
        <v>#N/A</v>
      </c>
      <c r="Z294" s="642" t="e">
        <f>INDEX('Barge Gauging Data'!$B$26:$V$56,MATCH($C294,'Barge Gauging Data'!$B$26:$B$56,0),$Z$198)</f>
        <v>#N/A</v>
      </c>
      <c r="AB294" s="642" t="e">
        <f>INDEX(API2DENST_2,MATCH($C294,'Barge Gauging Data'!$B$27:$B$56,0),1)</f>
        <v>#N/A</v>
      </c>
      <c r="AC294" s="642" t="e">
        <f t="shared" si="218"/>
        <v>#N/A</v>
      </c>
      <c r="AE294" s="661" t="e">
        <f t="shared" si="219"/>
        <v>#VALUE!</v>
      </c>
      <c r="AF294" s="661" t="e">
        <f t="shared" si="220"/>
        <v>#VALUE!</v>
      </c>
      <c r="AH294" s="662" t="str">
        <f t="shared" si="269"/>
        <v/>
      </c>
      <c r="AI294" s="662" t="str">
        <f t="shared" si="270"/>
        <v/>
      </c>
      <c r="AJ294" s="663">
        <f t="shared" si="221"/>
        <v>192.4571</v>
      </c>
      <c r="AK294" s="660">
        <f t="shared" si="222"/>
        <v>0.24379999999999999</v>
      </c>
      <c r="AL294" s="660" t="e">
        <f t="shared" si="223"/>
        <v>#VALUE!</v>
      </c>
      <c r="AM294" s="664" t="e">
        <f t="shared" si="224"/>
        <v>#VALUE!</v>
      </c>
      <c r="AN294" s="664" t="e">
        <f t="shared" si="225"/>
        <v>#VALUE!</v>
      </c>
      <c r="AO294" s="665" t="e">
        <f t="shared" si="226"/>
        <v>#VALUE!</v>
      </c>
      <c r="AP294" s="666" t="e">
        <f t="shared" si="227"/>
        <v>#VALUE!</v>
      </c>
      <c r="AQ294" s="660" t="e">
        <f t="shared" si="228"/>
        <v>#VALUE!</v>
      </c>
      <c r="AR294" s="667" t="e">
        <f t="shared" si="229"/>
        <v>#VALUE!</v>
      </c>
      <c r="AS294" s="667" t="e">
        <f t="shared" si="230"/>
        <v>#VALUE!</v>
      </c>
      <c r="AT294" s="668" t="e">
        <f t="shared" si="231"/>
        <v>#VALUE!</v>
      </c>
      <c r="AU294" s="667" t="e">
        <f t="shared" si="232"/>
        <v>#VALUE!</v>
      </c>
      <c r="AV294" s="669" t="e">
        <f t="shared" si="233"/>
        <v>#VALUE!</v>
      </c>
      <c r="AW294" s="667" t="e">
        <f t="shared" si="234"/>
        <v>#VALUE!</v>
      </c>
      <c r="AX294" s="667" t="e">
        <f t="shared" si="235"/>
        <v>#VALUE!</v>
      </c>
      <c r="AY294" s="660" t="e">
        <f t="shared" si="236"/>
        <v>#VALUE!</v>
      </c>
      <c r="AZ294" s="670" t="e">
        <f t="shared" si="237"/>
        <v>#VALUE!</v>
      </c>
      <c r="BB294" s="662" t="e">
        <f>INDEX('Barge Gauging Data'!$B$26:$V$56,MATCH($C294,'Barge Gauging Data'!$B$26:$B$56,0),$BB$198)</f>
        <v>#N/A</v>
      </c>
      <c r="BC294" s="662" t="e">
        <f>INDEX('Barge Gauging Data'!$B$26:$V$56,MATCH($C294,'Barge Gauging Data'!$B$26:$B$56,0),$BC$198)</f>
        <v>#N/A</v>
      </c>
      <c r="BD294" s="662" t="e">
        <f>INDEX('Barge Gauging Data'!$B$26:$V$56,MATCH($C294,'Barge Gauging Data'!$B$26:$B$56,0),$BD$198)</f>
        <v>#N/A</v>
      </c>
      <c r="BE294" s="662" t="e">
        <f>INDEX('Barge Gauging Data'!$B$26:$V$56,MATCH($C294,'Barge Gauging Data'!$B$26:$B$56,0),$BE$198)</f>
        <v>#N/A</v>
      </c>
    </row>
    <row r="295" spans="1:57" hidden="1">
      <c r="A295" s="641" t="str">
        <f t="shared" si="286"/>
        <v>N</v>
      </c>
      <c r="C295" s="235" t="str">
        <f t="shared" si="272"/>
        <v/>
      </c>
      <c r="D295" s="211" t="str">
        <f t="shared" si="272"/>
        <v/>
      </c>
      <c r="E295" s="1016" t="str">
        <f t="shared" si="271"/>
        <v/>
      </c>
      <c r="F295" s="1016" t="str">
        <f t="shared" si="273"/>
        <v/>
      </c>
      <c r="G295" s="1016" t="str">
        <f t="shared" si="274"/>
        <v/>
      </c>
      <c r="H295" s="1016" t="str">
        <f t="shared" si="274"/>
        <v/>
      </c>
      <c r="I295" s="211" t="str">
        <f t="shared" si="275"/>
        <v/>
      </c>
      <c r="J295" s="1016" t="str">
        <f t="shared" si="276"/>
        <v/>
      </c>
      <c r="K295" s="213" t="str">
        <f t="shared" si="277"/>
        <v/>
      </c>
      <c r="L295" s="212" t="str">
        <f t="shared" si="278"/>
        <v/>
      </c>
      <c r="M295" s="1125" t="str">
        <f>IF(OR($C295="",$C295=0),"",INDEX(API2DENST_2,MATCH($C295,'Barge Gauging Data'!$B$27:$B$56,0),$AA$1))</f>
        <v/>
      </c>
      <c r="N295" s="212" t="str">
        <f t="shared" si="279"/>
        <v/>
      </c>
      <c r="O295" s="1016" t="str">
        <f t="shared" si="280"/>
        <v/>
      </c>
      <c r="P295" s="1125" t="str">
        <f t="shared" si="281"/>
        <v/>
      </c>
      <c r="Q295" s="1016" t="str">
        <f t="shared" si="282"/>
        <v/>
      </c>
      <c r="R295" s="214" t="str">
        <f t="shared" si="283"/>
        <v/>
      </c>
      <c r="S295" s="1125" t="str">
        <f t="shared" si="284"/>
        <v/>
      </c>
      <c r="T295" s="236" t="str">
        <f t="shared" si="285"/>
        <v/>
      </c>
      <c r="W295" s="642" t="e">
        <f>INDEX('Barge Gauging Data'!$B$26:$V$56,MATCH($C295,'Barge Gauging Data'!$B$26:$B$56,0),$W$198)</f>
        <v>#N/A</v>
      </c>
      <c r="X295" s="642" t="e">
        <f>INDEX('Barge Gauging Data'!$B$26:$V$56,MATCH($C295,'Barge Gauging Data'!$B$26:$B$56,0),$X$198)</f>
        <v>#N/A</v>
      </c>
      <c r="Y295" s="642" t="e">
        <f>INDEX('Barge Gauging Data'!$B$26:$V$56,MATCH($C295,'Barge Gauging Data'!$B$26:$B$56,0),$Y$198)</f>
        <v>#N/A</v>
      </c>
      <c r="Z295" s="642" t="e">
        <f>INDEX('Barge Gauging Data'!$B$26:$V$56,MATCH($C295,'Barge Gauging Data'!$B$26:$B$56,0),$Z$198)</f>
        <v>#N/A</v>
      </c>
      <c r="AB295" s="642" t="e">
        <f>INDEX(API2DENST_2,MATCH($C295,'Barge Gauging Data'!$B$27:$B$56,0),1)</f>
        <v>#N/A</v>
      </c>
      <c r="AC295" s="642" t="e">
        <f t="shared" si="218"/>
        <v>#N/A</v>
      </c>
      <c r="AE295" s="661" t="e">
        <f t="shared" si="219"/>
        <v>#VALUE!</v>
      </c>
      <c r="AF295" s="661" t="e">
        <f t="shared" si="220"/>
        <v>#VALUE!</v>
      </c>
      <c r="AH295" s="662" t="str">
        <f t="shared" si="269"/>
        <v/>
      </c>
      <c r="AI295" s="662" t="str">
        <f t="shared" si="270"/>
        <v/>
      </c>
      <c r="AJ295" s="663">
        <f t="shared" si="221"/>
        <v>192.4571</v>
      </c>
      <c r="AK295" s="660">
        <f t="shared" si="222"/>
        <v>0.24379999999999999</v>
      </c>
      <c r="AL295" s="660" t="e">
        <f t="shared" si="223"/>
        <v>#VALUE!</v>
      </c>
      <c r="AM295" s="664" t="e">
        <f t="shared" si="224"/>
        <v>#VALUE!</v>
      </c>
      <c r="AN295" s="664" t="e">
        <f t="shared" si="225"/>
        <v>#VALUE!</v>
      </c>
      <c r="AO295" s="665" t="e">
        <f t="shared" si="226"/>
        <v>#VALUE!</v>
      </c>
      <c r="AP295" s="666" t="e">
        <f t="shared" si="227"/>
        <v>#VALUE!</v>
      </c>
      <c r="AQ295" s="660" t="e">
        <f t="shared" si="228"/>
        <v>#VALUE!</v>
      </c>
      <c r="AR295" s="667" t="e">
        <f t="shared" si="229"/>
        <v>#VALUE!</v>
      </c>
      <c r="AS295" s="667" t="e">
        <f t="shared" si="230"/>
        <v>#VALUE!</v>
      </c>
      <c r="AT295" s="668" t="e">
        <f t="shared" si="231"/>
        <v>#VALUE!</v>
      </c>
      <c r="AU295" s="667" t="e">
        <f t="shared" si="232"/>
        <v>#VALUE!</v>
      </c>
      <c r="AV295" s="669" t="e">
        <f t="shared" si="233"/>
        <v>#VALUE!</v>
      </c>
      <c r="AW295" s="667" t="e">
        <f t="shared" si="234"/>
        <v>#VALUE!</v>
      </c>
      <c r="AX295" s="667" t="e">
        <f t="shared" si="235"/>
        <v>#VALUE!</v>
      </c>
      <c r="AY295" s="660" t="e">
        <f t="shared" si="236"/>
        <v>#VALUE!</v>
      </c>
      <c r="AZ295" s="670" t="e">
        <f t="shared" si="237"/>
        <v>#VALUE!</v>
      </c>
      <c r="BB295" s="662" t="e">
        <f>INDEX('Barge Gauging Data'!$B$26:$V$56,MATCH($C295,'Barge Gauging Data'!$B$26:$B$56,0),$BB$198)</f>
        <v>#N/A</v>
      </c>
      <c r="BC295" s="662" t="e">
        <f>INDEX('Barge Gauging Data'!$B$26:$V$56,MATCH($C295,'Barge Gauging Data'!$B$26:$B$56,0),$BC$198)</f>
        <v>#N/A</v>
      </c>
      <c r="BD295" s="662" t="e">
        <f>INDEX('Barge Gauging Data'!$B$26:$V$56,MATCH($C295,'Barge Gauging Data'!$B$26:$B$56,0),$BD$198)</f>
        <v>#N/A</v>
      </c>
      <c r="BE295" s="662" t="e">
        <f>INDEX('Barge Gauging Data'!$B$26:$V$56,MATCH($C295,'Barge Gauging Data'!$B$26:$B$56,0),$BE$198)</f>
        <v>#N/A</v>
      </c>
    </row>
    <row r="296" spans="1:57" hidden="1">
      <c r="A296" s="641" t="str">
        <f t="shared" si="286"/>
        <v>N</v>
      </c>
      <c r="C296" s="235" t="str">
        <f t="shared" si="272"/>
        <v/>
      </c>
      <c r="D296" s="211" t="str">
        <f t="shared" si="272"/>
        <v/>
      </c>
      <c r="E296" s="1016" t="str">
        <f t="shared" si="271"/>
        <v/>
      </c>
      <c r="F296" s="1016" t="str">
        <f t="shared" si="273"/>
        <v/>
      </c>
      <c r="G296" s="1016" t="str">
        <f t="shared" si="274"/>
        <v/>
      </c>
      <c r="H296" s="1016" t="str">
        <f t="shared" si="274"/>
        <v/>
      </c>
      <c r="I296" s="211" t="str">
        <f t="shared" si="275"/>
        <v/>
      </c>
      <c r="J296" s="1016" t="str">
        <f t="shared" si="276"/>
        <v/>
      </c>
      <c r="K296" s="213" t="str">
        <f t="shared" si="277"/>
        <v/>
      </c>
      <c r="L296" s="212" t="str">
        <f t="shared" si="278"/>
        <v/>
      </c>
      <c r="M296" s="1125" t="str">
        <f>IF(OR($C296="",$C296=0),"",INDEX(API2DENST_2,MATCH($C296,'Barge Gauging Data'!$B$27:$B$56,0),$AA$1))</f>
        <v/>
      </c>
      <c r="N296" s="212" t="str">
        <f t="shared" si="279"/>
        <v/>
      </c>
      <c r="O296" s="1016" t="str">
        <f t="shared" si="280"/>
        <v/>
      </c>
      <c r="P296" s="1125" t="str">
        <f t="shared" si="281"/>
        <v/>
      </c>
      <c r="Q296" s="1016" t="str">
        <f t="shared" si="282"/>
        <v/>
      </c>
      <c r="R296" s="214" t="str">
        <f t="shared" si="283"/>
        <v/>
      </c>
      <c r="S296" s="1125" t="str">
        <f t="shared" si="284"/>
        <v/>
      </c>
      <c r="T296" s="236" t="str">
        <f t="shared" si="285"/>
        <v/>
      </c>
      <c r="W296" s="642" t="e">
        <f>INDEX('Barge Gauging Data'!$B$26:$V$56,MATCH($C296,'Barge Gauging Data'!$B$26:$B$56,0),$W$198)</f>
        <v>#N/A</v>
      </c>
      <c r="X296" s="642" t="e">
        <f>INDEX('Barge Gauging Data'!$B$26:$V$56,MATCH($C296,'Barge Gauging Data'!$B$26:$B$56,0),$X$198)</f>
        <v>#N/A</v>
      </c>
      <c r="Y296" s="642" t="e">
        <f>INDEX('Barge Gauging Data'!$B$26:$V$56,MATCH($C296,'Barge Gauging Data'!$B$26:$B$56,0),$Y$198)</f>
        <v>#N/A</v>
      </c>
      <c r="Z296" s="642" t="e">
        <f>INDEX('Barge Gauging Data'!$B$26:$V$56,MATCH($C296,'Barge Gauging Data'!$B$26:$B$56,0),$Z$198)</f>
        <v>#N/A</v>
      </c>
      <c r="AB296" s="642" t="e">
        <f>INDEX(API2DENST_2,MATCH($C296,'Barge Gauging Data'!$B$27:$B$56,0),1)</f>
        <v>#N/A</v>
      </c>
      <c r="AC296" s="642" t="e">
        <f t="shared" si="218"/>
        <v>#N/A</v>
      </c>
      <c r="AE296" s="661" t="e">
        <f t="shared" si="219"/>
        <v>#VALUE!</v>
      </c>
      <c r="AF296" s="661" t="e">
        <f t="shared" si="220"/>
        <v>#VALUE!</v>
      </c>
      <c r="AH296" s="662" t="str">
        <f t="shared" si="269"/>
        <v/>
      </c>
      <c r="AI296" s="662" t="str">
        <f t="shared" si="270"/>
        <v/>
      </c>
      <c r="AJ296" s="663">
        <f t="shared" si="221"/>
        <v>192.4571</v>
      </c>
      <c r="AK296" s="660">
        <f t="shared" si="222"/>
        <v>0.24379999999999999</v>
      </c>
      <c r="AL296" s="660" t="e">
        <f t="shared" si="223"/>
        <v>#VALUE!</v>
      </c>
      <c r="AM296" s="664" t="e">
        <f t="shared" si="224"/>
        <v>#VALUE!</v>
      </c>
      <c r="AN296" s="664" t="e">
        <f t="shared" si="225"/>
        <v>#VALUE!</v>
      </c>
      <c r="AO296" s="665" t="e">
        <f t="shared" si="226"/>
        <v>#VALUE!</v>
      </c>
      <c r="AP296" s="666" t="e">
        <f t="shared" si="227"/>
        <v>#VALUE!</v>
      </c>
      <c r="AQ296" s="660" t="e">
        <f t="shared" si="228"/>
        <v>#VALUE!</v>
      </c>
      <c r="AR296" s="667" t="e">
        <f t="shared" si="229"/>
        <v>#VALUE!</v>
      </c>
      <c r="AS296" s="667" t="e">
        <f t="shared" si="230"/>
        <v>#VALUE!</v>
      </c>
      <c r="AT296" s="668" t="e">
        <f t="shared" si="231"/>
        <v>#VALUE!</v>
      </c>
      <c r="AU296" s="667" t="e">
        <f t="shared" si="232"/>
        <v>#VALUE!</v>
      </c>
      <c r="AV296" s="669" t="e">
        <f t="shared" si="233"/>
        <v>#VALUE!</v>
      </c>
      <c r="AW296" s="667" t="e">
        <f t="shared" si="234"/>
        <v>#VALUE!</v>
      </c>
      <c r="AX296" s="667" t="e">
        <f t="shared" si="235"/>
        <v>#VALUE!</v>
      </c>
      <c r="AY296" s="660" t="e">
        <f t="shared" si="236"/>
        <v>#VALUE!</v>
      </c>
      <c r="AZ296" s="670" t="e">
        <f t="shared" si="237"/>
        <v>#VALUE!</v>
      </c>
      <c r="BB296" s="662" t="e">
        <f>INDEX('Barge Gauging Data'!$B$26:$V$56,MATCH($C296,'Barge Gauging Data'!$B$26:$B$56,0),$BB$198)</f>
        <v>#N/A</v>
      </c>
      <c r="BC296" s="662" t="e">
        <f>INDEX('Barge Gauging Data'!$B$26:$V$56,MATCH($C296,'Barge Gauging Data'!$B$26:$B$56,0),$BC$198)</f>
        <v>#N/A</v>
      </c>
      <c r="BD296" s="662" t="e">
        <f>INDEX('Barge Gauging Data'!$B$26:$V$56,MATCH($C296,'Barge Gauging Data'!$B$26:$B$56,0),$BD$198)</f>
        <v>#N/A</v>
      </c>
      <c r="BE296" s="662" t="e">
        <f>INDEX('Barge Gauging Data'!$B$26:$V$56,MATCH($C296,'Barge Gauging Data'!$B$26:$B$56,0),$BE$198)</f>
        <v>#N/A</v>
      </c>
    </row>
    <row r="297" spans="1:57" hidden="1">
      <c r="A297" s="641" t="str">
        <f t="shared" si="286"/>
        <v>N</v>
      </c>
      <c r="C297" s="235" t="str">
        <f t="shared" si="272"/>
        <v/>
      </c>
      <c r="D297" s="211" t="str">
        <f t="shared" si="272"/>
        <v/>
      </c>
      <c r="E297" s="1016" t="str">
        <f t="shared" si="271"/>
        <v/>
      </c>
      <c r="F297" s="1016" t="str">
        <f t="shared" si="273"/>
        <v/>
      </c>
      <c r="G297" s="1016" t="str">
        <f t="shared" si="274"/>
        <v/>
      </c>
      <c r="H297" s="1016" t="str">
        <f t="shared" si="274"/>
        <v/>
      </c>
      <c r="I297" s="211" t="str">
        <f t="shared" si="275"/>
        <v/>
      </c>
      <c r="J297" s="1016" t="str">
        <f t="shared" si="276"/>
        <v/>
      </c>
      <c r="K297" s="213" t="str">
        <f t="shared" si="277"/>
        <v/>
      </c>
      <c r="L297" s="212" t="str">
        <f t="shared" si="278"/>
        <v/>
      </c>
      <c r="M297" s="1125" t="str">
        <f>IF(OR($C297="",$C297=0),"",INDEX(API2DENST_2,MATCH($C297,'Barge Gauging Data'!$B$27:$B$56,0),$AA$1))</f>
        <v/>
      </c>
      <c r="N297" s="212" t="str">
        <f t="shared" si="279"/>
        <v/>
      </c>
      <c r="O297" s="1016" t="str">
        <f t="shared" si="280"/>
        <v/>
      </c>
      <c r="P297" s="1125" t="str">
        <f t="shared" si="281"/>
        <v/>
      </c>
      <c r="Q297" s="1016" t="str">
        <f t="shared" si="282"/>
        <v/>
      </c>
      <c r="R297" s="214" t="str">
        <f t="shared" si="283"/>
        <v/>
      </c>
      <c r="S297" s="1125" t="str">
        <f t="shared" si="284"/>
        <v/>
      </c>
      <c r="T297" s="236" t="str">
        <f t="shared" si="285"/>
        <v/>
      </c>
      <c r="W297" s="642" t="e">
        <f>INDEX('Barge Gauging Data'!$B$26:$V$56,MATCH($C297,'Barge Gauging Data'!$B$26:$B$56,0),$W$198)</f>
        <v>#N/A</v>
      </c>
      <c r="X297" s="642" t="e">
        <f>INDEX('Barge Gauging Data'!$B$26:$V$56,MATCH($C297,'Barge Gauging Data'!$B$26:$B$56,0),$X$198)</f>
        <v>#N/A</v>
      </c>
      <c r="Y297" s="642" t="e">
        <f>INDEX('Barge Gauging Data'!$B$26:$V$56,MATCH($C297,'Barge Gauging Data'!$B$26:$B$56,0),$Y$198)</f>
        <v>#N/A</v>
      </c>
      <c r="Z297" s="642" t="e">
        <f>INDEX('Barge Gauging Data'!$B$26:$V$56,MATCH($C297,'Barge Gauging Data'!$B$26:$B$56,0),$Z$198)</f>
        <v>#N/A</v>
      </c>
      <c r="AB297" s="642" t="e">
        <f>INDEX(API2DENST_2,MATCH($C297,'Barge Gauging Data'!$B$27:$B$56,0),1)</f>
        <v>#N/A</v>
      </c>
      <c r="AC297" s="642" t="e">
        <f t="shared" si="218"/>
        <v>#N/A</v>
      </c>
      <c r="AE297" s="661" t="e">
        <f t="shared" si="219"/>
        <v>#VALUE!</v>
      </c>
      <c r="AF297" s="661" t="e">
        <f t="shared" si="220"/>
        <v>#VALUE!</v>
      </c>
      <c r="AH297" s="662" t="str">
        <f t="shared" si="269"/>
        <v/>
      </c>
      <c r="AI297" s="662" t="str">
        <f t="shared" si="270"/>
        <v/>
      </c>
      <c r="AJ297" s="663">
        <f t="shared" si="221"/>
        <v>192.4571</v>
      </c>
      <c r="AK297" s="660">
        <f t="shared" si="222"/>
        <v>0.24379999999999999</v>
      </c>
      <c r="AL297" s="660" t="e">
        <f t="shared" si="223"/>
        <v>#VALUE!</v>
      </c>
      <c r="AM297" s="664" t="e">
        <f t="shared" si="224"/>
        <v>#VALUE!</v>
      </c>
      <c r="AN297" s="664" t="e">
        <f t="shared" si="225"/>
        <v>#VALUE!</v>
      </c>
      <c r="AO297" s="665" t="e">
        <f t="shared" si="226"/>
        <v>#VALUE!</v>
      </c>
      <c r="AP297" s="666" t="e">
        <f t="shared" si="227"/>
        <v>#VALUE!</v>
      </c>
      <c r="AQ297" s="660" t="e">
        <f t="shared" si="228"/>
        <v>#VALUE!</v>
      </c>
      <c r="AR297" s="667" t="e">
        <f t="shared" si="229"/>
        <v>#VALUE!</v>
      </c>
      <c r="AS297" s="667" t="e">
        <f t="shared" si="230"/>
        <v>#VALUE!</v>
      </c>
      <c r="AT297" s="668" t="e">
        <f t="shared" si="231"/>
        <v>#VALUE!</v>
      </c>
      <c r="AU297" s="667" t="e">
        <f t="shared" si="232"/>
        <v>#VALUE!</v>
      </c>
      <c r="AV297" s="669" t="e">
        <f t="shared" si="233"/>
        <v>#VALUE!</v>
      </c>
      <c r="AW297" s="667" t="e">
        <f t="shared" si="234"/>
        <v>#VALUE!</v>
      </c>
      <c r="AX297" s="667" t="e">
        <f t="shared" si="235"/>
        <v>#VALUE!</v>
      </c>
      <c r="AY297" s="660" t="e">
        <f t="shared" si="236"/>
        <v>#VALUE!</v>
      </c>
      <c r="AZ297" s="670" t="e">
        <f t="shared" si="237"/>
        <v>#VALUE!</v>
      </c>
      <c r="BB297" s="662" t="e">
        <f>INDEX('Barge Gauging Data'!$B$26:$V$56,MATCH($C297,'Barge Gauging Data'!$B$26:$B$56,0),$BB$198)</f>
        <v>#N/A</v>
      </c>
      <c r="BC297" s="662" t="e">
        <f>INDEX('Barge Gauging Data'!$B$26:$V$56,MATCH($C297,'Barge Gauging Data'!$B$26:$B$56,0),$BC$198)</f>
        <v>#N/A</v>
      </c>
      <c r="BD297" s="662" t="e">
        <f>INDEX('Barge Gauging Data'!$B$26:$V$56,MATCH($C297,'Barge Gauging Data'!$B$26:$B$56,0),$BD$198)</f>
        <v>#N/A</v>
      </c>
      <c r="BE297" s="662" t="e">
        <f>INDEX('Barge Gauging Data'!$B$26:$V$56,MATCH($C297,'Barge Gauging Data'!$B$26:$B$56,0),$BE$198)</f>
        <v>#N/A</v>
      </c>
    </row>
    <row r="298" spans="1:57" hidden="1">
      <c r="A298" s="641" t="str">
        <f t="shared" si="286"/>
        <v>N</v>
      </c>
      <c r="C298" s="235" t="str">
        <f t="shared" si="272"/>
        <v/>
      </c>
      <c r="D298" s="211" t="str">
        <f t="shared" si="272"/>
        <v/>
      </c>
      <c r="E298" s="1016" t="str">
        <f t="shared" si="271"/>
        <v/>
      </c>
      <c r="F298" s="1016" t="str">
        <f t="shared" si="273"/>
        <v/>
      </c>
      <c r="G298" s="1016" t="str">
        <f t="shared" si="274"/>
        <v/>
      </c>
      <c r="H298" s="1016" t="str">
        <f t="shared" si="274"/>
        <v/>
      </c>
      <c r="I298" s="211" t="str">
        <f t="shared" si="275"/>
        <v/>
      </c>
      <c r="J298" s="1016" t="str">
        <f t="shared" si="276"/>
        <v/>
      </c>
      <c r="K298" s="213" t="str">
        <f t="shared" si="277"/>
        <v/>
      </c>
      <c r="L298" s="212" t="str">
        <f t="shared" si="278"/>
        <v/>
      </c>
      <c r="M298" s="1125" t="str">
        <f>IF(OR($C298="",$C298=0),"",INDEX(API2DENST_2,MATCH($C298,'Barge Gauging Data'!$B$27:$B$56,0),$AA$1))</f>
        <v/>
      </c>
      <c r="N298" s="212" t="str">
        <f t="shared" si="279"/>
        <v/>
      </c>
      <c r="O298" s="1016" t="str">
        <f t="shared" si="280"/>
        <v/>
      </c>
      <c r="P298" s="1125" t="str">
        <f t="shared" si="281"/>
        <v/>
      </c>
      <c r="Q298" s="1016" t="str">
        <f t="shared" si="282"/>
        <v/>
      </c>
      <c r="R298" s="214" t="str">
        <f t="shared" si="283"/>
        <v/>
      </c>
      <c r="S298" s="1125" t="str">
        <f t="shared" si="284"/>
        <v/>
      </c>
      <c r="T298" s="236" t="str">
        <f t="shared" si="285"/>
        <v/>
      </c>
      <c r="W298" s="642" t="e">
        <f>INDEX('Barge Gauging Data'!$B$26:$V$56,MATCH($C298,'Barge Gauging Data'!$B$26:$B$56,0),$W$198)</f>
        <v>#N/A</v>
      </c>
      <c r="X298" s="642" t="e">
        <f>INDEX('Barge Gauging Data'!$B$26:$V$56,MATCH($C298,'Barge Gauging Data'!$B$26:$B$56,0),$X$198)</f>
        <v>#N/A</v>
      </c>
      <c r="Y298" s="642" t="e">
        <f>INDEX('Barge Gauging Data'!$B$26:$V$56,MATCH($C298,'Barge Gauging Data'!$B$26:$B$56,0),$Y$198)</f>
        <v>#N/A</v>
      </c>
      <c r="Z298" s="642" t="e">
        <f>INDEX('Barge Gauging Data'!$B$26:$V$56,MATCH($C298,'Barge Gauging Data'!$B$26:$B$56,0),$Z$198)</f>
        <v>#N/A</v>
      </c>
      <c r="AB298" s="642" t="e">
        <f>INDEX(API2DENST_2,MATCH($C298,'Barge Gauging Data'!$B$27:$B$56,0),1)</f>
        <v>#N/A</v>
      </c>
      <c r="AC298" s="642" t="e">
        <f t="shared" si="218"/>
        <v>#N/A</v>
      </c>
      <c r="AE298" s="661" t="e">
        <f t="shared" si="219"/>
        <v>#VALUE!</v>
      </c>
      <c r="AF298" s="661" t="e">
        <f t="shared" si="220"/>
        <v>#VALUE!</v>
      </c>
      <c r="AH298" s="662" t="str">
        <f t="shared" si="269"/>
        <v/>
      </c>
      <c r="AI298" s="662" t="str">
        <f t="shared" si="270"/>
        <v/>
      </c>
      <c r="AJ298" s="663">
        <f t="shared" si="221"/>
        <v>192.4571</v>
      </c>
      <c r="AK298" s="660">
        <f t="shared" si="222"/>
        <v>0.24379999999999999</v>
      </c>
      <c r="AL298" s="660" t="e">
        <f t="shared" si="223"/>
        <v>#VALUE!</v>
      </c>
      <c r="AM298" s="664" t="e">
        <f t="shared" si="224"/>
        <v>#VALUE!</v>
      </c>
      <c r="AN298" s="664" t="e">
        <f t="shared" si="225"/>
        <v>#VALUE!</v>
      </c>
      <c r="AO298" s="665" t="e">
        <f t="shared" si="226"/>
        <v>#VALUE!</v>
      </c>
      <c r="AP298" s="666" t="e">
        <f t="shared" si="227"/>
        <v>#VALUE!</v>
      </c>
      <c r="AQ298" s="660" t="e">
        <f t="shared" si="228"/>
        <v>#VALUE!</v>
      </c>
      <c r="AR298" s="667" t="e">
        <f t="shared" si="229"/>
        <v>#VALUE!</v>
      </c>
      <c r="AS298" s="667" t="e">
        <f t="shared" si="230"/>
        <v>#VALUE!</v>
      </c>
      <c r="AT298" s="668" t="e">
        <f t="shared" si="231"/>
        <v>#VALUE!</v>
      </c>
      <c r="AU298" s="667" t="e">
        <f t="shared" si="232"/>
        <v>#VALUE!</v>
      </c>
      <c r="AV298" s="669" t="e">
        <f t="shared" si="233"/>
        <v>#VALUE!</v>
      </c>
      <c r="AW298" s="667" t="e">
        <f t="shared" si="234"/>
        <v>#VALUE!</v>
      </c>
      <c r="AX298" s="667" t="e">
        <f t="shared" si="235"/>
        <v>#VALUE!</v>
      </c>
      <c r="AY298" s="660" t="e">
        <f t="shared" si="236"/>
        <v>#VALUE!</v>
      </c>
      <c r="AZ298" s="670" t="e">
        <f t="shared" si="237"/>
        <v>#VALUE!</v>
      </c>
      <c r="BB298" s="662" t="e">
        <f>INDEX('Barge Gauging Data'!$B$26:$V$56,MATCH($C298,'Barge Gauging Data'!$B$26:$B$56,0),$BB$198)</f>
        <v>#N/A</v>
      </c>
      <c r="BC298" s="662" t="e">
        <f>INDEX('Barge Gauging Data'!$B$26:$V$56,MATCH($C298,'Barge Gauging Data'!$B$26:$B$56,0),$BC$198)</f>
        <v>#N/A</v>
      </c>
      <c r="BD298" s="662" t="e">
        <f>INDEX('Barge Gauging Data'!$B$26:$V$56,MATCH($C298,'Barge Gauging Data'!$B$26:$B$56,0),$BD$198)</f>
        <v>#N/A</v>
      </c>
      <c r="BE298" s="662" t="e">
        <f>INDEX('Barge Gauging Data'!$B$26:$V$56,MATCH($C298,'Barge Gauging Data'!$B$26:$B$56,0),$BE$198)</f>
        <v>#N/A</v>
      </c>
    </row>
    <row r="299" spans="1:57" hidden="1">
      <c r="A299" s="641" t="str">
        <f t="shared" si="286"/>
        <v>N</v>
      </c>
      <c r="C299" s="235" t="str">
        <f t="shared" si="272"/>
        <v/>
      </c>
      <c r="D299" s="211" t="str">
        <f t="shared" si="272"/>
        <v/>
      </c>
      <c r="E299" s="1016" t="str">
        <f t="shared" si="271"/>
        <v/>
      </c>
      <c r="F299" s="1016" t="str">
        <f t="shared" si="273"/>
        <v/>
      </c>
      <c r="G299" s="1016" t="str">
        <f t="shared" si="274"/>
        <v/>
      </c>
      <c r="H299" s="1016" t="str">
        <f t="shared" si="274"/>
        <v/>
      </c>
      <c r="I299" s="211" t="str">
        <f t="shared" si="275"/>
        <v/>
      </c>
      <c r="J299" s="1016" t="str">
        <f t="shared" si="276"/>
        <v/>
      </c>
      <c r="K299" s="213" t="str">
        <f t="shared" si="277"/>
        <v/>
      </c>
      <c r="L299" s="212" t="str">
        <f t="shared" si="278"/>
        <v/>
      </c>
      <c r="M299" s="1125" t="str">
        <f>IF(OR($C299="",$C299=0),"",INDEX(API2DENST_2,MATCH($C299,'Barge Gauging Data'!$B$27:$B$56,0),$AA$1))</f>
        <v/>
      </c>
      <c r="N299" s="212" t="str">
        <f t="shared" si="279"/>
        <v/>
      </c>
      <c r="O299" s="1016" t="str">
        <f t="shared" si="280"/>
        <v/>
      </c>
      <c r="P299" s="1125" t="str">
        <f t="shared" si="281"/>
        <v/>
      </c>
      <c r="Q299" s="1016" t="str">
        <f t="shared" si="282"/>
        <v/>
      </c>
      <c r="R299" s="214" t="str">
        <f t="shared" si="283"/>
        <v/>
      </c>
      <c r="S299" s="1125" t="str">
        <f t="shared" si="284"/>
        <v/>
      </c>
      <c r="T299" s="236" t="str">
        <f t="shared" si="285"/>
        <v/>
      </c>
      <c r="W299" s="642" t="e">
        <f>INDEX('Barge Gauging Data'!$B$26:$V$56,MATCH($C299,'Barge Gauging Data'!$B$26:$B$56,0),$W$198)</f>
        <v>#N/A</v>
      </c>
      <c r="X299" s="642" t="e">
        <f>INDEX('Barge Gauging Data'!$B$26:$V$56,MATCH($C299,'Barge Gauging Data'!$B$26:$B$56,0),$X$198)</f>
        <v>#N/A</v>
      </c>
      <c r="Y299" s="642" t="e">
        <f>INDEX('Barge Gauging Data'!$B$26:$V$56,MATCH($C299,'Barge Gauging Data'!$B$26:$B$56,0),$Y$198)</f>
        <v>#N/A</v>
      </c>
      <c r="Z299" s="642" t="e">
        <f>INDEX('Barge Gauging Data'!$B$26:$V$56,MATCH($C299,'Barge Gauging Data'!$B$26:$B$56,0),$Z$198)</f>
        <v>#N/A</v>
      </c>
      <c r="AB299" s="642" t="e">
        <f>INDEX(API2DENST_2,MATCH($C299,'Barge Gauging Data'!$B$27:$B$56,0),1)</f>
        <v>#N/A</v>
      </c>
      <c r="AC299" s="642" t="e">
        <f t="shared" si="218"/>
        <v>#N/A</v>
      </c>
      <c r="AE299" s="661" t="e">
        <f t="shared" si="219"/>
        <v>#VALUE!</v>
      </c>
      <c r="AF299" s="661" t="e">
        <f t="shared" si="220"/>
        <v>#VALUE!</v>
      </c>
      <c r="AH299" s="662" t="str">
        <f t="shared" si="269"/>
        <v/>
      </c>
      <c r="AI299" s="662" t="str">
        <f t="shared" si="270"/>
        <v/>
      </c>
      <c r="AJ299" s="663">
        <f t="shared" si="221"/>
        <v>192.4571</v>
      </c>
      <c r="AK299" s="660">
        <f t="shared" si="222"/>
        <v>0.24379999999999999</v>
      </c>
      <c r="AL299" s="660" t="e">
        <f t="shared" si="223"/>
        <v>#VALUE!</v>
      </c>
      <c r="AM299" s="664" t="e">
        <f t="shared" si="224"/>
        <v>#VALUE!</v>
      </c>
      <c r="AN299" s="664" t="e">
        <f t="shared" si="225"/>
        <v>#VALUE!</v>
      </c>
      <c r="AO299" s="665" t="e">
        <f t="shared" si="226"/>
        <v>#VALUE!</v>
      </c>
      <c r="AP299" s="666" t="e">
        <f t="shared" si="227"/>
        <v>#VALUE!</v>
      </c>
      <c r="AQ299" s="660" t="e">
        <f t="shared" si="228"/>
        <v>#VALUE!</v>
      </c>
      <c r="AR299" s="667" t="e">
        <f t="shared" si="229"/>
        <v>#VALUE!</v>
      </c>
      <c r="AS299" s="667" t="e">
        <f t="shared" si="230"/>
        <v>#VALUE!</v>
      </c>
      <c r="AT299" s="668" t="e">
        <f t="shared" si="231"/>
        <v>#VALUE!</v>
      </c>
      <c r="AU299" s="667" t="e">
        <f t="shared" si="232"/>
        <v>#VALUE!</v>
      </c>
      <c r="AV299" s="669" t="e">
        <f t="shared" si="233"/>
        <v>#VALUE!</v>
      </c>
      <c r="AW299" s="667" t="e">
        <f t="shared" si="234"/>
        <v>#VALUE!</v>
      </c>
      <c r="AX299" s="667" t="e">
        <f t="shared" si="235"/>
        <v>#VALUE!</v>
      </c>
      <c r="AY299" s="660" t="e">
        <f t="shared" si="236"/>
        <v>#VALUE!</v>
      </c>
      <c r="AZ299" s="670" t="e">
        <f t="shared" si="237"/>
        <v>#VALUE!</v>
      </c>
      <c r="BB299" s="662" t="e">
        <f>INDEX('Barge Gauging Data'!$B$26:$V$56,MATCH($C299,'Barge Gauging Data'!$B$26:$B$56,0),$BB$198)</f>
        <v>#N/A</v>
      </c>
      <c r="BC299" s="662" t="e">
        <f>INDEX('Barge Gauging Data'!$B$26:$V$56,MATCH($C299,'Barge Gauging Data'!$B$26:$B$56,0),$BC$198)</f>
        <v>#N/A</v>
      </c>
      <c r="BD299" s="662" t="e">
        <f>INDEX('Barge Gauging Data'!$B$26:$V$56,MATCH($C299,'Barge Gauging Data'!$B$26:$B$56,0),$BD$198)</f>
        <v>#N/A</v>
      </c>
      <c r="BE299" s="662" t="e">
        <f>INDEX('Barge Gauging Data'!$B$26:$V$56,MATCH($C299,'Barge Gauging Data'!$B$26:$B$56,0),$BE$198)</f>
        <v>#N/A</v>
      </c>
    </row>
    <row r="300" spans="1:57" hidden="1">
      <c r="A300" s="641" t="str">
        <f t="shared" si="286"/>
        <v>N</v>
      </c>
      <c r="C300" s="235" t="str">
        <f t="shared" si="272"/>
        <v/>
      </c>
      <c r="D300" s="211" t="str">
        <f t="shared" si="272"/>
        <v/>
      </c>
      <c r="E300" s="1016" t="str">
        <f t="shared" si="271"/>
        <v/>
      </c>
      <c r="F300" s="1016" t="str">
        <f t="shared" si="273"/>
        <v/>
      </c>
      <c r="G300" s="1016" t="str">
        <f t="shared" si="274"/>
        <v/>
      </c>
      <c r="H300" s="1016" t="str">
        <f t="shared" si="274"/>
        <v/>
      </c>
      <c r="I300" s="211" t="str">
        <f t="shared" si="275"/>
        <v/>
      </c>
      <c r="J300" s="1016" t="str">
        <f t="shared" si="276"/>
        <v/>
      </c>
      <c r="K300" s="213" t="str">
        <f t="shared" si="277"/>
        <v/>
      </c>
      <c r="L300" s="212" t="str">
        <f t="shared" si="278"/>
        <v/>
      </c>
      <c r="M300" s="1125" t="str">
        <f>IF(OR($C300="",$C300=0),"",INDEX(API2DENST_2,MATCH($C300,'Barge Gauging Data'!$B$27:$B$56,0),$AA$1))</f>
        <v/>
      </c>
      <c r="N300" s="212" t="str">
        <f t="shared" si="279"/>
        <v/>
      </c>
      <c r="O300" s="1016" t="str">
        <f t="shared" si="280"/>
        <v/>
      </c>
      <c r="P300" s="1125" t="str">
        <f t="shared" si="281"/>
        <v/>
      </c>
      <c r="Q300" s="1016" t="str">
        <f t="shared" si="282"/>
        <v/>
      </c>
      <c r="R300" s="214" t="str">
        <f t="shared" si="283"/>
        <v/>
      </c>
      <c r="S300" s="1125" t="str">
        <f t="shared" si="284"/>
        <v/>
      </c>
      <c r="T300" s="236" t="str">
        <f t="shared" si="285"/>
        <v/>
      </c>
      <c r="W300" s="642" t="e">
        <f>INDEX('Barge Gauging Data'!$B$26:$V$56,MATCH($C300,'Barge Gauging Data'!$B$26:$B$56,0),$W$198)</f>
        <v>#N/A</v>
      </c>
      <c r="X300" s="642" t="e">
        <f>INDEX('Barge Gauging Data'!$B$26:$V$56,MATCH($C300,'Barge Gauging Data'!$B$26:$B$56,0),$X$198)</f>
        <v>#N/A</v>
      </c>
      <c r="Y300" s="642" t="e">
        <f>INDEX('Barge Gauging Data'!$B$26:$V$56,MATCH($C300,'Barge Gauging Data'!$B$26:$B$56,0),$Y$198)</f>
        <v>#N/A</v>
      </c>
      <c r="Z300" s="642" t="e">
        <f>INDEX('Barge Gauging Data'!$B$26:$V$56,MATCH($C300,'Barge Gauging Data'!$B$26:$B$56,0),$Z$198)</f>
        <v>#N/A</v>
      </c>
      <c r="AB300" s="642" t="e">
        <f>INDEX(API2DENST_2,MATCH($C300,'Barge Gauging Data'!$B$27:$B$56,0),1)</f>
        <v>#N/A</v>
      </c>
      <c r="AC300" s="642" t="e">
        <f t="shared" si="218"/>
        <v>#N/A</v>
      </c>
      <c r="AE300" s="661" t="e">
        <f t="shared" si="219"/>
        <v>#VALUE!</v>
      </c>
      <c r="AF300" s="661" t="e">
        <f t="shared" si="220"/>
        <v>#VALUE!</v>
      </c>
      <c r="AH300" s="662" t="str">
        <f t="shared" si="269"/>
        <v/>
      </c>
      <c r="AI300" s="662" t="str">
        <f t="shared" si="270"/>
        <v/>
      </c>
      <c r="AJ300" s="663">
        <f t="shared" si="221"/>
        <v>192.4571</v>
      </c>
      <c r="AK300" s="660">
        <f t="shared" si="222"/>
        <v>0.24379999999999999</v>
      </c>
      <c r="AL300" s="660" t="e">
        <f t="shared" si="223"/>
        <v>#VALUE!</v>
      </c>
      <c r="AM300" s="664" t="e">
        <f t="shared" si="224"/>
        <v>#VALUE!</v>
      </c>
      <c r="AN300" s="664" t="e">
        <f t="shared" si="225"/>
        <v>#VALUE!</v>
      </c>
      <c r="AO300" s="665" t="e">
        <f t="shared" si="226"/>
        <v>#VALUE!</v>
      </c>
      <c r="AP300" s="666" t="e">
        <f t="shared" si="227"/>
        <v>#VALUE!</v>
      </c>
      <c r="AQ300" s="660" t="e">
        <f t="shared" si="228"/>
        <v>#VALUE!</v>
      </c>
      <c r="AR300" s="667" t="e">
        <f t="shared" si="229"/>
        <v>#VALUE!</v>
      </c>
      <c r="AS300" s="667" t="e">
        <f t="shared" si="230"/>
        <v>#VALUE!</v>
      </c>
      <c r="AT300" s="668" t="e">
        <f t="shared" si="231"/>
        <v>#VALUE!</v>
      </c>
      <c r="AU300" s="667" t="e">
        <f t="shared" si="232"/>
        <v>#VALUE!</v>
      </c>
      <c r="AV300" s="669" t="e">
        <f t="shared" si="233"/>
        <v>#VALUE!</v>
      </c>
      <c r="AW300" s="667" t="e">
        <f t="shared" si="234"/>
        <v>#VALUE!</v>
      </c>
      <c r="AX300" s="667" t="e">
        <f t="shared" si="235"/>
        <v>#VALUE!</v>
      </c>
      <c r="AY300" s="660" t="e">
        <f t="shared" si="236"/>
        <v>#VALUE!</v>
      </c>
      <c r="AZ300" s="670" t="e">
        <f t="shared" si="237"/>
        <v>#VALUE!</v>
      </c>
      <c r="BB300" s="662" t="e">
        <f>INDEX('Barge Gauging Data'!$B$26:$V$56,MATCH($C300,'Barge Gauging Data'!$B$26:$B$56,0),$BB$198)</f>
        <v>#N/A</v>
      </c>
      <c r="BC300" s="662" t="e">
        <f>INDEX('Barge Gauging Data'!$B$26:$V$56,MATCH($C300,'Barge Gauging Data'!$B$26:$B$56,0),$BC$198)</f>
        <v>#N/A</v>
      </c>
      <c r="BD300" s="662" t="e">
        <f>INDEX('Barge Gauging Data'!$B$26:$V$56,MATCH($C300,'Barge Gauging Data'!$B$26:$B$56,0),$BD$198)</f>
        <v>#N/A</v>
      </c>
      <c r="BE300" s="662" t="e">
        <f>INDEX('Barge Gauging Data'!$B$26:$V$56,MATCH($C300,'Barge Gauging Data'!$B$26:$B$56,0),$BE$198)</f>
        <v>#N/A</v>
      </c>
    </row>
    <row r="301" spans="1:57" hidden="1">
      <c r="A301" s="641" t="str">
        <f t="shared" si="286"/>
        <v>N</v>
      </c>
      <c r="C301" s="235" t="str">
        <f t="shared" si="272"/>
        <v/>
      </c>
      <c r="D301" s="211" t="str">
        <f t="shared" si="272"/>
        <v/>
      </c>
      <c r="E301" s="1016" t="str">
        <f t="shared" si="271"/>
        <v/>
      </c>
      <c r="F301" s="1016" t="str">
        <f t="shared" si="273"/>
        <v/>
      </c>
      <c r="G301" s="1016" t="str">
        <f t="shared" si="274"/>
        <v/>
      </c>
      <c r="H301" s="1016" t="str">
        <f t="shared" si="274"/>
        <v/>
      </c>
      <c r="I301" s="211" t="str">
        <f t="shared" si="275"/>
        <v/>
      </c>
      <c r="J301" s="1016" t="str">
        <f t="shared" si="276"/>
        <v/>
      </c>
      <c r="K301" s="213" t="str">
        <f t="shared" si="277"/>
        <v/>
      </c>
      <c r="L301" s="212" t="str">
        <f t="shared" si="278"/>
        <v/>
      </c>
      <c r="M301" s="1125" t="str">
        <f>IF(OR($C301="",$C301=0),"",INDEX(API2DENST_2,MATCH($C301,'Barge Gauging Data'!$B$27:$B$56,0),$AA$1))</f>
        <v/>
      </c>
      <c r="N301" s="212" t="str">
        <f t="shared" si="279"/>
        <v/>
      </c>
      <c r="O301" s="1016" t="str">
        <f t="shared" si="280"/>
        <v/>
      </c>
      <c r="P301" s="1125" t="str">
        <f t="shared" si="281"/>
        <v/>
      </c>
      <c r="Q301" s="1016" t="str">
        <f t="shared" si="282"/>
        <v/>
      </c>
      <c r="R301" s="214" t="str">
        <f t="shared" si="283"/>
        <v/>
      </c>
      <c r="S301" s="1125" t="str">
        <f t="shared" si="284"/>
        <v/>
      </c>
      <c r="T301" s="236" t="str">
        <f t="shared" si="285"/>
        <v/>
      </c>
      <c r="W301" s="642" t="e">
        <f>INDEX('Barge Gauging Data'!$B$26:$V$56,MATCH($C301,'Barge Gauging Data'!$B$26:$B$56,0),$W$198)</f>
        <v>#N/A</v>
      </c>
      <c r="X301" s="642" t="e">
        <f>INDEX('Barge Gauging Data'!$B$26:$V$56,MATCH($C301,'Barge Gauging Data'!$B$26:$B$56,0),$X$198)</f>
        <v>#N/A</v>
      </c>
      <c r="Y301" s="642" t="e">
        <f>INDEX('Barge Gauging Data'!$B$26:$V$56,MATCH($C301,'Barge Gauging Data'!$B$26:$B$56,0),$Y$198)</f>
        <v>#N/A</v>
      </c>
      <c r="Z301" s="642" t="e">
        <f>INDEX('Barge Gauging Data'!$B$26:$V$56,MATCH($C301,'Barge Gauging Data'!$B$26:$B$56,0),$Z$198)</f>
        <v>#N/A</v>
      </c>
      <c r="AB301" s="642" t="e">
        <f>INDEX(API2DENST_2,MATCH($C301,'Barge Gauging Data'!$B$27:$B$56,0),1)</f>
        <v>#N/A</v>
      </c>
      <c r="AC301" s="642" t="e">
        <f t="shared" si="218"/>
        <v>#N/A</v>
      </c>
      <c r="AE301" s="661" t="e">
        <f t="shared" si="219"/>
        <v>#VALUE!</v>
      </c>
      <c r="AF301" s="661" t="e">
        <f t="shared" si="220"/>
        <v>#VALUE!</v>
      </c>
      <c r="AH301" s="662" t="str">
        <f t="shared" si="269"/>
        <v/>
      </c>
      <c r="AI301" s="662" t="str">
        <f t="shared" si="270"/>
        <v/>
      </c>
      <c r="AJ301" s="663">
        <f t="shared" si="221"/>
        <v>192.4571</v>
      </c>
      <c r="AK301" s="660">
        <f t="shared" si="222"/>
        <v>0.24379999999999999</v>
      </c>
      <c r="AL301" s="660" t="e">
        <f t="shared" si="223"/>
        <v>#VALUE!</v>
      </c>
      <c r="AM301" s="664" t="e">
        <f t="shared" si="224"/>
        <v>#VALUE!</v>
      </c>
      <c r="AN301" s="664" t="e">
        <f t="shared" si="225"/>
        <v>#VALUE!</v>
      </c>
      <c r="AO301" s="665" t="e">
        <f t="shared" si="226"/>
        <v>#VALUE!</v>
      </c>
      <c r="AP301" s="666" t="e">
        <f t="shared" si="227"/>
        <v>#VALUE!</v>
      </c>
      <c r="AQ301" s="660" t="e">
        <f t="shared" si="228"/>
        <v>#VALUE!</v>
      </c>
      <c r="AR301" s="667" t="e">
        <f t="shared" si="229"/>
        <v>#VALUE!</v>
      </c>
      <c r="AS301" s="667" t="e">
        <f t="shared" si="230"/>
        <v>#VALUE!</v>
      </c>
      <c r="AT301" s="668" t="e">
        <f t="shared" si="231"/>
        <v>#VALUE!</v>
      </c>
      <c r="AU301" s="667" t="e">
        <f t="shared" si="232"/>
        <v>#VALUE!</v>
      </c>
      <c r="AV301" s="669" t="e">
        <f t="shared" si="233"/>
        <v>#VALUE!</v>
      </c>
      <c r="AW301" s="667" t="e">
        <f t="shared" si="234"/>
        <v>#VALUE!</v>
      </c>
      <c r="AX301" s="667" t="e">
        <f t="shared" si="235"/>
        <v>#VALUE!</v>
      </c>
      <c r="AY301" s="660" t="e">
        <f t="shared" si="236"/>
        <v>#VALUE!</v>
      </c>
      <c r="AZ301" s="670" t="e">
        <f t="shared" si="237"/>
        <v>#VALUE!</v>
      </c>
      <c r="BB301" s="662" t="e">
        <f>INDEX('Barge Gauging Data'!$B$26:$V$56,MATCH($C301,'Barge Gauging Data'!$B$26:$B$56,0),$BB$198)</f>
        <v>#N/A</v>
      </c>
      <c r="BC301" s="662" t="e">
        <f>INDEX('Barge Gauging Data'!$B$26:$V$56,MATCH($C301,'Barge Gauging Data'!$B$26:$B$56,0),$BC$198)</f>
        <v>#N/A</v>
      </c>
      <c r="BD301" s="662" t="e">
        <f>INDEX('Barge Gauging Data'!$B$26:$V$56,MATCH($C301,'Barge Gauging Data'!$B$26:$B$56,0),$BD$198)</f>
        <v>#N/A</v>
      </c>
      <c r="BE301" s="662" t="e">
        <f>INDEX('Barge Gauging Data'!$B$26:$V$56,MATCH($C301,'Barge Gauging Data'!$B$26:$B$56,0),$BE$198)</f>
        <v>#N/A</v>
      </c>
    </row>
    <row r="302" spans="1:57" hidden="1">
      <c r="A302" s="641" t="str">
        <f t="shared" si="286"/>
        <v>N</v>
      </c>
      <c r="C302" s="235" t="str">
        <f t="shared" si="272"/>
        <v/>
      </c>
      <c r="D302" s="211" t="str">
        <f t="shared" si="272"/>
        <v/>
      </c>
      <c r="E302" s="1016" t="str">
        <f t="shared" si="271"/>
        <v/>
      </c>
      <c r="F302" s="1016" t="str">
        <f t="shared" si="273"/>
        <v/>
      </c>
      <c r="G302" s="1016" t="str">
        <f t="shared" si="274"/>
        <v/>
      </c>
      <c r="H302" s="1016" t="str">
        <f t="shared" si="274"/>
        <v/>
      </c>
      <c r="I302" s="211" t="str">
        <f t="shared" si="275"/>
        <v/>
      </c>
      <c r="J302" s="1016" t="str">
        <f t="shared" si="276"/>
        <v/>
      </c>
      <c r="K302" s="213" t="str">
        <f t="shared" si="277"/>
        <v/>
      </c>
      <c r="L302" s="212" t="str">
        <f t="shared" si="278"/>
        <v/>
      </c>
      <c r="M302" s="1125" t="str">
        <f>IF(OR($C302="",$C302=0),"",INDEX(API2DENST_2,MATCH($C302,'Barge Gauging Data'!$B$27:$B$56,0),$AA$1))</f>
        <v/>
      </c>
      <c r="N302" s="212" t="str">
        <f t="shared" si="279"/>
        <v/>
      </c>
      <c r="O302" s="1016" t="str">
        <f t="shared" si="280"/>
        <v/>
      </c>
      <c r="P302" s="1125" t="str">
        <f t="shared" si="281"/>
        <v/>
      </c>
      <c r="Q302" s="1016" t="str">
        <f t="shared" si="282"/>
        <v/>
      </c>
      <c r="R302" s="214" t="str">
        <f t="shared" si="283"/>
        <v/>
      </c>
      <c r="S302" s="1125" t="str">
        <f t="shared" si="284"/>
        <v/>
      </c>
      <c r="T302" s="236" t="str">
        <f t="shared" si="285"/>
        <v/>
      </c>
      <c r="W302" s="642" t="e">
        <f>INDEX('Barge Gauging Data'!$B$26:$V$56,MATCH($C302,'Barge Gauging Data'!$B$26:$B$56,0),$W$198)</f>
        <v>#N/A</v>
      </c>
      <c r="X302" s="642" t="e">
        <f>INDEX('Barge Gauging Data'!$B$26:$V$56,MATCH($C302,'Barge Gauging Data'!$B$26:$B$56,0),$X$198)</f>
        <v>#N/A</v>
      </c>
      <c r="Y302" s="642" t="e">
        <f>INDEX('Barge Gauging Data'!$B$26:$V$56,MATCH($C302,'Barge Gauging Data'!$B$26:$B$56,0),$Y$198)</f>
        <v>#N/A</v>
      </c>
      <c r="Z302" s="642" t="e">
        <f>INDEX('Barge Gauging Data'!$B$26:$V$56,MATCH($C302,'Barge Gauging Data'!$B$26:$B$56,0),$Z$198)</f>
        <v>#N/A</v>
      </c>
      <c r="AB302" s="642" t="e">
        <f>INDEX(API2DENST_2,MATCH($C302,'Barge Gauging Data'!$B$27:$B$56,0),1)</f>
        <v>#N/A</v>
      </c>
      <c r="AC302" s="642" t="e">
        <f t="shared" ref="AC302:AC366" si="287">((INT((AB302/(1.0001506*AB302-0.0012202))*10000)+0.5)/10000)</f>
        <v>#N/A</v>
      </c>
      <c r="AE302" s="661" t="e">
        <f t="shared" ref="AE302:AE366" si="288">ROUND(+M302/2*1000,0)*2</f>
        <v>#VALUE!</v>
      </c>
      <c r="AF302" s="661" t="e">
        <f t="shared" ref="AF302:AF366" si="289">ROUND(186.9696/(AE302*AE302)+(0.4862/AE302),8)</f>
        <v>#VALUE!</v>
      </c>
      <c r="AH302" s="662" t="str">
        <f t="shared" si="269"/>
        <v/>
      </c>
      <c r="AI302" s="662" t="str">
        <f t="shared" si="270"/>
        <v/>
      </c>
      <c r="AJ302" s="663">
        <f t="shared" ref="AJ302:AJ366" si="290">IF(AND(AI302&gt;=0,AI302&lt;=37),103.872,IF(AND(AI302&gt;=48,AI302&lt;=52),-0.0018684,IF(AND(AI302&gt;=37.1,AI302&lt;=47.9),330.301,IF(AND(AI302&gt;=52.1),192.4571))))</f>
        <v>192.4571</v>
      </c>
      <c r="AK302" s="660">
        <f t="shared" ref="AK302:AK366" si="291">IF(AND(AI302&gt;=0,AI302&lt;=37),0.2701,IF(AND(AI302&gt;=48,AJ302&lt;=52),1489.067,IF(AND(AI302&gt;=37.1,AI302&lt;=47.9),0,IF(AI302&gt;=52.1,0.2438))))</f>
        <v>0.24379999999999999</v>
      </c>
      <c r="AL302" s="660" t="e">
        <f t="shared" ref="AL302:AL366" si="292">ROUND(141360.198/(AI302+131.5),2)</f>
        <v>#VALUE!</v>
      </c>
      <c r="AM302" s="664" t="e">
        <f t="shared" ref="AM302:AM366" si="293">TRUNC(AJ302/AL302,8)</f>
        <v>#VALUE!</v>
      </c>
      <c r="AN302" s="664" t="e">
        <f t="shared" ref="AN302:AN366" si="294">TRUNC(AM302/AL302,10)</f>
        <v>#VALUE!</v>
      </c>
      <c r="AO302" s="665" t="e">
        <f t="shared" ref="AO302:AO366" si="295">TRUNC(AK302/AL302,10)</f>
        <v>#VALUE!</v>
      </c>
      <c r="AP302" s="666" t="e">
        <f t="shared" ref="AP302:AP366" si="296">IF(AND(AI302&gt;=48,AI302&lt;=52),ROUND(AW302+AJ302,7),ROUND(AN302+AO302,7))</f>
        <v>#VALUE!</v>
      </c>
      <c r="AQ302" s="660" t="e">
        <f t="shared" ref="AQ302:AQ366" si="297">AH302-60</f>
        <v>#VALUE!</v>
      </c>
      <c r="AR302" s="667" t="e">
        <f t="shared" ref="AR302:AR366" si="298">TRUNC(AP302*AQ302,8)</f>
        <v>#VALUE!</v>
      </c>
      <c r="AS302" s="667" t="e">
        <f t="shared" ref="AS302:AS366" si="299">TRUNC(0.8*AR302,8)</f>
        <v>#VALUE!</v>
      </c>
      <c r="AT302" s="668" t="e">
        <f t="shared" ref="AT302:AT366" si="300">TRUNC(0.8*AP302^2*AQ302^2,8)</f>
        <v>#VALUE!</v>
      </c>
      <c r="AU302" s="667" t="e">
        <f t="shared" ref="AU302:AU366" si="301">-AR302-AT302</f>
        <v>#VALUE!</v>
      </c>
      <c r="AV302" s="669" t="e">
        <f t="shared" ref="AV302:AV366" si="302">TRUNC(AK302/AL302,5)</f>
        <v>#VALUE!</v>
      </c>
      <c r="AW302" s="667" t="e">
        <f t="shared" ref="AW302:AW366" si="303">ROUND(AV302/AL302,8)</f>
        <v>#VALUE!</v>
      </c>
      <c r="AX302" s="667" t="e">
        <f t="shared" ref="AX302:AX366" si="304">ROUND(AW302+AJ302,8)</f>
        <v>#VALUE!</v>
      </c>
      <c r="AY302" s="660" t="e">
        <f t="shared" ref="AY302:AY366" si="305">IF(AND(AI302&gt;=48,AI302&lt;=52),AX302,AP302)</f>
        <v>#VALUE!</v>
      </c>
      <c r="AZ302" s="670" t="e">
        <f t="shared" ref="AZ302:AZ366" si="306">ROUND(EXP(AU302),5)</f>
        <v>#VALUE!</v>
      </c>
      <c r="BB302" s="662" t="e">
        <f>INDEX('Barge Gauging Data'!$B$26:$V$56,MATCH($C302,'Barge Gauging Data'!$B$26:$B$56,0),$BB$198)</f>
        <v>#N/A</v>
      </c>
      <c r="BC302" s="662" t="e">
        <f>INDEX('Barge Gauging Data'!$B$26:$V$56,MATCH($C302,'Barge Gauging Data'!$B$26:$B$56,0),$BC$198)</f>
        <v>#N/A</v>
      </c>
      <c r="BD302" s="662" t="e">
        <f>INDEX('Barge Gauging Data'!$B$26:$V$56,MATCH($C302,'Barge Gauging Data'!$B$26:$B$56,0),$BD$198)</f>
        <v>#N/A</v>
      </c>
      <c r="BE302" s="662" t="e">
        <f>INDEX('Barge Gauging Data'!$B$26:$V$56,MATCH($C302,'Barge Gauging Data'!$B$26:$B$56,0),$BE$198)</f>
        <v>#N/A</v>
      </c>
    </row>
    <row r="303" spans="1:57" hidden="1">
      <c r="A303" s="641" t="str">
        <f t="shared" si="286"/>
        <v>N</v>
      </c>
      <c r="C303" s="235" t="str">
        <f t="shared" si="272"/>
        <v/>
      </c>
      <c r="D303" s="211" t="str">
        <f t="shared" si="272"/>
        <v/>
      </c>
      <c r="E303" s="1016" t="str">
        <f t="shared" si="271"/>
        <v/>
      </c>
      <c r="F303" s="1016" t="str">
        <f t="shared" si="273"/>
        <v/>
      </c>
      <c r="G303" s="1016" t="str">
        <f t="shared" si="274"/>
        <v/>
      </c>
      <c r="H303" s="1016" t="str">
        <f t="shared" si="274"/>
        <v/>
      </c>
      <c r="I303" s="211" t="str">
        <f t="shared" si="275"/>
        <v/>
      </c>
      <c r="J303" s="1016" t="str">
        <f t="shared" si="276"/>
        <v/>
      </c>
      <c r="K303" s="213" t="str">
        <f t="shared" si="277"/>
        <v/>
      </c>
      <c r="L303" s="212" t="str">
        <f t="shared" si="278"/>
        <v/>
      </c>
      <c r="M303" s="1125" t="str">
        <f>IF(OR($C303="",$C303=0),"",INDEX(API2DENST_2,MATCH($C303,'Barge Gauging Data'!$B$27:$B$56,0),$AA$1))</f>
        <v/>
      </c>
      <c r="N303" s="212" t="str">
        <f t="shared" si="279"/>
        <v/>
      </c>
      <c r="O303" s="1016" t="str">
        <f t="shared" si="280"/>
        <v/>
      </c>
      <c r="P303" s="1125" t="str">
        <f t="shared" si="281"/>
        <v/>
      </c>
      <c r="Q303" s="1016" t="str">
        <f t="shared" si="282"/>
        <v/>
      </c>
      <c r="R303" s="214" t="str">
        <f t="shared" si="283"/>
        <v/>
      </c>
      <c r="S303" s="1125" t="str">
        <f t="shared" si="284"/>
        <v/>
      </c>
      <c r="T303" s="236" t="str">
        <f t="shared" si="285"/>
        <v/>
      </c>
      <c r="W303" s="642" t="e">
        <f>INDEX('Barge Gauging Data'!$B$26:$V$56,MATCH($C303,'Barge Gauging Data'!$B$26:$B$56,0),$W$198)</f>
        <v>#N/A</v>
      </c>
      <c r="X303" s="642" t="e">
        <f>INDEX('Barge Gauging Data'!$B$26:$V$56,MATCH($C303,'Barge Gauging Data'!$B$26:$B$56,0),$X$198)</f>
        <v>#N/A</v>
      </c>
      <c r="Y303" s="642" t="e">
        <f>INDEX('Barge Gauging Data'!$B$26:$V$56,MATCH($C303,'Barge Gauging Data'!$B$26:$B$56,0),$Y$198)</f>
        <v>#N/A</v>
      </c>
      <c r="Z303" s="642" t="e">
        <f>INDEX('Barge Gauging Data'!$B$26:$V$56,MATCH($C303,'Barge Gauging Data'!$B$26:$B$56,0),$Z$198)</f>
        <v>#N/A</v>
      </c>
      <c r="AB303" s="642" t="e">
        <f>INDEX(API2DENST_2,MATCH($C303,'Barge Gauging Data'!$B$27:$B$56,0),1)</f>
        <v>#N/A</v>
      </c>
      <c r="AC303" s="642" t="e">
        <f t="shared" si="287"/>
        <v>#N/A</v>
      </c>
      <c r="AE303" s="661" t="e">
        <f t="shared" si="288"/>
        <v>#VALUE!</v>
      </c>
      <c r="AF303" s="661" t="e">
        <f t="shared" si="289"/>
        <v>#VALUE!</v>
      </c>
      <c r="AH303" s="662" t="str">
        <f t="shared" si="269"/>
        <v/>
      </c>
      <c r="AI303" s="662" t="str">
        <f t="shared" si="270"/>
        <v/>
      </c>
      <c r="AJ303" s="663">
        <f t="shared" si="290"/>
        <v>192.4571</v>
      </c>
      <c r="AK303" s="660">
        <f t="shared" si="291"/>
        <v>0.24379999999999999</v>
      </c>
      <c r="AL303" s="660" t="e">
        <f t="shared" si="292"/>
        <v>#VALUE!</v>
      </c>
      <c r="AM303" s="664" t="e">
        <f t="shared" si="293"/>
        <v>#VALUE!</v>
      </c>
      <c r="AN303" s="664" t="e">
        <f t="shared" si="294"/>
        <v>#VALUE!</v>
      </c>
      <c r="AO303" s="665" t="e">
        <f t="shared" si="295"/>
        <v>#VALUE!</v>
      </c>
      <c r="AP303" s="666" t="e">
        <f t="shared" si="296"/>
        <v>#VALUE!</v>
      </c>
      <c r="AQ303" s="660" t="e">
        <f t="shared" si="297"/>
        <v>#VALUE!</v>
      </c>
      <c r="AR303" s="667" t="e">
        <f t="shared" si="298"/>
        <v>#VALUE!</v>
      </c>
      <c r="AS303" s="667" t="e">
        <f t="shared" si="299"/>
        <v>#VALUE!</v>
      </c>
      <c r="AT303" s="668" t="e">
        <f t="shared" si="300"/>
        <v>#VALUE!</v>
      </c>
      <c r="AU303" s="667" t="e">
        <f t="shared" si="301"/>
        <v>#VALUE!</v>
      </c>
      <c r="AV303" s="669" t="e">
        <f t="shared" si="302"/>
        <v>#VALUE!</v>
      </c>
      <c r="AW303" s="667" t="e">
        <f t="shared" si="303"/>
        <v>#VALUE!</v>
      </c>
      <c r="AX303" s="667" t="e">
        <f t="shared" si="304"/>
        <v>#VALUE!</v>
      </c>
      <c r="AY303" s="660" t="e">
        <f t="shared" si="305"/>
        <v>#VALUE!</v>
      </c>
      <c r="AZ303" s="670" t="e">
        <f t="shared" si="306"/>
        <v>#VALUE!</v>
      </c>
      <c r="BB303" s="662" t="e">
        <f>INDEX('Barge Gauging Data'!$B$26:$V$56,MATCH($C303,'Barge Gauging Data'!$B$26:$B$56,0),$BB$198)</f>
        <v>#N/A</v>
      </c>
      <c r="BC303" s="662" t="e">
        <f>INDEX('Barge Gauging Data'!$B$26:$V$56,MATCH($C303,'Barge Gauging Data'!$B$26:$B$56,0),$BC$198)</f>
        <v>#N/A</v>
      </c>
      <c r="BD303" s="662" t="e">
        <f>INDEX('Barge Gauging Data'!$B$26:$V$56,MATCH($C303,'Barge Gauging Data'!$B$26:$B$56,0),$BD$198)</f>
        <v>#N/A</v>
      </c>
      <c r="BE303" s="662" t="e">
        <f>INDEX('Barge Gauging Data'!$B$26:$V$56,MATCH($C303,'Barge Gauging Data'!$B$26:$B$56,0),$BE$198)</f>
        <v>#N/A</v>
      </c>
    </row>
    <row r="304" spans="1:57" hidden="1">
      <c r="A304" s="641" t="str">
        <f t="shared" si="286"/>
        <v>N</v>
      </c>
      <c r="C304" s="235" t="str">
        <f t="shared" si="272"/>
        <v/>
      </c>
      <c r="D304" s="211" t="str">
        <f t="shared" si="272"/>
        <v/>
      </c>
      <c r="E304" s="1016" t="str">
        <f t="shared" si="271"/>
        <v/>
      </c>
      <c r="F304" s="1016" t="str">
        <f t="shared" si="273"/>
        <v/>
      </c>
      <c r="G304" s="1016" t="str">
        <f t="shared" si="274"/>
        <v/>
      </c>
      <c r="H304" s="1016" t="str">
        <f t="shared" si="274"/>
        <v/>
      </c>
      <c r="I304" s="211" t="str">
        <f t="shared" si="275"/>
        <v/>
      </c>
      <c r="J304" s="1016" t="str">
        <f t="shared" si="276"/>
        <v/>
      </c>
      <c r="K304" s="213" t="str">
        <f t="shared" si="277"/>
        <v/>
      </c>
      <c r="L304" s="212" t="str">
        <f t="shared" si="278"/>
        <v/>
      </c>
      <c r="M304" s="1125" t="str">
        <f>IF(OR($C304="",$C304=0),"",INDEX(API2DENST_2,MATCH($C304,'Barge Gauging Data'!$B$27:$B$56,0),$AA$1))</f>
        <v/>
      </c>
      <c r="N304" s="212" t="str">
        <f t="shared" si="279"/>
        <v/>
      </c>
      <c r="O304" s="1016" t="str">
        <f t="shared" si="280"/>
        <v/>
      </c>
      <c r="P304" s="1125" t="str">
        <f t="shared" si="281"/>
        <v/>
      </c>
      <c r="Q304" s="1016" t="str">
        <f t="shared" si="282"/>
        <v/>
      </c>
      <c r="R304" s="214" t="str">
        <f t="shared" si="283"/>
        <v/>
      </c>
      <c r="S304" s="1125" t="str">
        <f t="shared" si="284"/>
        <v/>
      </c>
      <c r="T304" s="236" t="str">
        <f t="shared" si="285"/>
        <v/>
      </c>
      <c r="W304" s="642" t="e">
        <f>INDEX('Barge Gauging Data'!$B$26:$V$56,MATCH($C304,'Barge Gauging Data'!$B$26:$B$56,0),$W$198)</f>
        <v>#N/A</v>
      </c>
      <c r="X304" s="642" t="e">
        <f>INDEX('Barge Gauging Data'!$B$26:$V$56,MATCH($C304,'Barge Gauging Data'!$B$26:$B$56,0),$X$198)</f>
        <v>#N/A</v>
      </c>
      <c r="Y304" s="642" t="e">
        <f>INDEX('Barge Gauging Data'!$B$26:$V$56,MATCH($C304,'Barge Gauging Data'!$B$26:$B$56,0),$Y$198)</f>
        <v>#N/A</v>
      </c>
      <c r="Z304" s="642" t="e">
        <f>INDEX('Barge Gauging Data'!$B$26:$V$56,MATCH($C304,'Barge Gauging Data'!$B$26:$B$56,0),$Z$198)</f>
        <v>#N/A</v>
      </c>
      <c r="AB304" s="642" t="e">
        <f>INDEX(API2DENST_2,MATCH($C304,'Barge Gauging Data'!$B$27:$B$56,0),1)</f>
        <v>#N/A</v>
      </c>
      <c r="AC304" s="642" t="e">
        <f t="shared" si="287"/>
        <v>#N/A</v>
      </c>
      <c r="AE304" s="661" t="e">
        <f t="shared" si="288"/>
        <v>#VALUE!</v>
      </c>
      <c r="AF304" s="661" t="e">
        <f t="shared" si="289"/>
        <v>#VALUE!</v>
      </c>
      <c r="AH304" s="662" t="str">
        <f t="shared" si="269"/>
        <v/>
      </c>
      <c r="AI304" s="662" t="str">
        <f t="shared" si="270"/>
        <v/>
      </c>
      <c r="AJ304" s="663">
        <f t="shared" si="290"/>
        <v>192.4571</v>
      </c>
      <c r="AK304" s="660">
        <f t="shared" si="291"/>
        <v>0.24379999999999999</v>
      </c>
      <c r="AL304" s="660" t="e">
        <f t="shared" si="292"/>
        <v>#VALUE!</v>
      </c>
      <c r="AM304" s="664" t="e">
        <f t="shared" si="293"/>
        <v>#VALUE!</v>
      </c>
      <c r="AN304" s="664" t="e">
        <f t="shared" si="294"/>
        <v>#VALUE!</v>
      </c>
      <c r="AO304" s="665" t="e">
        <f t="shared" si="295"/>
        <v>#VALUE!</v>
      </c>
      <c r="AP304" s="666" t="e">
        <f t="shared" si="296"/>
        <v>#VALUE!</v>
      </c>
      <c r="AQ304" s="660" t="e">
        <f t="shared" si="297"/>
        <v>#VALUE!</v>
      </c>
      <c r="AR304" s="667" t="e">
        <f t="shared" si="298"/>
        <v>#VALUE!</v>
      </c>
      <c r="AS304" s="667" t="e">
        <f t="shared" si="299"/>
        <v>#VALUE!</v>
      </c>
      <c r="AT304" s="668" t="e">
        <f t="shared" si="300"/>
        <v>#VALUE!</v>
      </c>
      <c r="AU304" s="667" t="e">
        <f t="shared" si="301"/>
        <v>#VALUE!</v>
      </c>
      <c r="AV304" s="669" t="e">
        <f t="shared" si="302"/>
        <v>#VALUE!</v>
      </c>
      <c r="AW304" s="667" t="e">
        <f t="shared" si="303"/>
        <v>#VALUE!</v>
      </c>
      <c r="AX304" s="667" t="e">
        <f t="shared" si="304"/>
        <v>#VALUE!</v>
      </c>
      <c r="AY304" s="660" t="e">
        <f t="shared" si="305"/>
        <v>#VALUE!</v>
      </c>
      <c r="AZ304" s="670" t="e">
        <f t="shared" si="306"/>
        <v>#VALUE!</v>
      </c>
      <c r="BB304" s="662" t="e">
        <f>INDEX('Barge Gauging Data'!$B$26:$V$56,MATCH($C304,'Barge Gauging Data'!$B$26:$B$56,0),$BB$198)</f>
        <v>#N/A</v>
      </c>
      <c r="BC304" s="662" t="e">
        <f>INDEX('Barge Gauging Data'!$B$26:$V$56,MATCH($C304,'Barge Gauging Data'!$B$26:$B$56,0),$BC$198)</f>
        <v>#N/A</v>
      </c>
      <c r="BD304" s="662" t="e">
        <f>INDEX('Barge Gauging Data'!$B$26:$V$56,MATCH($C304,'Barge Gauging Data'!$B$26:$B$56,0),$BD$198)</f>
        <v>#N/A</v>
      </c>
      <c r="BE304" s="662" t="e">
        <f>INDEX('Barge Gauging Data'!$B$26:$V$56,MATCH($C304,'Barge Gauging Data'!$B$26:$B$56,0),$BE$198)</f>
        <v>#N/A</v>
      </c>
    </row>
    <row r="305" spans="1:57" hidden="1">
      <c r="A305" s="641" t="str">
        <f t="shared" si="286"/>
        <v>N</v>
      </c>
      <c r="C305" s="235" t="str">
        <f t="shared" si="272"/>
        <v/>
      </c>
      <c r="D305" s="211" t="str">
        <f t="shared" si="272"/>
        <v/>
      </c>
      <c r="E305" s="1016" t="str">
        <f t="shared" si="271"/>
        <v/>
      </c>
      <c r="F305" s="1016" t="str">
        <f t="shared" si="273"/>
        <v/>
      </c>
      <c r="G305" s="1016" t="str">
        <f t="shared" si="274"/>
        <v/>
      </c>
      <c r="H305" s="1016" t="str">
        <f t="shared" si="274"/>
        <v/>
      </c>
      <c r="I305" s="211" t="str">
        <f t="shared" si="275"/>
        <v/>
      </c>
      <c r="J305" s="1016" t="str">
        <f t="shared" si="276"/>
        <v/>
      </c>
      <c r="K305" s="213" t="str">
        <f t="shared" si="277"/>
        <v/>
      </c>
      <c r="L305" s="212" t="str">
        <f t="shared" si="278"/>
        <v/>
      </c>
      <c r="M305" s="1125" t="str">
        <f>IF(OR($C305="",$C305=0),"",INDEX(API2DENST_2,MATCH($C305,'Barge Gauging Data'!$B$27:$B$56,0),$AA$1))</f>
        <v/>
      </c>
      <c r="N305" s="212" t="str">
        <f t="shared" si="279"/>
        <v/>
      </c>
      <c r="O305" s="1016" t="str">
        <f t="shared" si="280"/>
        <v/>
      </c>
      <c r="P305" s="1125" t="str">
        <f t="shared" si="281"/>
        <v/>
      </c>
      <c r="Q305" s="1016" t="str">
        <f t="shared" si="282"/>
        <v/>
      </c>
      <c r="R305" s="214" t="str">
        <f t="shared" si="283"/>
        <v/>
      </c>
      <c r="S305" s="1125" t="str">
        <f t="shared" si="284"/>
        <v/>
      </c>
      <c r="T305" s="236" t="str">
        <f t="shared" si="285"/>
        <v/>
      </c>
      <c r="W305" s="642" t="e">
        <f>INDEX('Barge Gauging Data'!$B$26:$V$56,MATCH($C305,'Barge Gauging Data'!$B$26:$B$56,0),$W$198)</f>
        <v>#N/A</v>
      </c>
      <c r="X305" s="642" t="e">
        <f>INDEX('Barge Gauging Data'!$B$26:$V$56,MATCH($C305,'Barge Gauging Data'!$B$26:$B$56,0),$X$198)</f>
        <v>#N/A</v>
      </c>
      <c r="Y305" s="642" t="e">
        <f>INDEX('Barge Gauging Data'!$B$26:$V$56,MATCH($C305,'Barge Gauging Data'!$B$26:$B$56,0),$Y$198)</f>
        <v>#N/A</v>
      </c>
      <c r="Z305" s="642" t="e">
        <f>INDEX('Barge Gauging Data'!$B$26:$V$56,MATCH($C305,'Barge Gauging Data'!$B$26:$B$56,0),$Z$198)</f>
        <v>#N/A</v>
      </c>
      <c r="AB305" s="642" t="e">
        <f>INDEX(API2DENST_2,MATCH($C305,'Barge Gauging Data'!$B$27:$B$56,0),1)</f>
        <v>#N/A</v>
      </c>
      <c r="AC305" s="642" t="e">
        <f t="shared" si="287"/>
        <v>#N/A</v>
      </c>
      <c r="AE305" s="661" t="e">
        <f t="shared" si="288"/>
        <v>#VALUE!</v>
      </c>
      <c r="AF305" s="661" t="e">
        <f t="shared" si="289"/>
        <v>#VALUE!</v>
      </c>
      <c r="AH305" s="662" t="str">
        <f t="shared" si="269"/>
        <v/>
      </c>
      <c r="AI305" s="662" t="str">
        <f t="shared" si="270"/>
        <v/>
      </c>
      <c r="AJ305" s="663">
        <f t="shared" si="290"/>
        <v>192.4571</v>
      </c>
      <c r="AK305" s="660">
        <f t="shared" si="291"/>
        <v>0.24379999999999999</v>
      </c>
      <c r="AL305" s="660" t="e">
        <f t="shared" si="292"/>
        <v>#VALUE!</v>
      </c>
      <c r="AM305" s="664" t="e">
        <f t="shared" si="293"/>
        <v>#VALUE!</v>
      </c>
      <c r="AN305" s="664" t="e">
        <f t="shared" si="294"/>
        <v>#VALUE!</v>
      </c>
      <c r="AO305" s="665" t="e">
        <f t="shared" si="295"/>
        <v>#VALUE!</v>
      </c>
      <c r="AP305" s="666" t="e">
        <f t="shared" si="296"/>
        <v>#VALUE!</v>
      </c>
      <c r="AQ305" s="660" t="e">
        <f t="shared" si="297"/>
        <v>#VALUE!</v>
      </c>
      <c r="AR305" s="667" t="e">
        <f t="shared" si="298"/>
        <v>#VALUE!</v>
      </c>
      <c r="AS305" s="667" t="e">
        <f t="shared" si="299"/>
        <v>#VALUE!</v>
      </c>
      <c r="AT305" s="668" t="e">
        <f t="shared" si="300"/>
        <v>#VALUE!</v>
      </c>
      <c r="AU305" s="667" t="e">
        <f t="shared" si="301"/>
        <v>#VALUE!</v>
      </c>
      <c r="AV305" s="669" t="e">
        <f t="shared" si="302"/>
        <v>#VALUE!</v>
      </c>
      <c r="AW305" s="667" t="e">
        <f t="shared" si="303"/>
        <v>#VALUE!</v>
      </c>
      <c r="AX305" s="667" t="e">
        <f t="shared" si="304"/>
        <v>#VALUE!</v>
      </c>
      <c r="AY305" s="660" t="e">
        <f t="shared" si="305"/>
        <v>#VALUE!</v>
      </c>
      <c r="AZ305" s="670" t="e">
        <f t="shared" si="306"/>
        <v>#VALUE!</v>
      </c>
      <c r="BB305" s="662" t="e">
        <f>INDEX('Barge Gauging Data'!$B$26:$V$56,MATCH($C305,'Barge Gauging Data'!$B$26:$B$56,0),$BB$198)</f>
        <v>#N/A</v>
      </c>
      <c r="BC305" s="662" t="e">
        <f>INDEX('Barge Gauging Data'!$B$26:$V$56,MATCH($C305,'Barge Gauging Data'!$B$26:$B$56,0),$BC$198)</f>
        <v>#N/A</v>
      </c>
      <c r="BD305" s="662" t="e">
        <f>INDEX('Barge Gauging Data'!$B$26:$V$56,MATCH($C305,'Barge Gauging Data'!$B$26:$B$56,0),$BD$198)</f>
        <v>#N/A</v>
      </c>
      <c r="BE305" s="662" t="e">
        <f>INDEX('Barge Gauging Data'!$B$26:$V$56,MATCH($C305,'Barge Gauging Data'!$B$26:$B$56,0),$BE$198)</f>
        <v>#N/A</v>
      </c>
    </row>
    <row r="306" spans="1:57" hidden="1">
      <c r="A306" s="641" t="str">
        <f t="shared" si="286"/>
        <v>N</v>
      </c>
      <c r="C306" s="235" t="str">
        <f t="shared" si="272"/>
        <v/>
      </c>
      <c r="D306" s="211" t="str">
        <f t="shared" si="272"/>
        <v/>
      </c>
      <c r="E306" s="1016" t="str">
        <f t="shared" si="271"/>
        <v/>
      </c>
      <c r="F306" s="1016" t="str">
        <f t="shared" si="273"/>
        <v/>
      </c>
      <c r="G306" s="1016" t="str">
        <f t="shared" si="274"/>
        <v/>
      </c>
      <c r="H306" s="1016" t="str">
        <f t="shared" si="274"/>
        <v/>
      </c>
      <c r="I306" s="211" t="str">
        <f t="shared" si="275"/>
        <v/>
      </c>
      <c r="J306" s="1016" t="str">
        <f t="shared" si="276"/>
        <v/>
      </c>
      <c r="K306" s="213" t="str">
        <f t="shared" si="277"/>
        <v/>
      </c>
      <c r="L306" s="212" t="str">
        <f t="shared" si="278"/>
        <v/>
      </c>
      <c r="M306" s="1125" t="str">
        <f>IF(OR($C306="",$C306=0),"",INDEX(API2DENST_2,MATCH($C306,'Barge Gauging Data'!$B$27:$B$56,0),$AA$1))</f>
        <v/>
      </c>
      <c r="N306" s="212" t="str">
        <f t="shared" si="279"/>
        <v/>
      </c>
      <c r="O306" s="1016" t="str">
        <f t="shared" si="280"/>
        <v/>
      </c>
      <c r="P306" s="1125" t="str">
        <f t="shared" si="281"/>
        <v/>
      </c>
      <c r="Q306" s="1016" t="str">
        <f t="shared" si="282"/>
        <v/>
      </c>
      <c r="R306" s="214" t="str">
        <f t="shared" si="283"/>
        <v/>
      </c>
      <c r="S306" s="1125" t="str">
        <f t="shared" si="284"/>
        <v/>
      </c>
      <c r="T306" s="236" t="str">
        <f t="shared" si="285"/>
        <v/>
      </c>
      <c r="W306" s="642" t="e">
        <f>INDEX('Barge Gauging Data'!$B$26:$V$56,MATCH($C306,'Barge Gauging Data'!$B$26:$B$56,0),$W$198)</f>
        <v>#N/A</v>
      </c>
      <c r="X306" s="642" t="e">
        <f>INDEX('Barge Gauging Data'!$B$26:$V$56,MATCH($C306,'Barge Gauging Data'!$B$26:$B$56,0),$X$198)</f>
        <v>#N/A</v>
      </c>
      <c r="Y306" s="642" t="e">
        <f>INDEX('Barge Gauging Data'!$B$26:$V$56,MATCH($C306,'Barge Gauging Data'!$B$26:$B$56,0),$Y$198)</f>
        <v>#N/A</v>
      </c>
      <c r="Z306" s="642" t="e">
        <f>INDEX('Barge Gauging Data'!$B$26:$V$56,MATCH($C306,'Barge Gauging Data'!$B$26:$B$56,0),$Z$198)</f>
        <v>#N/A</v>
      </c>
      <c r="AB306" s="642" t="e">
        <f>INDEX(API2DENST_2,MATCH($C306,'Barge Gauging Data'!$B$27:$B$56,0),1)</f>
        <v>#N/A</v>
      </c>
      <c r="AC306" s="642" t="e">
        <f t="shared" si="287"/>
        <v>#N/A</v>
      </c>
      <c r="AE306" s="661" t="e">
        <f t="shared" si="288"/>
        <v>#VALUE!</v>
      </c>
      <c r="AF306" s="661" t="e">
        <f t="shared" si="289"/>
        <v>#VALUE!</v>
      </c>
      <c r="AH306" s="662" t="str">
        <f t="shared" si="269"/>
        <v/>
      </c>
      <c r="AI306" s="662" t="str">
        <f t="shared" si="270"/>
        <v/>
      </c>
      <c r="AJ306" s="663">
        <f t="shared" si="290"/>
        <v>192.4571</v>
      </c>
      <c r="AK306" s="660">
        <f t="shared" si="291"/>
        <v>0.24379999999999999</v>
      </c>
      <c r="AL306" s="660" t="e">
        <f t="shared" si="292"/>
        <v>#VALUE!</v>
      </c>
      <c r="AM306" s="664" t="e">
        <f t="shared" si="293"/>
        <v>#VALUE!</v>
      </c>
      <c r="AN306" s="664" t="e">
        <f t="shared" si="294"/>
        <v>#VALUE!</v>
      </c>
      <c r="AO306" s="665" t="e">
        <f t="shared" si="295"/>
        <v>#VALUE!</v>
      </c>
      <c r="AP306" s="666" t="e">
        <f t="shared" si="296"/>
        <v>#VALUE!</v>
      </c>
      <c r="AQ306" s="660" t="e">
        <f t="shared" si="297"/>
        <v>#VALUE!</v>
      </c>
      <c r="AR306" s="667" t="e">
        <f t="shared" si="298"/>
        <v>#VALUE!</v>
      </c>
      <c r="AS306" s="667" t="e">
        <f t="shared" si="299"/>
        <v>#VALUE!</v>
      </c>
      <c r="AT306" s="668" t="e">
        <f t="shared" si="300"/>
        <v>#VALUE!</v>
      </c>
      <c r="AU306" s="667" t="e">
        <f t="shared" si="301"/>
        <v>#VALUE!</v>
      </c>
      <c r="AV306" s="669" t="e">
        <f t="shared" si="302"/>
        <v>#VALUE!</v>
      </c>
      <c r="AW306" s="667" t="e">
        <f t="shared" si="303"/>
        <v>#VALUE!</v>
      </c>
      <c r="AX306" s="667" t="e">
        <f t="shared" si="304"/>
        <v>#VALUE!</v>
      </c>
      <c r="AY306" s="660" t="e">
        <f t="shared" si="305"/>
        <v>#VALUE!</v>
      </c>
      <c r="AZ306" s="670" t="e">
        <f t="shared" si="306"/>
        <v>#VALUE!</v>
      </c>
      <c r="BB306" s="662" t="e">
        <f>INDEX('Barge Gauging Data'!$B$26:$V$56,MATCH($C306,'Barge Gauging Data'!$B$26:$B$56,0),$BB$198)</f>
        <v>#N/A</v>
      </c>
      <c r="BC306" s="662" t="e">
        <f>INDEX('Barge Gauging Data'!$B$26:$V$56,MATCH($C306,'Barge Gauging Data'!$B$26:$B$56,0),$BC$198)</f>
        <v>#N/A</v>
      </c>
      <c r="BD306" s="662" t="e">
        <f>INDEX('Barge Gauging Data'!$B$26:$V$56,MATCH($C306,'Barge Gauging Data'!$B$26:$B$56,0),$BD$198)</f>
        <v>#N/A</v>
      </c>
      <c r="BE306" s="662" t="e">
        <f>INDEX('Barge Gauging Data'!$B$26:$V$56,MATCH($C306,'Barge Gauging Data'!$B$26:$B$56,0),$BE$198)</f>
        <v>#N/A</v>
      </c>
    </row>
    <row r="307" spans="1:57" hidden="1">
      <c r="A307" s="641" t="str">
        <f t="shared" si="286"/>
        <v>N</v>
      </c>
      <c r="C307" s="235" t="str">
        <f t="shared" si="272"/>
        <v/>
      </c>
      <c r="D307" s="211" t="str">
        <f t="shared" si="272"/>
        <v/>
      </c>
      <c r="E307" s="1016" t="str">
        <f t="shared" si="271"/>
        <v/>
      </c>
      <c r="F307" s="1016" t="str">
        <f t="shared" si="273"/>
        <v/>
      </c>
      <c r="G307" s="1016" t="str">
        <f t="shared" si="274"/>
        <v/>
      </c>
      <c r="H307" s="1016" t="str">
        <f t="shared" si="274"/>
        <v/>
      </c>
      <c r="I307" s="211" t="str">
        <f t="shared" si="275"/>
        <v/>
      </c>
      <c r="J307" s="1016" t="str">
        <f t="shared" si="276"/>
        <v/>
      </c>
      <c r="K307" s="213" t="str">
        <f t="shared" si="277"/>
        <v/>
      </c>
      <c r="L307" s="212" t="str">
        <f t="shared" si="278"/>
        <v/>
      </c>
      <c r="M307" s="1125" t="str">
        <f>IF(OR($C307="",$C307=0),"",INDEX(API2DENST_2,MATCH($C307,'Barge Gauging Data'!$B$27:$B$56,0),$AA$1))</f>
        <v/>
      </c>
      <c r="N307" s="212" t="str">
        <f t="shared" si="279"/>
        <v/>
      </c>
      <c r="O307" s="1016" t="str">
        <f t="shared" si="280"/>
        <v/>
      </c>
      <c r="P307" s="1125" t="str">
        <f t="shared" si="281"/>
        <v/>
      </c>
      <c r="Q307" s="1016" t="str">
        <f t="shared" si="282"/>
        <v/>
      </c>
      <c r="R307" s="214" t="str">
        <f t="shared" si="283"/>
        <v/>
      </c>
      <c r="S307" s="1125" t="str">
        <f t="shared" si="284"/>
        <v/>
      </c>
      <c r="T307" s="236" t="str">
        <f t="shared" si="285"/>
        <v/>
      </c>
      <c r="W307" s="642" t="e">
        <f>INDEX('Barge Gauging Data'!$B$26:$V$56,MATCH($C307,'Barge Gauging Data'!$B$26:$B$56,0),$W$198)</f>
        <v>#N/A</v>
      </c>
      <c r="X307" s="642" t="e">
        <f>INDEX('Barge Gauging Data'!$B$26:$V$56,MATCH($C307,'Barge Gauging Data'!$B$26:$B$56,0),$X$198)</f>
        <v>#N/A</v>
      </c>
      <c r="Y307" s="642" t="e">
        <f>INDEX('Barge Gauging Data'!$B$26:$V$56,MATCH($C307,'Barge Gauging Data'!$B$26:$B$56,0),$Y$198)</f>
        <v>#N/A</v>
      </c>
      <c r="Z307" s="642" t="e">
        <f>INDEX('Barge Gauging Data'!$B$26:$V$56,MATCH($C307,'Barge Gauging Data'!$B$26:$B$56,0),$Z$198)</f>
        <v>#N/A</v>
      </c>
      <c r="AB307" s="642" t="e">
        <f>INDEX(API2DENST_2,MATCH($C307,'Barge Gauging Data'!$B$27:$B$56,0),1)</f>
        <v>#N/A</v>
      </c>
      <c r="AC307" s="642" t="e">
        <f t="shared" si="287"/>
        <v>#N/A</v>
      </c>
      <c r="AE307" s="661" t="e">
        <f t="shared" si="288"/>
        <v>#VALUE!</v>
      </c>
      <c r="AF307" s="661" t="e">
        <f t="shared" si="289"/>
        <v>#VALUE!</v>
      </c>
      <c r="AH307" s="662" t="str">
        <f t="shared" si="269"/>
        <v/>
      </c>
      <c r="AI307" s="662" t="str">
        <f t="shared" si="270"/>
        <v/>
      </c>
      <c r="AJ307" s="663">
        <f t="shared" si="290"/>
        <v>192.4571</v>
      </c>
      <c r="AK307" s="660">
        <f t="shared" si="291"/>
        <v>0.24379999999999999</v>
      </c>
      <c r="AL307" s="660" t="e">
        <f t="shared" si="292"/>
        <v>#VALUE!</v>
      </c>
      <c r="AM307" s="664" t="e">
        <f t="shared" si="293"/>
        <v>#VALUE!</v>
      </c>
      <c r="AN307" s="664" t="e">
        <f t="shared" si="294"/>
        <v>#VALUE!</v>
      </c>
      <c r="AO307" s="665" t="e">
        <f t="shared" si="295"/>
        <v>#VALUE!</v>
      </c>
      <c r="AP307" s="666" t="e">
        <f t="shared" si="296"/>
        <v>#VALUE!</v>
      </c>
      <c r="AQ307" s="660" t="e">
        <f t="shared" si="297"/>
        <v>#VALUE!</v>
      </c>
      <c r="AR307" s="667" t="e">
        <f t="shared" si="298"/>
        <v>#VALUE!</v>
      </c>
      <c r="AS307" s="667" t="e">
        <f t="shared" si="299"/>
        <v>#VALUE!</v>
      </c>
      <c r="AT307" s="668" t="e">
        <f t="shared" si="300"/>
        <v>#VALUE!</v>
      </c>
      <c r="AU307" s="667" t="e">
        <f t="shared" si="301"/>
        <v>#VALUE!</v>
      </c>
      <c r="AV307" s="669" t="e">
        <f t="shared" si="302"/>
        <v>#VALUE!</v>
      </c>
      <c r="AW307" s="667" t="e">
        <f t="shared" si="303"/>
        <v>#VALUE!</v>
      </c>
      <c r="AX307" s="667" t="e">
        <f t="shared" si="304"/>
        <v>#VALUE!</v>
      </c>
      <c r="AY307" s="660" t="e">
        <f t="shared" si="305"/>
        <v>#VALUE!</v>
      </c>
      <c r="AZ307" s="670" t="e">
        <f t="shared" si="306"/>
        <v>#VALUE!</v>
      </c>
      <c r="BB307" s="662" t="e">
        <f>INDEX('Barge Gauging Data'!$B$26:$V$56,MATCH($C307,'Barge Gauging Data'!$B$26:$B$56,0),$BB$198)</f>
        <v>#N/A</v>
      </c>
      <c r="BC307" s="662" t="e">
        <f>INDEX('Barge Gauging Data'!$B$26:$V$56,MATCH($C307,'Barge Gauging Data'!$B$26:$B$56,0),$BC$198)</f>
        <v>#N/A</v>
      </c>
      <c r="BD307" s="662" t="e">
        <f>INDEX('Barge Gauging Data'!$B$26:$V$56,MATCH($C307,'Barge Gauging Data'!$B$26:$B$56,0),$BD$198)</f>
        <v>#N/A</v>
      </c>
      <c r="BE307" s="662" t="e">
        <f>INDEX('Barge Gauging Data'!$B$26:$V$56,MATCH($C307,'Barge Gauging Data'!$B$26:$B$56,0),$BE$198)</f>
        <v>#N/A</v>
      </c>
    </row>
    <row r="308" spans="1:57" hidden="1">
      <c r="A308" s="641" t="str">
        <f t="shared" si="286"/>
        <v>N</v>
      </c>
      <c r="C308" s="235" t="str">
        <f t="shared" si="272"/>
        <v/>
      </c>
      <c r="D308" s="211" t="str">
        <f t="shared" si="272"/>
        <v/>
      </c>
      <c r="E308" s="1016" t="str">
        <f t="shared" si="271"/>
        <v/>
      </c>
      <c r="F308" s="1016" t="str">
        <f t="shared" si="273"/>
        <v/>
      </c>
      <c r="G308" s="1016" t="str">
        <f t="shared" si="274"/>
        <v/>
      </c>
      <c r="H308" s="1016" t="str">
        <f t="shared" si="274"/>
        <v/>
      </c>
      <c r="I308" s="211" t="str">
        <f t="shared" si="275"/>
        <v/>
      </c>
      <c r="J308" s="1016" t="str">
        <f t="shared" si="276"/>
        <v/>
      </c>
      <c r="K308" s="213" t="str">
        <f t="shared" si="277"/>
        <v/>
      </c>
      <c r="L308" s="212" t="str">
        <f t="shared" si="278"/>
        <v/>
      </c>
      <c r="M308" s="1125" t="str">
        <f>IF(OR($C308="",$C308=0),"",INDEX(API2DENST_2,MATCH($C308,'Barge Gauging Data'!$B$27:$B$56,0),$AA$1))</f>
        <v/>
      </c>
      <c r="N308" s="212" t="str">
        <f t="shared" si="279"/>
        <v/>
      </c>
      <c r="O308" s="1016" t="str">
        <f t="shared" si="280"/>
        <v/>
      </c>
      <c r="P308" s="1125" t="str">
        <f t="shared" si="281"/>
        <v/>
      </c>
      <c r="Q308" s="1016" t="str">
        <f t="shared" si="282"/>
        <v/>
      </c>
      <c r="R308" s="214" t="str">
        <f t="shared" si="283"/>
        <v/>
      </c>
      <c r="S308" s="1125" t="str">
        <f t="shared" si="284"/>
        <v/>
      </c>
      <c r="T308" s="236" t="str">
        <f t="shared" si="285"/>
        <v/>
      </c>
      <c r="W308" s="642" t="e">
        <f>INDEX('Barge Gauging Data'!$B$26:$V$56,MATCH($C308,'Barge Gauging Data'!$B$26:$B$56,0),$W$198)</f>
        <v>#N/A</v>
      </c>
      <c r="X308" s="642" t="e">
        <f>INDEX('Barge Gauging Data'!$B$26:$V$56,MATCH($C308,'Barge Gauging Data'!$B$26:$B$56,0),$X$198)</f>
        <v>#N/A</v>
      </c>
      <c r="Y308" s="642" t="e">
        <f>INDEX('Barge Gauging Data'!$B$26:$V$56,MATCH($C308,'Barge Gauging Data'!$B$26:$B$56,0),$Y$198)</f>
        <v>#N/A</v>
      </c>
      <c r="Z308" s="642" t="e">
        <f>INDEX('Barge Gauging Data'!$B$26:$V$56,MATCH($C308,'Barge Gauging Data'!$B$26:$B$56,0),$Z$198)</f>
        <v>#N/A</v>
      </c>
      <c r="AB308" s="642" t="e">
        <f>INDEX(API2DENST_2,MATCH($C308,'Barge Gauging Data'!$B$27:$B$56,0),1)</f>
        <v>#N/A</v>
      </c>
      <c r="AC308" s="642" t="e">
        <f t="shared" si="287"/>
        <v>#N/A</v>
      </c>
      <c r="AE308" s="661" t="e">
        <f t="shared" si="288"/>
        <v>#VALUE!</v>
      </c>
      <c r="AF308" s="661" t="e">
        <f t="shared" si="289"/>
        <v>#VALUE!</v>
      </c>
      <c r="AH308" s="662" t="str">
        <f t="shared" si="269"/>
        <v/>
      </c>
      <c r="AI308" s="662" t="str">
        <f t="shared" si="270"/>
        <v/>
      </c>
      <c r="AJ308" s="663">
        <f t="shared" si="290"/>
        <v>192.4571</v>
      </c>
      <c r="AK308" s="660">
        <f t="shared" si="291"/>
        <v>0.24379999999999999</v>
      </c>
      <c r="AL308" s="660" t="e">
        <f t="shared" si="292"/>
        <v>#VALUE!</v>
      </c>
      <c r="AM308" s="664" t="e">
        <f t="shared" si="293"/>
        <v>#VALUE!</v>
      </c>
      <c r="AN308" s="664" t="e">
        <f t="shared" si="294"/>
        <v>#VALUE!</v>
      </c>
      <c r="AO308" s="665" t="e">
        <f t="shared" si="295"/>
        <v>#VALUE!</v>
      </c>
      <c r="AP308" s="666" t="e">
        <f t="shared" si="296"/>
        <v>#VALUE!</v>
      </c>
      <c r="AQ308" s="660" t="e">
        <f t="shared" si="297"/>
        <v>#VALUE!</v>
      </c>
      <c r="AR308" s="667" t="e">
        <f t="shared" si="298"/>
        <v>#VALUE!</v>
      </c>
      <c r="AS308" s="667" t="e">
        <f t="shared" si="299"/>
        <v>#VALUE!</v>
      </c>
      <c r="AT308" s="668" t="e">
        <f t="shared" si="300"/>
        <v>#VALUE!</v>
      </c>
      <c r="AU308" s="667" t="e">
        <f t="shared" si="301"/>
        <v>#VALUE!</v>
      </c>
      <c r="AV308" s="669" t="e">
        <f t="shared" si="302"/>
        <v>#VALUE!</v>
      </c>
      <c r="AW308" s="667" t="e">
        <f t="shared" si="303"/>
        <v>#VALUE!</v>
      </c>
      <c r="AX308" s="667" t="e">
        <f t="shared" si="304"/>
        <v>#VALUE!</v>
      </c>
      <c r="AY308" s="660" t="e">
        <f t="shared" si="305"/>
        <v>#VALUE!</v>
      </c>
      <c r="AZ308" s="670" t="e">
        <f t="shared" si="306"/>
        <v>#VALUE!</v>
      </c>
      <c r="BB308" s="662" t="e">
        <f>INDEX('Barge Gauging Data'!$B$26:$V$56,MATCH($C308,'Barge Gauging Data'!$B$26:$B$56,0),$BB$198)</f>
        <v>#N/A</v>
      </c>
      <c r="BC308" s="662" t="e">
        <f>INDEX('Barge Gauging Data'!$B$26:$V$56,MATCH($C308,'Barge Gauging Data'!$B$26:$B$56,0),$BC$198)</f>
        <v>#N/A</v>
      </c>
      <c r="BD308" s="662" t="e">
        <f>INDEX('Barge Gauging Data'!$B$26:$V$56,MATCH($C308,'Barge Gauging Data'!$B$26:$B$56,0),$BD$198)</f>
        <v>#N/A</v>
      </c>
      <c r="BE308" s="662" t="e">
        <f>INDEX('Barge Gauging Data'!$B$26:$V$56,MATCH($C308,'Barge Gauging Data'!$B$26:$B$56,0),$BE$198)</f>
        <v>#N/A</v>
      </c>
    </row>
    <row r="309" spans="1:57" hidden="1">
      <c r="A309" s="641" t="str">
        <f t="shared" si="286"/>
        <v>N</v>
      </c>
      <c r="C309" s="235" t="str">
        <f t="shared" si="272"/>
        <v/>
      </c>
      <c r="D309" s="211" t="str">
        <f t="shared" si="272"/>
        <v/>
      </c>
      <c r="E309" s="1016" t="str">
        <f t="shared" si="271"/>
        <v/>
      </c>
      <c r="F309" s="1016" t="str">
        <f t="shared" si="273"/>
        <v/>
      </c>
      <c r="G309" s="1016" t="str">
        <f t="shared" si="274"/>
        <v/>
      </c>
      <c r="H309" s="1016" t="str">
        <f t="shared" si="274"/>
        <v/>
      </c>
      <c r="I309" s="211" t="str">
        <f t="shared" si="275"/>
        <v/>
      </c>
      <c r="J309" s="1016" t="str">
        <f t="shared" si="276"/>
        <v/>
      </c>
      <c r="K309" s="213" t="str">
        <f t="shared" si="277"/>
        <v/>
      </c>
      <c r="L309" s="212" t="str">
        <f t="shared" si="278"/>
        <v/>
      </c>
      <c r="M309" s="1125" t="str">
        <f>IF(OR($C309="",$C309=0),"",INDEX(API2DENST_2,MATCH($C309,'Barge Gauging Data'!$B$27:$B$56,0),$AA$1))</f>
        <v/>
      </c>
      <c r="N309" s="212" t="str">
        <f t="shared" si="279"/>
        <v/>
      </c>
      <c r="O309" s="1016" t="str">
        <f t="shared" si="280"/>
        <v/>
      </c>
      <c r="P309" s="1125" t="str">
        <f t="shared" si="281"/>
        <v/>
      </c>
      <c r="Q309" s="1016" t="str">
        <f t="shared" si="282"/>
        <v/>
      </c>
      <c r="R309" s="214" t="str">
        <f t="shared" si="283"/>
        <v/>
      </c>
      <c r="S309" s="1125" t="str">
        <f t="shared" si="284"/>
        <v/>
      </c>
      <c r="T309" s="236" t="str">
        <f t="shared" si="285"/>
        <v/>
      </c>
      <c r="W309" s="642" t="e">
        <f>INDEX('Barge Gauging Data'!$B$26:$V$56,MATCH($C309,'Barge Gauging Data'!$B$26:$B$56,0),$W$198)</f>
        <v>#N/A</v>
      </c>
      <c r="X309" s="642" t="e">
        <f>INDEX('Barge Gauging Data'!$B$26:$V$56,MATCH($C309,'Barge Gauging Data'!$B$26:$B$56,0),$X$198)</f>
        <v>#N/A</v>
      </c>
      <c r="Y309" s="642" t="e">
        <f>INDEX('Barge Gauging Data'!$B$26:$V$56,MATCH($C309,'Barge Gauging Data'!$B$26:$B$56,0),$Y$198)</f>
        <v>#N/A</v>
      </c>
      <c r="Z309" s="642" t="e">
        <f>INDEX('Barge Gauging Data'!$B$26:$V$56,MATCH($C309,'Barge Gauging Data'!$B$26:$B$56,0),$Z$198)</f>
        <v>#N/A</v>
      </c>
      <c r="AB309" s="642" t="e">
        <f>INDEX(API2DENST_2,MATCH($C309,'Barge Gauging Data'!$B$27:$B$56,0),1)</f>
        <v>#N/A</v>
      </c>
      <c r="AC309" s="642" t="e">
        <f t="shared" si="287"/>
        <v>#N/A</v>
      </c>
      <c r="AE309" s="661" t="e">
        <f t="shared" si="288"/>
        <v>#VALUE!</v>
      </c>
      <c r="AF309" s="661" t="e">
        <f t="shared" si="289"/>
        <v>#VALUE!</v>
      </c>
      <c r="AH309" s="662" t="str">
        <f t="shared" si="269"/>
        <v/>
      </c>
      <c r="AI309" s="662" t="str">
        <f t="shared" si="270"/>
        <v/>
      </c>
      <c r="AJ309" s="663">
        <f t="shared" si="290"/>
        <v>192.4571</v>
      </c>
      <c r="AK309" s="660">
        <f t="shared" si="291"/>
        <v>0.24379999999999999</v>
      </c>
      <c r="AL309" s="660" t="e">
        <f t="shared" si="292"/>
        <v>#VALUE!</v>
      </c>
      <c r="AM309" s="664" t="e">
        <f t="shared" si="293"/>
        <v>#VALUE!</v>
      </c>
      <c r="AN309" s="664" t="e">
        <f t="shared" si="294"/>
        <v>#VALUE!</v>
      </c>
      <c r="AO309" s="665" t="e">
        <f t="shared" si="295"/>
        <v>#VALUE!</v>
      </c>
      <c r="AP309" s="666" t="e">
        <f t="shared" si="296"/>
        <v>#VALUE!</v>
      </c>
      <c r="AQ309" s="660" t="e">
        <f t="shared" si="297"/>
        <v>#VALUE!</v>
      </c>
      <c r="AR309" s="667" t="e">
        <f t="shared" si="298"/>
        <v>#VALUE!</v>
      </c>
      <c r="AS309" s="667" t="e">
        <f t="shared" si="299"/>
        <v>#VALUE!</v>
      </c>
      <c r="AT309" s="668" t="e">
        <f t="shared" si="300"/>
        <v>#VALUE!</v>
      </c>
      <c r="AU309" s="667" t="e">
        <f t="shared" si="301"/>
        <v>#VALUE!</v>
      </c>
      <c r="AV309" s="669" t="e">
        <f t="shared" si="302"/>
        <v>#VALUE!</v>
      </c>
      <c r="AW309" s="667" t="e">
        <f t="shared" si="303"/>
        <v>#VALUE!</v>
      </c>
      <c r="AX309" s="667" t="e">
        <f t="shared" si="304"/>
        <v>#VALUE!</v>
      </c>
      <c r="AY309" s="660" t="e">
        <f t="shared" si="305"/>
        <v>#VALUE!</v>
      </c>
      <c r="AZ309" s="670" t="e">
        <f t="shared" si="306"/>
        <v>#VALUE!</v>
      </c>
      <c r="BB309" s="662" t="e">
        <f>INDEX('Barge Gauging Data'!$B$26:$V$56,MATCH($C309,'Barge Gauging Data'!$B$26:$B$56,0),$BB$198)</f>
        <v>#N/A</v>
      </c>
      <c r="BC309" s="662" t="e">
        <f>INDEX('Barge Gauging Data'!$B$26:$V$56,MATCH($C309,'Barge Gauging Data'!$B$26:$B$56,0),$BC$198)</f>
        <v>#N/A</v>
      </c>
      <c r="BD309" s="662" t="e">
        <f>INDEX('Barge Gauging Data'!$B$26:$V$56,MATCH($C309,'Barge Gauging Data'!$B$26:$B$56,0),$BD$198)</f>
        <v>#N/A</v>
      </c>
      <c r="BE309" s="662" t="e">
        <f>INDEX('Barge Gauging Data'!$B$26:$V$56,MATCH($C309,'Barge Gauging Data'!$B$26:$B$56,0),$BE$198)</f>
        <v>#N/A</v>
      </c>
    </row>
    <row r="310" spans="1:57" hidden="1">
      <c r="A310" s="641" t="str">
        <f t="shared" si="286"/>
        <v>N</v>
      </c>
      <c r="C310" s="237" t="str">
        <f t="shared" si="272"/>
        <v/>
      </c>
      <c r="D310" s="238" t="str">
        <f t="shared" si="272"/>
        <v/>
      </c>
      <c r="E310" s="1017" t="str">
        <f t="shared" si="271"/>
        <v/>
      </c>
      <c r="F310" s="1017" t="str">
        <f t="shared" si="273"/>
        <v/>
      </c>
      <c r="G310" s="1017" t="str">
        <f t="shared" si="274"/>
        <v/>
      </c>
      <c r="H310" s="1017" t="str">
        <f t="shared" si="274"/>
        <v/>
      </c>
      <c r="I310" s="238" t="str">
        <f t="shared" si="275"/>
        <v/>
      </c>
      <c r="J310" s="1017" t="str">
        <f t="shared" si="276"/>
        <v/>
      </c>
      <c r="K310" s="240" t="str">
        <f t="shared" si="277"/>
        <v/>
      </c>
      <c r="L310" s="239" t="str">
        <f t="shared" si="278"/>
        <v/>
      </c>
      <c r="M310" s="1126" t="str">
        <f>IF(OR($C310="",$C310=0),"",INDEX(API2DENST_2,MATCH($C310,'Barge Gauging Data'!$B$27:$B$56,0),$AA$1))</f>
        <v/>
      </c>
      <c r="N310" s="239" t="str">
        <f t="shared" si="279"/>
        <v/>
      </c>
      <c r="O310" s="1017" t="str">
        <f t="shared" si="280"/>
        <v/>
      </c>
      <c r="P310" s="1126" t="str">
        <f t="shared" si="281"/>
        <v/>
      </c>
      <c r="Q310" s="1017" t="str">
        <f t="shared" si="282"/>
        <v/>
      </c>
      <c r="R310" s="241" t="str">
        <f t="shared" si="283"/>
        <v/>
      </c>
      <c r="S310" s="1126" t="str">
        <f t="shared" si="284"/>
        <v/>
      </c>
      <c r="T310" s="242" t="str">
        <f t="shared" si="285"/>
        <v/>
      </c>
      <c r="W310" s="642" t="e">
        <f>INDEX('Barge Gauging Data'!$B$26:$V$56,MATCH($C310,'Barge Gauging Data'!$B$26:$B$56,0),$W$198)</f>
        <v>#N/A</v>
      </c>
      <c r="X310" s="642" t="e">
        <f>INDEX('Barge Gauging Data'!$B$26:$V$56,MATCH($C310,'Barge Gauging Data'!$B$26:$B$56,0),$X$198)</f>
        <v>#N/A</v>
      </c>
      <c r="Y310" s="642" t="e">
        <f>INDEX('Barge Gauging Data'!$B$26:$V$56,MATCH($C310,'Barge Gauging Data'!$B$26:$B$56,0),$Y$198)</f>
        <v>#N/A</v>
      </c>
      <c r="Z310" s="642" t="e">
        <f>INDEX('Barge Gauging Data'!$B$26:$V$56,MATCH($C310,'Barge Gauging Data'!$B$26:$B$56,0),$Z$198)</f>
        <v>#N/A</v>
      </c>
      <c r="AB310" s="642" t="e">
        <f>INDEX(API2DENST_2,MATCH($C310,'Barge Gauging Data'!$B$27:$B$56,0),1)</f>
        <v>#N/A</v>
      </c>
      <c r="AC310" s="642" t="e">
        <f t="shared" si="287"/>
        <v>#N/A</v>
      </c>
      <c r="AE310" s="661" t="e">
        <f t="shared" si="288"/>
        <v>#VALUE!</v>
      </c>
      <c r="AF310" s="661" t="e">
        <f t="shared" si="289"/>
        <v>#VALUE!</v>
      </c>
      <c r="AH310" s="662" t="str">
        <f t="shared" si="269"/>
        <v/>
      </c>
      <c r="AI310" s="662" t="str">
        <f t="shared" si="270"/>
        <v/>
      </c>
      <c r="AJ310" s="663">
        <f t="shared" si="290"/>
        <v>192.4571</v>
      </c>
      <c r="AK310" s="660">
        <f t="shared" si="291"/>
        <v>0.24379999999999999</v>
      </c>
      <c r="AL310" s="660" t="e">
        <f t="shared" si="292"/>
        <v>#VALUE!</v>
      </c>
      <c r="AM310" s="664" t="e">
        <f t="shared" si="293"/>
        <v>#VALUE!</v>
      </c>
      <c r="AN310" s="664" t="e">
        <f t="shared" si="294"/>
        <v>#VALUE!</v>
      </c>
      <c r="AO310" s="665" t="e">
        <f t="shared" si="295"/>
        <v>#VALUE!</v>
      </c>
      <c r="AP310" s="666" t="e">
        <f t="shared" si="296"/>
        <v>#VALUE!</v>
      </c>
      <c r="AQ310" s="660" t="e">
        <f t="shared" si="297"/>
        <v>#VALUE!</v>
      </c>
      <c r="AR310" s="667" t="e">
        <f t="shared" si="298"/>
        <v>#VALUE!</v>
      </c>
      <c r="AS310" s="667" t="e">
        <f t="shared" si="299"/>
        <v>#VALUE!</v>
      </c>
      <c r="AT310" s="668" t="e">
        <f t="shared" si="300"/>
        <v>#VALUE!</v>
      </c>
      <c r="AU310" s="667" t="e">
        <f t="shared" si="301"/>
        <v>#VALUE!</v>
      </c>
      <c r="AV310" s="669" t="e">
        <f t="shared" si="302"/>
        <v>#VALUE!</v>
      </c>
      <c r="AW310" s="667" t="e">
        <f t="shared" si="303"/>
        <v>#VALUE!</v>
      </c>
      <c r="AX310" s="667" t="e">
        <f t="shared" si="304"/>
        <v>#VALUE!</v>
      </c>
      <c r="AY310" s="660" t="e">
        <f t="shared" si="305"/>
        <v>#VALUE!</v>
      </c>
      <c r="AZ310" s="670" t="e">
        <f t="shared" si="306"/>
        <v>#VALUE!</v>
      </c>
      <c r="BB310" s="662" t="e">
        <f>INDEX('Barge Gauging Data'!$B$26:$V$56,MATCH($C310,'Barge Gauging Data'!$B$26:$B$56,0),$BB$198)</f>
        <v>#N/A</v>
      </c>
      <c r="BC310" s="662" t="e">
        <f>INDEX('Barge Gauging Data'!$B$26:$V$56,MATCH($C310,'Barge Gauging Data'!$B$26:$B$56,0),$BC$198)</f>
        <v>#N/A</v>
      </c>
      <c r="BD310" s="662" t="e">
        <f>INDEX('Barge Gauging Data'!$B$26:$V$56,MATCH($C310,'Barge Gauging Data'!$B$26:$B$56,0),$BD$198)</f>
        <v>#N/A</v>
      </c>
      <c r="BE310" s="662" t="e">
        <f>INDEX('Barge Gauging Data'!$B$26:$V$56,MATCH($C310,'Barge Gauging Data'!$B$26:$B$56,0),$BE$198)</f>
        <v>#N/A</v>
      </c>
    </row>
    <row r="311" spans="1:57" hidden="1">
      <c r="A311" s="641" t="str">
        <f t="shared" si="286"/>
        <v>N</v>
      </c>
      <c r="C311" s="671"/>
      <c r="D311" s="671"/>
      <c r="E311" s="672"/>
      <c r="F311" s="672"/>
      <c r="G311" s="672"/>
      <c r="H311" s="1501"/>
      <c r="I311" s="671"/>
      <c r="J311" s="672"/>
      <c r="K311" s="673"/>
      <c r="L311" s="672"/>
      <c r="M311" s="674"/>
      <c r="N311" s="672"/>
      <c r="O311" s="672"/>
      <c r="P311" s="1127"/>
      <c r="Q311" s="672"/>
      <c r="R311" s="675"/>
      <c r="S311" s="1137" t="s">
        <v>401</v>
      </c>
      <c r="T311" s="619">
        <f>SUM(T291:T310)</f>
        <v>0</v>
      </c>
      <c r="V311" s="619">
        <f>SUM(Q291:Q310)</f>
        <v>0</v>
      </c>
      <c r="W311" s="619">
        <f>SUM(R291:R310)</f>
        <v>0</v>
      </c>
      <c r="X311" s="1166" t="e">
        <f>(T134-T311)/(V134-V311)</f>
        <v>#DIV/0!</v>
      </c>
      <c r="Y311" s="1166" t="e">
        <f>(U134-U311)/(W134-W311)</f>
        <v>#DIV/0!</v>
      </c>
      <c r="Z311" s="1164" t="e">
        <f>IF('Barge BQS Report'!$AA$1=1,ROUND((W134-W311)/(V134-V311),4),ROUND((1/((((X311)*2204.62/8.32823/42)+1.22269727*10^-3)/1.00122697/141.5))-131.5,4))</f>
        <v>#DIV/0!</v>
      </c>
      <c r="AA311" s="676"/>
      <c r="AB311" s="719"/>
      <c r="AC311" s="719"/>
      <c r="AD311" s="676"/>
      <c r="AE311" s="720"/>
      <c r="AF311" s="720"/>
      <c r="AG311" s="676"/>
      <c r="AH311" s="721"/>
      <c r="AI311" s="721"/>
      <c r="AJ311" s="722"/>
      <c r="AK311" s="723"/>
      <c r="AL311" s="723"/>
      <c r="AM311" s="724"/>
      <c r="AN311" s="724"/>
      <c r="AO311" s="725"/>
      <c r="AP311" s="726"/>
      <c r="AQ311" s="723"/>
      <c r="AR311" s="727"/>
      <c r="AS311" s="727"/>
      <c r="AT311" s="728"/>
      <c r="AU311" s="727"/>
      <c r="AV311" s="729"/>
      <c r="AW311" s="727"/>
      <c r="AX311" s="727"/>
      <c r="AY311" s="723"/>
      <c r="AZ311" s="730"/>
      <c r="BA311" s="676"/>
      <c r="BB311" s="721"/>
      <c r="BC311" s="721"/>
      <c r="BD311" s="721"/>
      <c r="BE311" s="721"/>
    </row>
    <row r="312" spans="1:57" s="702" customFormat="1" ht="5.25" hidden="1">
      <c r="A312" s="702" t="str">
        <f t="shared" si="286"/>
        <v>N</v>
      </c>
      <c r="C312" s="704"/>
      <c r="D312" s="704"/>
      <c r="E312" s="704"/>
      <c r="F312" s="704"/>
      <c r="G312" s="704"/>
      <c r="H312" s="704"/>
      <c r="I312" s="704"/>
      <c r="J312" s="705"/>
      <c r="K312" s="705"/>
      <c r="L312" s="705"/>
      <c r="M312" s="705"/>
      <c r="N312" s="705"/>
      <c r="O312" s="705"/>
      <c r="P312" s="1128"/>
      <c r="Q312" s="705"/>
      <c r="R312" s="705"/>
      <c r="S312" s="1136"/>
      <c r="T312" s="706"/>
      <c r="V312" s="707"/>
      <c r="W312" s="707"/>
      <c r="X312" s="707"/>
      <c r="Y312" s="707"/>
      <c r="Z312" s="707"/>
      <c r="AA312" s="707"/>
      <c r="AB312" s="707"/>
      <c r="AC312" s="707"/>
      <c r="AD312" s="707"/>
      <c r="AE312" s="708"/>
      <c r="AF312" s="708"/>
      <c r="AG312" s="707"/>
      <c r="AH312" s="709"/>
      <c r="AI312" s="709"/>
      <c r="AJ312" s="710"/>
      <c r="AK312" s="711"/>
      <c r="AL312" s="711"/>
      <c r="AM312" s="712"/>
      <c r="AN312" s="712"/>
      <c r="AO312" s="713"/>
      <c r="AP312" s="714"/>
      <c r="AQ312" s="711"/>
      <c r="AR312" s="715"/>
      <c r="AS312" s="715"/>
      <c r="AT312" s="716"/>
      <c r="AU312" s="715"/>
      <c r="AV312" s="717"/>
      <c r="AW312" s="715"/>
      <c r="AX312" s="715"/>
      <c r="AY312" s="711"/>
      <c r="AZ312" s="718"/>
      <c r="BA312" s="707"/>
      <c r="BB312" s="709"/>
      <c r="BC312" s="709"/>
      <c r="BD312" s="709"/>
      <c r="BE312" s="709"/>
    </row>
    <row r="313" spans="1:57" ht="15.75">
      <c r="A313" s="641" t="str">
        <f t="shared" si="286"/>
        <v>Y</v>
      </c>
      <c r="B313" s="641">
        <v>6</v>
      </c>
      <c r="C313" s="2797" t="s">
        <v>163</v>
      </c>
      <c r="D313" s="2798"/>
      <c r="E313" s="2799" t="str">
        <f t="shared" ref="E313:E333" si="307">E136</f>
        <v>LSMGO</v>
      </c>
      <c r="F313" s="2800"/>
      <c r="G313" s="2800"/>
      <c r="H313" s="2824"/>
      <c r="I313" s="2801"/>
      <c r="J313" s="698"/>
      <c r="K313" s="699"/>
      <c r="L313" s="700"/>
      <c r="M313" s="699"/>
      <c r="N313" s="699"/>
      <c r="O313" s="700"/>
      <c r="P313" s="1129"/>
      <c r="Q313" s="700"/>
      <c r="R313" s="701"/>
      <c r="S313" s="1129"/>
      <c r="T313" s="701"/>
      <c r="V313" s="676"/>
      <c r="W313" s="731"/>
      <c r="X313" s="731"/>
      <c r="Y313" s="731"/>
      <c r="Z313" s="731"/>
      <c r="AA313" s="676"/>
      <c r="AB313" s="731"/>
      <c r="AC313" s="731"/>
      <c r="AD313" s="676"/>
      <c r="AE313" s="732"/>
      <c r="AF313" s="732"/>
      <c r="AG313" s="676"/>
      <c r="AH313" s="733"/>
      <c r="AI313" s="733"/>
      <c r="AJ313" s="734"/>
      <c r="AK313" s="735"/>
      <c r="AL313" s="735"/>
      <c r="AM313" s="736"/>
      <c r="AN313" s="736"/>
      <c r="AO313" s="737"/>
      <c r="AP313" s="738"/>
      <c r="AQ313" s="735"/>
      <c r="AR313" s="739"/>
      <c r="AS313" s="739"/>
      <c r="AT313" s="740"/>
      <c r="AU313" s="739"/>
      <c r="AV313" s="741"/>
      <c r="AW313" s="739"/>
      <c r="AX313" s="739"/>
      <c r="AY313" s="735"/>
      <c r="AZ313" s="742"/>
      <c r="BA313" s="676"/>
      <c r="BB313" s="733"/>
      <c r="BC313" s="733"/>
      <c r="BD313" s="733"/>
      <c r="BE313" s="733"/>
    </row>
    <row r="314" spans="1:57">
      <c r="A314" s="641" t="str">
        <f t="shared" si="286"/>
        <v>Y</v>
      </c>
      <c r="C314" s="622" t="str">
        <f t="shared" ref="C314:D333" si="308">C137</f>
        <v>3P</v>
      </c>
      <c r="D314" s="623" t="str">
        <f t="shared" si="308"/>
        <v>LSMGO</v>
      </c>
      <c r="E314" s="1018">
        <f t="shared" si="307"/>
        <v>4.05</v>
      </c>
      <c r="F314" s="1018">
        <f t="shared" ref="F314:F333" si="309">IF(ISERROR(W314),"",IF(OR($C314="",$C314=0),"",IF(ISTEXT(W314),W314,IF($AB$1=1,W314*UNITOR_2,INT(W314*UNITOR_2)&amp;"'-"&amp;TRIM(TEXT(ROUND(MOD(W314*UNITOR_2,1)*12,1),"# ???/???"))&amp;""""))))</f>
        <v>4.05</v>
      </c>
      <c r="G314" s="1018">
        <f t="shared" ref="G314:H333" si="310">IF(ISERROR(X314),"",IF(OR($C314="",$C314=0),"",IF(ISTEXT(X314),X314,IF($AB$1=1,X314*UNITOR_2,INT(X314*UNITOR_2)&amp;"'-"&amp;TRIM(TEXT(ROUND(MOD(X314*UNITOR_2,1)*12,1),"# ???/???"))&amp;""""))))</f>
        <v>3.8849999999999998</v>
      </c>
      <c r="H314" s="1018">
        <f t="shared" si="310"/>
        <v>3.9550000000000001</v>
      </c>
      <c r="I314" s="623" t="str">
        <f t="shared" ref="I314:I333" si="311">IF(ISERROR($BB314),"",IF(OR($C314="",$C314=0,$BB314=0),"",$BB314))</f>
        <v>S</v>
      </c>
      <c r="J314" s="1016">
        <f t="shared" ref="J314:J333" si="312">IF(ISERROR($BC314),"",IF(OR($C314="",$C314=0,$BC314=""),"",IF(ISTEXT($BC314),$BC314,$BC314*IF($AA$1=B1SEL_2,1,IF($AA$1=2,FBBLS,1/FBBLS)))))</f>
        <v>15.275</v>
      </c>
      <c r="K314" s="213">
        <f t="shared" ref="K314:K333" si="313">IF(ISERROR($BD314),"",IF(OR($C314="",$C314=0,$BD314=""),0,IF(ISTEXT($BD314),$BD314,$BD314*IF($AB$1=W1SEL_2,1,IF($AB$1=2,FINCH,1/FINCH)))))</f>
        <v>0</v>
      </c>
      <c r="L314" s="212">
        <f t="shared" ref="L314:L333" si="314">IF(ISERROR($BE314),"",IF(OR($C314="",$C314=0,$BE314=""),0,IF(ISTEXT($BE314),$BE314,$BE314*IF($AA$1=B1SEL_2,1,IF($AA$1=2,FBBLS,1/FBBLS)))))</f>
        <v>0</v>
      </c>
      <c r="M314" s="1125">
        <f>IF(OR($C314="",$C314=0),"",INDEX(API2DENST_2,MATCH($C314,'Barge Gauging Data'!$B$27:$B$56,0),$AA$1))</f>
        <v>0.83520000000000005</v>
      </c>
      <c r="N314" s="212">
        <f t="shared" ref="N314:N333" si="315">IF(ISERROR(Z314),"",IF(OR($C314="",$C314=0,Z314=""),"",IF(ISTEXT(Z314),Z314,IF($AA$1=T1SEL_2,Z314,IF($AA$1=2,(Z314*9/5)+32,(Z314-32)*5/9)))))</f>
        <v>24</v>
      </c>
      <c r="O314" s="1016">
        <f t="shared" ref="O314:O333" si="316">IF(OR(J314="",L314=""),"",IF(ISTEXT(J314),"N/A",IF(ISTEXT(L314),J314,J314-L314)))</f>
        <v>15.275</v>
      </c>
      <c r="P314" s="1125">
        <f t="shared" ref="P314:P333" si="317">IF(OR(M314="",N314=""),"",IF(OR(ISTEXT(M314),ISTEXT(N314)),"N/A",IF($AA$1=1,ROUND(EXP(-AF314*(N314-15)*(1+0.8*AF314*(N314-15))),5),AZ314)))</f>
        <v>0.99234</v>
      </c>
      <c r="Q314" s="1016">
        <f t="shared" ref="Q314:Q333" si="318">IF(OR(M314="",N314=""),"",IF(OR(ISTEXT(M314),ISTEXT(N314)),"N/A",ROUND(O314*P314,3)))</f>
        <v>15.157999999999999</v>
      </c>
      <c r="R314" s="214">
        <f t="shared" ref="R314:R333" si="319">IF(M314="","",IF($AA$1=1,IF(ISTEXT(Q314),"N/A",ROUND(Q314*M314,3)),IF(ISTEXT(T314),"N/A",ROUND(T314*AC314,3))))</f>
        <v>12.66</v>
      </c>
      <c r="S314" s="1125">
        <f t="shared" ref="S314:S333" si="320">IF(M314="","",IF($AA$1=1,ROUND(M314-0.0011,5),ROUND((1.00122697*(141.5/(M314+131.5))-1.22269727*10^-3)*8.32823*42/2204.62,5+2)))</f>
        <v>0.83409999999999995</v>
      </c>
      <c r="T314" s="236">
        <f t="shared" ref="T314:T333" si="321">IF(OR(M314="",N314=""),"",IF(ISTEXT(Q314),"N/A",IF($AA$1=1,ROUND((Q314*(M314-0.0011)),3),ROUND(Q314*S314,3))))</f>
        <v>12.643000000000001</v>
      </c>
      <c r="W314" s="642">
        <f>INDEX('Barge Gauging Data'!$B$26:$V$56,MATCH($C314,'Barge Gauging Data'!$B$26:$B$56,0),$W$198)</f>
        <v>4.05</v>
      </c>
      <c r="X314" s="642">
        <f>INDEX('Barge Gauging Data'!$B$26:$V$56,MATCH($C314,'Barge Gauging Data'!$B$26:$B$56,0),$X$198)</f>
        <v>3.8849999999999998</v>
      </c>
      <c r="Y314" s="642">
        <f>INDEX('Barge Gauging Data'!$B$26:$V$56,MATCH($C314,'Barge Gauging Data'!$B$26:$B$56,0),$Y$198)</f>
        <v>3.9550000000000001</v>
      </c>
      <c r="Z314" s="642">
        <f>INDEX('Barge Gauging Data'!$B$26:$V$56,MATCH($C314,'Barge Gauging Data'!$B$26:$B$56,0),$Z$198)</f>
        <v>24</v>
      </c>
      <c r="AB314" s="642">
        <f>INDEX(API2DENST_2,MATCH($C314,'Barge Gauging Data'!$B$27:$B$56,0),1)</f>
        <v>0.83520000000000005</v>
      </c>
      <c r="AC314" s="642">
        <f t="shared" si="287"/>
        <v>1.00135</v>
      </c>
      <c r="AE314" s="661">
        <f t="shared" si="288"/>
        <v>836</v>
      </c>
      <c r="AF314" s="661">
        <f t="shared" si="289"/>
        <v>8.4909999999999998E-4</v>
      </c>
      <c r="AH314" s="662">
        <f t="shared" si="269"/>
        <v>24</v>
      </c>
      <c r="AI314" s="662">
        <f t="shared" si="270"/>
        <v>0.83520000000000005</v>
      </c>
      <c r="AJ314" s="663">
        <f t="shared" si="290"/>
        <v>103.872</v>
      </c>
      <c r="AK314" s="660">
        <f t="shared" si="291"/>
        <v>0.27010000000000001</v>
      </c>
      <c r="AL314" s="660">
        <f t="shared" si="292"/>
        <v>1068.2</v>
      </c>
      <c r="AM314" s="664">
        <f t="shared" si="293"/>
        <v>9.7240209999999994E-2</v>
      </c>
      <c r="AN314" s="664">
        <f t="shared" si="294"/>
        <v>9.1031800000000005E-5</v>
      </c>
      <c r="AO314" s="665">
        <f t="shared" si="295"/>
        <v>2.5285519999999998E-4</v>
      </c>
      <c r="AP314" s="666">
        <f t="shared" si="296"/>
        <v>3.4390000000000001E-4</v>
      </c>
      <c r="AQ314" s="660">
        <f t="shared" si="297"/>
        <v>-36</v>
      </c>
      <c r="AR314" s="667">
        <f t="shared" si="298"/>
        <v>-1.23804E-2</v>
      </c>
      <c r="AS314" s="667">
        <f t="shared" si="299"/>
        <v>-9.9043199999999994E-3</v>
      </c>
      <c r="AT314" s="668">
        <f t="shared" si="300"/>
        <v>1.2260999999999999E-4</v>
      </c>
      <c r="AU314" s="667">
        <f t="shared" si="301"/>
        <v>1.2257789999999999E-2</v>
      </c>
      <c r="AV314" s="669">
        <f t="shared" si="302"/>
        <v>2.5000000000000001E-4</v>
      </c>
      <c r="AW314" s="667">
        <f t="shared" si="303"/>
        <v>2.2999999999999999E-7</v>
      </c>
      <c r="AX314" s="667">
        <f t="shared" si="304"/>
        <v>103.87200023</v>
      </c>
      <c r="AY314" s="660">
        <f t="shared" si="305"/>
        <v>3.4390000000000001E-4</v>
      </c>
      <c r="AZ314" s="670">
        <f t="shared" si="306"/>
        <v>1.01233</v>
      </c>
      <c r="BB314" s="662" t="str">
        <f>INDEX('Barge Gauging Data'!$B$26:$V$56,MATCH($C314,'Barge Gauging Data'!$B$26:$B$56,0),$BB$198)</f>
        <v>S</v>
      </c>
      <c r="BC314" s="662">
        <f>INDEX('Barge Gauging Data'!$B$26:$V$56,MATCH($C314,'Barge Gauging Data'!$B$26:$B$56,0),$BC$198)</f>
        <v>15.275</v>
      </c>
      <c r="BD314" s="662">
        <f>INDEX('Barge Gauging Data'!$B$26:$V$56,MATCH($C314,'Barge Gauging Data'!$B$26:$B$56,0),$BD$198)</f>
        <v>0</v>
      </c>
      <c r="BE314" s="662">
        <f>INDEX('Barge Gauging Data'!$B$26:$V$56,MATCH($C314,'Barge Gauging Data'!$B$26:$B$56,0),$BE$198)</f>
        <v>0</v>
      </c>
    </row>
    <row r="315" spans="1:57">
      <c r="A315" s="641" t="str">
        <f t="shared" si="286"/>
        <v>Y</v>
      </c>
      <c r="C315" s="235" t="str">
        <f t="shared" si="308"/>
        <v>3S</v>
      </c>
      <c r="D315" s="211" t="str">
        <f t="shared" si="308"/>
        <v>LSMGO</v>
      </c>
      <c r="E315" s="1016">
        <f t="shared" si="307"/>
        <v>4.05</v>
      </c>
      <c r="F315" s="1016">
        <f t="shared" si="309"/>
        <v>4.05</v>
      </c>
      <c r="G315" s="1016">
        <f t="shared" si="310"/>
        <v>3.8849999999999998</v>
      </c>
      <c r="H315" s="1016">
        <f t="shared" si="310"/>
        <v>3.9550000000000001</v>
      </c>
      <c r="I315" s="211" t="str">
        <f t="shared" si="311"/>
        <v>S</v>
      </c>
      <c r="J315" s="1016">
        <f t="shared" si="312"/>
        <v>15.275</v>
      </c>
      <c r="K315" s="213">
        <f t="shared" si="313"/>
        <v>0</v>
      </c>
      <c r="L315" s="212">
        <f t="shared" si="314"/>
        <v>0</v>
      </c>
      <c r="M315" s="1125">
        <f>IF(OR($C315="",$C315=0),"",INDEX(API2DENST_2,MATCH($C315,'Barge Gauging Data'!$B$27:$B$56,0),$AA$1))</f>
        <v>0.83520000000000005</v>
      </c>
      <c r="N315" s="212">
        <f t="shared" si="315"/>
        <v>24</v>
      </c>
      <c r="O315" s="1016">
        <f t="shared" si="316"/>
        <v>15.275</v>
      </c>
      <c r="P315" s="1125">
        <f t="shared" si="317"/>
        <v>0.99234</v>
      </c>
      <c r="Q315" s="1016">
        <f t="shared" si="318"/>
        <v>15.157999999999999</v>
      </c>
      <c r="R315" s="214">
        <f t="shared" si="319"/>
        <v>12.66</v>
      </c>
      <c r="S315" s="1125">
        <f t="shared" si="320"/>
        <v>0.83409999999999995</v>
      </c>
      <c r="T315" s="236">
        <f t="shared" si="321"/>
        <v>12.643000000000001</v>
      </c>
      <c r="W315" s="642">
        <f>INDEX('Barge Gauging Data'!$B$26:$V$56,MATCH($C315,'Barge Gauging Data'!$B$26:$B$56,0),$W$198)</f>
        <v>4.05</v>
      </c>
      <c r="X315" s="642">
        <f>INDEX('Barge Gauging Data'!$B$26:$V$56,MATCH($C315,'Barge Gauging Data'!$B$26:$B$56,0),$X$198)</f>
        <v>3.8849999999999998</v>
      </c>
      <c r="Y315" s="642">
        <f>INDEX('Barge Gauging Data'!$B$26:$V$56,MATCH($C315,'Barge Gauging Data'!$B$26:$B$56,0),$Y$198)</f>
        <v>3.9550000000000001</v>
      </c>
      <c r="Z315" s="642">
        <f>INDEX('Barge Gauging Data'!$B$26:$V$56,MATCH($C315,'Barge Gauging Data'!$B$26:$B$56,0),$Z$198)</f>
        <v>24</v>
      </c>
      <c r="AB315" s="642">
        <f>INDEX(API2DENST_2,MATCH($C315,'Barge Gauging Data'!$B$27:$B$56,0),1)</f>
        <v>0.83520000000000005</v>
      </c>
      <c r="AC315" s="642">
        <f t="shared" si="287"/>
        <v>1.00135</v>
      </c>
      <c r="AE315" s="661">
        <f t="shared" si="288"/>
        <v>836</v>
      </c>
      <c r="AF315" s="661">
        <f t="shared" si="289"/>
        <v>8.4909999999999998E-4</v>
      </c>
      <c r="AH315" s="662">
        <f t="shared" si="269"/>
        <v>24</v>
      </c>
      <c r="AI315" s="662">
        <f t="shared" si="270"/>
        <v>0.83520000000000005</v>
      </c>
      <c r="AJ315" s="663">
        <f t="shared" si="290"/>
        <v>103.872</v>
      </c>
      <c r="AK315" s="660">
        <f t="shared" si="291"/>
        <v>0.27010000000000001</v>
      </c>
      <c r="AL315" s="660">
        <f t="shared" si="292"/>
        <v>1068.2</v>
      </c>
      <c r="AM315" s="664">
        <f t="shared" si="293"/>
        <v>9.7240209999999994E-2</v>
      </c>
      <c r="AN315" s="664">
        <f t="shared" si="294"/>
        <v>9.1031800000000005E-5</v>
      </c>
      <c r="AO315" s="665">
        <f t="shared" si="295"/>
        <v>2.5285519999999998E-4</v>
      </c>
      <c r="AP315" s="666">
        <f t="shared" si="296"/>
        <v>3.4390000000000001E-4</v>
      </c>
      <c r="AQ315" s="660">
        <f t="shared" si="297"/>
        <v>-36</v>
      </c>
      <c r="AR315" s="667">
        <f t="shared" si="298"/>
        <v>-1.23804E-2</v>
      </c>
      <c r="AS315" s="667">
        <f t="shared" si="299"/>
        <v>-9.9043199999999994E-3</v>
      </c>
      <c r="AT315" s="668">
        <f t="shared" si="300"/>
        <v>1.2260999999999999E-4</v>
      </c>
      <c r="AU315" s="667">
        <f t="shared" si="301"/>
        <v>1.2257789999999999E-2</v>
      </c>
      <c r="AV315" s="669">
        <f t="shared" si="302"/>
        <v>2.5000000000000001E-4</v>
      </c>
      <c r="AW315" s="667">
        <f t="shared" si="303"/>
        <v>2.2999999999999999E-7</v>
      </c>
      <c r="AX315" s="667">
        <f t="shared" si="304"/>
        <v>103.87200023</v>
      </c>
      <c r="AY315" s="660">
        <f t="shared" si="305"/>
        <v>3.4390000000000001E-4</v>
      </c>
      <c r="AZ315" s="670">
        <f t="shared" si="306"/>
        <v>1.01233</v>
      </c>
      <c r="BB315" s="662" t="str">
        <f>INDEX('Barge Gauging Data'!$B$26:$V$56,MATCH($C315,'Barge Gauging Data'!$B$26:$B$56,0),$BB$198)</f>
        <v>S</v>
      </c>
      <c r="BC315" s="662">
        <f>INDEX('Barge Gauging Data'!$B$26:$V$56,MATCH($C315,'Barge Gauging Data'!$B$26:$B$56,0),$BC$198)</f>
        <v>15.275</v>
      </c>
      <c r="BD315" s="662">
        <f>INDEX('Barge Gauging Data'!$B$26:$V$56,MATCH($C315,'Barge Gauging Data'!$B$26:$B$56,0),$BD$198)</f>
        <v>0</v>
      </c>
      <c r="BE315" s="662">
        <f>INDEX('Barge Gauging Data'!$B$26:$V$56,MATCH($C315,'Barge Gauging Data'!$B$26:$B$56,0),$BE$198)</f>
        <v>0</v>
      </c>
    </row>
    <row r="316" spans="1:57" hidden="1">
      <c r="A316" s="641" t="str">
        <f t="shared" si="286"/>
        <v>N</v>
      </c>
      <c r="C316" s="235" t="str">
        <f t="shared" si="308"/>
        <v/>
      </c>
      <c r="D316" s="211" t="str">
        <f t="shared" si="308"/>
        <v/>
      </c>
      <c r="E316" s="1016" t="str">
        <f t="shared" si="307"/>
        <v/>
      </c>
      <c r="F316" s="1016" t="str">
        <f t="shared" si="309"/>
        <v/>
      </c>
      <c r="G316" s="1016" t="str">
        <f t="shared" si="310"/>
        <v/>
      </c>
      <c r="H316" s="1016" t="str">
        <f t="shared" si="310"/>
        <v/>
      </c>
      <c r="I316" s="211" t="str">
        <f t="shared" si="311"/>
        <v/>
      </c>
      <c r="J316" s="1016" t="str">
        <f t="shared" si="312"/>
        <v/>
      </c>
      <c r="K316" s="213" t="str">
        <f t="shared" si="313"/>
        <v/>
      </c>
      <c r="L316" s="212" t="str">
        <f t="shared" si="314"/>
        <v/>
      </c>
      <c r="M316" s="1125" t="str">
        <f>IF(OR($C316="",$C316=0),"",INDEX(API2DENST_2,MATCH($C316,'Barge Gauging Data'!$B$27:$B$56,0),$AA$1))</f>
        <v/>
      </c>
      <c r="N316" s="212" t="str">
        <f t="shared" si="315"/>
        <v/>
      </c>
      <c r="O316" s="1016" t="str">
        <f t="shared" si="316"/>
        <v/>
      </c>
      <c r="P316" s="1125" t="str">
        <f t="shared" si="317"/>
        <v/>
      </c>
      <c r="Q316" s="1016" t="str">
        <f t="shared" si="318"/>
        <v/>
      </c>
      <c r="R316" s="214" t="str">
        <f t="shared" si="319"/>
        <v/>
      </c>
      <c r="S316" s="1125" t="str">
        <f t="shared" si="320"/>
        <v/>
      </c>
      <c r="T316" s="236" t="str">
        <f t="shared" si="321"/>
        <v/>
      </c>
      <c r="W316" s="642" t="e">
        <f>INDEX('Barge Gauging Data'!$B$26:$V$56,MATCH($C316,'Barge Gauging Data'!$B$26:$B$56,0),$W$198)</f>
        <v>#N/A</v>
      </c>
      <c r="X316" s="642" t="e">
        <f>INDEX('Barge Gauging Data'!$B$26:$V$56,MATCH($C316,'Barge Gauging Data'!$B$26:$B$56,0),$X$198)</f>
        <v>#N/A</v>
      </c>
      <c r="Y316" s="642" t="e">
        <f>INDEX('Barge Gauging Data'!$B$26:$V$56,MATCH($C316,'Barge Gauging Data'!$B$26:$B$56,0),$Y$198)</f>
        <v>#N/A</v>
      </c>
      <c r="Z316" s="642" t="e">
        <f>INDEX('Barge Gauging Data'!$B$26:$V$56,MATCH($C316,'Barge Gauging Data'!$B$26:$B$56,0),$Z$198)</f>
        <v>#N/A</v>
      </c>
      <c r="AB316" s="642" t="e">
        <f>INDEX(API2DENST_2,MATCH($C316,'Barge Gauging Data'!$B$27:$B$56,0),1)</f>
        <v>#N/A</v>
      </c>
      <c r="AC316" s="642" t="e">
        <f t="shared" si="287"/>
        <v>#N/A</v>
      </c>
      <c r="AE316" s="661" t="e">
        <f t="shared" si="288"/>
        <v>#VALUE!</v>
      </c>
      <c r="AF316" s="661" t="e">
        <f t="shared" si="289"/>
        <v>#VALUE!</v>
      </c>
      <c r="AH316" s="662" t="str">
        <f t="shared" si="269"/>
        <v/>
      </c>
      <c r="AI316" s="662" t="str">
        <f t="shared" si="270"/>
        <v/>
      </c>
      <c r="AJ316" s="663">
        <f t="shared" si="290"/>
        <v>192.4571</v>
      </c>
      <c r="AK316" s="660">
        <f t="shared" si="291"/>
        <v>0.24379999999999999</v>
      </c>
      <c r="AL316" s="660" t="e">
        <f t="shared" si="292"/>
        <v>#VALUE!</v>
      </c>
      <c r="AM316" s="664" t="e">
        <f t="shared" si="293"/>
        <v>#VALUE!</v>
      </c>
      <c r="AN316" s="664" t="e">
        <f t="shared" si="294"/>
        <v>#VALUE!</v>
      </c>
      <c r="AO316" s="665" t="e">
        <f t="shared" si="295"/>
        <v>#VALUE!</v>
      </c>
      <c r="AP316" s="666" t="e">
        <f t="shared" si="296"/>
        <v>#VALUE!</v>
      </c>
      <c r="AQ316" s="660" t="e">
        <f t="shared" si="297"/>
        <v>#VALUE!</v>
      </c>
      <c r="AR316" s="667" t="e">
        <f t="shared" si="298"/>
        <v>#VALUE!</v>
      </c>
      <c r="AS316" s="667" t="e">
        <f t="shared" si="299"/>
        <v>#VALUE!</v>
      </c>
      <c r="AT316" s="668" t="e">
        <f t="shared" si="300"/>
        <v>#VALUE!</v>
      </c>
      <c r="AU316" s="667" t="e">
        <f t="shared" si="301"/>
        <v>#VALUE!</v>
      </c>
      <c r="AV316" s="669" t="e">
        <f t="shared" si="302"/>
        <v>#VALUE!</v>
      </c>
      <c r="AW316" s="667" t="e">
        <f t="shared" si="303"/>
        <v>#VALUE!</v>
      </c>
      <c r="AX316" s="667" t="e">
        <f t="shared" si="304"/>
        <v>#VALUE!</v>
      </c>
      <c r="AY316" s="660" t="e">
        <f t="shared" si="305"/>
        <v>#VALUE!</v>
      </c>
      <c r="AZ316" s="670" t="e">
        <f t="shared" si="306"/>
        <v>#VALUE!</v>
      </c>
      <c r="BB316" s="662" t="e">
        <f>INDEX('Barge Gauging Data'!$B$26:$V$56,MATCH($C316,'Barge Gauging Data'!$B$26:$B$56,0),$BB$198)</f>
        <v>#N/A</v>
      </c>
      <c r="BC316" s="662" t="e">
        <f>INDEX('Barge Gauging Data'!$B$26:$V$56,MATCH($C316,'Barge Gauging Data'!$B$26:$B$56,0),$BC$198)</f>
        <v>#N/A</v>
      </c>
      <c r="BD316" s="662" t="e">
        <f>INDEX('Barge Gauging Data'!$B$26:$V$56,MATCH($C316,'Barge Gauging Data'!$B$26:$B$56,0),$BD$198)</f>
        <v>#N/A</v>
      </c>
      <c r="BE316" s="662" t="e">
        <f>INDEX('Barge Gauging Data'!$B$26:$V$56,MATCH($C316,'Barge Gauging Data'!$B$26:$B$56,0),$BE$198)</f>
        <v>#N/A</v>
      </c>
    </row>
    <row r="317" spans="1:57" hidden="1">
      <c r="A317" s="641" t="str">
        <f t="shared" si="286"/>
        <v>N</v>
      </c>
      <c r="C317" s="235" t="str">
        <f t="shared" si="308"/>
        <v/>
      </c>
      <c r="D317" s="211" t="str">
        <f t="shared" si="308"/>
        <v/>
      </c>
      <c r="E317" s="1016" t="str">
        <f t="shared" si="307"/>
        <v/>
      </c>
      <c r="F317" s="1016" t="str">
        <f t="shared" si="309"/>
        <v/>
      </c>
      <c r="G317" s="1016" t="str">
        <f t="shared" si="310"/>
        <v/>
      </c>
      <c r="H317" s="1016" t="str">
        <f t="shared" si="310"/>
        <v/>
      </c>
      <c r="I317" s="211" t="str">
        <f t="shared" si="311"/>
        <v/>
      </c>
      <c r="J317" s="1016" t="str">
        <f t="shared" si="312"/>
        <v/>
      </c>
      <c r="K317" s="213" t="str">
        <f t="shared" si="313"/>
        <v/>
      </c>
      <c r="L317" s="212" t="str">
        <f t="shared" si="314"/>
        <v/>
      </c>
      <c r="M317" s="1125" t="str">
        <f>IF(OR($C317="",$C317=0),"",INDEX(API2DENST_2,MATCH($C317,'Barge Gauging Data'!$B$27:$B$56,0),$AA$1))</f>
        <v/>
      </c>
      <c r="N317" s="212" t="str">
        <f t="shared" si="315"/>
        <v/>
      </c>
      <c r="O317" s="1016" t="str">
        <f t="shared" si="316"/>
        <v/>
      </c>
      <c r="P317" s="1125" t="str">
        <f t="shared" si="317"/>
        <v/>
      </c>
      <c r="Q317" s="1016" t="str">
        <f t="shared" si="318"/>
        <v/>
      </c>
      <c r="R317" s="214" t="str">
        <f t="shared" si="319"/>
        <v/>
      </c>
      <c r="S317" s="1125" t="str">
        <f t="shared" si="320"/>
        <v/>
      </c>
      <c r="T317" s="236" t="str">
        <f t="shared" si="321"/>
        <v/>
      </c>
      <c r="W317" s="642" t="e">
        <f>INDEX('Barge Gauging Data'!$B$26:$V$56,MATCH($C317,'Barge Gauging Data'!$B$26:$B$56,0),$W$198)</f>
        <v>#N/A</v>
      </c>
      <c r="X317" s="642" t="e">
        <f>INDEX('Barge Gauging Data'!$B$26:$V$56,MATCH($C317,'Barge Gauging Data'!$B$26:$B$56,0),$X$198)</f>
        <v>#N/A</v>
      </c>
      <c r="Y317" s="642" t="e">
        <f>INDEX('Barge Gauging Data'!$B$26:$V$56,MATCH($C317,'Barge Gauging Data'!$B$26:$B$56,0),$Y$198)</f>
        <v>#N/A</v>
      </c>
      <c r="Z317" s="642" t="e">
        <f>INDEX('Barge Gauging Data'!$B$26:$V$56,MATCH($C317,'Barge Gauging Data'!$B$26:$B$56,0),$Z$198)</f>
        <v>#N/A</v>
      </c>
      <c r="AB317" s="642" t="e">
        <f>INDEX(API2DENST_2,MATCH($C317,'Barge Gauging Data'!$B$27:$B$56,0),1)</f>
        <v>#N/A</v>
      </c>
      <c r="AC317" s="642" t="e">
        <f t="shared" si="287"/>
        <v>#N/A</v>
      </c>
      <c r="AE317" s="661" t="e">
        <f t="shared" si="288"/>
        <v>#VALUE!</v>
      </c>
      <c r="AF317" s="661" t="e">
        <f t="shared" si="289"/>
        <v>#VALUE!</v>
      </c>
      <c r="AH317" s="662" t="str">
        <f t="shared" si="269"/>
        <v/>
      </c>
      <c r="AI317" s="662" t="str">
        <f t="shared" si="270"/>
        <v/>
      </c>
      <c r="AJ317" s="663">
        <f t="shared" si="290"/>
        <v>192.4571</v>
      </c>
      <c r="AK317" s="660">
        <f t="shared" si="291"/>
        <v>0.24379999999999999</v>
      </c>
      <c r="AL317" s="660" t="e">
        <f t="shared" si="292"/>
        <v>#VALUE!</v>
      </c>
      <c r="AM317" s="664" t="e">
        <f t="shared" si="293"/>
        <v>#VALUE!</v>
      </c>
      <c r="AN317" s="664" t="e">
        <f t="shared" si="294"/>
        <v>#VALUE!</v>
      </c>
      <c r="AO317" s="665" t="e">
        <f t="shared" si="295"/>
        <v>#VALUE!</v>
      </c>
      <c r="AP317" s="666" t="e">
        <f t="shared" si="296"/>
        <v>#VALUE!</v>
      </c>
      <c r="AQ317" s="660" t="e">
        <f t="shared" si="297"/>
        <v>#VALUE!</v>
      </c>
      <c r="AR317" s="667" t="e">
        <f t="shared" si="298"/>
        <v>#VALUE!</v>
      </c>
      <c r="AS317" s="667" t="e">
        <f t="shared" si="299"/>
        <v>#VALUE!</v>
      </c>
      <c r="AT317" s="668" t="e">
        <f t="shared" si="300"/>
        <v>#VALUE!</v>
      </c>
      <c r="AU317" s="667" t="e">
        <f t="shared" si="301"/>
        <v>#VALUE!</v>
      </c>
      <c r="AV317" s="669" t="e">
        <f t="shared" si="302"/>
        <v>#VALUE!</v>
      </c>
      <c r="AW317" s="667" t="e">
        <f t="shared" si="303"/>
        <v>#VALUE!</v>
      </c>
      <c r="AX317" s="667" t="e">
        <f t="shared" si="304"/>
        <v>#VALUE!</v>
      </c>
      <c r="AY317" s="660" t="e">
        <f t="shared" si="305"/>
        <v>#VALUE!</v>
      </c>
      <c r="AZ317" s="670" t="e">
        <f t="shared" si="306"/>
        <v>#VALUE!</v>
      </c>
      <c r="BB317" s="662" t="e">
        <f>INDEX('Barge Gauging Data'!$B$26:$V$56,MATCH($C317,'Barge Gauging Data'!$B$26:$B$56,0),$BB$198)</f>
        <v>#N/A</v>
      </c>
      <c r="BC317" s="662" t="e">
        <f>INDEX('Barge Gauging Data'!$B$26:$V$56,MATCH($C317,'Barge Gauging Data'!$B$26:$B$56,0),$BC$198)</f>
        <v>#N/A</v>
      </c>
      <c r="BD317" s="662" t="e">
        <f>INDEX('Barge Gauging Data'!$B$26:$V$56,MATCH($C317,'Barge Gauging Data'!$B$26:$B$56,0),$BD$198)</f>
        <v>#N/A</v>
      </c>
      <c r="BE317" s="662" t="e">
        <f>INDEX('Barge Gauging Data'!$B$26:$V$56,MATCH($C317,'Barge Gauging Data'!$B$26:$B$56,0),$BE$198)</f>
        <v>#N/A</v>
      </c>
    </row>
    <row r="318" spans="1:57" hidden="1">
      <c r="A318" s="641" t="str">
        <f t="shared" si="286"/>
        <v>N</v>
      </c>
      <c r="C318" s="235" t="str">
        <f t="shared" si="308"/>
        <v/>
      </c>
      <c r="D318" s="211" t="str">
        <f t="shared" si="308"/>
        <v/>
      </c>
      <c r="E318" s="1016" t="str">
        <f t="shared" si="307"/>
        <v/>
      </c>
      <c r="F318" s="1016" t="str">
        <f t="shared" si="309"/>
        <v/>
      </c>
      <c r="G318" s="1016" t="str">
        <f t="shared" si="310"/>
        <v/>
      </c>
      <c r="H318" s="1016" t="str">
        <f t="shared" si="310"/>
        <v/>
      </c>
      <c r="I318" s="211" t="str">
        <f t="shared" si="311"/>
        <v/>
      </c>
      <c r="J318" s="1016" t="str">
        <f t="shared" si="312"/>
        <v/>
      </c>
      <c r="K318" s="213" t="str">
        <f t="shared" si="313"/>
        <v/>
      </c>
      <c r="L318" s="212" t="str">
        <f t="shared" si="314"/>
        <v/>
      </c>
      <c r="M318" s="1125" t="str">
        <f>IF(OR($C318="",$C318=0),"",INDEX(API2DENST_2,MATCH($C318,'Barge Gauging Data'!$B$27:$B$56,0),$AA$1))</f>
        <v/>
      </c>
      <c r="N318" s="212" t="str">
        <f t="shared" si="315"/>
        <v/>
      </c>
      <c r="O318" s="1016" t="str">
        <f t="shared" si="316"/>
        <v/>
      </c>
      <c r="P318" s="1125" t="str">
        <f t="shared" si="317"/>
        <v/>
      </c>
      <c r="Q318" s="1016" t="str">
        <f t="shared" si="318"/>
        <v/>
      </c>
      <c r="R318" s="214" t="str">
        <f t="shared" si="319"/>
        <v/>
      </c>
      <c r="S318" s="1125" t="str">
        <f t="shared" si="320"/>
        <v/>
      </c>
      <c r="T318" s="236" t="str">
        <f t="shared" si="321"/>
        <v/>
      </c>
      <c r="W318" s="642" t="e">
        <f>INDEX('Barge Gauging Data'!$B$26:$V$56,MATCH($C318,'Barge Gauging Data'!$B$26:$B$56,0),$W$198)</f>
        <v>#N/A</v>
      </c>
      <c r="X318" s="642" t="e">
        <f>INDEX('Barge Gauging Data'!$B$26:$V$56,MATCH($C318,'Barge Gauging Data'!$B$26:$B$56,0),$X$198)</f>
        <v>#N/A</v>
      </c>
      <c r="Y318" s="642" t="e">
        <f>INDEX('Barge Gauging Data'!$B$26:$V$56,MATCH($C318,'Barge Gauging Data'!$B$26:$B$56,0),$Y$198)</f>
        <v>#N/A</v>
      </c>
      <c r="Z318" s="642" t="e">
        <f>INDEX('Barge Gauging Data'!$B$26:$V$56,MATCH($C318,'Barge Gauging Data'!$B$26:$B$56,0),$Z$198)</f>
        <v>#N/A</v>
      </c>
      <c r="AB318" s="642" t="e">
        <f>INDEX(API2DENST_2,MATCH($C318,'Barge Gauging Data'!$B$27:$B$56,0),1)</f>
        <v>#N/A</v>
      </c>
      <c r="AC318" s="642" t="e">
        <f t="shared" si="287"/>
        <v>#N/A</v>
      </c>
      <c r="AE318" s="661" t="e">
        <f t="shared" si="288"/>
        <v>#VALUE!</v>
      </c>
      <c r="AF318" s="661" t="e">
        <f t="shared" si="289"/>
        <v>#VALUE!</v>
      </c>
      <c r="AH318" s="662" t="str">
        <f t="shared" si="269"/>
        <v/>
      </c>
      <c r="AI318" s="662" t="str">
        <f t="shared" si="270"/>
        <v/>
      </c>
      <c r="AJ318" s="663">
        <f t="shared" si="290"/>
        <v>192.4571</v>
      </c>
      <c r="AK318" s="660">
        <f t="shared" si="291"/>
        <v>0.24379999999999999</v>
      </c>
      <c r="AL318" s="660" t="e">
        <f t="shared" si="292"/>
        <v>#VALUE!</v>
      </c>
      <c r="AM318" s="664" t="e">
        <f t="shared" si="293"/>
        <v>#VALUE!</v>
      </c>
      <c r="AN318" s="664" t="e">
        <f t="shared" si="294"/>
        <v>#VALUE!</v>
      </c>
      <c r="AO318" s="665" t="e">
        <f t="shared" si="295"/>
        <v>#VALUE!</v>
      </c>
      <c r="AP318" s="666" t="e">
        <f t="shared" si="296"/>
        <v>#VALUE!</v>
      </c>
      <c r="AQ318" s="660" t="e">
        <f t="shared" si="297"/>
        <v>#VALUE!</v>
      </c>
      <c r="AR318" s="667" t="e">
        <f t="shared" si="298"/>
        <v>#VALUE!</v>
      </c>
      <c r="AS318" s="667" t="e">
        <f t="shared" si="299"/>
        <v>#VALUE!</v>
      </c>
      <c r="AT318" s="668" t="e">
        <f t="shared" si="300"/>
        <v>#VALUE!</v>
      </c>
      <c r="AU318" s="667" t="e">
        <f t="shared" si="301"/>
        <v>#VALUE!</v>
      </c>
      <c r="AV318" s="669" t="e">
        <f t="shared" si="302"/>
        <v>#VALUE!</v>
      </c>
      <c r="AW318" s="667" t="e">
        <f t="shared" si="303"/>
        <v>#VALUE!</v>
      </c>
      <c r="AX318" s="667" t="e">
        <f t="shared" si="304"/>
        <v>#VALUE!</v>
      </c>
      <c r="AY318" s="660" t="e">
        <f t="shared" si="305"/>
        <v>#VALUE!</v>
      </c>
      <c r="AZ318" s="670" t="e">
        <f t="shared" si="306"/>
        <v>#VALUE!</v>
      </c>
      <c r="BB318" s="662" t="e">
        <f>INDEX('Barge Gauging Data'!$B$26:$V$56,MATCH($C318,'Barge Gauging Data'!$B$26:$B$56,0),$BB$198)</f>
        <v>#N/A</v>
      </c>
      <c r="BC318" s="662" t="e">
        <f>INDEX('Barge Gauging Data'!$B$26:$V$56,MATCH($C318,'Barge Gauging Data'!$B$26:$B$56,0),$BC$198)</f>
        <v>#N/A</v>
      </c>
      <c r="BD318" s="662" t="e">
        <f>INDEX('Barge Gauging Data'!$B$26:$V$56,MATCH($C318,'Barge Gauging Data'!$B$26:$B$56,0),$BD$198)</f>
        <v>#N/A</v>
      </c>
      <c r="BE318" s="662" t="e">
        <f>INDEX('Barge Gauging Data'!$B$26:$V$56,MATCH($C318,'Barge Gauging Data'!$B$26:$B$56,0),$BE$198)</f>
        <v>#N/A</v>
      </c>
    </row>
    <row r="319" spans="1:57" hidden="1">
      <c r="A319" s="641" t="str">
        <f t="shared" si="286"/>
        <v>N</v>
      </c>
      <c r="C319" s="235" t="str">
        <f t="shared" si="308"/>
        <v/>
      </c>
      <c r="D319" s="211" t="str">
        <f t="shared" si="308"/>
        <v/>
      </c>
      <c r="E319" s="1016" t="str">
        <f t="shared" si="307"/>
        <v/>
      </c>
      <c r="F319" s="1016" t="str">
        <f t="shared" si="309"/>
        <v/>
      </c>
      <c r="G319" s="1016" t="str">
        <f t="shared" si="310"/>
        <v/>
      </c>
      <c r="H319" s="1016" t="str">
        <f t="shared" si="310"/>
        <v/>
      </c>
      <c r="I319" s="211" t="str">
        <f t="shared" si="311"/>
        <v/>
      </c>
      <c r="J319" s="1016" t="str">
        <f t="shared" si="312"/>
        <v/>
      </c>
      <c r="K319" s="213" t="str">
        <f t="shared" si="313"/>
        <v/>
      </c>
      <c r="L319" s="212" t="str">
        <f t="shared" si="314"/>
        <v/>
      </c>
      <c r="M319" s="1125" t="str">
        <f>IF(OR($C319="",$C319=0),"",INDEX(API2DENST_2,MATCH($C319,'Barge Gauging Data'!$B$27:$B$56,0),$AA$1))</f>
        <v/>
      </c>
      <c r="N319" s="212" t="str">
        <f t="shared" si="315"/>
        <v/>
      </c>
      <c r="O319" s="1016" t="str">
        <f t="shared" si="316"/>
        <v/>
      </c>
      <c r="P319" s="1125" t="str">
        <f t="shared" si="317"/>
        <v/>
      </c>
      <c r="Q319" s="1016" t="str">
        <f t="shared" si="318"/>
        <v/>
      </c>
      <c r="R319" s="214" t="str">
        <f t="shared" si="319"/>
        <v/>
      </c>
      <c r="S319" s="1125" t="str">
        <f t="shared" si="320"/>
        <v/>
      </c>
      <c r="T319" s="236" t="str">
        <f t="shared" si="321"/>
        <v/>
      </c>
      <c r="W319" s="642" t="e">
        <f>INDEX('Barge Gauging Data'!$B$26:$V$56,MATCH($C319,'Barge Gauging Data'!$B$26:$B$56,0),$W$198)</f>
        <v>#N/A</v>
      </c>
      <c r="X319" s="642" t="e">
        <f>INDEX('Barge Gauging Data'!$B$26:$V$56,MATCH($C319,'Barge Gauging Data'!$B$26:$B$56,0),$X$198)</f>
        <v>#N/A</v>
      </c>
      <c r="Y319" s="642" t="e">
        <f>INDEX('Barge Gauging Data'!$B$26:$V$56,MATCH($C319,'Barge Gauging Data'!$B$26:$B$56,0),$Y$198)</f>
        <v>#N/A</v>
      </c>
      <c r="Z319" s="642" t="e">
        <f>INDEX('Barge Gauging Data'!$B$26:$V$56,MATCH($C319,'Barge Gauging Data'!$B$26:$B$56,0),$Z$198)</f>
        <v>#N/A</v>
      </c>
      <c r="AB319" s="642" t="e">
        <f>INDEX(API2DENST_2,MATCH($C319,'Barge Gauging Data'!$B$27:$B$56,0),1)</f>
        <v>#N/A</v>
      </c>
      <c r="AC319" s="642" t="e">
        <f t="shared" si="287"/>
        <v>#N/A</v>
      </c>
      <c r="AE319" s="661" t="e">
        <f t="shared" si="288"/>
        <v>#VALUE!</v>
      </c>
      <c r="AF319" s="661" t="e">
        <f t="shared" si="289"/>
        <v>#VALUE!</v>
      </c>
      <c r="AH319" s="662" t="str">
        <f t="shared" si="269"/>
        <v/>
      </c>
      <c r="AI319" s="662" t="str">
        <f t="shared" si="270"/>
        <v/>
      </c>
      <c r="AJ319" s="663">
        <f t="shared" si="290"/>
        <v>192.4571</v>
      </c>
      <c r="AK319" s="660">
        <f t="shared" si="291"/>
        <v>0.24379999999999999</v>
      </c>
      <c r="AL319" s="660" t="e">
        <f t="shared" si="292"/>
        <v>#VALUE!</v>
      </c>
      <c r="AM319" s="664" t="e">
        <f t="shared" si="293"/>
        <v>#VALUE!</v>
      </c>
      <c r="AN319" s="664" t="e">
        <f t="shared" si="294"/>
        <v>#VALUE!</v>
      </c>
      <c r="AO319" s="665" t="e">
        <f t="shared" si="295"/>
        <v>#VALUE!</v>
      </c>
      <c r="AP319" s="666" t="e">
        <f t="shared" si="296"/>
        <v>#VALUE!</v>
      </c>
      <c r="AQ319" s="660" t="e">
        <f t="shared" si="297"/>
        <v>#VALUE!</v>
      </c>
      <c r="AR319" s="667" t="e">
        <f t="shared" si="298"/>
        <v>#VALUE!</v>
      </c>
      <c r="AS319" s="667" t="e">
        <f t="shared" si="299"/>
        <v>#VALUE!</v>
      </c>
      <c r="AT319" s="668" t="e">
        <f t="shared" si="300"/>
        <v>#VALUE!</v>
      </c>
      <c r="AU319" s="667" t="e">
        <f t="shared" si="301"/>
        <v>#VALUE!</v>
      </c>
      <c r="AV319" s="669" t="e">
        <f t="shared" si="302"/>
        <v>#VALUE!</v>
      </c>
      <c r="AW319" s="667" t="e">
        <f t="shared" si="303"/>
        <v>#VALUE!</v>
      </c>
      <c r="AX319" s="667" t="e">
        <f t="shared" si="304"/>
        <v>#VALUE!</v>
      </c>
      <c r="AY319" s="660" t="e">
        <f t="shared" si="305"/>
        <v>#VALUE!</v>
      </c>
      <c r="AZ319" s="670" t="e">
        <f t="shared" si="306"/>
        <v>#VALUE!</v>
      </c>
      <c r="BB319" s="662" t="e">
        <f>INDEX('Barge Gauging Data'!$B$26:$V$56,MATCH($C319,'Barge Gauging Data'!$B$26:$B$56,0),$BB$198)</f>
        <v>#N/A</v>
      </c>
      <c r="BC319" s="662" t="e">
        <f>INDEX('Barge Gauging Data'!$B$26:$V$56,MATCH($C319,'Barge Gauging Data'!$B$26:$B$56,0),$BC$198)</f>
        <v>#N/A</v>
      </c>
      <c r="BD319" s="662" t="e">
        <f>INDEX('Barge Gauging Data'!$B$26:$V$56,MATCH($C319,'Barge Gauging Data'!$B$26:$B$56,0),$BD$198)</f>
        <v>#N/A</v>
      </c>
      <c r="BE319" s="662" t="e">
        <f>INDEX('Barge Gauging Data'!$B$26:$V$56,MATCH($C319,'Barge Gauging Data'!$B$26:$B$56,0),$BE$198)</f>
        <v>#N/A</v>
      </c>
    </row>
    <row r="320" spans="1:57" hidden="1">
      <c r="A320" s="641" t="str">
        <f t="shared" si="286"/>
        <v>N</v>
      </c>
      <c r="C320" s="235" t="str">
        <f t="shared" si="308"/>
        <v/>
      </c>
      <c r="D320" s="211" t="str">
        <f t="shared" si="308"/>
        <v/>
      </c>
      <c r="E320" s="1016" t="str">
        <f t="shared" si="307"/>
        <v/>
      </c>
      <c r="F320" s="1016" t="str">
        <f t="shared" si="309"/>
        <v/>
      </c>
      <c r="G320" s="1016" t="str">
        <f t="shared" si="310"/>
        <v/>
      </c>
      <c r="H320" s="1016" t="str">
        <f t="shared" si="310"/>
        <v/>
      </c>
      <c r="I320" s="211" t="str">
        <f t="shared" si="311"/>
        <v/>
      </c>
      <c r="J320" s="1016" t="str">
        <f t="shared" si="312"/>
        <v/>
      </c>
      <c r="K320" s="213" t="str">
        <f t="shared" si="313"/>
        <v/>
      </c>
      <c r="L320" s="212" t="str">
        <f t="shared" si="314"/>
        <v/>
      </c>
      <c r="M320" s="1125" t="str">
        <f>IF(OR($C320="",$C320=0),"",INDEX(API2DENST_2,MATCH($C320,'Barge Gauging Data'!$B$27:$B$56,0),$AA$1))</f>
        <v/>
      </c>
      <c r="N320" s="212" t="str">
        <f t="shared" si="315"/>
        <v/>
      </c>
      <c r="O320" s="1016" t="str">
        <f t="shared" si="316"/>
        <v/>
      </c>
      <c r="P320" s="1125" t="str">
        <f t="shared" si="317"/>
        <v/>
      </c>
      <c r="Q320" s="1016" t="str">
        <f t="shared" si="318"/>
        <v/>
      </c>
      <c r="R320" s="214" t="str">
        <f t="shared" si="319"/>
        <v/>
      </c>
      <c r="S320" s="1125" t="str">
        <f t="shared" si="320"/>
        <v/>
      </c>
      <c r="T320" s="236" t="str">
        <f t="shared" si="321"/>
        <v/>
      </c>
      <c r="W320" s="642" t="e">
        <f>INDEX('Barge Gauging Data'!$B$26:$V$56,MATCH($C320,'Barge Gauging Data'!$B$26:$B$56,0),$W$198)</f>
        <v>#N/A</v>
      </c>
      <c r="X320" s="642" t="e">
        <f>INDEX('Barge Gauging Data'!$B$26:$V$56,MATCH($C320,'Barge Gauging Data'!$B$26:$B$56,0),$X$198)</f>
        <v>#N/A</v>
      </c>
      <c r="Y320" s="642" t="e">
        <f>INDEX('Barge Gauging Data'!$B$26:$V$56,MATCH($C320,'Barge Gauging Data'!$B$26:$B$56,0),$Y$198)</f>
        <v>#N/A</v>
      </c>
      <c r="Z320" s="642" t="e">
        <f>INDEX('Barge Gauging Data'!$B$26:$V$56,MATCH($C320,'Barge Gauging Data'!$B$26:$B$56,0),$Z$198)</f>
        <v>#N/A</v>
      </c>
      <c r="AB320" s="642" t="e">
        <f>INDEX(API2DENST_2,MATCH($C320,'Barge Gauging Data'!$B$27:$B$56,0),1)</f>
        <v>#N/A</v>
      </c>
      <c r="AC320" s="642" t="e">
        <f t="shared" si="287"/>
        <v>#N/A</v>
      </c>
      <c r="AE320" s="661" t="e">
        <f t="shared" si="288"/>
        <v>#VALUE!</v>
      </c>
      <c r="AF320" s="661" t="e">
        <f t="shared" si="289"/>
        <v>#VALUE!</v>
      </c>
      <c r="AH320" s="662" t="str">
        <f t="shared" si="269"/>
        <v/>
      </c>
      <c r="AI320" s="662" t="str">
        <f t="shared" si="270"/>
        <v/>
      </c>
      <c r="AJ320" s="663">
        <f t="shared" si="290"/>
        <v>192.4571</v>
      </c>
      <c r="AK320" s="660">
        <f t="shared" si="291"/>
        <v>0.24379999999999999</v>
      </c>
      <c r="AL320" s="660" t="e">
        <f t="shared" si="292"/>
        <v>#VALUE!</v>
      </c>
      <c r="AM320" s="664" t="e">
        <f t="shared" si="293"/>
        <v>#VALUE!</v>
      </c>
      <c r="AN320" s="664" t="e">
        <f t="shared" si="294"/>
        <v>#VALUE!</v>
      </c>
      <c r="AO320" s="665" t="e">
        <f t="shared" si="295"/>
        <v>#VALUE!</v>
      </c>
      <c r="AP320" s="666" t="e">
        <f t="shared" si="296"/>
        <v>#VALUE!</v>
      </c>
      <c r="AQ320" s="660" t="e">
        <f t="shared" si="297"/>
        <v>#VALUE!</v>
      </c>
      <c r="AR320" s="667" t="e">
        <f t="shared" si="298"/>
        <v>#VALUE!</v>
      </c>
      <c r="AS320" s="667" t="e">
        <f t="shared" si="299"/>
        <v>#VALUE!</v>
      </c>
      <c r="AT320" s="668" t="e">
        <f t="shared" si="300"/>
        <v>#VALUE!</v>
      </c>
      <c r="AU320" s="667" t="e">
        <f t="shared" si="301"/>
        <v>#VALUE!</v>
      </c>
      <c r="AV320" s="669" t="e">
        <f t="shared" si="302"/>
        <v>#VALUE!</v>
      </c>
      <c r="AW320" s="667" t="e">
        <f t="shared" si="303"/>
        <v>#VALUE!</v>
      </c>
      <c r="AX320" s="667" t="e">
        <f t="shared" si="304"/>
        <v>#VALUE!</v>
      </c>
      <c r="AY320" s="660" t="e">
        <f t="shared" si="305"/>
        <v>#VALUE!</v>
      </c>
      <c r="AZ320" s="670" t="e">
        <f t="shared" si="306"/>
        <v>#VALUE!</v>
      </c>
      <c r="BB320" s="662" t="e">
        <f>INDEX('Barge Gauging Data'!$B$26:$V$56,MATCH($C320,'Barge Gauging Data'!$B$26:$B$56,0),$BB$198)</f>
        <v>#N/A</v>
      </c>
      <c r="BC320" s="662" t="e">
        <f>INDEX('Barge Gauging Data'!$B$26:$V$56,MATCH($C320,'Barge Gauging Data'!$B$26:$B$56,0),$BC$198)</f>
        <v>#N/A</v>
      </c>
      <c r="BD320" s="662" t="e">
        <f>INDEX('Barge Gauging Data'!$B$26:$V$56,MATCH($C320,'Barge Gauging Data'!$B$26:$B$56,0),$BD$198)</f>
        <v>#N/A</v>
      </c>
      <c r="BE320" s="662" t="e">
        <f>INDEX('Barge Gauging Data'!$B$26:$V$56,MATCH($C320,'Barge Gauging Data'!$B$26:$B$56,0),$BE$198)</f>
        <v>#N/A</v>
      </c>
    </row>
    <row r="321" spans="1:57" hidden="1">
      <c r="A321" s="641" t="str">
        <f t="shared" si="286"/>
        <v>N</v>
      </c>
      <c r="C321" s="235" t="str">
        <f t="shared" si="308"/>
        <v/>
      </c>
      <c r="D321" s="211" t="str">
        <f t="shared" si="308"/>
        <v/>
      </c>
      <c r="E321" s="1016" t="str">
        <f t="shared" si="307"/>
        <v/>
      </c>
      <c r="F321" s="1016" t="str">
        <f t="shared" si="309"/>
        <v/>
      </c>
      <c r="G321" s="1016" t="str">
        <f t="shared" si="310"/>
        <v/>
      </c>
      <c r="H321" s="1016" t="str">
        <f t="shared" si="310"/>
        <v/>
      </c>
      <c r="I321" s="211" t="str">
        <f t="shared" si="311"/>
        <v/>
      </c>
      <c r="J321" s="1016" t="str">
        <f t="shared" si="312"/>
        <v/>
      </c>
      <c r="K321" s="213" t="str">
        <f t="shared" si="313"/>
        <v/>
      </c>
      <c r="L321" s="212" t="str">
        <f t="shared" si="314"/>
        <v/>
      </c>
      <c r="M321" s="1125" t="str">
        <f>IF(OR($C321="",$C321=0),"",INDEX(API2DENST_2,MATCH($C321,'Barge Gauging Data'!$B$27:$B$56,0),$AA$1))</f>
        <v/>
      </c>
      <c r="N321" s="212" t="str">
        <f t="shared" si="315"/>
        <v/>
      </c>
      <c r="O321" s="1016" t="str">
        <f t="shared" si="316"/>
        <v/>
      </c>
      <c r="P321" s="1125" t="str">
        <f t="shared" si="317"/>
        <v/>
      </c>
      <c r="Q321" s="1016" t="str">
        <f t="shared" si="318"/>
        <v/>
      </c>
      <c r="R321" s="214" t="str">
        <f t="shared" si="319"/>
        <v/>
      </c>
      <c r="S321" s="1125" t="str">
        <f t="shared" si="320"/>
        <v/>
      </c>
      <c r="T321" s="236" t="str">
        <f t="shared" si="321"/>
        <v/>
      </c>
      <c r="W321" s="642" t="e">
        <f>INDEX('Barge Gauging Data'!$B$26:$V$56,MATCH($C321,'Barge Gauging Data'!$B$26:$B$56,0),$W$198)</f>
        <v>#N/A</v>
      </c>
      <c r="X321" s="642" t="e">
        <f>INDEX('Barge Gauging Data'!$B$26:$V$56,MATCH($C321,'Barge Gauging Data'!$B$26:$B$56,0),$X$198)</f>
        <v>#N/A</v>
      </c>
      <c r="Y321" s="642" t="e">
        <f>INDEX('Barge Gauging Data'!$B$26:$V$56,MATCH($C321,'Barge Gauging Data'!$B$26:$B$56,0),$Y$198)</f>
        <v>#N/A</v>
      </c>
      <c r="Z321" s="642" t="e">
        <f>INDEX('Barge Gauging Data'!$B$26:$V$56,MATCH($C321,'Barge Gauging Data'!$B$26:$B$56,0),$Z$198)</f>
        <v>#N/A</v>
      </c>
      <c r="AB321" s="642" t="e">
        <f>INDEX(API2DENST_2,MATCH($C321,'Barge Gauging Data'!$B$27:$B$56,0),1)</f>
        <v>#N/A</v>
      </c>
      <c r="AC321" s="642" t="e">
        <f t="shared" si="287"/>
        <v>#N/A</v>
      </c>
      <c r="AE321" s="661" t="e">
        <f t="shared" si="288"/>
        <v>#VALUE!</v>
      </c>
      <c r="AF321" s="661" t="e">
        <f t="shared" si="289"/>
        <v>#VALUE!</v>
      </c>
      <c r="AH321" s="662" t="str">
        <f t="shared" si="269"/>
        <v/>
      </c>
      <c r="AI321" s="662" t="str">
        <f t="shared" si="270"/>
        <v/>
      </c>
      <c r="AJ321" s="663">
        <f t="shared" si="290"/>
        <v>192.4571</v>
      </c>
      <c r="AK321" s="660">
        <f t="shared" si="291"/>
        <v>0.24379999999999999</v>
      </c>
      <c r="AL321" s="660" t="e">
        <f t="shared" si="292"/>
        <v>#VALUE!</v>
      </c>
      <c r="AM321" s="664" t="e">
        <f t="shared" si="293"/>
        <v>#VALUE!</v>
      </c>
      <c r="AN321" s="664" t="e">
        <f t="shared" si="294"/>
        <v>#VALUE!</v>
      </c>
      <c r="AO321" s="665" t="e">
        <f t="shared" si="295"/>
        <v>#VALUE!</v>
      </c>
      <c r="AP321" s="666" t="e">
        <f t="shared" si="296"/>
        <v>#VALUE!</v>
      </c>
      <c r="AQ321" s="660" t="e">
        <f t="shared" si="297"/>
        <v>#VALUE!</v>
      </c>
      <c r="AR321" s="667" t="e">
        <f t="shared" si="298"/>
        <v>#VALUE!</v>
      </c>
      <c r="AS321" s="667" t="e">
        <f t="shared" si="299"/>
        <v>#VALUE!</v>
      </c>
      <c r="AT321" s="668" t="e">
        <f t="shared" si="300"/>
        <v>#VALUE!</v>
      </c>
      <c r="AU321" s="667" t="e">
        <f t="shared" si="301"/>
        <v>#VALUE!</v>
      </c>
      <c r="AV321" s="669" t="e">
        <f t="shared" si="302"/>
        <v>#VALUE!</v>
      </c>
      <c r="AW321" s="667" t="e">
        <f t="shared" si="303"/>
        <v>#VALUE!</v>
      </c>
      <c r="AX321" s="667" t="e">
        <f t="shared" si="304"/>
        <v>#VALUE!</v>
      </c>
      <c r="AY321" s="660" t="e">
        <f t="shared" si="305"/>
        <v>#VALUE!</v>
      </c>
      <c r="AZ321" s="670" t="e">
        <f t="shared" si="306"/>
        <v>#VALUE!</v>
      </c>
      <c r="BB321" s="662" t="e">
        <f>INDEX('Barge Gauging Data'!$B$26:$V$56,MATCH($C321,'Barge Gauging Data'!$B$26:$B$56,0),$BB$198)</f>
        <v>#N/A</v>
      </c>
      <c r="BC321" s="662" t="e">
        <f>INDEX('Barge Gauging Data'!$B$26:$V$56,MATCH($C321,'Barge Gauging Data'!$B$26:$B$56,0),$BC$198)</f>
        <v>#N/A</v>
      </c>
      <c r="BD321" s="662" t="e">
        <f>INDEX('Barge Gauging Data'!$B$26:$V$56,MATCH($C321,'Barge Gauging Data'!$B$26:$B$56,0),$BD$198)</f>
        <v>#N/A</v>
      </c>
      <c r="BE321" s="662" t="e">
        <f>INDEX('Barge Gauging Data'!$B$26:$V$56,MATCH($C321,'Barge Gauging Data'!$B$26:$B$56,0),$BE$198)</f>
        <v>#N/A</v>
      </c>
    </row>
    <row r="322" spans="1:57" hidden="1">
      <c r="A322" s="641" t="str">
        <f t="shared" si="286"/>
        <v>N</v>
      </c>
      <c r="C322" s="235" t="str">
        <f t="shared" si="308"/>
        <v/>
      </c>
      <c r="D322" s="211" t="str">
        <f t="shared" si="308"/>
        <v/>
      </c>
      <c r="E322" s="1016" t="str">
        <f t="shared" si="307"/>
        <v/>
      </c>
      <c r="F322" s="1016" t="str">
        <f t="shared" si="309"/>
        <v/>
      </c>
      <c r="G322" s="1016" t="str">
        <f t="shared" si="310"/>
        <v/>
      </c>
      <c r="H322" s="1016" t="str">
        <f t="shared" si="310"/>
        <v/>
      </c>
      <c r="I322" s="211" t="str">
        <f t="shared" si="311"/>
        <v/>
      </c>
      <c r="J322" s="1016" t="str">
        <f t="shared" si="312"/>
        <v/>
      </c>
      <c r="K322" s="213" t="str">
        <f t="shared" si="313"/>
        <v/>
      </c>
      <c r="L322" s="212" t="str">
        <f t="shared" si="314"/>
        <v/>
      </c>
      <c r="M322" s="1125" t="str">
        <f>IF(OR($C322="",$C322=0),"",INDEX(API2DENST_2,MATCH($C322,'Barge Gauging Data'!$B$27:$B$56,0),$AA$1))</f>
        <v/>
      </c>
      <c r="N322" s="212" t="str">
        <f t="shared" si="315"/>
        <v/>
      </c>
      <c r="O322" s="1016" t="str">
        <f t="shared" si="316"/>
        <v/>
      </c>
      <c r="P322" s="1125" t="str">
        <f t="shared" si="317"/>
        <v/>
      </c>
      <c r="Q322" s="1016" t="str">
        <f t="shared" si="318"/>
        <v/>
      </c>
      <c r="R322" s="214" t="str">
        <f t="shared" si="319"/>
        <v/>
      </c>
      <c r="S322" s="1125" t="str">
        <f t="shared" si="320"/>
        <v/>
      </c>
      <c r="T322" s="236" t="str">
        <f t="shared" si="321"/>
        <v/>
      </c>
      <c r="W322" s="642" t="e">
        <f>INDEX('Barge Gauging Data'!$B$26:$V$56,MATCH($C322,'Barge Gauging Data'!$B$26:$B$56,0),$W$198)</f>
        <v>#N/A</v>
      </c>
      <c r="X322" s="642" t="e">
        <f>INDEX('Barge Gauging Data'!$B$26:$V$56,MATCH($C322,'Barge Gauging Data'!$B$26:$B$56,0),$X$198)</f>
        <v>#N/A</v>
      </c>
      <c r="Y322" s="642" t="e">
        <f>INDEX('Barge Gauging Data'!$B$26:$V$56,MATCH($C322,'Barge Gauging Data'!$B$26:$B$56,0),$Y$198)</f>
        <v>#N/A</v>
      </c>
      <c r="Z322" s="642" t="e">
        <f>INDEX('Barge Gauging Data'!$B$26:$V$56,MATCH($C322,'Barge Gauging Data'!$B$26:$B$56,0),$Z$198)</f>
        <v>#N/A</v>
      </c>
      <c r="AB322" s="642" t="e">
        <f>INDEX(API2DENST_2,MATCH($C322,'Barge Gauging Data'!$B$27:$B$56,0),1)</f>
        <v>#N/A</v>
      </c>
      <c r="AC322" s="642" t="e">
        <f t="shared" si="287"/>
        <v>#N/A</v>
      </c>
      <c r="AE322" s="661" t="e">
        <f t="shared" si="288"/>
        <v>#VALUE!</v>
      </c>
      <c r="AF322" s="661" t="e">
        <f t="shared" si="289"/>
        <v>#VALUE!</v>
      </c>
      <c r="AH322" s="662" t="str">
        <f t="shared" si="269"/>
        <v/>
      </c>
      <c r="AI322" s="662" t="str">
        <f t="shared" si="270"/>
        <v/>
      </c>
      <c r="AJ322" s="663">
        <f t="shared" si="290"/>
        <v>192.4571</v>
      </c>
      <c r="AK322" s="660">
        <f t="shared" si="291"/>
        <v>0.24379999999999999</v>
      </c>
      <c r="AL322" s="660" t="e">
        <f t="shared" si="292"/>
        <v>#VALUE!</v>
      </c>
      <c r="AM322" s="664" t="e">
        <f t="shared" si="293"/>
        <v>#VALUE!</v>
      </c>
      <c r="AN322" s="664" t="e">
        <f t="shared" si="294"/>
        <v>#VALUE!</v>
      </c>
      <c r="AO322" s="665" t="e">
        <f t="shared" si="295"/>
        <v>#VALUE!</v>
      </c>
      <c r="AP322" s="666" t="e">
        <f t="shared" si="296"/>
        <v>#VALUE!</v>
      </c>
      <c r="AQ322" s="660" t="e">
        <f t="shared" si="297"/>
        <v>#VALUE!</v>
      </c>
      <c r="AR322" s="667" t="e">
        <f t="shared" si="298"/>
        <v>#VALUE!</v>
      </c>
      <c r="AS322" s="667" t="e">
        <f t="shared" si="299"/>
        <v>#VALUE!</v>
      </c>
      <c r="AT322" s="668" t="e">
        <f t="shared" si="300"/>
        <v>#VALUE!</v>
      </c>
      <c r="AU322" s="667" t="e">
        <f t="shared" si="301"/>
        <v>#VALUE!</v>
      </c>
      <c r="AV322" s="669" t="e">
        <f t="shared" si="302"/>
        <v>#VALUE!</v>
      </c>
      <c r="AW322" s="667" t="e">
        <f t="shared" si="303"/>
        <v>#VALUE!</v>
      </c>
      <c r="AX322" s="667" t="e">
        <f t="shared" si="304"/>
        <v>#VALUE!</v>
      </c>
      <c r="AY322" s="660" t="e">
        <f t="shared" si="305"/>
        <v>#VALUE!</v>
      </c>
      <c r="AZ322" s="670" t="e">
        <f t="shared" si="306"/>
        <v>#VALUE!</v>
      </c>
      <c r="BB322" s="662" t="e">
        <f>INDEX('Barge Gauging Data'!$B$26:$V$56,MATCH($C322,'Barge Gauging Data'!$B$26:$B$56,0),$BB$198)</f>
        <v>#N/A</v>
      </c>
      <c r="BC322" s="662" t="e">
        <f>INDEX('Barge Gauging Data'!$B$26:$V$56,MATCH($C322,'Barge Gauging Data'!$B$26:$B$56,0),$BC$198)</f>
        <v>#N/A</v>
      </c>
      <c r="BD322" s="662" t="e">
        <f>INDEX('Barge Gauging Data'!$B$26:$V$56,MATCH($C322,'Barge Gauging Data'!$B$26:$B$56,0),$BD$198)</f>
        <v>#N/A</v>
      </c>
      <c r="BE322" s="662" t="e">
        <f>INDEX('Barge Gauging Data'!$B$26:$V$56,MATCH($C322,'Barge Gauging Data'!$B$26:$B$56,0),$BE$198)</f>
        <v>#N/A</v>
      </c>
    </row>
    <row r="323" spans="1:57" hidden="1">
      <c r="A323" s="641" t="str">
        <f t="shared" si="286"/>
        <v>N</v>
      </c>
      <c r="C323" s="235" t="str">
        <f t="shared" si="308"/>
        <v/>
      </c>
      <c r="D323" s="211" t="str">
        <f t="shared" si="308"/>
        <v/>
      </c>
      <c r="E323" s="1016" t="str">
        <f t="shared" si="307"/>
        <v/>
      </c>
      <c r="F323" s="1016" t="str">
        <f t="shared" si="309"/>
        <v/>
      </c>
      <c r="G323" s="1016" t="str">
        <f t="shared" si="310"/>
        <v/>
      </c>
      <c r="H323" s="1016" t="str">
        <f t="shared" si="310"/>
        <v/>
      </c>
      <c r="I323" s="211" t="str">
        <f t="shared" si="311"/>
        <v/>
      </c>
      <c r="J323" s="1016" t="str">
        <f t="shared" si="312"/>
        <v/>
      </c>
      <c r="K323" s="213" t="str">
        <f t="shared" si="313"/>
        <v/>
      </c>
      <c r="L323" s="212" t="str">
        <f t="shared" si="314"/>
        <v/>
      </c>
      <c r="M323" s="1125" t="str">
        <f>IF(OR($C323="",$C323=0),"",INDEX(API2DENST_2,MATCH($C323,'Barge Gauging Data'!$B$27:$B$56,0),$AA$1))</f>
        <v/>
      </c>
      <c r="N323" s="212" t="str">
        <f t="shared" si="315"/>
        <v/>
      </c>
      <c r="O323" s="1016" t="str">
        <f t="shared" si="316"/>
        <v/>
      </c>
      <c r="P323" s="1125" t="str">
        <f t="shared" si="317"/>
        <v/>
      </c>
      <c r="Q323" s="1016" t="str">
        <f t="shared" si="318"/>
        <v/>
      </c>
      <c r="R323" s="214" t="str">
        <f t="shared" si="319"/>
        <v/>
      </c>
      <c r="S323" s="1125" t="str">
        <f t="shared" si="320"/>
        <v/>
      </c>
      <c r="T323" s="236" t="str">
        <f t="shared" si="321"/>
        <v/>
      </c>
      <c r="W323" s="642" t="e">
        <f>INDEX('Barge Gauging Data'!$B$26:$V$56,MATCH($C323,'Barge Gauging Data'!$B$26:$B$56,0),$W$198)</f>
        <v>#N/A</v>
      </c>
      <c r="X323" s="642" t="e">
        <f>INDEX('Barge Gauging Data'!$B$26:$V$56,MATCH($C323,'Barge Gauging Data'!$B$26:$B$56,0),$X$198)</f>
        <v>#N/A</v>
      </c>
      <c r="Y323" s="642" t="e">
        <f>INDEX('Barge Gauging Data'!$B$26:$V$56,MATCH($C323,'Barge Gauging Data'!$B$26:$B$56,0),$Y$198)</f>
        <v>#N/A</v>
      </c>
      <c r="Z323" s="642" t="e">
        <f>INDEX('Barge Gauging Data'!$B$26:$V$56,MATCH($C323,'Barge Gauging Data'!$B$26:$B$56,0),$Z$198)</f>
        <v>#N/A</v>
      </c>
      <c r="AB323" s="642" t="e">
        <f>INDEX(API2DENST_2,MATCH($C323,'Barge Gauging Data'!$B$27:$B$56,0),1)</f>
        <v>#N/A</v>
      </c>
      <c r="AC323" s="642" t="e">
        <f t="shared" si="287"/>
        <v>#N/A</v>
      </c>
      <c r="AE323" s="661" t="e">
        <f t="shared" si="288"/>
        <v>#VALUE!</v>
      </c>
      <c r="AF323" s="661" t="e">
        <f t="shared" si="289"/>
        <v>#VALUE!</v>
      </c>
      <c r="AH323" s="662" t="str">
        <f t="shared" si="269"/>
        <v/>
      </c>
      <c r="AI323" s="662" t="str">
        <f t="shared" si="270"/>
        <v/>
      </c>
      <c r="AJ323" s="663">
        <f t="shared" si="290"/>
        <v>192.4571</v>
      </c>
      <c r="AK323" s="660">
        <f t="shared" si="291"/>
        <v>0.24379999999999999</v>
      </c>
      <c r="AL323" s="660" t="e">
        <f t="shared" si="292"/>
        <v>#VALUE!</v>
      </c>
      <c r="AM323" s="664" t="e">
        <f t="shared" si="293"/>
        <v>#VALUE!</v>
      </c>
      <c r="AN323" s="664" t="e">
        <f t="shared" si="294"/>
        <v>#VALUE!</v>
      </c>
      <c r="AO323" s="665" t="e">
        <f t="shared" si="295"/>
        <v>#VALUE!</v>
      </c>
      <c r="AP323" s="666" t="e">
        <f t="shared" si="296"/>
        <v>#VALUE!</v>
      </c>
      <c r="AQ323" s="660" t="e">
        <f t="shared" si="297"/>
        <v>#VALUE!</v>
      </c>
      <c r="AR323" s="667" t="e">
        <f t="shared" si="298"/>
        <v>#VALUE!</v>
      </c>
      <c r="AS323" s="667" t="e">
        <f t="shared" si="299"/>
        <v>#VALUE!</v>
      </c>
      <c r="AT323" s="668" t="e">
        <f t="shared" si="300"/>
        <v>#VALUE!</v>
      </c>
      <c r="AU323" s="667" t="e">
        <f t="shared" si="301"/>
        <v>#VALUE!</v>
      </c>
      <c r="AV323" s="669" t="e">
        <f t="shared" si="302"/>
        <v>#VALUE!</v>
      </c>
      <c r="AW323" s="667" t="e">
        <f t="shared" si="303"/>
        <v>#VALUE!</v>
      </c>
      <c r="AX323" s="667" t="e">
        <f t="shared" si="304"/>
        <v>#VALUE!</v>
      </c>
      <c r="AY323" s="660" t="e">
        <f t="shared" si="305"/>
        <v>#VALUE!</v>
      </c>
      <c r="AZ323" s="670" t="e">
        <f t="shared" si="306"/>
        <v>#VALUE!</v>
      </c>
      <c r="BB323" s="662" t="e">
        <f>INDEX('Barge Gauging Data'!$B$26:$V$56,MATCH($C323,'Barge Gauging Data'!$B$26:$B$56,0),$BB$198)</f>
        <v>#N/A</v>
      </c>
      <c r="BC323" s="662" t="e">
        <f>INDEX('Barge Gauging Data'!$B$26:$V$56,MATCH($C323,'Barge Gauging Data'!$B$26:$B$56,0),$BC$198)</f>
        <v>#N/A</v>
      </c>
      <c r="BD323" s="662" t="e">
        <f>INDEX('Barge Gauging Data'!$B$26:$V$56,MATCH($C323,'Barge Gauging Data'!$B$26:$B$56,0),$BD$198)</f>
        <v>#N/A</v>
      </c>
      <c r="BE323" s="662" t="e">
        <f>INDEX('Barge Gauging Data'!$B$26:$V$56,MATCH($C323,'Barge Gauging Data'!$B$26:$B$56,0),$BE$198)</f>
        <v>#N/A</v>
      </c>
    </row>
    <row r="324" spans="1:57" hidden="1">
      <c r="A324" s="641" t="str">
        <f t="shared" si="286"/>
        <v>N</v>
      </c>
      <c r="C324" s="235" t="str">
        <f t="shared" si="308"/>
        <v/>
      </c>
      <c r="D324" s="211" t="str">
        <f t="shared" si="308"/>
        <v/>
      </c>
      <c r="E324" s="1016" t="str">
        <f t="shared" si="307"/>
        <v/>
      </c>
      <c r="F324" s="1016" t="str">
        <f t="shared" si="309"/>
        <v/>
      </c>
      <c r="G324" s="1016" t="str">
        <f t="shared" si="310"/>
        <v/>
      </c>
      <c r="H324" s="1016" t="str">
        <f t="shared" si="310"/>
        <v/>
      </c>
      <c r="I324" s="211" t="str">
        <f t="shared" si="311"/>
        <v/>
      </c>
      <c r="J324" s="1016" t="str">
        <f t="shared" si="312"/>
        <v/>
      </c>
      <c r="K324" s="213" t="str">
        <f t="shared" si="313"/>
        <v/>
      </c>
      <c r="L324" s="212" t="str">
        <f t="shared" si="314"/>
        <v/>
      </c>
      <c r="M324" s="1125" t="str">
        <f>IF(OR($C324="",$C324=0),"",INDEX(API2DENST_2,MATCH($C324,'Barge Gauging Data'!$B$27:$B$56,0),$AA$1))</f>
        <v/>
      </c>
      <c r="N324" s="212" t="str">
        <f t="shared" si="315"/>
        <v/>
      </c>
      <c r="O324" s="1016" t="str">
        <f t="shared" si="316"/>
        <v/>
      </c>
      <c r="P324" s="1125" t="str">
        <f t="shared" si="317"/>
        <v/>
      </c>
      <c r="Q324" s="1016" t="str">
        <f t="shared" si="318"/>
        <v/>
      </c>
      <c r="R324" s="214" t="str">
        <f t="shared" si="319"/>
        <v/>
      </c>
      <c r="S324" s="1125" t="str">
        <f t="shared" si="320"/>
        <v/>
      </c>
      <c r="T324" s="236" t="str">
        <f t="shared" si="321"/>
        <v/>
      </c>
      <c r="W324" s="642" t="e">
        <f>INDEX('Barge Gauging Data'!$B$26:$V$56,MATCH($C324,'Barge Gauging Data'!$B$26:$B$56,0),$W$198)</f>
        <v>#N/A</v>
      </c>
      <c r="X324" s="642" t="e">
        <f>INDEX('Barge Gauging Data'!$B$26:$V$56,MATCH($C324,'Barge Gauging Data'!$B$26:$B$56,0),$X$198)</f>
        <v>#N/A</v>
      </c>
      <c r="Y324" s="642" t="e">
        <f>INDEX('Barge Gauging Data'!$B$26:$V$56,MATCH($C324,'Barge Gauging Data'!$B$26:$B$56,0),$Y$198)</f>
        <v>#N/A</v>
      </c>
      <c r="Z324" s="642" t="e">
        <f>INDEX('Barge Gauging Data'!$B$26:$V$56,MATCH($C324,'Barge Gauging Data'!$B$26:$B$56,0),$Z$198)</f>
        <v>#N/A</v>
      </c>
      <c r="AB324" s="642" t="e">
        <f>INDEX(API2DENST_2,MATCH($C324,'Barge Gauging Data'!$B$27:$B$56,0),1)</f>
        <v>#N/A</v>
      </c>
      <c r="AC324" s="642" t="e">
        <f t="shared" si="287"/>
        <v>#N/A</v>
      </c>
      <c r="AE324" s="661" t="e">
        <f t="shared" si="288"/>
        <v>#VALUE!</v>
      </c>
      <c r="AF324" s="661" t="e">
        <f t="shared" si="289"/>
        <v>#VALUE!</v>
      </c>
      <c r="AH324" s="662" t="str">
        <f t="shared" si="269"/>
        <v/>
      </c>
      <c r="AI324" s="662" t="str">
        <f t="shared" si="270"/>
        <v/>
      </c>
      <c r="AJ324" s="663">
        <f t="shared" si="290"/>
        <v>192.4571</v>
      </c>
      <c r="AK324" s="660">
        <f t="shared" si="291"/>
        <v>0.24379999999999999</v>
      </c>
      <c r="AL324" s="660" t="e">
        <f t="shared" si="292"/>
        <v>#VALUE!</v>
      </c>
      <c r="AM324" s="664" t="e">
        <f t="shared" si="293"/>
        <v>#VALUE!</v>
      </c>
      <c r="AN324" s="664" t="e">
        <f t="shared" si="294"/>
        <v>#VALUE!</v>
      </c>
      <c r="AO324" s="665" t="e">
        <f t="shared" si="295"/>
        <v>#VALUE!</v>
      </c>
      <c r="AP324" s="666" t="e">
        <f t="shared" si="296"/>
        <v>#VALUE!</v>
      </c>
      <c r="AQ324" s="660" t="e">
        <f t="shared" si="297"/>
        <v>#VALUE!</v>
      </c>
      <c r="AR324" s="667" t="e">
        <f t="shared" si="298"/>
        <v>#VALUE!</v>
      </c>
      <c r="AS324" s="667" t="e">
        <f t="shared" si="299"/>
        <v>#VALUE!</v>
      </c>
      <c r="AT324" s="668" t="e">
        <f t="shared" si="300"/>
        <v>#VALUE!</v>
      </c>
      <c r="AU324" s="667" t="e">
        <f t="shared" si="301"/>
        <v>#VALUE!</v>
      </c>
      <c r="AV324" s="669" t="e">
        <f t="shared" si="302"/>
        <v>#VALUE!</v>
      </c>
      <c r="AW324" s="667" t="e">
        <f t="shared" si="303"/>
        <v>#VALUE!</v>
      </c>
      <c r="AX324" s="667" t="e">
        <f t="shared" si="304"/>
        <v>#VALUE!</v>
      </c>
      <c r="AY324" s="660" t="e">
        <f t="shared" si="305"/>
        <v>#VALUE!</v>
      </c>
      <c r="AZ324" s="670" t="e">
        <f t="shared" si="306"/>
        <v>#VALUE!</v>
      </c>
      <c r="BB324" s="662" t="e">
        <f>INDEX('Barge Gauging Data'!$B$26:$V$56,MATCH($C324,'Barge Gauging Data'!$B$26:$B$56,0),$BB$198)</f>
        <v>#N/A</v>
      </c>
      <c r="BC324" s="662" t="e">
        <f>INDEX('Barge Gauging Data'!$B$26:$V$56,MATCH($C324,'Barge Gauging Data'!$B$26:$B$56,0),$BC$198)</f>
        <v>#N/A</v>
      </c>
      <c r="BD324" s="662" t="e">
        <f>INDEX('Barge Gauging Data'!$B$26:$V$56,MATCH($C324,'Barge Gauging Data'!$B$26:$B$56,0),$BD$198)</f>
        <v>#N/A</v>
      </c>
      <c r="BE324" s="662" t="e">
        <f>INDEX('Barge Gauging Data'!$B$26:$V$56,MATCH($C324,'Barge Gauging Data'!$B$26:$B$56,0),$BE$198)</f>
        <v>#N/A</v>
      </c>
    </row>
    <row r="325" spans="1:57" hidden="1">
      <c r="A325" s="641" t="str">
        <f t="shared" si="286"/>
        <v>N</v>
      </c>
      <c r="C325" s="235" t="str">
        <f t="shared" si="308"/>
        <v/>
      </c>
      <c r="D325" s="211" t="str">
        <f t="shared" si="308"/>
        <v/>
      </c>
      <c r="E325" s="1016" t="str">
        <f t="shared" si="307"/>
        <v/>
      </c>
      <c r="F325" s="1016" t="str">
        <f t="shared" si="309"/>
        <v/>
      </c>
      <c r="G325" s="1016" t="str">
        <f t="shared" si="310"/>
        <v/>
      </c>
      <c r="H325" s="1016" t="str">
        <f t="shared" si="310"/>
        <v/>
      </c>
      <c r="I325" s="211" t="str">
        <f t="shared" si="311"/>
        <v/>
      </c>
      <c r="J325" s="1016" t="str">
        <f t="shared" si="312"/>
        <v/>
      </c>
      <c r="K325" s="213" t="str">
        <f t="shared" si="313"/>
        <v/>
      </c>
      <c r="L325" s="212" t="str">
        <f t="shared" si="314"/>
        <v/>
      </c>
      <c r="M325" s="1125" t="str">
        <f>IF(OR($C325="",$C325=0),"",INDEX(API2DENST_2,MATCH($C325,'Barge Gauging Data'!$B$27:$B$56,0),$AA$1))</f>
        <v/>
      </c>
      <c r="N325" s="212" t="str">
        <f t="shared" si="315"/>
        <v/>
      </c>
      <c r="O325" s="1016" t="str">
        <f t="shared" si="316"/>
        <v/>
      </c>
      <c r="P325" s="1125" t="str">
        <f t="shared" si="317"/>
        <v/>
      </c>
      <c r="Q325" s="1016" t="str">
        <f t="shared" si="318"/>
        <v/>
      </c>
      <c r="R325" s="214" t="str">
        <f t="shared" si="319"/>
        <v/>
      </c>
      <c r="S325" s="1125" t="str">
        <f t="shared" si="320"/>
        <v/>
      </c>
      <c r="T325" s="236" t="str">
        <f t="shared" si="321"/>
        <v/>
      </c>
      <c r="W325" s="642" t="e">
        <f>INDEX('Barge Gauging Data'!$B$26:$V$56,MATCH($C325,'Barge Gauging Data'!$B$26:$B$56,0),$W$198)</f>
        <v>#N/A</v>
      </c>
      <c r="X325" s="642" t="e">
        <f>INDEX('Barge Gauging Data'!$B$26:$V$56,MATCH($C325,'Barge Gauging Data'!$B$26:$B$56,0),$X$198)</f>
        <v>#N/A</v>
      </c>
      <c r="Y325" s="642" t="e">
        <f>INDEX('Barge Gauging Data'!$B$26:$V$56,MATCH($C325,'Barge Gauging Data'!$B$26:$B$56,0),$Y$198)</f>
        <v>#N/A</v>
      </c>
      <c r="Z325" s="642" t="e">
        <f>INDEX('Barge Gauging Data'!$B$26:$V$56,MATCH($C325,'Barge Gauging Data'!$B$26:$B$56,0),$Z$198)</f>
        <v>#N/A</v>
      </c>
      <c r="AB325" s="642" t="e">
        <f>INDEX(API2DENST_2,MATCH($C325,'Barge Gauging Data'!$B$27:$B$56,0),1)</f>
        <v>#N/A</v>
      </c>
      <c r="AC325" s="642" t="e">
        <f t="shared" si="287"/>
        <v>#N/A</v>
      </c>
      <c r="AE325" s="661" t="e">
        <f t="shared" si="288"/>
        <v>#VALUE!</v>
      </c>
      <c r="AF325" s="661" t="e">
        <f t="shared" si="289"/>
        <v>#VALUE!</v>
      </c>
      <c r="AH325" s="662" t="str">
        <f t="shared" si="269"/>
        <v/>
      </c>
      <c r="AI325" s="662" t="str">
        <f t="shared" si="270"/>
        <v/>
      </c>
      <c r="AJ325" s="663">
        <f t="shared" si="290"/>
        <v>192.4571</v>
      </c>
      <c r="AK325" s="660">
        <f t="shared" si="291"/>
        <v>0.24379999999999999</v>
      </c>
      <c r="AL325" s="660" t="e">
        <f t="shared" si="292"/>
        <v>#VALUE!</v>
      </c>
      <c r="AM325" s="664" t="e">
        <f t="shared" si="293"/>
        <v>#VALUE!</v>
      </c>
      <c r="AN325" s="664" t="e">
        <f t="shared" si="294"/>
        <v>#VALUE!</v>
      </c>
      <c r="AO325" s="665" t="e">
        <f t="shared" si="295"/>
        <v>#VALUE!</v>
      </c>
      <c r="AP325" s="666" t="e">
        <f t="shared" si="296"/>
        <v>#VALUE!</v>
      </c>
      <c r="AQ325" s="660" t="e">
        <f t="shared" si="297"/>
        <v>#VALUE!</v>
      </c>
      <c r="AR325" s="667" t="e">
        <f t="shared" si="298"/>
        <v>#VALUE!</v>
      </c>
      <c r="AS325" s="667" t="e">
        <f t="shared" si="299"/>
        <v>#VALUE!</v>
      </c>
      <c r="AT325" s="668" t="e">
        <f t="shared" si="300"/>
        <v>#VALUE!</v>
      </c>
      <c r="AU325" s="667" t="e">
        <f t="shared" si="301"/>
        <v>#VALUE!</v>
      </c>
      <c r="AV325" s="669" t="e">
        <f t="shared" si="302"/>
        <v>#VALUE!</v>
      </c>
      <c r="AW325" s="667" t="e">
        <f t="shared" si="303"/>
        <v>#VALUE!</v>
      </c>
      <c r="AX325" s="667" t="e">
        <f t="shared" si="304"/>
        <v>#VALUE!</v>
      </c>
      <c r="AY325" s="660" t="e">
        <f t="shared" si="305"/>
        <v>#VALUE!</v>
      </c>
      <c r="AZ325" s="670" t="e">
        <f t="shared" si="306"/>
        <v>#VALUE!</v>
      </c>
      <c r="BB325" s="662" t="e">
        <f>INDEX('Barge Gauging Data'!$B$26:$V$56,MATCH($C325,'Barge Gauging Data'!$B$26:$B$56,0),$BB$198)</f>
        <v>#N/A</v>
      </c>
      <c r="BC325" s="662" t="e">
        <f>INDEX('Barge Gauging Data'!$B$26:$V$56,MATCH($C325,'Barge Gauging Data'!$B$26:$B$56,0),$BC$198)</f>
        <v>#N/A</v>
      </c>
      <c r="BD325" s="662" t="e">
        <f>INDEX('Barge Gauging Data'!$B$26:$V$56,MATCH($C325,'Barge Gauging Data'!$B$26:$B$56,0),$BD$198)</f>
        <v>#N/A</v>
      </c>
      <c r="BE325" s="662" t="e">
        <f>INDEX('Barge Gauging Data'!$B$26:$V$56,MATCH($C325,'Barge Gauging Data'!$B$26:$B$56,0),$BE$198)</f>
        <v>#N/A</v>
      </c>
    </row>
    <row r="326" spans="1:57" hidden="1">
      <c r="A326" s="641" t="str">
        <f t="shared" ref="A326:A357" si="322">A149</f>
        <v>N</v>
      </c>
      <c r="C326" s="235" t="str">
        <f t="shared" si="308"/>
        <v/>
      </c>
      <c r="D326" s="211" t="str">
        <f t="shared" si="308"/>
        <v/>
      </c>
      <c r="E326" s="1016" t="str">
        <f t="shared" si="307"/>
        <v/>
      </c>
      <c r="F326" s="1016" t="str">
        <f t="shared" si="309"/>
        <v/>
      </c>
      <c r="G326" s="1016" t="str">
        <f t="shared" si="310"/>
        <v/>
      </c>
      <c r="H326" s="1016" t="str">
        <f t="shared" si="310"/>
        <v/>
      </c>
      <c r="I326" s="211" t="str">
        <f t="shared" si="311"/>
        <v/>
      </c>
      <c r="J326" s="1016" t="str">
        <f t="shared" si="312"/>
        <v/>
      </c>
      <c r="K326" s="213" t="str">
        <f t="shared" si="313"/>
        <v/>
      </c>
      <c r="L326" s="212" t="str">
        <f t="shared" si="314"/>
        <v/>
      </c>
      <c r="M326" s="1125" t="str">
        <f>IF(OR($C326="",$C326=0),"",INDEX(API2DENST_2,MATCH($C326,'Barge Gauging Data'!$B$27:$B$56,0),$AA$1))</f>
        <v/>
      </c>
      <c r="N326" s="212" t="str">
        <f t="shared" si="315"/>
        <v/>
      </c>
      <c r="O326" s="1016" t="str">
        <f t="shared" si="316"/>
        <v/>
      </c>
      <c r="P326" s="1125" t="str">
        <f t="shared" si="317"/>
        <v/>
      </c>
      <c r="Q326" s="1016" t="str">
        <f t="shared" si="318"/>
        <v/>
      </c>
      <c r="R326" s="214" t="str">
        <f t="shared" si="319"/>
        <v/>
      </c>
      <c r="S326" s="1125" t="str">
        <f t="shared" si="320"/>
        <v/>
      </c>
      <c r="T326" s="236" t="str">
        <f t="shared" si="321"/>
        <v/>
      </c>
      <c r="W326" s="642" t="e">
        <f>INDEX('Barge Gauging Data'!$B$26:$V$56,MATCH($C326,'Barge Gauging Data'!$B$26:$B$56,0),$W$198)</f>
        <v>#N/A</v>
      </c>
      <c r="X326" s="642" t="e">
        <f>INDEX('Barge Gauging Data'!$B$26:$V$56,MATCH($C326,'Barge Gauging Data'!$B$26:$B$56,0),$X$198)</f>
        <v>#N/A</v>
      </c>
      <c r="Y326" s="642" t="e">
        <f>INDEX('Barge Gauging Data'!$B$26:$V$56,MATCH($C326,'Barge Gauging Data'!$B$26:$B$56,0),$Y$198)</f>
        <v>#N/A</v>
      </c>
      <c r="Z326" s="642" t="e">
        <f>INDEX('Barge Gauging Data'!$B$26:$V$56,MATCH($C326,'Barge Gauging Data'!$B$26:$B$56,0),$Z$198)</f>
        <v>#N/A</v>
      </c>
      <c r="AB326" s="642" t="e">
        <f>INDEX(API2DENST_2,MATCH($C326,'Barge Gauging Data'!$B$27:$B$56,0),1)</f>
        <v>#N/A</v>
      </c>
      <c r="AC326" s="642" t="e">
        <f t="shared" si="287"/>
        <v>#N/A</v>
      </c>
      <c r="AE326" s="661" t="e">
        <f t="shared" si="288"/>
        <v>#VALUE!</v>
      </c>
      <c r="AF326" s="661" t="e">
        <f t="shared" si="289"/>
        <v>#VALUE!</v>
      </c>
      <c r="AH326" s="662" t="str">
        <f t="shared" si="269"/>
        <v/>
      </c>
      <c r="AI326" s="662" t="str">
        <f t="shared" si="270"/>
        <v/>
      </c>
      <c r="AJ326" s="663">
        <f t="shared" si="290"/>
        <v>192.4571</v>
      </c>
      <c r="AK326" s="660">
        <f t="shared" si="291"/>
        <v>0.24379999999999999</v>
      </c>
      <c r="AL326" s="660" t="e">
        <f t="shared" si="292"/>
        <v>#VALUE!</v>
      </c>
      <c r="AM326" s="664" t="e">
        <f t="shared" si="293"/>
        <v>#VALUE!</v>
      </c>
      <c r="AN326" s="664" t="e">
        <f t="shared" si="294"/>
        <v>#VALUE!</v>
      </c>
      <c r="AO326" s="665" t="e">
        <f t="shared" si="295"/>
        <v>#VALUE!</v>
      </c>
      <c r="AP326" s="666" t="e">
        <f t="shared" si="296"/>
        <v>#VALUE!</v>
      </c>
      <c r="AQ326" s="660" t="e">
        <f t="shared" si="297"/>
        <v>#VALUE!</v>
      </c>
      <c r="AR326" s="667" t="e">
        <f t="shared" si="298"/>
        <v>#VALUE!</v>
      </c>
      <c r="AS326" s="667" t="e">
        <f t="shared" si="299"/>
        <v>#VALUE!</v>
      </c>
      <c r="AT326" s="668" t="e">
        <f t="shared" si="300"/>
        <v>#VALUE!</v>
      </c>
      <c r="AU326" s="667" t="e">
        <f t="shared" si="301"/>
        <v>#VALUE!</v>
      </c>
      <c r="AV326" s="669" t="e">
        <f t="shared" si="302"/>
        <v>#VALUE!</v>
      </c>
      <c r="AW326" s="667" t="e">
        <f t="shared" si="303"/>
        <v>#VALUE!</v>
      </c>
      <c r="AX326" s="667" t="e">
        <f t="shared" si="304"/>
        <v>#VALUE!</v>
      </c>
      <c r="AY326" s="660" t="e">
        <f t="shared" si="305"/>
        <v>#VALUE!</v>
      </c>
      <c r="AZ326" s="670" t="e">
        <f t="shared" si="306"/>
        <v>#VALUE!</v>
      </c>
      <c r="BB326" s="662" t="e">
        <f>INDEX('Barge Gauging Data'!$B$26:$V$56,MATCH($C326,'Barge Gauging Data'!$B$26:$B$56,0),$BB$198)</f>
        <v>#N/A</v>
      </c>
      <c r="BC326" s="662" t="e">
        <f>INDEX('Barge Gauging Data'!$B$26:$V$56,MATCH($C326,'Barge Gauging Data'!$B$26:$B$56,0),$BC$198)</f>
        <v>#N/A</v>
      </c>
      <c r="BD326" s="662" t="e">
        <f>INDEX('Barge Gauging Data'!$B$26:$V$56,MATCH($C326,'Barge Gauging Data'!$B$26:$B$56,0),$BD$198)</f>
        <v>#N/A</v>
      </c>
      <c r="BE326" s="662" t="e">
        <f>INDEX('Barge Gauging Data'!$B$26:$V$56,MATCH($C326,'Barge Gauging Data'!$B$26:$B$56,0),$BE$198)</f>
        <v>#N/A</v>
      </c>
    </row>
    <row r="327" spans="1:57" hidden="1">
      <c r="A327" s="641" t="str">
        <f t="shared" si="322"/>
        <v>N</v>
      </c>
      <c r="C327" s="235" t="str">
        <f t="shared" si="308"/>
        <v/>
      </c>
      <c r="D327" s="211" t="str">
        <f t="shared" si="308"/>
        <v/>
      </c>
      <c r="E327" s="1016" t="str">
        <f t="shared" si="307"/>
        <v/>
      </c>
      <c r="F327" s="1016" t="str">
        <f t="shared" si="309"/>
        <v/>
      </c>
      <c r="G327" s="1016" t="str">
        <f t="shared" si="310"/>
        <v/>
      </c>
      <c r="H327" s="1016" t="str">
        <f t="shared" si="310"/>
        <v/>
      </c>
      <c r="I327" s="211" t="str">
        <f t="shared" si="311"/>
        <v/>
      </c>
      <c r="J327" s="1016" t="str">
        <f t="shared" si="312"/>
        <v/>
      </c>
      <c r="K327" s="213" t="str">
        <f t="shared" si="313"/>
        <v/>
      </c>
      <c r="L327" s="212" t="str">
        <f t="shared" si="314"/>
        <v/>
      </c>
      <c r="M327" s="1125" t="str">
        <f>IF(OR($C327="",$C327=0),"",INDEX(API2DENST_2,MATCH($C327,'Barge Gauging Data'!$B$27:$B$56,0),$AA$1))</f>
        <v/>
      </c>
      <c r="N327" s="212" t="str">
        <f t="shared" si="315"/>
        <v/>
      </c>
      <c r="O327" s="1016" t="str">
        <f t="shared" si="316"/>
        <v/>
      </c>
      <c r="P327" s="1125" t="str">
        <f t="shared" si="317"/>
        <v/>
      </c>
      <c r="Q327" s="1016" t="str">
        <f t="shared" si="318"/>
        <v/>
      </c>
      <c r="R327" s="214" t="str">
        <f t="shared" si="319"/>
        <v/>
      </c>
      <c r="S327" s="1125" t="str">
        <f t="shared" si="320"/>
        <v/>
      </c>
      <c r="T327" s="236" t="str">
        <f t="shared" si="321"/>
        <v/>
      </c>
      <c r="W327" s="642" t="e">
        <f>INDEX('Barge Gauging Data'!$B$26:$V$56,MATCH($C327,'Barge Gauging Data'!$B$26:$B$56,0),$W$198)</f>
        <v>#N/A</v>
      </c>
      <c r="X327" s="642" t="e">
        <f>INDEX('Barge Gauging Data'!$B$26:$V$56,MATCH($C327,'Barge Gauging Data'!$B$26:$B$56,0),$X$198)</f>
        <v>#N/A</v>
      </c>
      <c r="Y327" s="642" t="e">
        <f>INDEX('Barge Gauging Data'!$B$26:$V$56,MATCH($C327,'Barge Gauging Data'!$B$26:$B$56,0),$Y$198)</f>
        <v>#N/A</v>
      </c>
      <c r="Z327" s="642" t="e">
        <f>INDEX('Barge Gauging Data'!$B$26:$V$56,MATCH($C327,'Barge Gauging Data'!$B$26:$B$56,0),$Z$198)</f>
        <v>#N/A</v>
      </c>
      <c r="AB327" s="642" t="e">
        <f>INDEX(API2DENST_2,MATCH($C327,'Barge Gauging Data'!$B$27:$B$56,0),1)</f>
        <v>#N/A</v>
      </c>
      <c r="AC327" s="642" t="e">
        <f t="shared" si="287"/>
        <v>#N/A</v>
      </c>
      <c r="AE327" s="661" t="e">
        <f t="shared" si="288"/>
        <v>#VALUE!</v>
      </c>
      <c r="AF327" s="661" t="e">
        <f t="shared" si="289"/>
        <v>#VALUE!</v>
      </c>
      <c r="AH327" s="662" t="str">
        <f t="shared" si="269"/>
        <v/>
      </c>
      <c r="AI327" s="662" t="str">
        <f t="shared" si="270"/>
        <v/>
      </c>
      <c r="AJ327" s="663">
        <f t="shared" si="290"/>
        <v>192.4571</v>
      </c>
      <c r="AK327" s="660">
        <f t="shared" si="291"/>
        <v>0.24379999999999999</v>
      </c>
      <c r="AL327" s="660" t="e">
        <f t="shared" si="292"/>
        <v>#VALUE!</v>
      </c>
      <c r="AM327" s="664" t="e">
        <f t="shared" si="293"/>
        <v>#VALUE!</v>
      </c>
      <c r="AN327" s="664" t="e">
        <f t="shared" si="294"/>
        <v>#VALUE!</v>
      </c>
      <c r="AO327" s="665" t="e">
        <f t="shared" si="295"/>
        <v>#VALUE!</v>
      </c>
      <c r="AP327" s="666" t="e">
        <f t="shared" si="296"/>
        <v>#VALUE!</v>
      </c>
      <c r="AQ327" s="660" t="e">
        <f t="shared" si="297"/>
        <v>#VALUE!</v>
      </c>
      <c r="AR327" s="667" t="e">
        <f t="shared" si="298"/>
        <v>#VALUE!</v>
      </c>
      <c r="AS327" s="667" t="e">
        <f t="shared" si="299"/>
        <v>#VALUE!</v>
      </c>
      <c r="AT327" s="668" t="e">
        <f t="shared" si="300"/>
        <v>#VALUE!</v>
      </c>
      <c r="AU327" s="667" t="e">
        <f t="shared" si="301"/>
        <v>#VALUE!</v>
      </c>
      <c r="AV327" s="669" t="e">
        <f t="shared" si="302"/>
        <v>#VALUE!</v>
      </c>
      <c r="AW327" s="667" t="e">
        <f t="shared" si="303"/>
        <v>#VALUE!</v>
      </c>
      <c r="AX327" s="667" t="e">
        <f t="shared" si="304"/>
        <v>#VALUE!</v>
      </c>
      <c r="AY327" s="660" t="e">
        <f t="shared" si="305"/>
        <v>#VALUE!</v>
      </c>
      <c r="AZ327" s="670" t="e">
        <f t="shared" si="306"/>
        <v>#VALUE!</v>
      </c>
      <c r="BB327" s="662" t="e">
        <f>INDEX('Barge Gauging Data'!$B$26:$V$56,MATCH($C327,'Barge Gauging Data'!$B$26:$B$56,0),$BB$198)</f>
        <v>#N/A</v>
      </c>
      <c r="BC327" s="662" t="e">
        <f>INDEX('Barge Gauging Data'!$B$26:$V$56,MATCH($C327,'Barge Gauging Data'!$B$26:$B$56,0),$BC$198)</f>
        <v>#N/A</v>
      </c>
      <c r="BD327" s="662" t="e">
        <f>INDEX('Barge Gauging Data'!$B$26:$V$56,MATCH($C327,'Barge Gauging Data'!$B$26:$B$56,0),$BD$198)</f>
        <v>#N/A</v>
      </c>
      <c r="BE327" s="662" t="e">
        <f>INDEX('Barge Gauging Data'!$B$26:$V$56,MATCH($C327,'Barge Gauging Data'!$B$26:$B$56,0),$BE$198)</f>
        <v>#N/A</v>
      </c>
    </row>
    <row r="328" spans="1:57" hidden="1">
      <c r="A328" s="641" t="str">
        <f t="shared" si="322"/>
        <v>N</v>
      </c>
      <c r="C328" s="235" t="str">
        <f t="shared" si="308"/>
        <v/>
      </c>
      <c r="D328" s="211" t="str">
        <f t="shared" si="308"/>
        <v/>
      </c>
      <c r="E328" s="1016" t="str">
        <f t="shared" si="307"/>
        <v/>
      </c>
      <c r="F328" s="1016" t="str">
        <f t="shared" si="309"/>
        <v/>
      </c>
      <c r="G328" s="1016" t="str">
        <f t="shared" si="310"/>
        <v/>
      </c>
      <c r="H328" s="1016" t="str">
        <f t="shared" si="310"/>
        <v/>
      </c>
      <c r="I328" s="211" t="str">
        <f t="shared" si="311"/>
        <v/>
      </c>
      <c r="J328" s="1016" t="str">
        <f t="shared" si="312"/>
        <v/>
      </c>
      <c r="K328" s="213" t="str">
        <f t="shared" si="313"/>
        <v/>
      </c>
      <c r="L328" s="212" t="str">
        <f t="shared" si="314"/>
        <v/>
      </c>
      <c r="M328" s="1125" t="str">
        <f>IF(OR($C328="",$C328=0),"",INDEX(API2DENST_2,MATCH($C328,'Barge Gauging Data'!$B$27:$B$56,0),$AA$1))</f>
        <v/>
      </c>
      <c r="N328" s="212" t="str">
        <f t="shared" si="315"/>
        <v/>
      </c>
      <c r="O328" s="1016" t="str">
        <f t="shared" si="316"/>
        <v/>
      </c>
      <c r="P328" s="1125" t="str">
        <f t="shared" si="317"/>
        <v/>
      </c>
      <c r="Q328" s="1016" t="str">
        <f t="shared" si="318"/>
        <v/>
      </c>
      <c r="R328" s="214" t="str">
        <f t="shared" si="319"/>
        <v/>
      </c>
      <c r="S328" s="1125" t="str">
        <f t="shared" si="320"/>
        <v/>
      </c>
      <c r="T328" s="236" t="str">
        <f t="shared" si="321"/>
        <v/>
      </c>
      <c r="W328" s="642" t="e">
        <f>INDEX('Barge Gauging Data'!$B$26:$V$56,MATCH($C328,'Barge Gauging Data'!$B$26:$B$56,0),$W$198)</f>
        <v>#N/A</v>
      </c>
      <c r="X328" s="642" t="e">
        <f>INDEX('Barge Gauging Data'!$B$26:$V$56,MATCH($C328,'Barge Gauging Data'!$B$26:$B$56,0),$X$198)</f>
        <v>#N/A</v>
      </c>
      <c r="Y328" s="642" t="e">
        <f>INDEX('Barge Gauging Data'!$B$26:$V$56,MATCH($C328,'Barge Gauging Data'!$B$26:$B$56,0),$Y$198)</f>
        <v>#N/A</v>
      </c>
      <c r="Z328" s="642" t="e">
        <f>INDEX('Barge Gauging Data'!$B$26:$V$56,MATCH($C328,'Barge Gauging Data'!$B$26:$B$56,0),$Z$198)</f>
        <v>#N/A</v>
      </c>
      <c r="AB328" s="642" t="e">
        <f>INDEX(API2DENST_2,MATCH($C328,'Barge Gauging Data'!$B$27:$B$56,0),1)</f>
        <v>#N/A</v>
      </c>
      <c r="AC328" s="642" t="e">
        <f t="shared" si="287"/>
        <v>#N/A</v>
      </c>
      <c r="AE328" s="661" t="e">
        <f t="shared" si="288"/>
        <v>#VALUE!</v>
      </c>
      <c r="AF328" s="661" t="e">
        <f t="shared" si="289"/>
        <v>#VALUE!</v>
      </c>
      <c r="AH328" s="662" t="str">
        <f t="shared" si="269"/>
        <v/>
      </c>
      <c r="AI328" s="662" t="str">
        <f t="shared" si="270"/>
        <v/>
      </c>
      <c r="AJ328" s="663">
        <f t="shared" si="290"/>
        <v>192.4571</v>
      </c>
      <c r="AK328" s="660">
        <f t="shared" si="291"/>
        <v>0.24379999999999999</v>
      </c>
      <c r="AL328" s="660" t="e">
        <f t="shared" si="292"/>
        <v>#VALUE!</v>
      </c>
      <c r="AM328" s="664" t="e">
        <f t="shared" si="293"/>
        <v>#VALUE!</v>
      </c>
      <c r="AN328" s="664" t="e">
        <f t="shared" si="294"/>
        <v>#VALUE!</v>
      </c>
      <c r="AO328" s="665" t="e">
        <f t="shared" si="295"/>
        <v>#VALUE!</v>
      </c>
      <c r="AP328" s="666" t="e">
        <f t="shared" si="296"/>
        <v>#VALUE!</v>
      </c>
      <c r="AQ328" s="660" t="e">
        <f t="shared" si="297"/>
        <v>#VALUE!</v>
      </c>
      <c r="AR328" s="667" t="e">
        <f t="shared" si="298"/>
        <v>#VALUE!</v>
      </c>
      <c r="AS328" s="667" t="e">
        <f t="shared" si="299"/>
        <v>#VALUE!</v>
      </c>
      <c r="AT328" s="668" t="e">
        <f t="shared" si="300"/>
        <v>#VALUE!</v>
      </c>
      <c r="AU328" s="667" t="e">
        <f t="shared" si="301"/>
        <v>#VALUE!</v>
      </c>
      <c r="AV328" s="669" t="e">
        <f t="shared" si="302"/>
        <v>#VALUE!</v>
      </c>
      <c r="AW328" s="667" t="e">
        <f t="shared" si="303"/>
        <v>#VALUE!</v>
      </c>
      <c r="AX328" s="667" t="e">
        <f t="shared" si="304"/>
        <v>#VALUE!</v>
      </c>
      <c r="AY328" s="660" t="e">
        <f t="shared" si="305"/>
        <v>#VALUE!</v>
      </c>
      <c r="AZ328" s="670" t="e">
        <f t="shared" si="306"/>
        <v>#VALUE!</v>
      </c>
      <c r="BB328" s="662" t="e">
        <f>INDEX('Barge Gauging Data'!$B$26:$V$56,MATCH($C328,'Barge Gauging Data'!$B$26:$B$56,0),$BB$198)</f>
        <v>#N/A</v>
      </c>
      <c r="BC328" s="662" t="e">
        <f>INDEX('Barge Gauging Data'!$B$26:$V$56,MATCH($C328,'Barge Gauging Data'!$B$26:$B$56,0),$BC$198)</f>
        <v>#N/A</v>
      </c>
      <c r="BD328" s="662" t="e">
        <f>INDEX('Barge Gauging Data'!$B$26:$V$56,MATCH($C328,'Barge Gauging Data'!$B$26:$B$56,0),$BD$198)</f>
        <v>#N/A</v>
      </c>
      <c r="BE328" s="662" t="e">
        <f>INDEX('Barge Gauging Data'!$B$26:$V$56,MATCH($C328,'Barge Gauging Data'!$B$26:$B$56,0),$BE$198)</f>
        <v>#N/A</v>
      </c>
    </row>
    <row r="329" spans="1:57" hidden="1">
      <c r="A329" s="641" t="str">
        <f t="shared" si="322"/>
        <v>N</v>
      </c>
      <c r="C329" s="235" t="str">
        <f t="shared" si="308"/>
        <v/>
      </c>
      <c r="D329" s="211" t="str">
        <f t="shared" si="308"/>
        <v/>
      </c>
      <c r="E329" s="1016" t="str">
        <f t="shared" si="307"/>
        <v/>
      </c>
      <c r="F329" s="1016" t="str">
        <f t="shared" si="309"/>
        <v/>
      </c>
      <c r="G329" s="1016" t="str">
        <f t="shared" si="310"/>
        <v/>
      </c>
      <c r="H329" s="1016" t="str">
        <f t="shared" si="310"/>
        <v/>
      </c>
      <c r="I329" s="211" t="str">
        <f t="shared" si="311"/>
        <v/>
      </c>
      <c r="J329" s="1016" t="str">
        <f t="shared" si="312"/>
        <v/>
      </c>
      <c r="K329" s="213" t="str">
        <f t="shared" si="313"/>
        <v/>
      </c>
      <c r="L329" s="212" t="str">
        <f t="shared" si="314"/>
        <v/>
      </c>
      <c r="M329" s="1125" t="str">
        <f>IF(OR($C329="",$C329=0),"",INDEX(API2DENST_2,MATCH($C329,'Barge Gauging Data'!$B$27:$B$56,0),$AA$1))</f>
        <v/>
      </c>
      <c r="N329" s="212" t="str">
        <f t="shared" si="315"/>
        <v/>
      </c>
      <c r="O329" s="1016" t="str">
        <f t="shared" si="316"/>
        <v/>
      </c>
      <c r="P329" s="1125" t="str">
        <f t="shared" si="317"/>
        <v/>
      </c>
      <c r="Q329" s="1016" t="str">
        <f t="shared" si="318"/>
        <v/>
      </c>
      <c r="R329" s="214" t="str">
        <f t="shared" si="319"/>
        <v/>
      </c>
      <c r="S329" s="1125" t="str">
        <f t="shared" si="320"/>
        <v/>
      </c>
      <c r="T329" s="236" t="str">
        <f t="shared" si="321"/>
        <v/>
      </c>
      <c r="W329" s="642" t="e">
        <f>INDEX('Barge Gauging Data'!$B$26:$V$56,MATCH($C329,'Barge Gauging Data'!$B$26:$B$56,0),$W$198)</f>
        <v>#N/A</v>
      </c>
      <c r="X329" s="642" t="e">
        <f>INDEX('Barge Gauging Data'!$B$26:$V$56,MATCH($C329,'Barge Gauging Data'!$B$26:$B$56,0),$X$198)</f>
        <v>#N/A</v>
      </c>
      <c r="Y329" s="642" t="e">
        <f>INDEX('Barge Gauging Data'!$B$26:$V$56,MATCH($C329,'Barge Gauging Data'!$B$26:$B$56,0),$Y$198)</f>
        <v>#N/A</v>
      </c>
      <c r="Z329" s="642" t="e">
        <f>INDEX('Barge Gauging Data'!$B$26:$V$56,MATCH($C329,'Barge Gauging Data'!$B$26:$B$56,0),$Z$198)</f>
        <v>#N/A</v>
      </c>
      <c r="AB329" s="642" t="e">
        <f>INDEX(API2DENST_2,MATCH($C329,'Barge Gauging Data'!$B$27:$B$56,0),1)</f>
        <v>#N/A</v>
      </c>
      <c r="AC329" s="642" t="e">
        <f t="shared" si="287"/>
        <v>#N/A</v>
      </c>
      <c r="AE329" s="661" t="e">
        <f t="shared" si="288"/>
        <v>#VALUE!</v>
      </c>
      <c r="AF329" s="661" t="e">
        <f t="shared" si="289"/>
        <v>#VALUE!</v>
      </c>
      <c r="AH329" s="662" t="str">
        <f t="shared" si="269"/>
        <v/>
      </c>
      <c r="AI329" s="662" t="str">
        <f t="shared" si="270"/>
        <v/>
      </c>
      <c r="AJ329" s="663">
        <f t="shared" si="290"/>
        <v>192.4571</v>
      </c>
      <c r="AK329" s="660">
        <f t="shared" si="291"/>
        <v>0.24379999999999999</v>
      </c>
      <c r="AL329" s="660" t="e">
        <f t="shared" si="292"/>
        <v>#VALUE!</v>
      </c>
      <c r="AM329" s="664" t="e">
        <f t="shared" si="293"/>
        <v>#VALUE!</v>
      </c>
      <c r="AN329" s="664" t="e">
        <f t="shared" si="294"/>
        <v>#VALUE!</v>
      </c>
      <c r="AO329" s="665" t="e">
        <f t="shared" si="295"/>
        <v>#VALUE!</v>
      </c>
      <c r="AP329" s="666" t="e">
        <f t="shared" si="296"/>
        <v>#VALUE!</v>
      </c>
      <c r="AQ329" s="660" t="e">
        <f t="shared" si="297"/>
        <v>#VALUE!</v>
      </c>
      <c r="AR329" s="667" t="e">
        <f t="shared" si="298"/>
        <v>#VALUE!</v>
      </c>
      <c r="AS329" s="667" t="e">
        <f t="shared" si="299"/>
        <v>#VALUE!</v>
      </c>
      <c r="AT329" s="668" t="e">
        <f t="shared" si="300"/>
        <v>#VALUE!</v>
      </c>
      <c r="AU329" s="667" t="e">
        <f t="shared" si="301"/>
        <v>#VALUE!</v>
      </c>
      <c r="AV329" s="669" t="e">
        <f t="shared" si="302"/>
        <v>#VALUE!</v>
      </c>
      <c r="AW329" s="667" t="e">
        <f t="shared" si="303"/>
        <v>#VALUE!</v>
      </c>
      <c r="AX329" s="667" t="e">
        <f t="shared" si="304"/>
        <v>#VALUE!</v>
      </c>
      <c r="AY329" s="660" t="e">
        <f t="shared" si="305"/>
        <v>#VALUE!</v>
      </c>
      <c r="AZ329" s="670" t="e">
        <f t="shared" si="306"/>
        <v>#VALUE!</v>
      </c>
      <c r="BB329" s="662" t="e">
        <f>INDEX('Barge Gauging Data'!$B$26:$V$56,MATCH($C329,'Barge Gauging Data'!$B$26:$B$56,0),$BB$198)</f>
        <v>#N/A</v>
      </c>
      <c r="BC329" s="662" t="e">
        <f>INDEX('Barge Gauging Data'!$B$26:$V$56,MATCH($C329,'Barge Gauging Data'!$B$26:$B$56,0),$BC$198)</f>
        <v>#N/A</v>
      </c>
      <c r="BD329" s="662" t="e">
        <f>INDEX('Barge Gauging Data'!$B$26:$V$56,MATCH($C329,'Barge Gauging Data'!$B$26:$B$56,0),$BD$198)</f>
        <v>#N/A</v>
      </c>
      <c r="BE329" s="662" t="e">
        <f>INDEX('Barge Gauging Data'!$B$26:$V$56,MATCH($C329,'Barge Gauging Data'!$B$26:$B$56,0),$BE$198)</f>
        <v>#N/A</v>
      </c>
    </row>
    <row r="330" spans="1:57" hidden="1">
      <c r="A330" s="641" t="str">
        <f t="shared" si="322"/>
        <v>N</v>
      </c>
      <c r="C330" s="235" t="str">
        <f t="shared" si="308"/>
        <v/>
      </c>
      <c r="D330" s="211" t="str">
        <f t="shared" si="308"/>
        <v/>
      </c>
      <c r="E330" s="1016" t="str">
        <f t="shared" si="307"/>
        <v/>
      </c>
      <c r="F330" s="1016" t="str">
        <f t="shared" si="309"/>
        <v/>
      </c>
      <c r="G330" s="1016" t="str">
        <f t="shared" si="310"/>
        <v/>
      </c>
      <c r="H330" s="1016" t="str">
        <f t="shared" si="310"/>
        <v/>
      </c>
      <c r="I330" s="211" t="str">
        <f t="shared" si="311"/>
        <v/>
      </c>
      <c r="J330" s="1016" t="str">
        <f t="shared" si="312"/>
        <v/>
      </c>
      <c r="K330" s="213" t="str">
        <f t="shared" si="313"/>
        <v/>
      </c>
      <c r="L330" s="212" t="str">
        <f t="shared" si="314"/>
        <v/>
      </c>
      <c r="M330" s="1125" t="str">
        <f>IF(OR($C330="",$C330=0),"",INDEX(API2DENST_2,MATCH($C330,'Barge Gauging Data'!$B$27:$B$56,0),$AA$1))</f>
        <v/>
      </c>
      <c r="N330" s="212" t="str">
        <f t="shared" si="315"/>
        <v/>
      </c>
      <c r="O330" s="1016" t="str">
        <f t="shared" si="316"/>
        <v/>
      </c>
      <c r="P330" s="1125" t="str">
        <f t="shared" si="317"/>
        <v/>
      </c>
      <c r="Q330" s="1016" t="str">
        <f t="shared" si="318"/>
        <v/>
      </c>
      <c r="R330" s="214" t="str">
        <f t="shared" si="319"/>
        <v/>
      </c>
      <c r="S330" s="1125" t="str">
        <f t="shared" si="320"/>
        <v/>
      </c>
      <c r="T330" s="236" t="str">
        <f t="shared" si="321"/>
        <v/>
      </c>
      <c r="W330" s="642" t="e">
        <f>INDEX('Barge Gauging Data'!$B$26:$V$56,MATCH($C330,'Barge Gauging Data'!$B$26:$B$56,0),$W$198)</f>
        <v>#N/A</v>
      </c>
      <c r="X330" s="642" t="e">
        <f>INDEX('Barge Gauging Data'!$B$26:$V$56,MATCH($C330,'Barge Gauging Data'!$B$26:$B$56,0),$X$198)</f>
        <v>#N/A</v>
      </c>
      <c r="Y330" s="642" t="e">
        <f>INDEX('Barge Gauging Data'!$B$26:$V$56,MATCH($C330,'Barge Gauging Data'!$B$26:$B$56,0),$Y$198)</f>
        <v>#N/A</v>
      </c>
      <c r="Z330" s="642" t="e">
        <f>INDEX('Barge Gauging Data'!$B$26:$V$56,MATCH($C330,'Barge Gauging Data'!$B$26:$B$56,0),$Z$198)</f>
        <v>#N/A</v>
      </c>
      <c r="AB330" s="642" t="e">
        <f>INDEX(API2DENST_2,MATCH($C330,'Barge Gauging Data'!$B$27:$B$56,0),1)</f>
        <v>#N/A</v>
      </c>
      <c r="AC330" s="642" t="e">
        <f t="shared" si="287"/>
        <v>#N/A</v>
      </c>
      <c r="AE330" s="661" t="e">
        <f t="shared" si="288"/>
        <v>#VALUE!</v>
      </c>
      <c r="AF330" s="661" t="e">
        <f t="shared" si="289"/>
        <v>#VALUE!</v>
      </c>
      <c r="AH330" s="662" t="str">
        <f t="shared" si="269"/>
        <v/>
      </c>
      <c r="AI330" s="662" t="str">
        <f t="shared" si="270"/>
        <v/>
      </c>
      <c r="AJ330" s="663">
        <f t="shared" si="290"/>
        <v>192.4571</v>
      </c>
      <c r="AK330" s="660">
        <f t="shared" si="291"/>
        <v>0.24379999999999999</v>
      </c>
      <c r="AL330" s="660" t="e">
        <f t="shared" si="292"/>
        <v>#VALUE!</v>
      </c>
      <c r="AM330" s="664" t="e">
        <f t="shared" si="293"/>
        <v>#VALUE!</v>
      </c>
      <c r="AN330" s="664" t="e">
        <f t="shared" si="294"/>
        <v>#VALUE!</v>
      </c>
      <c r="AO330" s="665" t="e">
        <f t="shared" si="295"/>
        <v>#VALUE!</v>
      </c>
      <c r="AP330" s="666" t="e">
        <f t="shared" si="296"/>
        <v>#VALUE!</v>
      </c>
      <c r="AQ330" s="660" t="e">
        <f t="shared" si="297"/>
        <v>#VALUE!</v>
      </c>
      <c r="AR330" s="667" t="e">
        <f t="shared" si="298"/>
        <v>#VALUE!</v>
      </c>
      <c r="AS330" s="667" t="e">
        <f t="shared" si="299"/>
        <v>#VALUE!</v>
      </c>
      <c r="AT330" s="668" t="e">
        <f t="shared" si="300"/>
        <v>#VALUE!</v>
      </c>
      <c r="AU330" s="667" t="e">
        <f t="shared" si="301"/>
        <v>#VALUE!</v>
      </c>
      <c r="AV330" s="669" t="e">
        <f t="shared" si="302"/>
        <v>#VALUE!</v>
      </c>
      <c r="AW330" s="667" t="e">
        <f t="shared" si="303"/>
        <v>#VALUE!</v>
      </c>
      <c r="AX330" s="667" t="e">
        <f t="shared" si="304"/>
        <v>#VALUE!</v>
      </c>
      <c r="AY330" s="660" t="e">
        <f t="shared" si="305"/>
        <v>#VALUE!</v>
      </c>
      <c r="AZ330" s="670" t="e">
        <f t="shared" si="306"/>
        <v>#VALUE!</v>
      </c>
      <c r="BB330" s="662" t="e">
        <f>INDEX('Barge Gauging Data'!$B$26:$V$56,MATCH($C330,'Barge Gauging Data'!$B$26:$B$56,0),$BB$198)</f>
        <v>#N/A</v>
      </c>
      <c r="BC330" s="662" t="e">
        <f>INDEX('Barge Gauging Data'!$B$26:$V$56,MATCH($C330,'Barge Gauging Data'!$B$26:$B$56,0),$BC$198)</f>
        <v>#N/A</v>
      </c>
      <c r="BD330" s="662" t="e">
        <f>INDEX('Barge Gauging Data'!$B$26:$V$56,MATCH($C330,'Barge Gauging Data'!$B$26:$B$56,0),$BD$198)</f>
        <v>#N/A</v>
      </c>
      <c r="BE330" s="662" t="e">
        <f>INDEX('Barge Gauging Data'!$B$26:$V$56,MATCH($C330,'Barge Gauging Data'!$B$26:$B$56,0),$BE$198)</f>
        <v>#N/A</v>
      </c>
    </row>
    <row r="331" spans="1:57" hidden="1">
      <c r="A331" s="641" t="str">
        <f t="shared" si="322"/>
        <v>N</v>
      </c>
      <c r="C331" s="235" t="str">
        <f t="shared" si="308"/>
        <v/>
      </c>
      <c r="D331" s="211" t="str">
        <f t="shared" si="308"/>
        <v/>
      </c>
      <c r="E331" s="1016" t="str">
        <f t="shared" si="307"/>
        <v/>
      </c>
      <c r="F331" s="1016" t="str">
        <f t="shared" si="309"/>
        <v/>
      </c>
      <c r="G331" s="1016" t="str">
        <f t="shared" si="310"/>
        <v/>
      </c>
      <c r="H331" s="1016" t="str">
        <f t="shared" si="310"/>
        <v/>
      </c>
      <c r="I331" s="211" t="str">
        <f t="shared" si="311"/>
        <v/>
      </c>
      <c r="J331" s="1016" t="str">
        <f t="shared" si="312"/>
        <v/>
      </c>
      <c r="K331" s="213" t="str">
        <f t="shared" si="313"/>
        <v/>
      </c>
      <c r="L331" s="212" t="str">
        <f t="shared" si="314"/>
        <v/>
      </c>
      <c r="M331" s="1125" t="str">
        <f>IF(OR($C331="",$C331=0),"",INDEX(API2DENST_2,MATCH($C331,'Barge Gauging Data'!$B$27:$B$56,0),$AA$1))</f>
        <v/>
      </c>
      <c r="N331" s="212" t="str">
        <f t="shared" si="315"/>
        <v/>
      </c>
      <c r="O331" s="1016" t="str">
        <f t="shared" si="316"/>
        <v/>
      </c>
      <c r="P331" s="1125" t="str">
        <f t="shared" si="317"/>
        <v/>
      </c>
      <c r="Q331" s="1016" t="str">
        <f t="shared" si="318"/>
        <v/>
      </c>
      <c r="R331" s="214" t="str">
        <f t="shared" si="319"/>
        <v/>
      </c>
      <c r="S331" s="1125" t="str">
        <f t="shared" si="320"/>
        <v/>
      </c>
      <c r="T331" s="236" t="str">
        <f t="shared" si="321"/>
        <v/>
      </c>
      <c r="W331" s="642" t="e">
        <f>INDEX('Barge Gauging Data'!$B$26:$V$56,MATCH($C331,'Barge Gauging Data'!$B$26:$B$56,0),$W$198)</f>
        <v>#N/A</v>
      </c>
      <c r="X331" s="642" t="e">
        <f>INDEX('Barge Gauging Data'!$B$26:$V$56,MATCH($C331,'Barge Gauging Data'!$B$26:$B$56,0),$X$198)</f>
        <v>#N/A</v>
      </c>
      <c r="Y331" s="642" t="e">
        <f>INDEX('Barge Gauging Data'!$B$26:$V$56,MATCH($C331,'Barge Gauging Data'!$B$26:$B$56,0),$Y$198)</f>
        <v>#N/A</v>
      </c>
      <c r="Z331" s="642" t="e">
        <f>INDEX('Barge Gauging Data'!$B$26:$V$56,MATCH($C331,'Barge Gauging Data'!$B$26:$B$56,0),$Z$198)</f>
        <v>#N/A</v>
      </c>
      <c r="AB331" s="642" t="e">
        <f>INDEX(API2DENST_2,MATCH($C331,'Barge Gauging Data'!$B$27:$B$56,0),1)</f>
        <v>#N/A</v>
      </c>
      <c r="AC331" s="642" t="e">
        <f t="shared" si="287"/>
        <v>#N/A</v>
      </c>
      <c r="AE331" s="661" t="e">
        <f t="shared" si="288"/>
        <v>#VALUE!</v>
      </c>
      <c r="AF331" s="661" t="e">
        <f t="shared" si="289"/>
        <v>#VALUE!</v>
      </c>
      <c r="AH331" s="662" t="str">
        <f t="shared" si="269"/>
        <v/>
      </c>
      <c r="AI331" s="662" t="str">
        <f t="shared" si="270"/>
        <v/>
      </c>
      <c r="AJ331" s="663">
        <f t="shared" si="290"/>
        <v>192.4571</v>
      </c>
      <c r="AK331" s="660">
        <f t="shared" si="291"/>
        <v>0.24379999999999999</v>
      </c>
      <c r="AL331" s="660" t="e">
        <f t="shared" si="292"/>
        <v>#VALUE!</v>
      </c>
      <c r="AM331" s="664" t="e">
        <f t="shared" si="293"/>
        <v>#VALUE!</v>
      </c>
      <c r="AN331" s="664" t="e">
        <f t="shared" si="294"/>
        <v>#VALUE!</v>
      </c>
      <c r="AO331" s="665" t="e">
        <f t="shared" si="295"/>
        <v>#VALUE!</v>
      </c>
      <c r="AP331" s="666" t="e">
        <f t="shared" si="296"/>
        <v>#VALUE!</v>
      </c>
      <c r="AQ331" s="660" t="e">
        <f t="shared" si="297"/>
        <v>#VALUE!</v>
      </c>
      <c r="AR331" s="667" t="e">
        <f t="shared" si="298"/>
        <v>#VALUE!</v>
      </c>
      <c r="AS331" s="667" t="e">
        <f t="shared" si="299"/>
        <v>#VALUE!</v>
      </c>
      <c r="AT331" s="668" t="e">
        <f t="shared" si="300"/>
        <v>#VALUE!</v>
      </c>
      <c r="AU331" s="667" t="e">
        <f t="shared" si="301"/>
        <v>#VALUE!</v>
      </c>
      <c r="AV331" s="669" t="e">
        <f t="shared" si="302"/>
        <v>#VALUE!</v>
      </c>
      <c r="AW331" s="667" t="e">
        <f t="shared" si="303"/>
        <v>#VALUE!</v>
      </c>
      <c r="AX331" s="667" t="e">
        <f t="shared" si="304"/>
        <v>#VALUE!</v>
      </c>
      <c r="AY331" s="660" t="e">
        <f t="shared" si="305"/>
        <v>#VALUE!</v>
      </c>
      <c r="AZ331" s="670" t="e">
        <f t="shared" si="306"/>
        <v>#VALUE!</v>
      </c>
      <c r="BB331" s="662" t="e">
        <f>INDEX('Barge Gauging Data'!$B$26:$V$56,MATCH($C331,'Barge Gauging Data'!$B$26:$B$56,0),$BB$198)</f>
        <v>#N/A</v>
      </c>
      <c r="BC331" s="662" t="e">
        <f>INDEX('Barge Gauging Data'!$B$26:$V$56,MATCH($C331,'Barge Gauging Data'!$B$26:$B$56,0),$BC$198)</f>
        <v>#N/A</v>
      </c>
      <c r="BD331" s="662" t="e">
        <f>INDEX('Barge Gauging Data'!$B$26:$V$56,MATCH($C331,'Barge Gauging Data'!$B$26:$B$56,0),$BD$198)</f>
        <v>#N/A</v>
      </c>
      <c r="BE331" s="662" t="e">
        <f>INDEX('Barge Gauging Data'!$B$26:$V$56,MATCH($C331,'Barge Gauging Data'!$B$26:$B$56,0),$BE$198)</f>
        <v>#N/A</v>
      </c>
    </row>
    <row r="332" spans="1:57" hidden="1">
      <c r="A332" s="641" t="str">
        <f t="shared" si="322"/>
        <v>N</v>
      </c>
      <c r="C332" s="235" t="str">
        <f t="shared" si="308"/>
        <v/>
      </c>
      <c r="D332" s="211" t="str">
        <f t="shared" si="308"/>
        <v/>
      </c>
      <c r="E332" s="1016" t="str">
        <f t="shared" si="307"/>
        <v/>
      </c>
      <c r="F332" s="1016" t="str">
        <f t="shared" si="309"/>
        <v/>
      </c>
      <c r="G332" s="1016" t="str">
        <f t="shared" si="310"/>
        <v/>
      </c>
      <c r="H332" s="1016" t="str">
        <f t="shared" si="310"/>
        <v/>
      </c>
      <c r="I332" s="211" t="str">
        <f t="shared" si="311"/>
        <v/>
      </c>
      <c r="J332" s="1016" t="str">
        <f t="shared" si="312"/>
        <v/>
      </c>
      <c r="K332" s="213" t="str">
        <f t="shared" si="313"/>
        <v/>
      </c>
      <c r="L332" s="212" t="str">
        <f t="shared" si="314"/>
        <v/>
      </c>
      <c r="M332" s="1125" t="str">
        <f>IF(OR($C332="",$C332=0),"",INDEX(API2DENST_2,MATCH($C332,'Barge Gauging Data'!$B$27:$B$56,0),$AA$1))</f>
        <v/>
      </c>
      <c r="N332" s="212" t="str">
        <f t="shared" si="315"/>
        <v/>
      </c>
      <c r="O332" s="1016" t="str">
        <f t="shared" si="316"/>
        <v/>
      </c>
      <c r="P332" s="1125" t="str">
        <f t="shared" si="317"/>
        <v/>
      </c>
      <c r="Q332" s="1016" t="str">
        <f t="shared" si="318"/>
        <v/>
      </c>
      <c r="R332" s="214" t="str">
        <f t="shared" si="319"/>
        <v/>
      </c>
      <c r="S332" s="1125" t="str">
        <f t="shared" si="320"/>
        <v/>
      </c>
      <c r="T332" s="236" t="str">
        <f t="shared" si="321"/>
        <v/>
      </c>
      <c r="W332" s="642" t="e">
        <f>INDEX('Barge Gauging Data'!$B$26:$V$56,MATCH($C332,'Barge Gauging Data'!$B$26:$B$56,0),$W$198)</f>
        <v>#N/A</v>
      </c>
      <c r="X332" s="642" t="e">
        <f>INDEX('Barge Gauging Data'!$B$26:$V$56,MATCH($C332,'Barge Gauging Data'!$B$26:$B$56,0),$X$198)</f>
        <v>#N/A</v>
      </c>
      <c r="Y332" s="642" t="e">
        <f>INDEX('Barge Gauging Data'!$B$26:$V$56,MATCH($C332,'Barge Gauging Data'!$B$26:$B$56,0),$Y$198)</f>
        <v>#N/A</v>
      </c>
      <c r="Z332" s="642" t="e">
        <f>INDEX('Barge Gauging Data'!$B$26:$V$56,MATCH($C332,'Barge Gauging Data'!$B$26:$B$56,0),$Z$198)</f>
        <v>#N/A</v>
      </c>
      <c r="AB332" s="642" t="e">
        <f>INDEX(API2DENST_2,MATCH($C332,'Barge Gauging Data'!$B$27:$B$56,0),1)</f>
        <v>#N/A</v>
      </c>
      <c r="AC332" s="642" t="e">
        <f t="shared" si="287"/>
        <v>#N/A</v>
      </c>
      <c r="AE332" s="661" t="e">
        <f t="shared" si="288"/>
        <v>#VALUE!</v>
      </c>
      <c r="AF332" s="661" t="e">
        <f t="shared" si="289"/>
        <v>#VALUE!</v>
      </c>
      <c r="AH332" s="662" t="str">
        <f t="shared" si="269"/>
        <v/>
      </c>
      <c r="AI332" s="662" t="str">
        <f t="shared" si="270"/>
        <v/>
      </c>
      <c r="AJ332" s="663">
        <f t="shared" si="290"/>
        <v>192.4571</v>
      </c>
      <c r="AK332" s="660">
        <f t="shared" si="291"/>
        <v>0.24379999999999999</v>
      </c>
      <c r="AL332" s="660" t="e">
        <f t="shared" si="292"/>
        <v>#VALUE!</v>
      </c>
      <c r="AM332" s="664" t="e">
        <f t="shared" si="293"/>
        <v>#VALUE!</v>
      </c>
      <c r="AN332" s="664" t="e">
        <f t="shared" si="294"/>
        <v>#VALUE!</v>
      </c>
      <c r="AO332" s="665" t="e">
        <f t="shared" si="295"/>
        <v>#VALUE!</v>
      </c>
      <c r="AP332" s="666" t="e">
        <f t="shared" si="296"/>
        <v>#VALUE!</v>
      </c>
      <c r="AQ332" s="660" t="e">
        <f t="shared" si="297"/>
        <v>#VALUE!</v>
      </c>
      <c r="AR332" s="667" t="e">
        <f t="shared" si="298"/>
        <v>#VALUE!</v>
      </c>
      <c r="AS332" s="667" t="e">
        <f t="shared" si="299"/>
        <v>#VALUE!</v>
      </c>
      <c r="AT332" s="668" t="e">
        <f t="shared" si="300"/>
        <v>#VALUE!</v>
      </c>
      <c r="AU332" s="667" t="e">
        <f t="shared" si="301"/>
        <v>#VALUE!</v>
      </c>
      <c r="AV332" s="669" t="e">
        <f t="shared" si="302"/>
        <v>#VALUE!</v>
      </c>
      <c r="AW332" s="667" t="e">
        <f t="shared" si="303"/>
        <v>#VALUE!</v>
      </c>
      <c r="AX332" s="667" t="e">
        <f t="shared" si="304"/>
        <v>#VALUE!</v>
      </c>
      <c r="AY332" s="660" t="e">
        <f t="shared" si="305"/>
        <v>#VALUE!</v>
      </c>
      <c r="AZ332" s="670" t="e">
        <f t="shared" si="306"/>
        <v>#VALUE!</v>
      </c>
      <c r="BB332" s="662" t="e">
        <f>INDEX('Barge Gauging Data'!$B$26:$V$56,MATCH($C332,'Barge Gauging Data'!$B$26:$B$56,0),$BB$198)</f>
        <v>#N/A</v>
      </c>
      <c r="BC332" s="662" t="e">
        <f>INDEX('Barge Gauging Data'!$B$26:$V$56,MATCH($C332,'Barge Gauging Data'!$B$26:$B$56,0),$BC$198)</f>
        <v>#N/A</v>
      </c>
      <c r="BD332" s="662" t="e">
        <f>INDEX('Barge Gauging Data'!$B$26:$V$56,MATCH($C332,'Barge Gauging Data'!$B$26:$B$56,0),$BD$198)</f>
        <v>#N/A</v>
      </c>
      <c r="BE332" s="662" t="e">
        <f>INDEX('Barge Gauging Data'!$B$26:$V$56,MATCH($C332,'Barge Gauging Data'!$B$26:$B$56,0),$BE$198)</f>
        <v>#N/A</v>
      </c>
    </row>
    <row r="333" spans="1:57" hidden="1">
      <c r="A333" s="641" t="str">
        <f t="shared" si="322"/>
        <v>N</v>
      </c>
      <c r="C333" s="237" t="str">
        <f t="shared" si="308"/>
        <v/>
      </c>
      <c r="D333" s="238" t="str">
        <f t="shared" si="308"/>
        <v/>
      </c>
      <c r="E333" s="1017" t="str">
        <f t="shared" si="307"/>
        <v/>
      </c>
      <c r="F333" s="1017" t="str">
        <f t="shared" si="309"/>
        <v/>
      </c>
      <c r="G333" s="1017" t="str">
        <f t="shared" si="310"/>
        <v/>
      </c>
      <c r="H333" s="1017" t="str">
        <f t="shared" si="310"/>
        <v/>
      </c>
      <c r="I333" s="238" t="str">
        <f t="shared" si="311"/>
        <v/>
      </c>
      <c r="J333" s="1017" t="str">
        <f t="shared" si="312"/>
        <v/>
      </c>
      <c r="K333" s="240" t="str">
        <f t="shared" si="313"/>
        <v/>
      </c>
      <c r="L333" s="239" t="str">
        <f t="shared" si="314"/>
        <v/>
      </c>
      <c r="M333" s="1126" t="str">
        <f>IF(OR($C333="",$C333=0),"",INDEX(API2DENST_2,MATCH($C333,'Barge Gauging Data'!$B$27:$B$56,0),$AA$1))</f>
        <v/>
      </c>
      <c r="N333" s="239" t="str">
        <f t="shared" si="315"/>
        <v/>
      </c>
      <c r="O333" s="1017" t="str">
        <f t="shared" si="316"/>
        <v/>
      </c>
      <c r="P333" s="1126" t="str">
        <f t="shared" si="317"/>
        <v/>
      </c>
      <c r="Q333" s="1017" t="str">
        <f t="shared" si="318"/>
        <v/>
      </c>
      <c r="R333" s="241" t="str">
        <f t="shared" si="319"/>
        <v/>
      </c>
      <c r="S333" s="1126" t="str">
        <f t="shared" si="320"/>
        <v/>
      </c>
      <c r="T333" s="242" t="str">
        <f t="shared" si="321"/>
        <v/>
      </c>
      <c r="W333" s="642" t="e">
        <f>INDEX('Barge Gauging Data'!$B$26:$V$56,MATCH($C333,'Barge Gauging Data'!$B$26:$B$56,0),$W$198)</f>
        <v>#N/A</v>
      </c>
      <c r="X333" s="642" t="e">
        <f>INDEX('Barge Gauging Data'!$B$26:$V$56,MATCH($C333,'Barge Gauging Data'!$B$26:$B$56,0),$X$198)</f>
        <v>#N/A</v>
      </c>
      <c r="Y333" s="642" t="e">
        <f>INDEX('Barge Gauging Data'!$B$26:$V$56,MATCH($C333,'Barge Gauging Data'!$B$26:$B$56,0),$Y$198)</f>
        <v>#N/A</v>
      </c>
      <c r="Z333" s="642" t="e">
        <f>INDEX('Barge Gauging Data'!$B$26:$V$56,MATCH($C333,'Barge Gauging Data'!$B$26:$B$56,0),$Z$198)</f>
        <v>#N/A</v>
      </c>
      <c r="AB333" s="642" t="e">
        <f>INDEX(API2DENST_2,MATCH($C333,'Barge Gauging Data'!$B$27:$B$56,0),1)</f>
        <v>#N/A</v>
      </c>
      <c r="AC333" s="642" t="e">
        <f t="shared" si="287"/>
        <v>#N/A</v>
      </c>
      <c r="AE333" s="661" t="e">
        <f t="shared" si="288"/>
        <v>#VALUE!</v>
      </c>
      <c r="AF333" s="661" t="e">
        <f t="shared" si="289"/>
        <v>#VALUE!</v>
      </c>
      <c r="AH333" s="662" t="str">
        <f t="shared" si="269"/>
        <v/>
      </c>
      <c r="AI333" s="662" t="str">
        <f t="shared" si="270"/>
        <v/>
      </c>
      <c r="AJ333" s="663">
        <f t="shared" si="290"/>
        <v>192.4571</v>
      </c>
      <c r="AK333" s="660">
        <f t="shared" si="291"/>
        <v>0.24379999999999999</v>
      </c>
      <c r="AL333" s="660" t="e">
        <f t="shared" si="292"/>
        <v>#VALUE!</v>
      </c>
      <c r="AM333" s="664" t="e">
        <f t="shared" si="293"/>
        <v>#VALUE!</v>
      </c>
      <c r="AN333" s="664" t="e">
        <f t="shared" si="294"/>
        <v>#VALUE!</v>
      </c>
      <c r="AO333" s="665" t="e">
        <f t="shared" si="295"/>
        <v>#VALUE!</v>
      </c>
      <c r="AP333" s="666" t="e">
        <f t="shared" si="296"/>
        <v>#VALUE!</v>
      </c>
      <c r="AQ333" s="660" t="e">
        <f t="shared" si="297"/>
        <v>#VALUE!</v>
      </c>
      <c r="AR333" s="667" t="e">
        <f t="shared" si="298"/>
        <v>#VALUE!</v>
      </c>
      <c r="AS333" s="667" t="e">
        <f t="shared" si="299"/>
        <v>#VALUE!</v>
      </c>
      <c r="AT333" s="668" t="e">
        <f t="shared" si="300"/>
        <v>#VALUE!</v>
      </c>
      <c r="AU333" s="667" t="e">
        <f t="shared" si="301"/>
        <v>#VALUE!</v>
      </c>
      <c r="AV333" s="669" t="e">
        <f t="shared" si="302"/>
        <v>#VALUE!</v>
      </c>
      <c r="AW333" s="667" t="e">
        <f t="shared" si="303"/>
        <v>#VALUE!</v>
      </c>
      <c r="AX333" s="667" t="e">
        <f t="shared" si="304"/>
        <v>#VALUE!</v>
      </c>
      <c r="AY333" s="660" t="e">
        <f t="shared" si="305"/>
        <v>#VALUE!</v>
      </c>
      <c r="AZ333" s="670" t="e">
        <f t="shared" si="306"/>
        <v>#VALUE!</v>
      </c>
      <c r="BB333" s="662" t="e">
        <f>INDEX('Barge Gauging Data'!$B$26:$V$56,MATCH($C333,'Barge Gauging Data'!$B$26:$B$56,0),$BB$198)</f>
        <v>#N/A</v>
      </c>
      <c r="BC333" s="662" t="e">
        <f>INDEX('Barge Gauging Data'!$B$26:$V$56,MATCH($C333,'Barge Gauging Data'!$B$26:$B$56,0),$BC$198)</f>
        <v>#N/A</v>
      </c>
      <c r="BD333" s="662" t="e">
        <f>INDEX('Barge Gauging Data'!$B$26:$V$56,MATCH($C333,'Barge Gauging Data'!$B$26:$B$56,0),$BD$198)</f>
        <v>#N/A</v>
      </c>
      <c r="BE333" s="662" t="e">
        <f>INDEX('Barge Gauging Data'!$B$26:$V$56,MATCH($C333,'Barge Gauging Data'!$B$26:$B$56,0),$BE$198)</f>
        <v>#N/A</v>
      </c>
    </row>
    <row r="334" spans="1:57">
      <c r="A334" s="641" t="str">
        <f t="shared" si="322"/>
        <v>Y</v>
      </c>
      <c r="C334" s="671"/>
      <c r="D334" s="671"/>
      <c r="E334" s="672"/>
      <c r="F334" s="672"/>
      <c r="G334" s="672"/>
      <c r="H334" s="1501"/>
      <c r="I334" s="671"/>
      <c r="J334" s="672"/>
      <c r="K334" s="673"/>
      <c r="L334" s="672"/>
      <c r="M334" s="674"/>
      <c r="N334" s="672"/>
      <c r="O334" s="672"/>
      <c r="P334" s="1127"/>
      <c r="Q334" s="672"/>
      <c r="R334" s="675"/>
      <c r="S334" s="1137" t="s">
        <v>401</v>
      </c>
      <c r="T334" s="619">
        <f>SUM(T314:T333)</f>
        <v>25.286000000000001</v>
      </c>
      <c r="V334" s="619">
        <f>SUM(Q314:Q333)</f>
        <v>30.315999999999999</v>
      </c>
      <c r="W334" s="619">
        <f>SUM(R314:R333)</f>
        <v>25.32</v>
      </c>
      <c r="X334" s="1166">
        <f>(T157-T334)/(V157-V334)</f>
        <v>0.83410778741235558</v>
      </c>
      <c r="Y334" s="1166">
        <f>(U157-U334)/(W157-W334)</f>
        <v>0</v>
      </c>
      <c r="Z334" s="1164">
        <f>IF('Barge BQS Report'!$AA$1=1,ROUND((W157-W334)/(V157-V334),4),ROUND((1/((((X334)*2204.62/8.32823/42)+1.22269727*10^-3)/1.00122697/141.5))-131.5,4))</f>
        <v>0.83520000000000005</v>
      </c>
      <c r="AA334" s="676"/>
      <c r="AB334" s="719"/>
      <c r="AC334" s="719"/>
      <c r="AD334" s="676"/>
      <c r="AE334" s="720"/>
      <c r="AF334" s="720"/>
      <c r="AG334" s="676"/>
      <c r="AH334" s="721"/>
      <c r="AI334" s="721"/>
      <c r="AJ334" s="722"/>
      <c r="AK334" s="723"/>
      <c r="AL334" s="723"/>
      <c r="AM334" s="724"/>
      <c r="AN334" s="724"/>
      <c r="AO334" s="725"/>
      <c r="AP334" s="726"/>
      <c r="AQ334" s="723"/>
      <c r="AR334" s="727"/>
      <c r="AS334" s="727"/>
      <c r="AT334" s="728"/>
      <c r="AU334" s="727"/>
      <c r="AV334" s="729"/>
      <c r="AW334" s="727"/>
      <c r="AX334" s="727"/>
      <c r="AY334" s="723"/>
      <c r="AZ334" s="730"/>
      <c r="BA334" s="676"/>
      <c r="BB334" s="721"/>
      <c r="BC334" s="721"/>
      <c r="BD334" s="721"/>
      <c r="BE334" s="721"/>
    </row>
    <row r="335" spans="1:57" s="702" customFormat="1" ht="5.25" hidden="1">
      <c r="A335" s="702" t="str">
        <f t="shared" si="322"/>
        <v>N</v>
      </c>
      <c r="C335" s="704"/>
      <c r="D335" s="704"/>
      <c r="E335" s="704"/>
      <c r="F335" s="704"/>
      <c r="G335" s="704"/>
      <c r="H335" s="704"/>
      <c r="I335" s="704"/>
      <c r="J335" s="705"/>
      <c r="K335" s="705"/>
      <c r="L335" s="705"/>
      <c r="M335" s="705"/>
      <c r="N335" s="705"/>
      <c r="O335" s="705"/>
      <c r="P335" s="1128"/>
      <c r="Q335" s="705"/>
      <c r="R335" s="705"/>
      <c r="S335" s="1136"/>
      <c r="T335" s="706"/>
      <c r="V335" s="707"/>
      <c r="W335" s="707"/>
      <c r="X335" s="707"/>
      <c r="Y335" s="707"/>
      <c r="Z335" s="707"/>
      <c r="AA335" s="707"/>
      <c r="AB335" s="707"/>
      <c r="AC335" s="707"/>
      <c r="AD335" s="707"/>
      <c r="AE335" s="708"/>
      <c r="AF335" s="708"/>
      <c r="AG335" s="707"/>
      <c r="AH335" s="709"/>
      <c r="AI335" s="709"/>
      <c r="AJ335" s="710"/>
      <c r="AK335" s="711"/>
      <c r="AL335" s="711"/>
      <c r="AM335" s="712"/>
      <c r="AN335" s="712"/>
      <c r="AO335" s="713"/>
      <c r="AP335" s="714"/>
      <c r="AQ335" s="711"/>
      <c r="AR335" s="715"/>
      <c r="AS335" s="715"/>
      <c r="AT335" s="716"/>
      <c r="AU335" s="715"/>
      <c r="AV335" s="717"/>
      <c r="AW335" s="715"/>
      <c r="AX335" s="715"/>
      <c r="AY335" s="711"/>
      <c r="AZ335" s="718"/>
      <c r="BA335" s="707"/>
      <c r="BB335" s="709"/>
      <c r="BC335" s="709"/>
      <c r="BD335" s="709"/>
      <c r="BE335" s="709"/>
    </row>
    <row r="336" spans="1:57" ht="15.75" hidden="1">
      <c r="A336" s="641" t="str">
        <f t="shared" si="322"/>
        <v>N</v>
      </c>
      <c r="C336" s="2802" t="s">
        <v>162</v>
      </c>
      <c r="D336" s="2803"/>
      <c r="E336" s="2804" t="str">
        <f t="shared" ref="E336:E366" si="323">E159</f>
        <v>(Distillates)</v>
      </c>
      <c r="F336" s="2805"/>
      <c r="G336" s="2805"/>
      <c r="H336" s="2825"/>
      <c r="I336" s="2806"/>
      <c r="J336" s="698"/>
      <c r="K336" s="699"/>
      <c r="L336" s="700"/>
      <c r="M336" s="699"/>
      <c r="N336" s="699"/>
      <c r="O336" s="700"/>
      <c r="P336" s="1129"/>
      <c r="Q336" s="700"/>
      <c r="R336" s="703"/>
      <c r="S336" s="1129"/>
      <c r="T336" s="703"/>
      <c r="V336" s="676"/>
      <c r="W336" s="731"/>
      <c r="X336" s="731"/>
      <c r="Y336" s="731"/>
      <c r="Z336" s="731"/>
      <c r="AA336" s="676"/>
      <c r="AB336" s="731"/>
      <c r="AC336" s="731"/>
      <c r="AD336" s="676"/>
      <c r="AE336" s="732"/>
      <c r="AF336" s="732"/>
      <c r="AG336" s="676"/>
      <c r="AH336" s="733"/>
      <c r="AI336" s="733"/>
      <c r="AJ336" s="734"/>
      <c r="AK336" s="735"/>
      <c r="AL336" s="735"/>
      <c r="AM336" s="736"/>
      <c r="AN336" s="736"/>
      <c r="AO336" s="737"/>
      <c r="AP336" s="738"/>
      <c r="AQ336" s="735"/>
      <c r="AR336" s="739"/>
      <c r="AS336" s="739"/>
      <c r="AT336" s="740"/>
      <c r="AU336" s="739"/>
      <c r="AV336" s="741"/>
      <c r="AW336" s="739"/>
      <c r="AX336" s="739"/>
      <c r="AY336" s="735"/>
      <c r="AZ336" s="742"/>
      <c r="BA336" s="676"/>
      <c r="BB336" s="733"/>
      <c r="BC336" s="733"/>
      <c r="BD336" s="733"/>
      <c r="BE336" s="733"/>
    </row>
    <row r="337" spans="1:57" hidden="1">
      <c r="A337" s="641" t="str">
        <f t="shared" si="322"/>
        <v>N</v>
      </c>
      <c r="C337" s="622" t="str">
        <f t="shared" ref="C337:D366" si="324">C160</f>
        <v/>
      </c>
      <c r="D337" s="623" t="str">
        <f t="shared" si="324"/>
        <v/>
      </c>
      <c r="E337" s="1018" t="str">
        <f t="shared" si="323"/>
        <v/>
      </c>
      <c r="F337" s="1018" t="str">
        <f t="shared" ref="F337:F366" si="325">IF(ISERROR(W337),"",IF(OR($C337="",$C337=0),"",IF(ISTEXT(W337),W337,IF($AB$1=1,W337*UNITOR_2,INT(W337*UNITOR_2)&amp;"'-"&amp;TRIM(TEXT(ROUND(MOD(W337*UNITOR_2,1)*12,1),"# ???/???"))&amp;""""))))</f>
        <v/>
      </c>
      <c r="G337" s="1018" t="str">
        <f t="shared" ref="G337:H366" si="326">IF(ISERROR(X337),"",IF(OR($C337="",$C337=0),"",IF(ISTEXT(X337),X337,IF($AB$1=1,X337*UNITOR_2,INT(X337*UNITOR_2)&amp;"'-"&amp;TRIM(TEXT(ROUND(MOD(X337*UNITOR_2,1)*12,1),"# ???/???"))&amp;""""))))</f>
        <v/>
      </c>
      <c r="H337" s="1018" t="str">
        <f t="shared" si="326"/>
        <v/>
      </c>
      <c r="I337" s="623" t="str">
        <f>IF(ISERROR($BB337),"",IF(OR($C337="",$C337=0,$BB337=0),"",$BB337))</f>
        <v/>
      </c>
      <c r="J337" s="1016" t="str">
        <f t="shared" ref="J337:J366" si="327">IF(ISERROR($BC337),"",IF(OR($C337="",$C337=0,$BC337=""),"",IF(ISTEXT($BC337),$BC337,$BC337*IF($AA$1=B1SEL_2,1,IF($AA$1=2,FBBLS,1/FBBLS)))))</f>
        <v/>
      </c>
      <c r="K337" s="213" t="str">
        <f t="shared" ref="K337:K366" si="328">IF(ISERROR($BD337),"",IF(OR($C337="",$C337=0,$BD337=""),0,IF(ISTEXT($BD337),$BD337,$BD337*IF($AB$1=W1SEL_2,1,IF($AB$1=2,FINCH,1/FINCH)))))</f>
        <v/>
      </c>
      <c r="L337" s="212" t="str">
        <f t="shared" ref="L337:L366" si="329">IF(ISERROR($BE337),"",IF(OR($C337="",$C337=0,$BE337=""),0,IF(ISTEXT($BE337),$BE337,$BE337*IF($AA$1=B1SEL_2,1,IF($AA$1=2,FBBLS,1/FBBLS)))))</f>
        <v/>
      </c>
      <c r="M337" s="1125" t="str">
        <f>IF(OR($C337="",$C337=0),"",INDEX(API2DENST_2,MATCH($C337,'Barge Gauging Data'!$B$27:$B$56,0),$AA$1))</f>
        <v/>
      </c>
      <c r="N337" s="212" t="str">
        <f t="shared" ref="N337:N366" si="330">IF(ISERROR(Z337),"",IF(OR($C337="",$C337=0,Z337=""),"",IF(ISTEXT(Z337),Z337,IF($AA$1=T1SEL_2,Z337,IF($AA$1=2,(Z337*9/5)+32,(Z337-32)*5/9)))))</f>
        <v/>
      </c>
      <c r="O337" s="1016" t="str">
        <f t="shared" ref="O337:O338" si="331">IF(OR(J337="",L337=""),"",IF(ISTEXT(J337),"N/A",IF(ISTEXT(L337),J337,J337-L337)))</f>
        <v/>
      </c>
      <c r="P337" s="1125" t="str">
        <f t="shared" ref="P337:P338" si="332">IF(OR(M337="",N337=""),"",IF(OR(ISTEXT(M337),ISTEXT(N337)),"N/A",IF($AA$1=1,ROUND(EXP(-AF337*(N337-15)*(1+0.8*AF337*(N337-15))),5),AZ337)))</f>
        <v/>
      </c>
      <c r="Q337" s="1016" t="str">
        <f t="shared" ref="Q337:Q338" si="333">IF(OR(M337="",N337=""),"",IF(OR(ISTEXT(M337),ISTEXT(N337)),"N/A",ROUND(O337*P337,3)))</f>
        <v/>
      </c>
      <c r="R337" s="214" t="str">
        <f t="shared" ref="R337:R338" si="334">IF(M337="","",IF($AA$1=1,IF(ISTEXT(Q337),"N/A",ROUND(Q337*M337,3)),IF(ISTEXT(T337),"N/A",ROUND(T337*AC337,3))))</f>
        <v/>
      </c>
      <c r="S337" s="1125" t="str">
        <f t="shared" ref="S337:S338" si="335">IF(M337="","",IF($AA$1=1,ROUND(M337-0.0011,5),ROUND((1.00122697*(141.5/(M337+131.5))-1.22269727*10^-3)*8.32823*42/2204.62,5+2)))</f>
        <v/>
      </c>
      <c r="T337" s="236" t="str">
        <f t="shared" ref="T337:T338" si="336">IF(OR(M337="",N337=""),"",IF(ISTEXT(Q337),"N/A",IF($AA$1=1,ROUND((Q337*(M337-0.0011)),3),ROUND(Q337*S337,3))))</f>
        <v/>
      </c>
      <c r="W337" s="642" t="e">
        <f>INDEX('Barge Gauging Data'!$B$26:$V$56,MATCH($C337,'Barge Gauging Data'!$B$26:$B$56,0),$W$198)</f>
        <v>#N/A</v>
      </c>
      <c r="X337" s="642" t="e">
        <f>INDEX('Barge Gauging Data'!$B$26:$V$56,MATCH($C337,'Barge Gauging Data'!$B$26:$B$56,0),$X$198)</f>
        <v>#N/A</v>
      </c>
      <c r="Y337" s="642" t="e">
        <f>INDEX('Barge Gauging Data'!$B$26:$V$56,MATCH($C337,'Barge Gauging Data'!$B$26:$B$56,0),$Y$198)</f>
        <v>#N/A</v>
      </c>
      <c r="Z337" s="642" t="e">
        <f>INDEX('Barge Gauging Data'!$B$26:$V$56,MATCH($C337,'Barge Gauging Data'!$B$26:$B$56,0),$Z$198)</f>
        <v>#N/A</v>
      </c>
      <c r="AB337" s="642" t="e">
        <f>INDEX(API2DENST_2,MATCH($C337,'Barge Gauging Data'!$B$27:$B$56,0),1)</f>
        <v>#N/A</v>
      </c>
      <c r="AC337" s="642" t="e">
        <f t="shared" si="287"/>
        <v>#N/A</v>
      </c>
      <c r="AE337" s="661" t="e">
        <f t="shared" si="288"/>
        <v>#VALUE!</v>
      </c>
      <c r="AF337" s="661" t="e">
        <f t="shared" si="289"/>
        <v>#VALUE!</v>
      </c>
      <c r="AH337" s="662" t="str">
        <f t="shared" si="269"/>
        <v/>
      </c>
      <c r="AI337" s="662" t="str">
        <f t="shared" si="270"/>
        <v/>
      </c>
      <c r="AJ337" s="663">
        <f t="shared" si="290"/>
        <v>192.4571</v>
      </c>
      <c r="AK337" s="660">
        <f t="shared" si="291"/>
        <v>0.24379999999999999</v>
      </c>
      <c r="AL337" s="660" t="e">
        <f t="shared" si="292"/>
        <v>#VALUE!</v>
      </c>
      <c r="AM337" s="664" t="e">
        <f t="shared" si="293"/>
        <v>#VALUE!</v>
      </c>
      <c r="AN337" s="664" t="e">
        <f t="shared" si="294"/>
        <v>#VALUE!</v>
      </c>
      <c r="AO337" s="665" t="e">
        <f t="shared" si="295"/>
        <v>#VALUE!</v>
      </c>
      <c r="AP337" s="666" t="e">
        <f t="shared" si="296"/>
        <v>#VALUE!</v>
      </c>
      <c r="AQ337" s="660" t="e">
        <f t="shared" si="297"/>
        <v>#VALUE!</v>
      </c>
      <c r="AR337" s="667" t="e">
        <f t="shared" si="298"/>
        <v>#VALUE!</v>
      </c>
      <c r="AS337" s="667" t="e">
        <f t="shared" si="299"/>
        <v>#VALUE!</v>
      </c>
      <c r="AT337" s="668" t="e">
        <f t="shared" si="300"/>
        <v>#VALUE!</v>
      </c>
      <c r="AU337" s="667" t="e">
        <f t="shared" si="301"/>
        <v>#VALUE!</v>
      </c>
      <c r="AV337" s="669" t="e">
        <f t="shared" si="302"/>
        <v>#VALUE!</v>
      </c>
      <c r="AW337" s="667" t="e">
        <f t="shared" si="303"/>
        <v>#VALUE!</v>
      </c>
      <c r="AX337" s="667" t="e">
        <f t="shared" si="304"/>
        <v>#VALUE!</v>
      </c>
      <c r="AY337" s="660" t="e">
        <f t="shared" si="305"/>
        <v>#VALUE!</v>
      </c>
      <c r="AZ337" s="670" t="e">
        <f t="shared" si="306"/>
        <v>#VALUE!</v>
      </c>
      <c r="BB337" s="662" t="e">
        <f>INDEX('Barge Gauging Data'!$B$26:$V$56,MATCH($C337,'Barge Gauging Data'!$B$26:$B$56,0),$BB$198)</f>
        <v>#N/A</v>
      </c>
      <c r="BC337" s="662" t="e">
        <f>INDEX('Barge Gauging Data'!$B$26:$V$56,MATCH($C337,'Barge Gauging Data'!$B$26:$B$56,0),$BC$198)</f>
        <v>#N/A</v>
      </c>
      <c r="BD337" s="662" t="e">
        <f>INDEX('Barge Gauging Data'!$B$26:$V$56,MATCH($C337,'Barge Gauging Data'!$B$26:$B$56,0),$BD$198)</f>
        <v>#N/A</v>
      </c>
      <c r="BE337" s="662" t="e">
        <f>INDEX('Barge Gauging Data'!$B$26:$V$56,MATCH($C337,'Barge Gauging Data'!$B$26:$B$56,0),$BE$198)</f>
        <v>#N/A</v>
      </c>
    </row>
    <row r="338" spans="1:57" hidden="1">
      <c r="A338" s="641" t="str">
        <f t="shared" si="322"/>
        <v>N</v>
      </c>
      <c r="C338" s="235" t="str">
        <f t="shared" si="324"/>
        <v/>
      </c>
      <c r="D338" s="211" t="str">
        <f t="shared" si="324"/>
        <v/>
      </c>
      <c r="E338" s="1016" t="str">
        <f t="shared" si="323"/>
        <v/>
      </c>
      <c r="F338" s="1016" t="str">
        <f t="shared" si="325"/>
        <v/>
      </c>
      <c r="G338" s="1016" t="str">
        <f t="shared" si="326"/>
        <v/>
      </c>
      <c r="H338" s="1016" t="str">
        <f t="shared" si="326"/>
        <v/>
      </c>
      <c r="I338" s="211" t="str">
        <f>IF(ISERROR($BB338),"",IF(OR($C338="",$C338=0,$BB338=0),"",$BB338))</f>
        <v/>
      </c>
      <c r="J338" s="1016" t="str">
        <f t="shared" si="327"/>
        <v/>
      </c>
      <c r="K338" s="213" t="str">
        <f t="shared" si="328"/>
        <v/>
      </c>
      <c r="L338" s="212" t="str">
        <f t="shared" si="329"/>
        <v/>
      </c>
      <c r="M338" s="1125" t="str">
        <f>IF(OR($C338="",$C338=0),"",INDEX(API2DENST_2,MATCH($C338,'Barge Gauging Data'!$B$27:$B$56,0),$AA$1))</f>
        <v/>
      </c>
      <c r="N338" s="212" t="str">
        <f t="shared" si="330"/>
        <v/>
      </c>
      <c r="O338" s="1016" t="str">
        <f t="shared" si="331"/>
        <v/>
      </c>
      <c r="P338" s="1125" t="str">
        <f t="shared" si="332"/>
        <v/>
      </c>
      <c r="Q338" s="1016" t="str">
        <f t="shared" si="333"/>
        <v/>
      </c>
      <c r="R338" s="214" t="str">
        <f t="shared" si="334"/>
        <v/>
      </c>
      <c r="S338" s="1125" t="str">
        <f t="shared" si="335"/>
        <v/>
      </c>
      <c r="T338" s="236" t="str">
        <f t="shared" si="336"/>
        <v/>
      </c>
      <c r="W338" s="642" t="e">
        <f>INDEX('Barge Gauging Data'!$B$26:$V$56,MATCH($C338,'Barge Gauging Data'!$B$26:$B$56,0),$W$198)</f>
        <v>#N/A</v>
      </c>
      <c r="X338" s="642" t="e">
        <f>INDEX('Barge Gauging Data'!$B$26:$V$56,MATCH($C338,'Barge Gauging Data'!$B$26:$B$56,0),$X$198)</f>
        <v>#N/A</v>
      </c>
      <c r="Y338" s="642" t="e">
        <f>INDEX('Barge Gauging Data'!$B$26:$V$56,MATCH($C338,'Barge Gauging Data'!$B$26:$B$56,0),$Y$198)</f>
        <v>#N/A</v>
      </c>
      <c r="Z338" s="642" t="e">
        <f>INDEX('Barge Gauging Data'!$B$26:$V$56,MATCH($C338,'Barge Gauging Data'!$B$26:$B$56,0),$Z$198)</f>
        <v>#N/A</v>
      </c>
      <c r="AB338" s="642" t="e">
        <f>INDEX(API2DENST_2,MATCH($C338,'Barge Gauging Data'!$B$27:$B$56,0),1)</f>
        <v>#N/A</v>
      </c>
      <c r="AC338" s="642" t="e">
        <f t="shared" si="287"/>
        <v>#N/A</v>
      </c>
      <c r="AE338" s="661" t="e">
        <f t="shared" si="288"/>
        <v>#VALUE!</v>
      </c>
      <c r="AF338" s="661" t="e">
        <f t="shared" si="289"/>
        <v>#VALUE!</v>
      </c>
      <c r="AH338" s="662" t="str">
        <f t="shared" si="269"/>
        <v/>
      </c>
      <c r="AI338" s="662" t="str">
        <f t="shared" si="270"/>
        <v/>
      </c>
      <c r="AJ338" s="663">
        <f t="shared" si="290"/>
        <v>192.4571</v>
      </c>
      <c r="AK338" s="660">
        <f t="shared" si="291"/>
        <v>0.24379999999999999</v>
      </c>
      <c r="AL338" s="660" t="e">
        <f t="shared" si="292"/>
        <v>#VALUE!</v>
      </c>
      <c r="AM338" s="664" t="e">
        <f t="shared" si="293"/>
        <v>#VALUE!</v>
      </c>
      <c r="AN338" s="664" t="e">
        <f t="shared" si="294"/>
        <v>#VALUE!</v>
      </c>
      <c r="AO338" s="665" t="e">
        <f t="shared" si="295"/>
        <v>#VALUE!</v>
      </c>
      <c r="AP338" s="666" t="e">
        <f t="shared" si="296"/>
        <v>#VALUE!</v>
      </c>
      <c r="AQ338" s="660" t="e">
        <f t="shared" si="297"/>
        <v>#VALUE!</v>
      </c>
      <c r="AR338" s="667" t="e">
        <f t="shared" si="298"/>
        <v>#VALUE!</v>
      </c>
      <c r="AS338" s="667" t="e">
        <f t="shared" si="299"/>
        <v>#VALUE!</v>
      </c>
      <c r="AT338" s="668" t="e">
        <f t="shared" si="300"/>
        <v>#VALUE!</v>
      </c>
      <c r="AU338" s="667" t="e">
        <f t="shared" si="301"/>
        <v>#VALUE!</v>
      </c>
      <c r="AV338" s="669" t="e">
        <f t="shared" si="302"/>
        <v>#VALUE!</v>
      </c>
      <c r="AW338" s="667" t="e">
        <f t="shared" si="303"/>
        <v>#VALUE!</v>
      </c>
      <c r="AX338" s="667" t="e">
        <f t="shared" si="304"/>
        <v>#VALUE!</v>
      </c>
      <c r="AY338" s="660" t="e">
        <f t="shared" si="305"/>
        <v>#VALUE!</v>
      </c>
      <c r="AZ338" s="670" t="e">
        <f t="shared" si="306"/>
        <v>#VALUE!</v>
      </c>
      <c r="BB338" s="662" t="e">
        <f>INDEX('Barge Gauging Data'!$B$26:$V$56,MATCH($C338,'Barge Gauging Data'!$B$26:$B$56,0),$BB$198)</f>
        <v>#N/A</v>
      </c>
      <c r="BC338" s="662" t="e">
        <f>INDEX('Barge Gauging Data'!$B$26:$V$56,MATCH($C338,'Barge Gauging Data'!$B$26:$B$56,0),$BC$198)</f>
        <v>#N/A</v>
      </c>
      <c r="BD338" s="662" t="e">
        <f>INDEX('Barge Gauging Data'!$B$26:$V$56,MATCH($C338,'Barge Gauging Data'!$B$26:$B$56,0),$BD$198)</f>
        <v>#N/A</v>
      </c>
      <c r="BE338" s="662" t="e">
        <f>INDEX('Barge Gauging Data'!$B$26:$V$56,MATCH($C338,'Barge Gauging Data'!$B$26:$B$56,0),$BE$198)</f>
        <v>#N/A</v>
      </c>
    </row>
    <row r="339" spans="1:57" hidden="1">
      <c r="A339" s="641" t="str">
        <f t="shared" si="322"/>
        <v>N</v>
      </c>
      <c r="C339" s="235" t="str">
        <f t="shared" si="324"/>
        <v/>
      </c>
      <c r="D339" s="211" t="str">
        <f t="shared" si="324"/>
        <v/>
      </c>
      <c r="E339" s="1016" t="str">
        <f t="shared" si="323"/>
        <v/>
      </c>
      <c r="F339" s="1016" t="str">
        <f t="shared" si="325"/>
        <v/>
      </c>
      <c r="G339" s="1016" t="str">
        <f t="shared" si="326"/>
        <v/>
      </c>
      <c r="H339" s="1016" t="str">
        <f t="shared" si="326"/>
        <v/>
      </c>
      <c r="I339" s="211" t="str">
        <f>IF(ISERROR($BB339),"",IF(OR($C339="",$C339=0,$BB339=0),"",$BB339))</f>
        <v/>
      </c>
      <c r="J339" s="1016" t="str">
        <f t="shared" si="327"/>
        <v/>
      </c>
      <c r="K339" s="213" t="str">
        <f t="shared" si="328"/>
        <v/>
      </c>
      <c r="L339" s="212" t="str">
        <f t="shared" si="329"/>
        <v/>
      </c>
      <c r="M339" s="1125" t="str">
        <f>IF(OR($C339="",$C339=0),"",INDEX(API2DENST_2,MATCH($C339,'Barge Gauging Data'!$B$27:$B$56,0),$AA$1))</f>
        <v/>
      </c>
      <c r="N339" s="212" t="str">
        <f t="shared" si="330"/>
        <v/>
      </c>
      <c r="O339" s="1016" t="str">
        <f t="shared" ref="O339:O366" si="337">IF(OR(J339="",L339=""),"",IF(ISTEXT(J339),"N/A",IF(ISTEXT(L339),J339,J339-L339)))</f>
        <v/>
      </c>
      <c r="P339" s="1125" t="str">
        <f t="shared" ref="P339:P366" si="338">IF(OR(M339="",N339=""),"",IF(OR(ISTEXT(M339),ISTEXT(N339)),"N/A",IF($AA$1=1,ROUND(EXP(-AF339*(N339-15)*(1+0.8*AF339*(N339-15))),5),AZ339)))</f>
        <v/>
      </c>
      <c r="Q339" s="1016" t="str">
        <f t="shared" ref="Q339:Q366" si="339">IF(OR(M339="",N339=""),"",IF(OR(ISTEXT(M339),ISTEXT(N339)),"N/A",ROUND(O339*P339,3)))</f>
        <v/>
      </c>
      <c r="R339" s="214" t="str">
        <f t="shared" ref="R339:R366" si="340">IF(M339="","",IF($AA$1=1,IF(ISTEXT(Q339),"N/A",ROUND(Q339*M339,3)),IF(ISTEXT(T339),"N/A",ROUND(T339*AC339,3))))</f>
        <v/>
      </c>
      <c r="S339" s="1125" t="str">
        <f t="shared" ref="S339:S366" si="341">IF(M339="","",IF($AA$1=1,ROUND(M339-0.0011,5),ROUND((1.00122697*(141.5/(M339+131.5))-1.22269727*10^-3)*8.32823*42/2204.62,5+2)))</f>
        <v/>
      </c>
      <c r="T339" s="236" t="str">
        <f t="shared" ref="T339:T366" si="342">IF(OR(M339="",N339=""),"",IF(ISTEXT(Q339),"N/A",IF($AA$1=1,ROUND((Q339*(M339-0.0011)),3),ROUND(Q339*S339,3))))</f>
        <v/>
      </c>
      <c r="W339" s="642" t="e">
        <f>INDEX('Barge Gauging Data'!$B$26:$V$56,MATCH($C339,'Barge Gauging Data'!$B$26:$B$56,0),$W$198)</f>
        <v>#N/A</v>
      </c>
      <c r="X339" s="642" t="e">
        <f>INDEX('Barge Gauging Data'!$B$26:$V$56,MATCH($C339,'Barge Gauging Data'!$B$26:$B$56,0),$X$198)</f>
        <v>#N/A</v>
      </c>
      <c r="Y339" s="642" t="e">
        <f>INDEX('Barge Gauging Data'!$B$26:$V$56,MATCH($C339,'Barge Gauging Data'!$B$26:$B$56,0),$Y$198)</f>
        <v>#N/A</v>
      </c>
      <c r="Z339" s="642" t="e">
        <f>INDEX('Barge Gauging Data'!$B$26:$V$56,MATCH($C339,'Barge Gauging Data'!$B$26:$B$56,0),$Z$198)</f>
        <v>#N/A</v>
      </c>
      <c r="AB339" s="642" t="e">
        <f>INDEX(API2DENST_2,MATCH($C339,'Barge Gauging Data'!$B$27:$B$56,0),1)</f>
        <v>#N/A</v>
      </c>
      <c r="AC339" s="642" t="e">
        <f t="shared" si="287"/>
        <v>#N/A</v>
      </c>
      <c r="AE339" s="661" t="e">
        <f t="shared" si="288"/>
        <v>#VALUE!</v>
      </c>
      <c r="AF339" s="661" t="e">
        <f t="shared" si="289"/>
        <v>#VALUE!</v>
      </c>
      <c r="AH339" s="662" t="str">
        <f t="shared" ref="AH339:AH366" si="343">N339</f>
        <v/>
      </c>
      <c r="AI339" s="662" t="str">
        <f t="shared" ref="AI339:AI366" si="344">M339</f>
        <v/>
      </c>
      <c r="AJ339" s="663">
        <f t="shared" si="290"/>
        <v>192.4571</v>
      </c>
      <c r="AK339" s="660">
        <f t="shared" si="291"/>
        <v>0.24379999999999999</v>
      </c>
      <c r="AL339" s="660" t="e">
        <f t="shared" si="292"/>
        <v>#VALUE!</v>
      </c>
      <c r="AM339" s="664" t="e">
        <f t="shared" si="293"/>
        <v>#VALUE!</v>
      </c>
      <c r="AN339" s="664" t="e">
        <f t="shared" si="294"/>
        <v>#VALUE!</v>
      </c>
      <c r="AO339" s="665" t="e">
        <f t="shared" si="295"/>
        <v>#VALUE!</v>
      </c>
      <c r="AP339" s="666" t="e">
        <f t="shared" si="296"/>
        <v>#VALUE!</v>
      </c>
      <c r="AQ339" s="660" t="e">
        <f t="shared" si="297"/>
        <v>#VALUE!</v>
      </c>
      <c r="AR339" s="667" t="e">
        <f t="shared" si="298"/>
        <v>#VALUE!</v>
      </c>
      <c r="AS339" s="667" t="e">
        <f t="shared" si="299"/>
        <v>#VALUE!</v>
      </c>
      <c r="AT339" s="668" t="e">
        <f t="shared" si="300"/>
        <v>#VALUE!</v>
      </c>
      <c r="AU339" s="667" t="e">
        <f t="shared" si="301"/>
        <v>#VALUE!</v>
      </c>
      <c r="AV339" s="669" t="e">
        <f t="shared" si="302"/>
        <v>#VALUE!</v>
      </c>
      <c r="AW339" s="667" t="e">
        <f t="shared" si="303"/>
        <v>#VALUE!</v>
      </c>
      <c r="AX339" s="667" t="e">
        <f t="shared" si="304"/>
        <v>#VALUE!</v>
      </c>
      <c r="AY339" s="660" t="e">
        <f t="shared" si="305"/>
        <v>#VALUE!</v>
      </c>
      <c r="AZ339" s="670" t="e">
        <f t="shared" si="306"/>
        <v>#VALUE!</v>
      </c>
      <c r="BB339" s="662" t="e">
        <f>INDEX('Barge Gauging Data'!$B$26:$V$56,MATCH($C339,'Barge Gauging Data'!$B$26:$B$56,0),$BB$198)</f>
        <v>#N/A</v>
      </c>
      <c r="BC339" s="662" t="e">
        <f>INDEX('Barge Gauging Data'!$B$26:$V$56,MATCH($C339,'Barge Gauging Data'!$B$26:$B$56,0),$BC$198)</f>
        <v>#N/A</v>
      </c>
      <c r="BD339" s="662" t="e">
        <f>INDEX('Barge Gauging Data'!$B$26:$V$56,MATCH($C339,'Barge Gauging Data'!$B$26:$B$56,0),$BD$198)</f>
        <v>#N/A</v>
      </c>
      <c r="BE339" s="662" t="e">
        <f>INDEX('Barge Gauging Data'!$B$26:$V$56,MATCH($C339,'Barge Gauging Data'!$B$26:$B$56,0),$BE$198)</f>
        <v>#N/A</v>
      </c>
    </row>
    <row r="340" spans="1:57" hidden="1">
      <c r="A340" s="641" t="str">
        <f t="shared" si="322"/>
        <v>N</v>
      </c>
      <c r="C340" s="235" t="str">
        <f t="shared" si="324"/>
        <v/>
      </c>
      <c r="D340" s="211" t="str">
        <f t="shared" si="324"/>
        <v/>
      </c>
      <c r="E340" s="1016" t="str">
        <f t="shared" si="323"/>
        <v/>
      </c>
      <c r="F340" s="1016" t="str">
        <f t="shared" si="325"/>
        <v/>
      </c>
      <c r="G340" s="1016" t="str">
        <f t="shared" si="326"/>
        <v/>
      </c>
      <c r="H340" s="1016" t="str">
        <f t="shared" si="326"/>
        <v/>
      </c>
      <c r="I340" s="211" t="str">
        <f>IF(ISERROR($BB340),"",IF(OR($C340="",$C340=0,$BB340=0),"",$BB340))</f>
        <v/>
      </c>
      <c r="J340" s="1016" t="str">
        <f t="shared" si="327"/>
        <v/>
      </c>
      <c r="K340" s="213" t="str">
        <f t="shared" si="328"/>
        <v/>
      </c>
      <c r="L340" s="212" t="str">
        <f t="shared" si="329"/>
        <v/>
      </c>
      <c r="M340" s="1125" t="str">
        <f>IF(OR($C340="",$C340=0),"",INDEX(API2DENST_2,MATCH($C340,'Barge Gauging Data'!$B$27:$B$56,0),$AA$1))</f>
        <v/>
      </c>
      <c r="N340" s="212" t="str">
        <f t="shared" si="330"/>
        <v/>
      </c>
      <c r="O340" s="1016" t="str">
        <f t="shared" si="337"/>
        <v/>
      </c>
      <c r="P340" s="1125" t="str">
        <f t="shared" si="338"/>
        <v/>
      </c>
      <c r="Q340" s="1016" t="str">
        <f t="shared" si="339"/>
        <v/>
      </c>
      <c r="R340" s="214" t="str">
        <f t="shared" si="340"/>
        <v/>
      </c>
      <c r="S340" s="1125" t="str">
        <f t="shared" si="341"/>
        <v/>
      </c>
      <c r="T340" s="236" t="str">
        <f t="shared" si="342"/>
        <v/>
      </c>
      <c r="W340" s="642" t="e">
        <f>INDEX('Barge Gauging Data'!$B$26:$V$56,MATCH($C340,'Barge Gauging Data'!$B$26:$B$56,0),$W$198)</f>
        <v>#N/A</v>
      </c>
      <c r="X340" s="642" t="e">
        <f>INDEX('Barge Gauging Data'!$B$26:$V$56,MATCH($C340,'Barge Gauging Data'!$B$26:$B$56,0),$X$198)</f>
        <v>#N/A</v>
      </c>
      <c r="Y340" s="642" t="e">
        <f>INDEX('Barge Gauging Data'!$B$26:$V$56,MATCH($C340,'Barge Gauging Data'!$B$26:$B$56,0),$Y$198)</f>
        <v>#N/A</v>
      </c>
      <c r="Z340" s="642" t="e">
        <f>INDEX('Barge Gauging Data'!$B$26:$V$56,MATCH($C340,'Barge Gauging Data'!$B$26:$B$56,0),$Z$198)</f>
        <v>#N/A</v>
      </c>
      <c r="AB340" s="642" t="e">
        <f>INDEX(API2DENST_2,MATCH($C340,'Barge Gauging Data'!$B$27:$B$56,0),1)</f>
        <v>#N/A</v>
      </c>
      <c r="AC340" s="642" t="e">
        <f t="shared" si="287"/>
        <v>#N/A</v>
      </c>
      <c r="AE340" s="661" t="e">
        <f t="shared" si="288"/>
        <v>#VALUE!</v>
      </c>
      <c r="AF340" s="661" t="e">
        <f t="shared" si="289"/>
        <v>#VALUE!</v>
      </c>
      <c r="AH340" s="662" t="str">
        <f t="shared" si="343"/>
        <v/>
      </c>
      <c r="AI340" s="662" t="str">
        <f t="shared" si="344"/>
        <v/>
      </c>
      <c r="AJ340" s="663">
        <f t="shared" si="290"/>
        <v>192.4571</v>
      </c>
      <c r="AK340" s="660">
        <f t="shared" si="291"/>
        <v>0.24379999999999999</v>
      </c>
      <c r="AL340" s="660" t="e">
        <f t="shared" si="292"/>
        <v>#VALUE!</v>
      </c>
      <c r="AM340" s="664" t="e">
        <f t="shared" si="293"/>
        <v>#VALUE!</v>
      </c>
      <c r="AN340" s="664" t="e">
        <f t="shared" si="294"/>
        <v>#VALUE!</v>
      </c>
      <c r="AO340" s="665" t="e">
        <f t="shared" si="295"/>
        <v>#VALUE!</v>
      </c>
      <c r="AP340" s="666" t="e">
        <f t="shared" si="296"/>
        <v>#VALUE!</v>
      </c>
      <c r="AQ340" s="660" t="e">
        <f t="shared" si="297"/>
        <v>#VALUE!</v>
      </c>
      <c r="AR340" s="667" t="e">
        <f t="shared" si="298"/>
        <v>#VALUE!</v>
      </c>
      <c r="AS340" s="667" t="e">
        <f t="shared" si="299"/>
        <v>#VALUE!</v>
      </c>
      <c r="AT340" s="668" t="e">
        <f t="shared" si="300"/>
        <v>#VALUE!</v>
      </c>
      <c r="AU340" s="667" t="e">
        <f t="shared" si="301"/>
        <v>#VALUE!</v>
      </c>
      <c r="AV340" s="669" t="e">
        <f t="shared" si="302"/>
        <v>#VALUE!</v>
      </c>
      <c r="AW340" s="667" t="e">
        <f t="shared" si="303"/>
        <v>#VALUE!</v>
      </c>
      <c r="AX340" s="667" t="e">
        <f t="shared" si="304"/>
        <v>#VALUE!</v>
      </c>
      <c r="AY340" s="660" t="e">
        <f t="shared" si="305"/>
        <v>#VALUE!</v>
      </c>
      <c r="AZ340" s="670" t="e">
        <f t="shared" si="306"/>
        <v>#VALUE!</v>
      </c>
      <c r="BB340" s="662" t="e">
        <f>INDEX('Barge Gauging Data'!$B$26:$V$56,MATCH($C340,'Barge Gauging Data'!$B$26:$B$56,0),$BB$198)</f>
        <v>#N/A</v>
      </c>
      <c r="BC340" s="662" t="e">
        <f>INDEX('Barge Gauging Data'!$B$26:$V$56,MATCH($C340,'Barge Gauging Data'!$B$26:$B$56,0),$BC$198)</f>
        <v>#N/A</v>
      </c>
      <c r="BD340" s="662" t="e">
        <f>INDEX('Barge Gauging Data'!$B$26:$V$56,MATCH($C340,'Barge Gauging Data'!$B$26:$B$56,0),$BD$198)</f>
        <v>#N/A</v>
      </c>
      <c r="BE340" s="662" t="e">
        <f>INDEX('Barge Gauging Data'!$B$26:$V$56,MATCH($C340,'Barge Gauging Data'!$B$26:$B$56,0),$BE$198)</f>
        <v>#N/A</v>
      </c>
    </row>
    <row r="341" spans="1:57" hidden="1">
      <c r="A341" s="641" t="str">
        <f t="shared" si="322"/>
        <v>N</v>
      </c>
      <c r="C341" s="235" t="str">
        <f t="shared" si="324"/>
        <v/>
      </c>
      <c r="D341" s="211" t="str">
        <f t="shared" si="324"/>
        <v/>
      </c>
      <c r="E341" s="1016" t="str">
        <f t="shared" si="323"/>
        <v/>
      </c>
      <c r="F341" s="1016" t="str">
        <f t="shared" si="325"/>
        <v/>
      </c>
      <c r="G341" s="1016" t="str">
        <f t="shared" si="326"/>
        <v/>
      </c>
      <c r="H341" s="1016" t="str">
        <f t="shared" si="326"/>
        <v/>
      </c>
      <c r="I341" s="211" t="str">
        <f>IF(ISERROR($BB341),"",IF(OR($C341="",$C341=0,$BB341=0),"",$BB341))</f>
        <v/>
      </c>
      <c r="J341" s="1016" t="str">
        <f t="shared" si="327"/>
        <v/>
      </c>
      <c r="K341" s="213" t="str">
        <f t="shared" si="328"/>
        <v/>
      </c>
      <c r="L341" s="212" t="str">
        <f t="shared" si="329"/>
        <v/>
      </c>
      <c r="M341" s="1125" t="str">
        <f>IF(OR($C341="",$C341=0),"",INDEX(API2DENST_2,MATCH($C341,'Barge Gauging Data'!$B$27:$B$56,0),$AA$1))</f>
        <v/>
      </c>
      <c r="N341" s="212" t="str">
        <f t="shared" si="330"/>
        <v/>
      </c>
      <c r="O341" s="1016" t="str">
        <f t="shared" si="337"/>
        <v/>
      </c>
      <c r="P341" s="1125" t="str">
        <f t="shared" si="338"/>
        <v/>
      </c>
      <c r="Q341" s="1016" t="str">
        <f t="shared" si="339"/>
        <v/>
      </c>
      <c r="R341" s="214" t="str">
        <f t="shared" si="340"/>
        <v/>
      </c>
      <c r="S341" s="1125" t="str">
        <f t="shared" si="341"/>
        <v/>
      </c>
      <c r="T341" s="236" t="str">
        <f t="shared" si="342"/>
        <v/>
      </c>
      <c r="W341" s="642" t="e">
        <f>INDEX('Barge Gauging Data'!$B$26:$V$56,MATCH($C341,'Barge Gauging Data'!$B$26:$B$56,0),$W$198)</f>
        <v>#N/A</v>
      </c>
      <c r="X341" s="642" t="e">
        <f>INDEX('Barge Gauging Data'!$B$26:$V$56,MATCH($C341,'Barge Gauging Data'!$B$26:$B$56,0),$X$198)</f>
        <v>#N/A</v>
      </c>
      <c r="Y341" s="642" t="e">
        <f>INDEX('Barge Gauging Data'!$B$26:$V$56,MATCH($C341,'Barge Gauging Data'!$B$26:$B$56,0),$Y$198)</f>
        <v>#N/A</v>
      </c>
      <c r="Z341" s="642" t="e">
        <f>INDEX('Barge Gauging Data'!$B$26:$V$56,MATCH($C341,'Barge Gauging Data'!$B$26:$B$56,0),$Z$198)</f>
        <v>#N/A</v>
      </c>
      <c r="AB341" s="642" t="e">
        <f>INDEX(API2DENST_2,MATCH($C341,'Barge Gauging Data'!$B$27:$B$56,0),1)</f>
        <v>#N/A</v>
      </c>
      <c r="AC341" s="642" t="e">
        <f t="shared" si="287"/>
        <v>#N/A</v>
      </c>
      <c r="AE341" s="661" t="e">
        <f t="shared" si="288"/>
        <v>#VALUE!</v>
      </c>
      <c r="AF341" s="661" t="e">
        <f t="shared" si="289"/>
        <v>#VALUE!</v>
      </c>
      <c r="AH341" s="662" t="str">
        <f t="shared" si="343"/>
        <v/>
      </c>
      <c r="AI341" s="662" t="str">
        <f t="shared" si="344"/>
        <v/>
      </c>
      <c r="AJ341" s="663">
        <f t="shared" si="290"/>
        <v>192.4571</v>
      </c>
      <c r="AK341" s="660">
        <f t="shared" si="291"/>
        <v>0.24379999999999999</v>
      </c>
      <c r="AL341" s="660" t="e">
        <f t="shared" si="292"/>
        <v>#VALUE!</v>
      </c>
      <c r="AM341" s="664" t="e">
        <f t="shared" si="293"/>
        <v>#VALUE!</v>
      </c>
      <c r="AN341" s="664" t="e">
        <f t="shared" si="294"/>
        <v>#VALUE!</v>
      </c>
      <c r="AO341" s="665" t="e">
        <f t="shared" si="295"/>
        <v>#VALUE!</v>
      </c>
      <c r="AP341" s="666" t="e">
        <f t="shared" si="296"/>
        <v>#VALUE!</v>
      </c>
      <c r="AQ341" s="660" t="e">
        <f t="shared" si="297"/>
        <v>#VALUE!</v>
      </c>
      <c r="AR341" s="667" t="e">
        <f t="shared" si="298"/>
        <v>#VALUE!</v>
      </c>
      <c r="AS341" s="667" t="e">
        <f t="shared" si="299"/>
        <v>#VALUE!</v>
      </c>
      <c r="AT341" s="668" t="e">
        <f t="shared" si="300"/>
        <v>#VALUE!</v>
      </c>
      <c r="AU341" s="667" t="e">
        <f t="shared" si="301"/>
        <v>#VALUE!</v>
      </c>
      <c r="AV341" s="669" t="e">
        <f t="shared" si="302"/>
        <v>#VALUE!</v>
      </c>
      <c r="AW341" s="667" t="e">
        <f t="shared" si="303"/>
        <v>#VALUE!</v>
      </c>
      <c r="AX341" s="667" t="e">
        <f t="shared" si="304"/>
        <v>#VALUE!</v>
      </c>
      <c r="AY341" s="660" t="e">
        <f t="shared" si="305"/>
        <v>#VALUE!</v>
      </c>
      <c r="AZ341" s="670" t="e">
        <f t="shared" si="306"/>
        <v>#VALUE!</v>
      </c>
      <c r="BB341" s="662" t="e">
        <f>INDEX('Barge Gauging Data'!$B$26:$V$56,MATCH($C341,'Barge Gauging Data'!$B$26:$B$56,0),$BB$198)</f>
        <v>#N/A</v>
      </c>
      <c r="BC341" s="662" t="e">
        <f>INDEX('Barge Gauging Data'!$B$26:$V$56,MATCH($C341,'Barge Gauging Data'!$B$26:$B$56,0),$BC$198)</f>
        <v>#N/A</v>
      </c>
      <c r="BD341" s="662" t="e">
        <f>INDEX('Barge Gauging Data'!$B$26:$V$56,MATCH($C341,'Barge Gauging Data'!$B$26:$B$56,0),$BD$198)</f>
        <v>#N/A</v>
      </c>
      <c r="BE341" s="662" t="e">
        <f>INDEX('Barge Gauging Data'!$B$26:$V$56,MATCH($C341,'Barge Gauging Data'!$B$26:$B$56,0),$BE$198)</f>
        <v>#N/A</v>
      </c>
    </row>
    <row r="342" spans="1:57" hidden="1">
      <c r="A342" s="641" t="str">
        <f t="shared" si="322"/>
        <v>N</v>
      </c>
      <c r="C342" s="235" t="str">
        <f t="shared" si="324"/>
        <v/>
      </c>
      <c r="D342" s="211" t="str">
        <f t="shared" si="324"/>
        <v/>
      </c>
      <c r="E342" s="1016" t="str">
        <f t="shared" si="323"/>
        <v/>
      </c>
      <c r="F342" s="1016" t="str">
        <f t="shared" si="325"/>
        <v/>
      </c>
      <c r="G342" s="1016" t="str">
        <f t="shared" si="326"/>
        <v/>
      </c>
      <c r="H342" s="1016" t="str">
        <f t="shared" si="326"/>
        <v/>
      </c>
      <c r="I342" s="211" t="str">
        <f t="shared" ref="I342:I366" si="345">IF(ISERROR($BB342),"",IF(OR($C342="",$C342=0,$BB342=0),"",$BB342))</f>
        <v/>
      </c>
      <c r="J342" s="1016" t="str">
        <f t="shared" si="327"/>
        <v/>
      </c>
      <c r="K342" s="213" t="str">
        <f t="shared" si="328"/>
        <v/>
      </c>
      <c r="L342" s="212" t="str">
        <f t="shared" si="329"/>
        <v/>
      </c>
      <c r="M342" s="1125" t="str">
        <f>IF(OR($C342="",$C342=0),"",INDEX(API2DENST_2,MATCH($C342,'Barge Gauging Data'!$B$27:$B$56,0),$AA$1))</f>
        <v/>
      </c>
      <c r="N342" s="212" t="str">
        <f t="shared" si="330"/>
        <v/>
      </c>
      <c r="O342" s="1016" t="str">
        <f t="shared" si="337"/>
        <v/>
      </c>
      <c r="P342" s="1125" t="str">
        <f t="shared" si="338"/>
        <v/>
      </c>
      <c r="Q342" s="1016" t="str">
        <f t="shared" si="339"/>
        <v/>
      </c>
      <c r="R342" s="214" t="str">
        <f t="shared" si="340"/>
        <v/>
      </c>
      <c r="S342" s="1125" t="str">
        <f t="shared" si="341"/>
        <v/>
      </c>
      <c r="T342" s="236" t="str">
        <f t="shared" si="342"/>
        <v/>
      </c>
      <c r="W342" s="642" t="e">
        <f>INDEX('Barge Gauging Data'!$B$26:$V$56,MATCH($C342,'Barge Gauging Data'!$B$26:$B$56,0),$W$198)</f>
        <v>#N/A</v>
      </c>
      <c r="X342" s="642" t="e">
        <f>INDEX('Barge Gauging Data'!$B$26:$V$56,MATCH($C342,'Barge Gauging Data'!$B$26:$B$56,0),$X$198)</f>
        <v>#N/A</v>
      </c>
      <c r="Y342" s="642" t="e">
        <f>INDEX('Barge Gauging Data'!$B$26:$V$56,MATCH($C342,'Barge Gauging Data'!$B$26:$B$56,0),$Y$198)</f>
        <v>#N/A</v>
      </c>
      <c r="Z342" s="642" t="e">
        <f>INDEX('Barge Gauging Data'!$B$26:$V$56,MATCH($C342,'Barge Gauging Data'!$B$26:$B$56,0),$Z$198)</f>
        <v>#N/A</v>
      </c>
      <c r="AB342" s="642" t="e">
        <f>INDEX(API2DENST_2,MATCH($C342,'Barge Gauging Data'!$B$27:$B$56,0),1)</f>
        <v>#N/A</v>
      </c>
      <c r="AC342" s="642" t="e">
        <f t="shared" si="287"/>
        <v>#N/A</v>
      </c>
      <c r="AE342" s="661" t="e">
        <f t="shared" si="288"/>
        <v>#VALUE!</v>
      </c>
      <c r="AF342" s="661" t="e">
        <f t="shared" si="289"/>
        <v>#VALUE!</v>
      </c>
      <c r="AH342" s="662" t="str">
        <f t="shared" si="343"/>
        <v/>
      </c>
      <c r="AI342" s="662" t="str">
        <f t="shared" si="344"/>
        <v/>
      </c>
      <c r="AJ342" s="663">
        <f t="shared" si="290"/>
        <v>192.4571</v>
      </c>
      <c r="AK342" s="660">
        <f t="shared" si="291"/>
        <v>0.24379999999999999</v>
      </c>
      <c r="AL342" s="660" t="e">
        <f t="shared" si="292"/>
        <v>#VALUE!</v>
      </c>
      <c r="AM342" s="664" t="e">
        <f t="shared" si="293"/>
        <v>#VALUE!</v>
      </c>
      <c r="AN342" s="664" t="e">
        <f t="shared" si="294"/>
        <v>#VALUE!</v>
      </c>
      <c r="AO342" s="665" t="e">
        <f t="shared" si="295"/>
        <v>#VALUE!</v>
      </c>
      <c r="AP342" s="666" t="e">
        <f t="shared" si="296"/>
        <v>#VALUE!</v>
      </c>
      <c r="AQ342" s="660" t="e">
        <f t="shared" si="297"/>
        <v>#VALUE!</v>
      </c>
      <c r="AR342" s="667" t="e">
        <f t="shared" si="298"/>
        <v>#VALUE!</v>
      </c>
      <c r="AS342" s="667" t="e">
        <f t="shared" si="299"/>
        <v>#VALUE!</v>
      </c>
      <c r="AT342" s="668" t="e">
        <f t="shared" si="300"/>
        <v>#VALUE!</v>
      </c>
      <c r="AU342" s="667" t="e">
        <f t="shared" si="301"/>
        <v>#VALUE!</v>
      </c>
      <c r="AV342" s="669" t="e">
        <f t="shared" si="302"/>
        <v>#VALUE!</v>
      </c>
      <c r="AW342" s="667" t="e">
        <f t="shared" si="303"/>
        <v>#VALUE!</v>
      </c>
      <c r="AX342" s="667" t="e">
        <f t="shared" si="304"/>
        <v>#VALUE!</v>
      </c>
      <c r="AY342" s="660" t="e">
        <f t="shared" si="305"/>
        <v>#VALUE!</v>
      </c>
      <c r="AZ342" s="670" t="e">
        <f t="shared" si="306"/>
        <v>#VALUE!</v>
      </c>
      <c r="BB342" s="662" t="e">
        <f>INDEX('Barge Gauging Data'!$B$26:$V$56,MATCH($C342,'Barge Gauging Data'!$B$26:$B$56,0),$BB$198)</f>
        <v>#N/A</v>
      </c>
      <c r="BC342" s="662" t="e">
        <f>INDEX('Barge Gauging Data'!$B$26:$V$56,MATCH($C342,'Barge Gauging Data'!$B$26:$B$56,0),$BC$198)</f>
        <v>#N/A</v>
      </c>
      <c r="BD342" s="662" t="e">
        <f>INDEX('Barge Gauging Data'!$B$26:$V$56,MATCH($C342,'Barge Gauging Data'!$B$26:$B$56,0),$BD$198)</f>
        <v>#N/A</v>
      </c>
      <c r="BE342" s="662" t="e">
        <f>INDEX('Barge Gauging Data'!$B$26:$V$56,MATCH($C342,'Barge Gauging Data'!$B$26:$B$56,0),$BE$198)</f>
        <v>#N/A</v>
      </c>
    </row>
    <row r="343" spans="1:57" hidden="1">
      <c r="A343" s="641" t="str">
        <f t="shared" si="322"/>
        <v>N</v>
      </c>
      <c r="C343" s="235" t="str">
        <f t="shared" si="324"/>
        <v/>
      </c>
      <c r="D343" s="211" t="str">
        <f t="shared" si="324"/>
        <v/>
      </c>
      <c r="E343" s="1016" t="str">
        <f t="shared" si="323"/>
        <v/>
      </c>
      <c r="F343" s="1016" t="str">
        <f t="shared" si="325"/>
        <v/>
      </c>
      <c r="G343" s="1016" t="str">
        <f t="shared" si="326"/>
        <v/>
      </c>
      <c r="H343" s="1016" t="str">
        <f t="shared" si="326"/>
        <v/>
      </c>
      <c r="I343" s="211" t="str">
        <f t="shared" si="345"/>
        <v/>
      </c>
      <c r="J343" s="1016" t="str">
        <f t="shared" si="327"/>
        <v/>
      </c>
      <c r="K343" s="213" t="str">
        <f t="shared" si="328"/>
        <v/>
      </c>
      <c r="L343" s="212" t="str">
        <f t="shared" si="329"/>
        <v/>
      </c>
      <c r="M343" s="1125" t="str">
        <f>IF(OR($C343="",$C343=0),"",INDEX(API2DENST_2,MATCH($C343,'Barge Gauging Data'!$B$27:$B$56,0),$AA$1))</f>
        <v/>
      </c>
      <c r="N343" s="212" t="str">
        <f t="shared" si="330"/>
        <v/>
      </c>
      <c r="O343" s="1016" t="str">
        <f t="shared" si="337"/>
        <v/>
      </c>
      <c r="P343" s="1125" t="str">
        <f t="shared" si="338"/>
        <v/>
      </c>
      <c r="Q343" s="1016" t="str">
        <f t="shared" si="339"/>
        <v/>
      </c>
      <c r="R343" s="214" t="str">
        <f t="shared" si="340"/>
        <v/>
      </c>
      <c r="S343" s="1125" t="str">
        <f t="shared" si="341"/>
        <v/>
      </c>
      <c r="T343" s="236" t="str">
        <f t="shared" si="342"/>
        <v/>
      </c>
      <c r="W343" s="642" t="e">
        <f>INDEX('Barge Gauging Data'!$B$26:$V$56,MATCH($C343,'Barge Gauging Data'!$B$26:$B$56,0),$W$198)</f>
        <v>#N/A</v>
      </c>
      <c r="X343" s="642" t="e">
        <f>INDEX('Barge Gauging Data'!$B$26:$V$56,MATCH($C343,'Barge Gauging Data'!$B$26:$B$56,0),$X$198)</f>
        <v>#N/A</v>
      </c>
      <c r="Y343" s="642" t="e">
        <f>INDEX('Barge Gauging Data'!$B$26:$V$56,MATCH($C343,'Barge Gauging Data'!$B$26:$B$56,0),$Y$198)</f>
        <v>#N/A</v>
      </c>
      <c r="Z343" s="642" t="e">
        <f>INDEX('Barge Gauging Data'!$B$26:$V$56,MATCH($C343,'Barge Gauging Data'!$B$26:$B$56,0),$Z$198)</f>
        <v>#N/A</v>
      </c>
      <c r="AB343" s="642" t="e">
        <f>INDEX(API2DENST_2,MATCH($C343,'Barge Gauging Data'!$B$27:$B$56,0),1)</f>
        <v>#N/A</v>
      </c>
      <c r="AC343" s="642" t="e">
        <f t="shared" si="287"/>
        <v>#N/A</v>
      </c>
      <c r="AE343" s="661" t="e">
        <f t="shared" si="288"/>
        <v>#VALUE!</v>
      </c>
      <c r="AF343" s="661" t="e">
        <f t="shared" si="289"/>
        <v>#VALUE!</v>
      </c>
      <c r="AH343" s="662" t="str">
        <f t="shared" si="343"/>
        <v/>
      </c>
      <c r="AI343" s="662" t="str">
        <f t="shared" si="344"/>
        <v/>
      </c>
      <c r="AJ343" s="663">
        <f t="shared" si="290"/>
        <v>192.4571</v>
      </c>
      <c r="AK343" s="660">
        <f t="shared" si="291"/>
        <v>0.24379999999999999</v>
      </c>
      <c r="AL343" s="660" t="e">
        <f t="shared" si="292"/>
        <v>#VALUE!</v>
      </c>
      <c r="AM343" s="664" t="e">
        <f t="shared" si="293"/>
        <v>#VALUE!</v>
      </c>
      <c r="AN343" s="664" t="e">
        <f t="shared" si="294"/>
        <v>#VALUE!</v>
      </c>
      <c r="AO343" s="665" t="e">
        <f t="shared" si="295"/>
        <v>#VALUE!</v>
      </c>
      <c r="AP343" s="666" t="e">
        <f t="shared" si="296"/>
        <v>#VALUE!</v>
      </c>
      <c r="AQ343" s="660" t="e">
        <f t="shared" si="297"/>
        <v>#VALUE!</v>
      </c>
      <c r="AR343" s="667" t="e">
        <f t="shared" si="298"/>
        <v>#VALUE!</v>
      </c>
      <c r="AS343" s="667" t="e">
        <f t="shared" si="299"/>
        <v>#VALUE!</v>
      </c>
      <c r="AT343" s="668" t="e">
        <f t="shared" si="300"/>
        <v>#VALUE!</v>
      </c>
      <c r="AU343" s="667" t="e">
        <f t="shared" si="301"/>
        <v>#VALUE!</v>
      </c>
      <c r="AV343" s="669" t="e">
        <f t="shared" si="302"/>
        <v>#VALUE!</v>
      </c>
      <c r="AW343" s="667" t="e">
        <f t="shared" si="303"/>
        <v>#VALUE!</v>
      </c>
      <c r="AX343" s="667" t="e">
        <f t="shared" si="304"/>
        <v>#VALUE!</v>
      </c>
      <c r="AY343" s="660" t="e">
        <f t="shared" si="305"/>
        <v>#VALUE!</v>
      </c>
      <c r="AZ343" s="670" t="e">
        <f t="shared" si="306"/>
        <v>#VALUE!</v>
      </c>
      <c r="BB343" s="662" t="e">
        <f>INDEX('Barge Gauging Data'!$B$26:$V$56,MATCH($C343,'Barge Gauging Data'!$B$26:$B$56,0),$BB$198)</f>
        <v>#N/A</v>
      </c>
      <c r="BC343" s="662" t="e">
        <f>INDEX('Barge Gauging Data'!$B$26:$V$56,MATCH($C343,'Barge Gauging Data'!$B$26:$B$56,0),$BC$198)</f>
        <v>#N/A</v>
      </c>
      <c r="BD343" s="662" t="e">
        <f>INDEX('Barge Gauging Data'!$B$26:$V$56,MATCH($C343,'Barge Gauging Data'!$B$26:$B$56,0),$BD$198)</f>
        <v>#N/A</v>
      </c>
      <c r="BE343" s="662" t="e">
        <f>INDEX('Barge Gauging Data'!$B$26:$V$56,MATCH($C343,'Barge Gauging Data'!$B$26:$B$56,0),$BE$198)</f>
        <v>#N/A</v>
      </c>
    </row>
    <row r="344" spans="1:57" hidden="1">
      <c r="A344" s="641" t="str">
        <f t="shared" si="322"/>
        <v>N</v>
      </c>
      <c r="C344" s="235" t="str">
        <f t="shared" si="324"/>
        <v/>
      </c>
      <c r="D344" s="211" t="str">
        <f t="shared" si="324"/>
        <v/>
      </c>
      <c r="E344" s="1016" t="str">
        <f t="shared" si="323"/>
        <v/>
      </c>
      <c r="F344" s="1016" t="str">
        <f t="shared" si="325"/>
        <v/>
      </c>
      <c r="G344" s="1016" t="str">
        <f t="shared" si="326"/>
        <v/>
      </c>
      <c r="H344" s="1016" t="str">
        <f t="shared" si="326"/>
        <v/>
      </c>
      <c r="I344" s="211" t="str">
        <f t="shared" si="345"/>
        <v/>
      </c>
      <c r="J344" s="1016" t="str">
        <f t="shared" si="327"/>
        <v/>
      </c>
      <c r="K344" s="213" t="str">
        <f t="shared" si="328"/>
        <v/>
      </c>
      <c r="L344" s="212" t="str">
        <f t="shared" si="329"/>
        <v/>
      </c>
      <c r="M344" s="1125" t="str">
        <f>IF(OR($C344="",$C344=0),"",INDEX(API2DENST_2,MATCH($C344,'Barge Gauging Data'!$B$27:$B$56,0),$AA$1))</f>
        <v/>
      </c>
      <c r="N344" s="212" t="str">
        <f t="shared" si="330"/>
        <v/>
      </c>
      <c r="O344" s="1016" t="str">
        <f t="shared" si="337"/>
        <v/>
      </c>
      <c r="P344" s="1125" t="str">
        <f t="shared" si="338"/>
        <v/>
      </c>
      <c r="Q344" s="1016" t="str">
        <f t="shared" si="339"/>
        <v/>
      </c>
      <c r="R344" s="214" t="str">
        <f t="shared" si="340"/>
        <v/>
      </c>
      <c r="S344" s="1125" t="str">
        <f t="shared" si="341"/>
        <v/>
      </c>
      <c r="T344" s="236" t="str">
        <f t="shared" si="342"/>
        <v/>
      </c>
      <c r="W344" s="642" t="e">
        <f>INDEX('Barge Gauging Data'!$B$26:$V$56,MATCH($C344,'Barge Gauging Data'!$B$26:$B$56,0),$W$198)</f>
        <v>#N/A</v>
      </c>
      <c r="X344" s="642" t="e">
        <f>INDEX('Barge Gauging Data'!$B$26:$V$56,MATCH($C344,'Barge Gauging Data'!$B$26:$B$56,0),$X$198)</f>
        <v>#N/A</v>
      </c>
      <c r="Y344" s="642" t="e">
        <f>INDEX('Barge Gauging Data'!$B$26:$V$56,MATCH($C344,'Barge Gauging Data'!$B$26:$B$56,0),$Y$198)</f>
        <v>#N/A</v>
      </c>
      <c r="Z344" s="642" t="e">
        <f>INDEX('Barge Gauging Data'!$B$26:$V$56,MATCH($C344,'Barge Gauging Data'!$B$26:$B$56,0),$Z$198)</f>
        <v>#N/A</v>
      </c>
      <c r="AB344" s="642" t="e">
        <f>INDEX(API2DENST_2,MATCH($C344,'Barge Gauging Data'!$B$27:$B$56,0),1)</f>
        <v>#N/A</v>
      </c>
      <c r="AC344" s="642" t="e">
        <f t="shared" si="287"/>
        <v>#N/A</v>
      </c>
      <c r="AE344" s="661" t="e">
        <f t="shared" si="288"/>
        <v>#VALUE!</v>
      </c>
      <c r="AF344" s="661" t="e">
        <f t="shared" si="289"/>
        <v>#VALUE!</v>
      </c>
      <c r="AH344" s="662" t="str">
        <f t="shared" si="343"/>
        <v/>
      </c>
      <c r="AI344" s="662" t="str">
        <f t="shared" si="344"/>
        <v/>
      </c>
      <c r="AJ344" s="663">
        <f t="shared" si="290"/>
        <v>192.4571</v>
      </c>
      <c r="AK344" s="660">
        <f t="shared" si="291"/>
        <v>0.24379999999999999</v>
      </c>
      <c r="AL344" s="660" t="e">
        <f t="shared" si="292"/>
        <v>#VALUE!</v>
      </c>
      <c r="AM344" s="664" t="e">
        <f t="shared" si="293"/>
        <v>#VALUE!</v>
      </c>
      <c r="AN344" s="664" t="e">
        <f t="shared" si="294"/>
        <v>#VALUE!</v>
      </c>
      <c r="AO344" s="665" t="e">
        <f t="shared" si="295"/>
        <v>#VALUE!</v>
      </c>
      <c r="AP344" s="666" t="e">
        <f t="shared" si="296"/>
        <v>#VALUE!</v>
      </c>
      <c r="AQ344" s="660" t="e">
        <f t="shared" si="297"/>
        <v>#VALUE!</v>
      </c>
      <c r="AR344" s="667" t="e">
        <f t="shared" si="298"/>
        <v>#VALUE!</v>
      </c>
      <c r="AS344" s="667" t="e">
        <f t="shared" si="299"/>
        <v>#VALUE!</v>
      </c>
      <c r="AT344" s="668" t="e">
        <f t="shared" si="300"/>
        <v>#VALUE!</v>
      </c>
      <c r="AU344" s="667" t="e">
        <f t="shared" si="301"/>
        <v>#VALUE!</v>
      </c>
      <c r="AV344" s="669" t="e">
        <f t="shared" si="302"/>
        <v>#VALUE!</v>
      </c>
      <c r="AW344" s="667" t="e">
        <f t="shared" si="303"/>
        <v>#VALUE!</v>
      </c>
      <c r="AX344" s="667" t="e">
        <f t="shared" si="304"/>
        <v>#VALUE!</v>
      </c>
      <c r="AY344" s="660" t="e">
        <f t="shared" si="305"/>
        <v>#VALUE!</v>
      </c>
      <c r="AZ344" s="670" t="e">
        <f t="shared" si="306"/>
        <v>#VALUE!</v>
      </c>
      <c r="BB344" s="662" t="e">
        <f>INDEX('Barge Gauging Data'!$B$26:$V$56,MATCH($C344,'Barge Gauging Data'!$B$26:$B$56,0),$BB$198)</f>
        <v>#N/A</v>
      </c>
      <c r="BC344" s="662" t="e">
        <f>INDEX('Barge Gauging Data'!$B$26:$V$56,MATCH($C344,'Barge Gauging Data'!$B$26:$B$56,0),$BC$198)</f>
        <v>#N/A</v>
      </c>
      <c r="BD344" s="662" t="e">
        <f>INDEX('Barge Gauging Data'!$B$26:$V$56,MATCH($C344,'Barge Gauging Data'!$B$26:$B$56,0),$BD$198)</f>
        <v>#N/A</v>
      </c>
      <c r="BE344" s="662" t="e">
        <f>INDEX('Barge Gauging Data'!$B$26:$V$56,MATCH($C344,'Barge Gauging Data'!$B$26:$B$56,0),$BE$198)</f>
        <v>#N/A</v>
      </c>
    </row>
    <row r="345" spans="1:57" hidden="1">
      <c r="A345" s="641" t="str">
        <f t="shared" si="322"/>
        <v>N</v>
      </c>
      <c r="C345" s="235" t="str">
        <f t="shared" si="324"/>
        <v/>
      </c>
      <c r="D345" s="211" t="str">
        <f t="shared" si="324"/>
        <v/>
      </c>
      <c r="E345" s="1016" t="str">
        <f t="shared" si="323"/>
        <v/>
      </c>
      <c r="F345" s="1016" t="str">
        <f t="shared" si="325"/>
        <v/>
      </c>
      <c r="G345" s="1016" t="str">
        <f t="shared" si="326"/>
        <v/>
      </c>
      <c r="H345" s="1016" t="str">
        <f t="shared" si="326"/>
        <v/>
      </c>
      <c r="I345" s="211" t="str">
        <f t="shared" si="345"/>
        <v/>
      </c>
      <c r="J345" s="1016" t="str">
        <f t="shared" si="327"/>
        <v/>
      </c>
      <c r="K345" s="213" t="str">
        <f t="shared" si="328"/>
        <v/>
      </c>
      <c r="L345" s="212" t="str">
        <f t="shared" si="329"/>
        <v/>
      </c>
      <c r="M345" s="1125" t="str">
        <f>IF(OR($C345="",$C345=0),"",INDEX(API2DENST_2,MATCH($C345,'Barge Gauging Data'!$B$27:$B$56,0),$AA$1))</f>
        <v/>
      </c>
      <c r="N345" s="212" t="str">
        <f t="shared" si="330"/>
        <v/>
      </c>
      <c r="O345" s="1016" t="str">
        <f t="shared" si="337"/>
        <v/>
      </c>
      <c r="P345" s="1125" t="str">
        <f t="shared" si="338"/>
        <v/>
      </c>
      <c r="Q345" s="1016" t="str">
        <f t="shared" si="339"/>
        <v/>
      </c>
      <c r="R345" s="214" t="str">
        <f t="shared" si="340"/>
        <v/>
      </c>
      <c r="S345" s="1125" t="str">
        <f t="shared" si="341"/>
        <v/>
      </c>
      <c r="T345" s="236" t="str">
        <f t="shared" si="342"/>
        <v/>
      </c>
      <c r="W345" s="642" t="e">
        <f>INDEX('Barge Gauging Data'!$B$26:$V$56,MATCH($C345,'Barge Gauging Data'!$B$26:$B$56,0),$W$198)</f>
        <v>#N/A</v>
      </c>
      <c r="X345" s="642" t="e">
        <f>INDEX('Barge Gauging Data'!$B$26:$V$56,MATCH($C345,'Barge Gauging Data'!$B$26:$B$56,0),$X$198)</f>
        <v>#N/A</v>
      </c>
      <c r="Y345" s="642" t="e">
        <f>INDEX('Barge Gauging Data'!$B$26:$V$56,MATCH($C345,'Barge Gauging Data'!$B$26:$B$56,0),$Y$198)</f>
        <v>#N/A</v>
      </c>
      <c r="Z345" s="642" t="e">
        <f>INDEX('Barge Gauging Data'!$B$26:$V$56,MATCH($C345,'Barge Gauging Data'!$B$26:$B$56,0),$Z$198)</f>
        <v>#N/A</v>
      </c>
      <c r="AB345" s="642" t="e">
        <f>INDEX(API2DENST_2,MATCH($C345,'Barge Gauging Data'!$B$27:$B$56,0),1)</f>
        <v>#N/A</v>
      </c>
      <c r="AC345" s="642" t="e">
        <f t="shared" si="287"/>
        <v>#N/A</v>
      </c>
      <c r="AE345" s="661" t="e">
        <f t="shared" si="288"/>
        <v>#VALUE!</v>
      </c>
      <c r="AF345" s="661" t="e">
        <f t="shared" si="289"/>
        <v>#VALUE!</v>
      </c>
      <c r="AH345" s="662" t="str">
        <f t="shared" si="343"/>
        <v/>
      </c>
      <c r="AI345" s="662" t="str">
        <f t="shared" si="344"/>
        <v/>
      </c>
      <c r="AJ345" s="663">
        <f t="shared" si="290"/>
        <v>192.4571</v>
      </c>
      <c r="AK345" s="660">
        <f t="shared" si="291"/>
        <v>0.24379999999999999</v>
      </c>
      <c r="AL345" s="660" t="e">
        <f t="shared" si="292"/>
        <v>#VALUE!</v>
      </c>
      <c r="AM345" s="664" t="e">
        <f t="shared" si="293"/>
        <v>#VALUE!</v>
      </c>
      <c r="AN345" s="664" t="e">
        <f t="shared" si="294"/>
        <v>#VALUE!</v>
      </c>
      <c r="AO345" s="665" t="e">
        <f t="shared" si="295"/>
        <v>#VALUE!</v>
      </c>
      <c r="AP345" s="666" t="e">
        <f t="shared" si="296"/>
        <v>#VALUE!</v>
      </c>
      <c r="AQ345" s="660" t="e">
        <f t="shared" si="297"/>
        <v>#VALUE!</v>
      </c>
      <c r="AR345" s="667" t="e">
        <f t="shared" si="298"/>
        <v>#VALUE!</v>
      </c>
      <c r="AS345" s="667" t="e">
        <f t="shared" si="299"/>
        <v>#VALUE!</v>
      </c>
      <c r="AT345" s="668" t="e">
        <f t="shared" si="300"/>
        <v>#VALUE!</v>
      </c>
      <c r="AU345" s="667" t="e">
        <f t="shared" si="301"/>
        <v>#VALUE!</v>
      </c>
      <c r="AV345" s="669" t="e">
        <f t="shared" si="302"/>
        <v>#VALUE!</v>
      </c>
      <c r="AW345" s="667" t="e">
        <f t="shared" si="303"/>
        <v>#VALUE!</v>
      </c>
      <c r="AX345" s="667" t="e">
        <f t="shared" si="304"/>
        <v>#VALUE!</v>
      </c>
      <c r="AY345" s="660" t="e">
        <f t="shared" si="305"/>
        <v>#VALUE!</v>
      </c>
      <c r="AZ345" s="670" t="e">
        <f t="shared" si="306"/>
        <v>#VALUE!</v>
      </c>
      <c r="BB345" s="662" t="e">
        <f>INDEX('Barge Gauging Data'!$B$26:$V$56,MATCH($C345,'Barge Gauging Data'!$B$26:$B$56,0),$BB$198)</f>
        <v>#N/A</v>
      </c>
      <c r="BC345" s="662" t="e">
        <f>INDEX('Barge Gauging Data'!$B$26:$V$56,MATCH($C345,'Barge Gauging Data'!$B$26:$B$56,0),$BC$198)</f>
        <v>#N/A</v>
      </c>
      <c r="BD345" s="662" t="e">
        <f>INDEX('Barge Gauging Data'!$B$26:$V$56,MATCH($C345,'Barge Gauging Data'!$B$26:$B$56,0),$BD$198)</f>
        <v>#N/A</v>
      </c>
      <c r="BE345" s="662" t="e">
        <f>INDEX('Barge Gauging Data'!$B$26:$V$56,MATCH($C345,'Barge Gauging Data'!$B$26:$B$56,0),$BE$198)</f>
        <v>#N/A</v>
      </c>
    </row>
    <row r="346" spans="1:57" hidden="1">
      <c r="A346" s="641" t="str">
        <f t="shared" si="322"/>
        <v>N</v>
      </c>
      <c r="C346" s="235" t="str">
        <f t="shared" si="324"/>
        <v/>
      </c>
      <c r="D346" s="211" t="str">
        <f t="shared" si="324"/>
        <v/>
      </c>
      <c r="E346" s="1016" t="str">
        <f t="shared" si="323"/>
        <v/>
      </c>
      <c r="F346" s="1016" t="str">
        <f t="shared" si="325"/>
        <v/>
      </c>
      <c r="G346" s="1016" t="str">
        <f t="shared" si="326"/>
        <v/>
      </c>
      <c r="H346" s="1016" t="str">
        <f t="shared" si="326"/>
        <v/>
      </c>
      <c r="I346" s="211" t="str">
        <f t="shared" si="345"/>
        <v/>
      </c>
      <c r="J346" s="1016" t="str">
        <f t="shared" si="327"/>
        <v/>
      </c>
      <c r="K346" s="213" t="str">
        <f t="shared" si="328"/>
        <v/>
      </c>
      <c r="L346" s="212" t="str">
        <f t="shared" si="329"/>
        <v/>
      </c>
      <c r="M346" s="1125" t="str">
        <f>IF(OR($C346="",$C346=0),"",INDEX(API2DENST_2,MATCH($C346,'Barge Gauging Data'!$B$27:$B$56,0),$AA$1))</f>
        <v/>
      </c>
      <c r="N346" s="212" t="str">
        <f t="shared" si="330"/>
        <v/>
      </c>
      <c r="O346" s="1016" t="str">
        <f t="shared" si="337"/>
        <v/>
      </c>
      <c r="P346" s="1125" t="str">
        <f t="shared" si="338"/>
        <v/>
      </c>
      <c r="Q346" s="1016" t="str">
        <f t="shared" si="339"/>
        <v/>
      </c>
      <c r="R346" s="214" t="str">
        <f t="shared" si="340"/>
        <v/>
      </c>
      <c r="S346" s="1125" t="str">
        <f t="shared" si="341"/>
        <v/>
      </c>
      <c r="T346" s="236" t="str">
        <f t="shared" si="342"/>
        <v/>
      </c>
      <c r="W346" s="642" t="e">
        <f>INDEX('Barge Gauging Data'!$B$26:$V$56,MATCH($C346,'Barge Gauging Data'!$B$26:$B$56,0),$W$198)</f>
        <v>#N/A</v>
      </c>
      <c r="X346" s="642" t="e">
        <f>INDEX('Barge Gauging Data'!$B$26:$V$56,MATCH($C346,'Barge Gauging Data'!$B$26:$B$56,0),$X$198)</f>
        <v>#N/A</v>
      </c>
      <c r="Y346" s="642" t="e">
        <f>INDEX('Barge Gauging Data'!$B$26:$V$56,MATCH($C346,'Barge Gauging Data'!$B$26:$B$56,0),$Y$198)</f>
        <v>#N/A</v>
      </c>
      <c r="Z346" s="642" t="e">
        <f>INDEX('Barge Gauging Data'!$B$26:$V$56,MATCH($C346,'Barge Gauging Data'!$B$26:$B$56,0),$Z$198)</f>
        <v>#N/A</v>
      </c>
      <c r="AB346" s="642" t="e">
        <f>INDEX(API2DENST_2,MATCH($C346,'Barge Gauging Data'!$B$27:$B$56,0),1)</f>
        <v>#N/A</v>
      </c>
      <c r="AC346" s="642" t="e">
        <f t="shared" si="287"/>
        <v>#N/A</v>
      </c>
      <c r="AE346" s="661" t="e">
        <f t="shared" si="288"/>
        <v>#VALUE!</v>
      </c>
      <c r="AF346" s="661" t="e">
        <f t="shared" si="289"/>
        <v>#VALUE!</v>
      </c>
      <c r="AH346" s="662" t="str">
        <f t="shared" si="343"/>
        <v/>
      </c>
      <c r="AI346" s="662" t="str">
        <f t="shared" si="344"/>
        <v/>
      </c>
      <c r="AJ346" s="663">
        <f t="shared" si="290"/>
        <v>192.4571</v>
      </c>
      <c r="AK346" s="660">
        <f t="shared" si="291"/>
        <v>0.24379999999999999</v>
      </c>
      <c r="AL346" s="660" t="e">
        <f t="shared" si="292"/>
        <v>#VALUE!</v>
      </c>
      <c r="AM346" s="664" t="e">
        <f t="shared" si="293"/>
        <v>#VALUE!</v>
      </c>
      <c r="AN346" s="664" t="e">
        <f t="shared" si="294"/>
        <v>#VALUE!</v>
      </c>
      <c r="AO346" s="665" t="e">
        <f t="shared" si="295"/>
        <v>#VALUE!</v>
      </c>
      <c r="AP346" s="666" t="e">
        <f t="shared" si="296"/>
        <v>#VALUE!</v>
      </c>
      <c r="AQ346" s="660" t="e">
        <f t="shared" si="297"/>
        <v>#VALUE!</v>
      </c>
      <c r="AR346" s="667" t="e">
        <f t="shared" si="298"/>
        <v>#VALUE!</v>
      </c>
      <c r="AS346" s="667" t="e">
        <f t="shared" si="299"/>
        <v>#VALUE!</v>
      </c>
      <c r="AT346" s="668" t="e">
        <f t="shared" si="300"/>
        <v>#VALUE!</v>
      </c>
      <c r="AU346" s="667" t="e">
        <f t="shared" si="301"/>
        <v>#VALUE!</v>
      </c>
      <c r="AV346" s="669" t="e">
        <f t="shared" si="302"/>
        <v>#VALUE!</v>
      </c>
      <c r="AW346" s="667" t="e">
        <f t="shared" si="303"/>
        <v>#VALUE!</v>
      </c>
      <c r="AX346" s="667" t="e">
        <f t="shared" si="304"/>
        <v>#VALUE!</v>
      </c>
      <c r="AY346" s="660" t="e">
        <f t="shared" si="305"/>
        <v>#VALUE!</v>
      </c>
      <c r="AZ346" s="670" t="e">
        <f t="shared" si="306"/>
        <v>#VALUE!</v>
      </c>
      <c r="BB346" s="662" t="e">
        <f>INDEX('Barge Gauging Data'!$B$26:$V$56,MATCH($C346,'Barge Gauging Data'!$B$26:$B$56,0),$BB$198)</f>
        <v>#N/A</v>
      </c>
      <c r="BC346" s="662" t="e">
        <f>INDEX('Barge Gauging Data'!$B$26:$V$56,MATCH($C346,'Barge Gauging Data'!$B$26:$B$56,0),$BC$198)</f>
        <v>#N/A</v>
      </c>
      <c r="BD346" s="662" t="e">
        <f>INDEX('Barge Gauging Data'!$B$26:$V$56,MATCH($C346,'Barge Gauging Data'!$B$26:$B$56,0),$BD$198)</f>
        <v>#N/A</v>
      </c>
      <c r="BE346" s="662" t="e">
        <f>INDEX('Barge Gauging Data'!$B$26:$V$56,MATCH($C346,'Barge Gauging Data'!$B$26:$B$56,0),$BE$198)</f>
        <v>#N/A</v>
      </c>
    </row>
    <row r="347" spans="1:57" hidden="1">
      <c r="A347" s="641" t="str">
        <f t="shared" si="322"/>
        <v>N</v>
      </c>
      <c r="C347" s="235" t="str">
        <f t="shared" si="324"/>
        <v/>
      </c>
      <c r="D347" s="211" t="str">
        <f t="shared" si="324"/>
        <v/>
      </c>
      <c r="E347" s="1016" t="str">
        <f t="shared" si="323"/>
        <v/>
      </c>
      <c r="F347" s="1016" t="str">
        <f t="shared" si="325"/>
        <v/>
      </c>
      <c r="G347" s="1016" t="str">
        <f t="shared" si="326"/>
        <v/>
      </c>
      <c r="H347" s="1016" t="str">
        <f t="shared" si="326"/>
        <v/>
      </c>
      <c r="I347" s="211" t="str">
        <f t="shared" si="345"/>
        <v/>
      </c>
      <c r="J347" s="1016" t="str">
        <f t="shared" si="327"/>
        <v/>
      </c>
      <c r="K347" s="213" t="str">
        <f t="shared" si="328"/>
        <v/>
      </c>
      <c r="L347" s="212" t="str">
        <f t="shared" si="329"/>
        <v/>
      </c>
      <c r="M347" s="1125" t="str">
        <f>IF(OR($C347="",$C347=0),"",INDEX(API2DENST_2,MATCH($C347,'Barge Gauging Data'!$B$27:$B$56,0),$AA$1))</f>
        <v/>
      </c>
      <c r="N347" s="212" t="str">
        <f t="shared" si="330"/>
        <v/>
      </c>
      <c r="O347" s="1016" t="str">
        <f t="shared" si="337"/>
        <v/>
      </c>
      <c r="P347" s="1125" t="str">
        <f t="shared" si="338"/>
        <v/>
      </c>
      <c r="Q347" s="1016" t="str">
        <f t="shared" si="339"/>
        <v/>
      </c>
      <c r="R347" s="214" t="str">
        <f t="shared" si="340"/>
        <v/>
      </c>
      <c r="S347" s="1125" t="str">
        <f t="shared" si="341"/>
        <v/>
      </c>
      <c r="T347" s="236" t="str">
        <f t="shared" si="342"/>
        <v/>
      </c>
      <c r="W347" s="642" t="e">
        <f>INDEX('Barge Gauging Data'!$B$26:$V$56,MATCH($C347,'Barge Gauging Data'!$B$26:$B$56,0),$W$198)</f>
        <v>#N/A</v>
      </c>
      <c r="X347" s="642" t="e">
        <f>INDEX('Barge Gauging Data'!$B$26:$V$56,MATCH($C347,'Barge Gauging Data'!$B$26:$B$56,0),$X$198)</f>
        <v>#N/A</v>
      </c>
      <c r="Y347" s="642" t="e">
        <f>INDEX('Barge Gauging Data'!$B$26:$V$56,MATCH($C347,'Barge Gauging Data'!$B$26:$B$56,0),$Y$198)</f>
        <v>#N/A</v>
      </c>
      <c r="Z347" s="642" t="e">
        <f>INDEX('Barge Gauging Data'!$B$26:$V$56,MATCH($C347,'Barge Gauging Data'!$B$26:$B$56,0),$Z$198)</f>
        <v>#N/A</v>
      </c>
      <c r="AB347" s="642" t="e">
        <f>INDEX(API2DENST_2,MATCH($C347,'Barge Gauging Data'!$B$27:$B$56,0),1)</f>
        <v>#N/A</v>
      </c>
      <c r="AC347" s="642" t="e">
        <f t="shared" si="287"/>
        <v>#N/A</v>
      </c>
      <c r="AE347" s="661" t="e">
        <f t="shared" si="288"/>
        <v>#VALUE!</v>
      </c>
      <c r="AF347" s="661" t="e">
        <f t="shared" si="289"/>
        <v>#VALUE!</v>
      </c>
      <c r="AH347" s="662" t="str">
        <f t="shared" si="343"/>
        <v/>
      </c>
      <c r="AI347" s="662" t="str">
        <f t="shared" si="344"/>
        <v/>
      </c>
      <c r="AJ347" s="663">
        <f t="shared" si="290"/>
        <v>192.4571</v>
      </c>
      <c r="AK347" s="660">
        <f t="shared" si="291"/>
        <v>0.24379999999999999</v>
      </c>
      <c r="AL347" s="660" t="e">
        <f t="shared" si="292"/>
        <v>#VALUE!</v>
      </c>
      <c r="AM347" s="664" t="e">
        <f t="shared" si="293"/>
        <v>#VALUE!</v>
      </c>
      <c r="AN347" s="664" t="e">
        <f t="shared" si="294"/>
        <v>#VALUE!</v>
      </c>
      <c r="AO347" s="665" t="e">
        <f t="shared" si="295"/>
        <v>#VALUE!</v>
      </c>
      <c r="AP347" s="666" t="e">
        <f t="shared" si="296"/>
        <v>#VALUE!</v>
      </c>
      <c r="AQ347" s="660" t="e">
        <f t="shared" si="297"/>
        <v>#VALUE!</v>
      </c>
      <c r="AR347" s="667" t="e">
        <f t="shared" si="298"/>
        <v>#VALUE!</v>
      </c>
      <c r="AS347" s="667" t="e">
        <f t="shared" si="299"/>
        <v>#VALUE!</v>
      </c>
      <c r="AT347" s="668" t="e">
        <f t="shared" si="300"/>
        <v>#VALUE!</v>
      </c>
      <c r="AU347" s="667" t="e">
        <f t="shared" si="301"/>
        <v>#VALUE!</v>
      </c>
      <c r="AV347" s="669" t="e">
        <f t="shared" si="302"/>
        <v>#VALUE!</v>
      </c>
      <c r="AW347" s="667" t="e">
        <f t="shared" si="303"/>
        <v>#VALUE!</v>
      </c>
      <c r="AX347" s="667" t="e">
        <f t="shared" si="304"/>
        <v>#VALUE!</v>
      </c>
      <c r="AY347" s="660" t="e">
        <f t="shared" si="305"/>
        <v>#VALUE!</v>
      </c>
      <c r="AZ347" s="670" t="e">
        <f t="shared" si="306"/>
        <v>#VALUE!</v>
      </c>
      <c r="BB347" s="662" t="e">
        <f>INDEX('Barge Gauging Data'!$B$26:$V$56,MATCH($C347,'Barge Gauging Data'!$B$26:$B$56,0),$BB$198)</f>
        <v>#N/A</v>
      </c>
      <c r="BC347" s="662" t="e">
        <f>INDEX('Barge Gauging Data'!$B$26:$V$56,MATCH($C347,'Barge Gauging Data'!$B$26:$B$56,0),$BC$198)</f>
        <v>#N/A</v>
      </c>
      <c r="BD347" s="662" t="e">
        <f>INDEX('Barge Gauging Data'!$B$26:$V$56,MATCH($C347,'Barge Gauging Data'!$B$26:$B$56,0),$BD$198)</f>
        <v>#N/A</v>
      </c>
      <c r="BE347" s="662" t="e">
        <f>INDEX('Barge Gauging Data'!$B$26:$V$56,MATCH($C347,'Barge Gauging Data'!$B$26:$B$56,0),$BE$198)</f>
        <v>#N/A</v>
      </c>
    </row>
    <row r="348" spans="1:57" hidden="1">
      <c r="A348" s="641" t="str">
        <f t="shared" si="322"/>
        <v>N</v>
      </c>
      <c r="C348" s="235" t="str">
        <f t="shared" si="324"/>
        <v/>
      </c>
      <c r="D348" s="211" t="str">
        <f t="shared" si="324"/>
        <v/>
      </c>
      <c r="E348" s="1016" t="str">
        <f t="shared" si="323"/>
        <v/>
      </c>
      <c r="F348" s="1016" t="str">
        <f t="shared" si="325"/>
        <v/>
      </c>
      <c r="G348" s="1016" t="str">
        <f t="shared" si="326"/>
        <v/>
      </c>
      <c r="H348" s="1016" t="str">
        <f t="shared" si="326"/>
        <v/>
      </c>
      <c r="I348" s="211" t="str">
        <f t="shared" si="345"/>
        <v/>
      </c>
      <c r="J348" s="1016" t="str">
        <f t="shared" si="327"/>
        <v/>
      </c>
      <c r="K348" s="213" t="str">
        <f t="shared" si="328"/>
        <v/>
      </c>
      <c r="L348" s="212" t="str">
        <f t="shared" si="329"/>
        <v/>
      </c>
      <c r="M348" s="1125" t="str">
        <f>IF(OR($C348="",$C348=0),"",INDEX(API2DENST_2,MATCH($C348,'Barge Gauging Data'!$B$27:$B$56,0),$AA$1))</f>
        <v/>
      </c>
      <c r="N348" s="212" t="str">
        <f t="shared" si="330"/>
        <v/>
      </c>
      <c r="O348" s="1016" t="str">
        <f t="shared" si="337"/>
        <v/>
      </c>
      <c r="P348" s="1125" t="str">
        <f t="shared" si="338"/>
        <v/>
      </c>
      <c r="Q348" s="1016" t="str">
        <f t="shared" si="339"/>
        <v/>
      </c>
      <c r="R348" s="214" t="str">
        <f t="shared" si="340"/>
        <v/>
      </c>
      <c r="S348" s="1125" t="str">
        <f t="shared" si="341"/>
        <v/>
      </c>
      <c r="T348" s="236" t="str">
        <f t="shared" si="342"/>
        <v/>
      </c>
      <c r="W348" s="642" t="e">
        <f>INDEX('Barge Gauging Data'!$B$26:$V$56,MATCH($C348,'Barge Gauging Data'!$B$26:$B$56,0),$W$198)</f>
        <v>#N/A</v>
      </c>
      <c r="X348" s="642" t="e">
        <f>INDEX('Barge Gauging Data'!$B$26:$V$56,MATCH($C348,'Barge Gauging Data'!$B$26:$B$56,0),$X$198)</f>
        <v>#N/A</v>
      </c>
      <c r="Y348" s="642" t="e">
        <f>INDEX('Barge Gauging Data'!$B$26:$V$56,MATCH($C348,'Barge Gauging Data'!$B$26:$B$56,0),$Y$198)</f>
        <v>#N/A</v>
      </c>
      <c r="Z348" s="642" t="e">
        <f>INDEX('Barge Gauging Data'!$B$26:$V$56,MATCH($C348,'Barge Gauging Data'!$B$26:$B$56,0),$Z$198)</f>
        <v>#N/A</v>
      </c>
      <c r="AB348" s="642" t="e">
        <f>INDEX(API2DENST_2,MATCH($C348,'Barge Gauging Data'!$B$27:$B$56,0),1)</f>
        <v>#N/A</v>
      </c>
      <c r="AC348" s="642" t="e">
        <f t="shared" si="287"/>
        <v>#N/A</v>
      </c>
      <c r="AE348" s="661" t="e">
        <f t="shared" si="288"/>
        <v>#VALUE!</v>
      </c>
      <c r="AF348" s="661" t="e">
        <f t="shared" si="289"/>
        <v>#VALUE!</v>
      </c>
      <c r="AH348" s="662" t="str">
        <f t="shared" si="343"/>
        <v/>
      </c>
      <c r="AI348" s="662" t="str">
        <f t="shared" si="344"/>
        <v/>
      </c>
      <c r="AJ348" s="663">
        <f t="shared" si="290"/>
        <v>192.4571</v>
      </c>
      <c r="AK348" s="660">
        <f t="shared" si="291"/>
        <v>0.24379999999999999</v>
      </c>
      <c r="AL348" s="660" t="e">
        <f t="shared" si="292"/>
        <v>#VALUE!</v>
      </c>
      <c r="AM348" s="664" t="e">
        <f t="shared" si="293"/>
        <v>#VALUE!</v>
      </c>
      <c r="AN348" s="664" t="e">
        <f t="shared" si="294"/>
        <v>#VALUE!</v>
      </c>
      <c r="AO348" s="665" t="e">
        <f t="shared" si="295"/>
        <v>#VALUE!</v>
      </c>
      <c r="AP348" s="666" t="e">
        <f t="shared" si="296"/>
        <v>#VALUE!</v>
      </c>
      <c r="AQ348" s="660" t="e">
        <f t="shared" si="297"/>
        <v>#VALUE!</v>
      </c>
      <c r="AR348" s="667" t="e">
        <f t="shared" si="298"/>
        <v>#VALUE!</v>
      </c>
      <c r="AS348" s="667" t="e">
        <f t="shared" si="299"/>
        <v>#VALUE!</v>
      </c>
      <c r="AT348" s="668" t="e">
        <f t="shared" si="300"/>
        <v>#VALUE!</v>
      </c>
      <c r="AU348" s="667" t="e">
        <f t="shared" si="301"/>
        <v>#VALUE!</v>
      </c>
      <c r="AV348" s="669" t="e">
        <f t="shared" si="302"/>
        <v>#VALUE!</v>
      </c>
      <c r="AW348" s="667" t="e">
        <f t="shared" si="303"/>
        <v>#VALUE!</v>
      </c>
      <c r="AX348" s="667" t="e">
        <f t="shared" si="304"/>
        <v>#VALUE!</v>
      </c>
      <c r="AY348" s="660" t="e">
        <f t="shared" si="305"/>
        <v>#VALUE!</v>
      </c>
      <c r="AZ348" s="670" t="e">
        <f t="shared" si="306"/>
        <v>#VALUE!</v>
      </c>
      <c r="BB348" s="662" t="e">
        <f>INDEX('Barge Gauging Data'!$B$26:$V$56,MATCH($C348,'Barge Gauging Data'!$B$26:$B$56,0),$BB$198)</f>
        <v>#N/A</v>
      </c>
      <c r="BC348" s="662" t="e">
        <f>INDEX('Barge Gauging Data'!$B$26:$V$56,MATCH($C348,'Barge Gauging Data'!$B$26:$B$56,0),$BC$198)</f>
        <v>#N/A</v>
      </c>
      <c r="BD348" s="662" t="e">
        <f>INDEX('Barge Gauging Data'!$B$26:$V$56,MATCH($C348,'Barge Gauging Data'!$B$26:$B$56,0),$BD$198)</f>
        <v>#N/A</v>
      </c>
      <c r="BE348" s="662" t="e">
        <f>INDEX('Barge Gauging Data'!$B$26:$V$56,MATCH($C348,'Barge Gauging Data'!$B$26:$B$56,0),$BE$198)</f>
        <v>#N/A</v>
      </c>
    </row>
    <row r="349" spans="1:57" hidden="1">
      <c r="A349" s="641" t="str">
        <f t="shared" si="322"/>
        <v>N</v>
      </c>
      <c r="C349" s="235" t="str">
        <f t="shared" si="324"/>
        <v/>
      </c>
      <c r="D349" s="211" t="str">
        <f t="shared" si="324"/>
        <v/>
      </c>
      <c r="E349" s="1016" t="str">
        <f t="shared" si="323"/>
        <v/>
      </c>
      <c r="F349" s="1016" t="str">
        <f t="shared" si="325"/>
        <v/>
      </c>
      <c r="G349" s="1016" t="str">
        <f t="shared" si="326"/>
        <v/>
      </c>
      <c r="H349" s="1016" t="str">
        <f t="shared" si="326"/>
        <v/>
      </c>
      <c r="I349" s="211" t="str">
        <f t="shared" si="345"/>
        <v/>
      </c>
      <c r="J349" s="1016" t="str">
        <f t="shared" si="327"/>
        <v/>
      </c>
      <c r="K349" s="213" t="str">
        <f t="shared" si="328"/>
        <v/>
      </c>
      <c r="L349" s="212" t="str">
        <f t="shared" si="329"/>
        <v/>
      </c>
      <c r="M349" s="1125" t="str">
        <f>IF(OR($C349="",$C349=0),"",INDEX(API2DENST_2,MATCH($C349,'Barge Gauging Data'!$B$27:$B$56,0),$AA$1))</f>
        <v/>
      </c>
      <c r="N349" s="212" t="str">
        <f t="shared" si="330"/>
        <v/>
      </c>
      <c r="O349" s="1016" t="str">
        <f t="shared" si="337"/>
        <v/>
      </c>
      <c r="P349" s="1125" t="str">
        <f t="shared" si="338"/>
        <v/>
      </c>
      <c r="Q349" s="1016" t="str">
        <f t="shared" si="339"/>
        <v/>
      </c>
      <c r="R349" s="214" t="str">
        <f t="shared" si="340"/>
        <v/>
      </c>
      <c r="S349" s="1125" t="str">
        <f t="shared" si="341"/>
        <v/>
      </c>
      <c r="T349" s="236" t="str">
        <f t="shared" si="342"/>
        <v/>
      </c>
      <c r="W349" s="642" t="e">
        <f>INDEX('Barge Gauging Data'!$B$26:$V$56,MATCH($C349,'Barge Gauging Data'!$B$26:$B$56,0),$W$198)</f>
        <v>#N/A</v>
      </c>
      <c r="X349" s="642" t="e">
        <f>INDEX('Barge Gauging Data'!$B$26:$V$56,MATCH($C349,'Barge Gauging Data'!$B$26:$B$56,0),$X$198)</f>
        <v>#N/A</v>
      </c>
      <c r="Y349" s="642" t="e">
        <f>INDEX('Barge Gauging Data'!$B$26:$V$56,MATCH($C349,'Barge Gauging Data'!$B$26:$B$56,0),$Y$198)</f>
        <v>#N/A</v>
      </c>
      <c r="Z349" s="642" t="e">
        <f>INDEX('Barge Gauging Data'!$B$26:$V$56,MATCH($C349,'Barge Gauging Data'!$B$26:$B$56,0),$Z$198)</f>
        <v>#N/A</v>
      </c>
      <c r="AB349" s="642" t="e">
        <f>INDEX(API2DENST_2,MATCH($C349,'Barge Gauging Data'!$B$27:$B$56,0),1)</f>
        <v>#N/A</v>
      </c>
      <c r="AC349" s="642" t="e">
        <f t="shared" si="287"/>
        <v>#N/A</v>
      </c>
      <c r="AE349" s="661" t="e">
        <f t="shared" si="288"/>
        <v>#VALUE!</v>
      </c>
      <c r="AF349" s="661" t="e">
        <f t="shared" si="289"/>
        <v>#VALUE!</v>
      </c>
      <c r="AH349" s="662" t="str">
        <f t="shared" si="343"/>
        <v/>
      </c>
      <c r="AI349" s="662" t="str">
        <f t="shared" si="344"/>
        <v/>
      </c>
      <c r="AJ349" s="663">
        <f t="shared" si="290"/>
        <v>192.4571</v>
      </c>
      <c r="AK349" s="660">
        <f t="shared" si="291"/>
        <v>0.24379999999999999</v>
      </c>
      <c r="AL349" s="660" t="e">
        <f t="shared" si="292"/>
        <v>#VALUE!</v>
      </c>
      <c r="AM349" s="664" t="e">
        <f t="shared" si="293"/>
        <v>#VALUE!</v>
      </c>
      <c r="AN349" s="664" t="e">
        <f t="shared" si="294"/>
        <v>#VALUE!</v>
      </c>
      <c r="AO349" s="665" t="e">
        <f t="shared" si="295"/>
        <v>#VALUE!</v>
      </c>
      <c r="AP349" s="666" t="e">
        <f t="shared" si="296"/>
        <v>#VALUE!</v>
      </c>
      <c r="AQ349" s="660" t="e">
        <f t="shared" si="297"/>
        <v>#VALUE!</v>
      </c>
      <c r="AR349" s="667" t="e">
        <f t="shared" si="298"/>
        <v>#VALUE!</v>
      </c>
      <c r="AS349" s="667" t="e">
        <f t="shared" si="299"/>
        <v>#VALUE!</v>
      </c>
      <c r="AT349" s="668" t="e">
        <f t="shared" si="300"/>
        <v>#VALUE!</v>
      </c>
      <c r="AU349" s="667" t="e">
        <f t="shared" si="301"/>
        <v>#VALUE!</v>
      </c>
      <c r="AV349" s="669" t="e">
        <f t="shared" si="302"/>
        <v>#VALUE!</v>
      </c>
      <c r="AW349" s="667" t="e">
        <f t="shared" si="303"/>
        <v>#VALUE!</v>
      </c>
      <c r="AX349" s="667" t="e">
        <f t="shared" si="304"/>
        <v>#VALUE!</v>
      </c>
      <c r="AY349" s="660" t="e">
        <f t="shared" si="305"/>
        <v>#VALUE!</v>
      </c>
      <c r="AZ349" s="670" t="e">
        <f t="shared" si="306"/>
        <v>#VALUE!</v>
      </c>
      <c r="BB349" s="662" t="e">
        <f>INDEX('Barge Gauging Data'!$B$26:$V$56,MATCH($C349,'Barge Gauging Data'!$B$26:$B$56,0),$BB$198)</f>
        <v>#N/A</v>
      </c>
      <c r="BC349" s="662" t="e">
        <f>INDEX('Barge Gauging Data'!$B$26:$V$56,MATCH($C349,'Barge Gauging Data'!$B$26:$B$56,0),$BC$198)</f>
        <v>#N/A</v>
      </c>
      <c r="BD349" s="662" t="e">
        <f>INDEX('Barge Gauging Data'!$B$26:$V$56,MATCH($C349,'Barge Gauging Data'!$B$26:$B$56,0),$BD$198)</f>
        <v>#N/A</v>
      </c>
      <c r="BE349" s="662" t="e">
        <f>INDEX('Barge Gauging Data'!$B$26:$V$56,MATCH($C349,'Barge Gauging Data'!$B$26:$B$56,0),$BE$198)</f>
        <v>#N/A</v>
      </c>
    </row>
    <row r="350" spans="1:57" hidden="1">
      <c r="A350" s="641" t="str">
        <f t="shared" si="322"/>
        <v>N</v>
      </c>
      <c r="C350" s="235" t="str">
        <f t="shared" si="324"/>
        <v/>
      </c>
      <c r="D350" s="211" t="str">
        <f t="shared" si="324"/>
        <v/>
      </c>
      <c r="E350" s="1016" t="str">
        <f t="shared" si="323"/>
        <v/>
      </c>
      <c r="F350" s="1016" t="str">
        <f t="shared" si="325"/>
        <v/>
      </c>
      <c r="G350" s="1016" t="str">
        <f t="shared" si="326"/>
        <v/>
      </c>
      <c r="H350" s="1016" t="str">
        <f t="shared" si="326"/>
        <v/>
      </c>
      <c r="I350" s="211" t="str">
        <f t="shared" si="345"/>
        <v/>
      </c>
      <c r="J350" s="1016" t="str">
        <f t="shared" si="327"/>
        <v/>
      </c>
      <c r="K350" s="213" t="str">
        <f t="shared" si="328"/>
        <v/>
      </c>
      <c r="L350" s="212" t="str">
        <f t="shared" si="329"/>
        <v/>
      </c>
      <c r="M350" s="1125" t="str">
        <f>IF(OR($C350="",$C350=0),"",INDEX(API2DENST_2,MATCH($C350,'Barge Gauging Data'!$B$27:$B$56,0),$AA$1))</f>
        <v/>
      </c>
      <c r="N350" s="212" t="str">
        <f t="shared" si="330"/>
        <v/>
      </c>
      <c r="O350" s="1016" t="str">
        <f t="shared" si="337"/>
        <v/>
      </c>
      <c r="P350" s="1125" t="str">
        <f t="shared" si="338"/>
        <v/>
      </c>
      <c r="Q350" s="1016" t="str">
        <f t="shared" si="339"/>
        <v/>
      </c>
      <c r="R350" s="214" t="str">
        <f t="shared" si="340"/>
        <v/>
      </c>
      <c r="S350" s="1125" t="str">
        <f t="shared" si="341"/>
        <v/>
      </c>
      <c r="T350" s="236" t="str">
        <f t="shared" si="342"/>
        <v/>
      </c>
      <c r="W350" s="642" t="e">
        <f>INDEX('Barge Gauging Data'!$B$26:$V$56,MATCH($C350,'Barge Gauging Data'!$B$26:$B$56,0),$W$198)</f>
        <v>#N/A</v>
      </c>
      <c r="X350" s="642" t="e">
        <f>INDEX('Barge Gauging Data'!$B$26:$V$56,MATCH($C350,'Barge Gauging Data'!$B$26:$B$56,0),$X$198)</f>
        <v>#N/A</v>
      </c>
      <c r="Y350" s="642" t="e">
        <f>INDEX('Barge Gauging Data'!$B$26:$V$56,MATCH($C350,'Barge Gauging Data'!$B$26:$B$56,0),$Y$198)</f>
        <v>#N/A</v>
      </c>
      <c r="Z350" s="642" t="e">
        <f>INDEX('Barge Gauging Data'!$B$26:$V$56,MATCH($C350,'Barge Gauging Data'!$B$26:$B$56,0),$Z$198)</f>
        <v>#N/A</v>
      </c>
      <c r="AB350" s="642" t="e">
        <f>INDEX(API2DENST_2,MATCH($C350,'Barge Gauging Data'!$B$27:$B$56,0),1)</f>
        <v>#N/A</v>
      </c>
      <c r="AC350" s="642" t="e">
        <f t="shared" si="287"/>
        <v>#N/A</v>
      </c>
      <c r="AE350" s="661" t="e">
        <f t="shared" si="288"/>
        <v>#VALUE!</v>
      </c>
      <c r="AF350" s="661" t="e">
        <f t="shared" si="289"/>
        <v>#VALUE!</v>
      </c>
      <c r="AH350" s="662" t="str">
        <f t="shared" si="343"/>
        <v/>
      </c>
      <c r="AI350" s="662" t="str">
        <f t="shared" si="344"/>
        <v/>
      </c>
      <c r="AJ350" s="663">
        <f t="shared" si="290"/>
        <v>192.4571</v>
      </c>
      <c r="AK350" s="660">
        <f t="shared" si="291"/>
        <v>0.24379999999999999</v>
      </c>
      <c r="AL350" s="660" t="e">
        <f t="shared" si="292"/>
        <v>#VALUE!</v>
      </c>
      <c r="AM350" s="664" t="e">
        <f t="shared" si="293"/>
        <v>#VALUE!</v>
      </c>
      <c r="AN350" s="664" t="e">
        <f t="shared" si="294"/>
        <v>#VALUE!</v>
      </c>
      <c r="AO350" s="665" t="e">
        <f t="shared" si="295"/>
        <v>#VALUE!</v>
      </c>
      <c r="AP350" s="666" t="e">
        <f t="shared" si="296"/>
        <v>#VALUE!</v>
      </c>
      <c r="AQ350" s="660" t="e">
        <f t="shared" si="297"/>
        <v>#VALUE!</v>
      </c>
      <c r="AR350" s="667" t="e">
        <f t="shared" si="298"/>
        <v>#VALUE!</v>
      </c>
      <c r="AS350" s="667" t="e">
        <f t="shared" si="299"/>
        <v>#VALUE!</v>
      </c>
      <c r="AT350" s="668" t="e">
        <f t="shared" si="300"/>
        <v>#VALUE!</v>
      </c>
      <c r="AU350" s="667" t="e">
        <f t="shared" si="301"/>
        <v>#VALUE!</v>
      </c>
      <c r="AV350" s="669" t="e">
        <f t="shared" si="302"/>
        <v>#VALUE!</v>
      </c>
      <c r="AW350" s="667" t="e">
        <f t="shared" si="303"/>
        <v>#VALUE!</v>
      </c>
      <c r="AX350" s="667" t="e">
        <f t="shared" si="304"/>
        <v>#VALUE!</v>
      </c>
      <c r="AY350" s="660" t="e">
        <f t="shared" si="305"/>
        <v>#VALUE!</v>
      </c>
      <c r="AZ350" s="670" t="e">
        <f t="shared" si="306"/>
        <v>#VALUE!</v>
      </c>
      <c r="BB350" s="662" t="e">
        <f>INDEX('Barge Gauging Data'!$B$26:$V$56,MATCH($C350,'Barge Gauging Data'!$B$26:$B$56,0),$BB$198)</f>
        <v>#N/A</v>
      </c>
      <c r="BC350" s="662" t="e">
        <f>INDEX('Barge Gauging Data'!$B$26:$V$56,MATCH($C350,'Barge Gauging Data'!$B$26:$B$56,0),$BC$198)</f>
        <v>#N/A</v>
      </c>
      <c r="BD350" s="662" t="e">
        <f>INDEX('Barge Gauging Data'!$B$26:$V$56,MATCH($C350,'Barge Gauging Data'!$B$26:$B$56,0),$BD$198)</f>
        <v>#N/A</v>
      </c>
      <c r="BE350" s="662" t="e">
        <f>INDEX('Barge Gauging Data'!$B$26:$V$56,MATCH($C350,'Barge Gauging Data'!$B$26:$B$56,0),$BE$198)</f>
        <v>#N/A</v>
      </c>
    </row>
    <row r="351" spans="1:57" hidden="1">
      <c r="A351" s="641" t="str">
        <f t="shared" si="322"/>
        <v>N</v>
      </c>
      <c r="C351" s="235" t="str">
        <f t="shared" si="324"/>
        <v/>
      </c>
      <c r="D351" s="211" t="str">
        <f t="shared" si="324"/>
        <v/>
      </c>
      <c r="E351" s="1016" t="str">
        <f t="shared" si="323"/>
        <v/>
      </c>
      <c r="F351" s="1016" t="str">
        <f t="shared" si="325"/>
        <v/>
      </c>
      <c r="G351" s="1016" t="str">
        <f t="shared" si="326"/>
        <v/>
      </c>
      <c r="H351" s="1016" t="str">
        <f t="shared" si="326"/>
        <v/>
      </c>
      <c r="I351" s="211" t="str">
        <f t="shared" si="345"/>
        <v/>
      </c>
      <c r="J351" s="1016" t="str">
        <f t="shared" si="327"/>
        <v/>
      </c>
      <c r="K351" s="213" t="str">
        <f t="shared" si="328"/>
        <v/>
      </c>
      <c r="L351" s="212" t="str">
        <f t="shared" si="329"/>
        <v/>
      </c>
      <c r="M351" s="1125" t="str">
        <f>IF(OR($C351="",$C351=0),"",INDEX(API2DENST_2,MATCH($C351,'Barge Gauging Data'!$B$27:$B$56,0),$AA$1))</f>
        <v/>
      </c>
      <c r="N351" s="212" t="str">
        <f t="shared" si="330"/>
        <v/>
      </c>
      <c r="O351" s="1016" t="str">
        <f t="shared" si="337"/>
        <v/>
      </c>
      <c r="P351" s="1125" t="str">
        <f t="shared" si="338"/>
        <v/>
      </c>
      <c r="Q351" s="1016" t="str">
        <f t="shared" si="339"/>
        <v/>
      </c>
      <c r="R351" s="214" t="str">
        <f t="shared" si="340"/>
        <v/>
      </c>
      <c r="S351" s="1125" t="str">
        <f t="shared" si="341"/>
        <v/>
      </c>
      <c r="T351" s="236" t="str">
        <f t="shared" si="342"/>
        <v/>
      </c>
      <c r="W351" s="642" t="e">
        <f>INDEX('Barge Gauging Data'!$B$26:$V$56,MATCH($C351,'Barge Gauging Data'!$B$26:$B$56,0),$W$198)</f>
        <v>#N/A</v>
      </c>
      <c r="X351" s="642" t="e">
        <f>INDEX('Barge Gauging Data'!$B$26:$V$56,MATCH($C351,'Barge Gauging Data'!$B$26:$B$56,0),$X$198)</f>
        <v>#N/A</v>
      </c>
      <c r="Y351" s="642" t="e">
        <f>INDEX('Barge Gauging Data'!$B$26:$V$56,MATCH($C351,'Barge Gauging Data'!$B$26:$B$56,0),$Y$198)</f>
        <v>#N/A</v>
      </c>
      <c r="Z351" s="642" t="e">
        <f>INDEX('Barge Gauging Data'!$B$26:$V$56,MATCH($C351,'Barge Gauging Data'!$B$26:$B$56,0),$Z$198)</f>
        <v>#N/A</v>
      </c>
      <c r="AB351" s="642" t="e">
        <f>INDEX(API2DENST_2,MATCH($C351,'Barge Gauging Data'!$B$27:$B$56,0),1)</f>
        <v>#N/A</v>
      </c>
      <c r="AC351" s="642" t="e">
        <f t="shared" si="287"/>
        <v>#N/A</v>
      </c>
      <c r="AE351" s="661" t="e">
        <f t="shared" si="288"/>
        <v>#VALUE!</v>
      </c>
      <c r="AF351" s="661" t="e">
        <f t="shared" si="289"/>
        <v>#VALUE!</v>
      </c>
      <c r="AH351" s="662" t="str">
        <f t="shared" si="343"/>
        <v/>
      </c>
      <c r="AI351" s="662" t="str">
        <f t="shared" si="344"/>
        <v/>
      </c>
      <c r="AJ351" s="663">
        <f t="shared" si="290"/>
        <v>192.4571</v>
      </c>
      <c r="AK351" s="660">
        <f t="shared" si="291"/>
        <v>0.24379999999999999</v>
      </c>
      <c r="AL351" s="660" t="e">
        <f t="shared" si="292"/>
        <v>#VALUE!</v>
      </c>
      <c r="AM351" s="664" t="e">
        <f t="shared" si="293"/>
        <v>#VALUE!</v>
      </c>
      <c r="AN351" s="664" t="e">
        <f t="shared" si="294"/>
        <v>#VALUE!</v>
      </c>
      <c r="AO351" s="665" t="e">
        <f t="shared" si="295"/>
        <v>#VALUE!</v>
      </c>
      <c r="AP351" s="666" t="e">
        <f t="shared" si="296"/>
        <v>#VALUE!</v>
      </c>
      <c r="AQ351" s="660" t="e">
        <f t="shared" si="297"/>
        <v>#VALUE!</v>
      </c>
      <c r="AR351" s="667" t="e">
        <f t="shared" si="298"/>
        <v>#VALUE!</v>
      </c>
      <c r="AS351" s="667" t="e">
        <f t="shared" si="299"/>
        <v>#VALUE!</v>
      </c>
      <c r="AT351" s="668" t="e">
        <f t="shared" si="300"/>
        <v>#VALUE!</v>
      </c>
      <c r="AU351" s="667" t="e">
        <f t="shared" si="301"/>
        <v>#VALUE!</v>
      </c>
      <c r="AV351" s="669" t="e">
        <f t="shared" si="302"/>
        <v>#VALUE!</v>
      </c>
      <c r="AW351" s="667" t="e">
        <f t="shared" si="303"/>
        <v>#VALUE!</v>
      </c>
      <c r="AX351" s="667" t="e">
        <f t="shared" si="304"/>
        <v>#VALUE!</v>
      </c>
      <c r="AY351" s="660" t="e">
        <f t="shared" si="305"/>
        <v>#VALUE!</v>
      </c>
      <c r="AZ351" s="670" t="e">
        <f t="shared" si="306"/>
        <v>#VALUE!</v>
      </c>
      <c r="BB351" s="662" t="e">
        <f>INDEX('Barge Gauging Data'!$B$26:$V$56,MATCH($C351,'Barge Gauging Data'!$B$26:$B$56,0),$BB$198)</f>
        <v>#N/A</v>
      </c>
      <c r="BC351" s="662" t="e">
        <f>INDEX('Barge Gauging Data'!$B$26:$V$56,MATCH($C351,'Barge Gauging Data'!$B$26:$B$56,0),$BC$198)</f>
        <v>#N/A</v>
      </c>
      <c r="BD351" s="662" t="e">
        <f>INDEX('Barge Gauging Data'!$B$26:$V$56,MATCH($C351,'Barge Gauging Data'!$B$26:$B$56,0),$BD$198)</f>
        <v>#N/A</v>
      </c>
      <c r="BE351" s="662" t="e">
        <f>INDEX('Barge Gauging Data'!$B$26:$V$56,MATCH($C351,'Barge Gauging Data'!$B$26:$B$56,0),$BE$198)</f>
        <v>#N/A</v>
      </c>
    </row>
    <row r="352" spans="1:57" hidden="1">
      <c r="A352" s="641" t="str">
        <f t="shared" si="322"/>
        <v>N</v>
      </c>
      <c r="C352" s="235" t="str">
        <f t="shared" si="324"/>
        <v/>
      </c>
      <c r="D352" s="211" t="str">
        <f t="shared" si="324"/>
        <v/>
      </c>
      <c r="E352" s="1016" t="str">
        <f t="shared" si="323"/>
        <v/>
      </c>
      <c r="F352" s="1016" t="str">
        <f t="shared" si="325"/>
        <v/>
      </c>
      <c r="G352" s="1016" t="str">
        <f t="shared" si="326"/>
        <v/>
      </c>
      <c r="H352" s="1016" t="str">
        <f t="shared" si="326"/>
        <v/>
      </c>
      <c r="I352" s="211" t="str">
        <f t="shared" si="345"/>
        <v/>
      </c>
      <c r="J352" s="1016" t="str">
        <f t="shared" si="327"/>
        <v/>
      </c>
      <c r="K352" s="213" t="str">
        <f t="shared" si="328"/>
        <v/>
      </c>
      <c r="L352" s="212" t="str">
        <f t="shared" si="329"/>
        <v/>
      </c>
      <c r="M352" s="1125" t="str">
        <f>IF(OR($C352="",$C352=0),"",INDEX(API2DENST_2,MATCH($C352,'Barge Gauging Data'!$B$27:$B$56,0),$AA$1))</f>
        <v/>
      </c>
      <c r="N352" s="212" t="str">
        <f t="shared" si="330"/>
        <v/>
      </c>
      <c r="O352" s="1016" t="str">
        <f t="shared" si="337"/>
        <v/>
      </c>
      <c r="P352" s="1125" t="str">
        <f t="shared" si="338"/>
        <v/>
      </c>
      <c r="Q352" s="1016" t="str">
        <f t="shared" si="339"/>
        <v/>
      </c>
      <c r="R352" s="214" t="str">
        <f t="shared" si="340"/>
        <v/>
      </c>
      <c r="S352" s="1125" t="str">
        <f t="shared" si="341"/>
        <v/>
      </c>
      <c r="T352" s="236" t="str">
        <f t="shared" si="342"/>
        <v/>
      </c>
      <c r="W352" s="642" t="e">
        <f>INDEX('Barge Gauging Data'!$B$26:$V$56,MATCH($C352,'Barge Gauging Data'!$B$26:$B$56,0),$W$198)</f>
        <v>#N/A</v>
      </c>
      <c r="X352" s="642" t="e">
        <f>INDEX('Barge Gauging Data'!$B$26:$V$56,MATCH($C352,'Barge Gauging Data'!$B$26:$B$56,0),$X$198)</f>
        <v>#N/A</v>
      </c>
      <c r="Y352" s="642" t="e">
        <f>INDEX('Barge Gauging Data'!$B$26:$V$56,MATCH($C352,'Barge Gauging Data'!$B$26:$B$56,0),$Y$198)</f>
        <v>#N/A</v>
      </c>
      <c r="Z352" s="642" t="e">
        <f>INDEX('Barge Gauging Data'!$B$26:$V$56,MATCH($C352,'Barge Gauging Data'!$B$26:$B$56,0),$Z$198)</f>
        <v>#N/A</v>
      </c>
      <c r="AB352" s="642" t="e">
        <f>INDEX(API2DENST_2,MATCH($C352,'Barge Gauging Data'!$B$27:$B$56,0),1)</f>
        <v>#N/A</v>
      </c>
      <c r="AC352" s="642" t="e">
        <f t="shared" si="287"/>
        <v>#N/A</v>
      </c>
      <c r="AE352" s="661" t="e">
        <f t="shared" si="288"/>
        <v>#VALUE!</v>
      </c>
      <c r="AF352" s="661" t="e">
        <f t="shared" si="289"/>
        <v>#VALUE!</v>
      </c>
      <c r="AH352" s="662" t="str">
        <f t="shared" si="343"/>
        <v/>
      </c>
      <c r="AI352" s="662" t="str">
        <f t="shared" si="344"/>
        <v/>
      </c>
      <c r="AJ352" s="663">
        <f t="shared" si="290"/>
        <v>192.4571</v>
      </c>
      <c r="AK352" s="660">
        <f t="shared" si="291"/>
        <v>0.24379999999999999</v>
      </c>
      <c r="AL352" s="660" t="e">
        <f t="shared" si="292"/>
        <v>#VALUE!</v>
      </c>
      <c r="AM352" s="664" t="e">
        <f t="shared" si="293"/>
        <v>#VALUE!</v>
      </c>
      <c r="AN352" s="664" t="e">
        <f t="shared" si="294"/>
        <v>#VALUE!</v>
      </c>
      <c r="AO352" s="665" t="e">
        <f t="shared" si="295"/>
        <v>#VALUE!</v>
      </c>
      <c r="AP352" s="666" t="e">
        <f t="shared" si="296"/>
        <v>#VALUE!</v>
      </c>
      <c r="AQ352" s="660" t="e">
        <f t="shared" si="297"/>
        <v>#VALUE!</v>
      </c>
      <c r="AR352" s="667" t="e">
        <f t="shared" si="298"/>
        <v>#VALUE!</v>
      </c>
      <c r="AS352" s="667" t="e">
        <f t="shared" si="299"/>
        <v>#VALUE!</v>
      </c>
      <c r="AT352" s="668" t="e">
        <f t="shared" si="300"/>
        <v>#VALUE!</v>
      </c>
      <c r="AU352" s="667" t="e">
        <f t="shared" si="301"/>
        <v>#VALUE!</v>
      </c>
      <c r="AV352" s="669" t="e">
        <f t="shared" si="302"/>
        <v>#VALUE!</v>
      </c>
      <c r="AW352" s="667" t="e">
        <f t="shared" si="303"/>
        <v>#VALUE!</v>
      </c>
      <c r="AX352" s="667" t="e">
        <f t="shared" si="304"/>
        <v>#VALUE!</v>
      </c>
      <c r="AY352" s="660" t="e">
        <f t="shared" si="305"/>
        <v>#VALUE!</v>
      </c>
      <c r="AZ352" s="670" t="e">
        <f t="shared" si="306"/>
        <v>#VALUE!</v>
      </c>
      <c r="BB352" s="662" t="e">
        <f>INDEX('Barge Gauging Data'!$B$26:$V$56,MATCH($C352,'Barge Gauging Data'!$B$26:$B$56,0),$BB$198)</f>
        <v>#N/A</v>
      </c>
      <c r="BC352" s="662" t="e">
        <f>INDEX('Barge Gauging Data'!$B$26:$V$56,MATCH($C352,'Barge Gauging Data'!$B$26:$B$56,0),$BC$198)</f>
        <v>#N/A</v>
      </c>
      <c r="BD352" s="662" t="e">
        <f>INDEX('Barge Gauging Data'!$B$26:$V$56,MATCH($C352,'Barge Gauging Data'!$B$26:$B$56,0),$BD$198)</f>
        <v>#N/A</v>
      </c>
      <c r="BE352" s="662" t="e">
        <f>INDEX('Barge Gauging Data'!$B$26:$V$56,MATCH($C352,'Barge Gauging Data'!$B$26:$B$56,0),$BE$198)</f>
        <v>#N/A</v>
      </c>
    </row>
    <row r="353" spans="1:57" hidden="1">
      <c r="A353" s="641" t="str">
        <f t="shared" si="322"/>
        <v>N</v>
      </c>
      <c r="C353" s="235" t="str">
        <f t="shared" si="324"/>
        <v/>
      </c>
      <c r="D353" s="211" t="str">
        <f t="shared" si="324"/>
        <v/>
      </c>
      <c r="E353" s="1016" t="str">
        <f t="shared" si="323"/>
        <v/>
      </c>
      <c r="F353" s="1016" t="str">
        <f t="shared" si="325"/>
        <v/>
      </c>
      <c r="G353" s="1016" t="str">
        <f t="shared" si="326"/>
        <v/>
      </c>
      <c r="H353" s="1016" t="str">
        <f t="shared" si="326"/>
        <v/>
      </c>
      <c r="I353" s="211" t="str">
        <f t="shared" si="345"/>
        <v/>
      </c>
      <c r="J353" s="1016" t="str">
        <f t="shared" si="327"/>
        <v/>
      </c>
      <c r="K353" s="213" t="str">
        <f t="shared" si="328"/>
        <v/>
      </c>
      <c r="L353" s="212" t="str">
        <f t="shared" si="329"/>
        <v/>
      </c>
      <c r="M353" s="1125" t="str">
        <f>IF(OR($C353="",$C353=0),"",INDEX(API2DENST_2,MATCH($C353,'Barge Gauging Data'!$B$27:$B$56,0),$AA$1))</f>
        <v/>
      </c>
      <c r="N353" s="212" t="str">
        <f t="shared" si="330"/>
        <v/>
      </c>
      <c r="O353" s="1016" t="str">
        <f t="shared" si="337"/>
        <v/>
      </c>
      <c r="P353" s="1125" t="str">
        <f t="shared" si="338"/>
        <v/>
      </c>
      <c r="Q353" s="1016" t="str">
        <f t="shared" si="339"/>
        <v/>
      </c>
      <c r="R353" s="214" t="str">
        <f t="shared" si="340"/>
        <v/>
      </c>
      <c r="S353" s="1125" t="str">
        <f t="shared" si="341"/>
        <v/>
      </c>
      <c r="T353" s="236" t="str">
        <f t="shared" si="342"/>
        <v/>
      </c>
      <c r="W353" s="642" t="e">
        <f>INDEX('Barge Gauging Data'!$B$26:$V$56,MATCH($C353,'Barge Gauging Data'!$B$26:$B$56,0),$W$198)</f>
        <v>#N/A</v>
      </c>
      <c r="X353" s="642" t="e">
        <f>INDEX('Barge Gauging Data'!$B$26:$V$56,MATCH($C353,'Barge Gauging Data'!$B$26:$B$56,0),$X$198)</f>
        <v>#N/A</v>
      </c>
      <c r="Y353" s="642" t="e">
        <f>INDEX('Barge Gauging Data'!$B$26:$V$56,MATCH($C353,'Barge Gauging Data'!$B$26:$B$56,0),$Y$198)</f>
        <v>#N/A</v>
      </c>
      <c r="Z353" s="642" t="e">
        <f>INDEX('Barge Gauging Data'!$B$26:$V$56,MATCH($C353,'Barge Gauging Data'!$B$26:$B$56,0),$Z$198)</f>
        <v>#N/A</v>
      </c>
      <c r="AB353" s="642" t="e">
        <f>INDEX(API2DENST_2,MATCH($C353,'Barge Gauging Data'!$B$27:$B$56,0),1)</f>
        <v>#N/A</v>
      </c>
      <c r="AC353" s="642" t="e">
        <f t="shared" si="287"/>
        <v>#N/A</v>
      </c>
      <c r="AE353" s="661" t="e">
        <f t="shared" si="288"/>
        <v>#VALUE!</v>
      </c>
      <c r="AF353" s="661" t="e">
        <f t="shared" si="289"/>
        <v>#VALUE!</v>
      </c>
      <c r="AH353" s="662" t="str">
        <f t="shared" si="343"/>
        <v/>
      </c>
      <c r="AI353" s="662" t="str">
        <f t="shared" si="344"/>
        <v/>
      </c>
      <c r="AJ353" s="663">
        <f t="shared" si="290"/>
        <v>192.4571</v>
      </c>
      <c r="AK353" s="660">
        <f t="shared" si="291"/>
        <v>0.24379999999999999</v>
      </c>
      <c r="AL353" s="660" t="e">
        <f t="shared" si="292"/>
        <v>#VALUE!</v>
      </c>
      <c r="AM353" s="664" t="e">
        <f t="shared" si="293"/>
        <v>#VALUE!</v>
      </c>
      <c r="AN353" s="664" t="e">
        <f t="shared" si="294"/>
        <v>#VALUE!</v>
      </c>
      <c r="AO353" s="665" t="e">
        <f t="shared" si="295"/>
        <v>#VALUE!</v>
      </c>
      <c r="AP353" s="666" t="e">
        <f t="shared" si="296"/>
        <v>#VALUE!</v>
      </c>
      <c r="AQ353" s="660" t="e">
        <f t="shared" si="297"/>
        <v>#VALUE!</v>
      </c>
      <c r="AR353" s="667" t="e">
        <f t="shared" si="298"/>
        <v>#VALUE!</v>
      </c>
      <c r="AS353" s="667" t="e">
        <f t="shared" si="299"/>
        <v>#VALUE!</v>
      </c>
      <c r="AT353" s="668" t="e">
        <f t="shared" si="300"/>
        <v>#VALUE!</v>
      </c>
      <c r="AU353" s="667" t="e">
        <f t="shared" si="301"/>
        <v>#VALUE!</v>
      </c>
      <c r="AV353" s="669" t="e">
        <f t="shared" si="302"/>
        <v>#VALUE!</v>
      </c>
      <c r="AW353" s="667" t="e">
        <f t="shared" si="303"/>
        <v>#VALUE!</v>
      </c>
      <c r="AX353" s="667" t="e">
        <f t="shared" si="304"/>
        <v>#VALUE!</v>
      </c>
      <c r="AY353" s="660" t="e">
        <f t="shared" si="305"/>
        <v>#VALUE!</v>
      </c>
      <c r="AZ353" s="670" t="e">
        <f t="shared" si="306"/>
        <v>#VALUE!</v>
      </c>
      <c r="BB353" s="662" t="e">
        <f>INDEX('Barge Gauging Data'!$B$26:$V$56,MATCH($C353,'Barge Gauging Data'!$B$26:$B$56,0),$BB$198)</f>
        <v>#N/A</v>
      </c>
      <c r="BC353" s="662" t="e">
        <f>INDEX('Barge Gauging Data'!$B$26:$V$56,MATCH($C353,'Barge Gauging Data'!$B$26:$B$56,0),$BC$198)</f>
        <v>#N/A</v>
      </c>
      <c r="BD353" s="662" t="e">
        <f>INDEX('Barge Gauging Data'!$B$26:$V$56,MATCH($C353,'Barge Gauging Data'!$B$26:$B$56,0),$BD$198)</f>
        <v>#N/A</v>
      </c>
      <c r="BE353" s="662" t="e">
        <f>INDEX('Barge Gauging Data'!$B$26:$V$56,MATCH($C353,'Barge Gauging Data'!$B$26:$B$56,0),$BE$198)</f>
        <v>#N/A</v>
      </c>
    </row>
    <row r="354" spans="1:57" hidden="1">
      <c r="A354" s="641" t="str">
        <f t="shared" si="322"/>
        <v>N</v>
      </c>
      <c r="C354" s="235" t="str">
        <f t="shared" si="324"/>
        <v/>
      </c>
      <c r="D354" s="211" t="str">
        <f t="shared" si="324"/>
        <v/>
      </c>
      <c r="E354" s="1016" t="str">
        <f t="shared" si="323"/>
        <v/>
      </c>
      <c r="F354" s="1016" t="str">
        <f t="shared" si="325"/>
        <v/>
      </c>
      <c r="G354" s="1016" t="str">
        <f t="shared" si="326"/>
        <v/>
      </c>
      <c r="H354" s="1016" t="str">
        <f t="shared" si="326"/>
        <v/>
      </c>
      <c r="I354" s="211" t="str">
        <f t="shared" si="345"/>
        <v/>
      </c>
      <c r="J354" s="1016" t="str">
        <f t="shared" si="327"/>
        <v/>
      </c>
      <c r="K354" s="213" t="str">
        <f t="shared" si="328"/>
        <v/>
      </c>
      <c r="L354" s="212" t="str">
        <f t="shared" si="329"/>
        <v/>
      </c>
      <c r="M354" s="1125" t="str">
        <f>IF(OR($C354="",$C354=0),"",INDEX(API2DENST_2,MATCH($C354,'Barge Gauging Data'!$B$27:$B$56,0),$AA$1))</f>
        <v/>
      </c>
      <c r="N354" s="212" t="str">
        <f t="shared" si="330"/>
        <v/>
      </c>
      <c r="O354" s="1016" t="str">
        <f t="shared" si="337"/>
        <v/>
      </c>
      <c r="P354" s="1125" t="str">
        <f t="shared" si="338"/>
        <v/>
      </c>
      <c r="Q354" s="1016" t="str">
        <f t="shared" si="339"/>
        <v/>
      </c>
      <c r="R354" s="214" t="str">
        <f t="shared" si="340"/>
        <v/>
      </c>
      <c r="S354" s="1125" t="str">
        <f t="shared" si="341"/>
        <v/>
      </c>
      <c r="T354" s="236" t="str">
        <f t="shared" si="342"/>
        <v/>
      </c>
      <c r="W354" s="642" t="e">
        <f>INDEX('Barge Gauging Data'!$B$26:$V$56,MATCH($C354,'Barge Gauging Data'!$B$26:$B$56,0),$W$198)</f>
        <v>#N/A</v>
      </c>
      <c r="X354" s="642" t="e">
        <f>INDEX('Barge Gauging Data'!$B$26:$V$56,MATCH($C354,'Barge Gauging Data'!$B$26:$B$56,0),$X$198)</f>
        <v>#N/A</v>
      </c>
      <c r="Y354" s="642" t="e">
        <f>INDEX('Barge Gauging Data'!$B$26:$V$56,MATCH($C354,'Barge Gauging Data'!$B$26:$B$56,0),$Y$198)</f>
        <v>#N/A</v>
      </c>
      <c r="Z354" s="642" t="e">
        <f>INDEX('Barge Gauging Data'!$B$26:$V$56,MATCH($C354,'Barge Gauging Data'!$B$26:$B$56,0),$Z$198)</f>
        <v>#N/A</v>
      </c>
      <c r="AB354" s="642" t="e">
        <f>INDEX(API2DENST_2,MATCH($C354,'Barge Gauging Data'!$B$27:$B$56,0),1)</f>
        <v>#N/A</v>
      </c>
      <c r="AC354" s="642" t="e">
        <f t="shared" si="287"/>
        <v>#N/A</v>
      </c>
      <c r="AE354" s="661" t="e">
        <f t="shared" si="288"/>
        <v>#VALUE!</v>
      </c>
      <c r="AF354" s="661" t="e">
        <f t="shared" si="289"/>
        <v>#VALUE!</v>
      </c>
      <c r="AH354" s="662" t="str">
        <f t="shared" si="343"/>
        <v/>
      </c>
      <c r="AI354" s="662" t="str">
        <f t="shared" si="344"/>
        <v/>
      </c>
      <c r="AJ354" s="663">
        <f t="shared" si="290"/>
        <v>192.4571</v>
      </c>
      <c r="AK354" s="660">
        <f t="shared" si="291"/>
        <v>0.24379999999999999</v>
      </c>
      <c r="AL354" s="660" t="e">
        <f t="shared" si="292"/>
        <v>#VALUE!</v>
      </c>
      <c r="AM354" s="664" t="e">
        <f t="shared" si="293"/>
        <v>#VALUE!</v>
      </c>
      <c r="AN354" s="664" t="e">
        <f t="shared" si="294"/>
        <v>#VALUE!</v>
      </c>
      <c r="AO354" s="665" t="e">
        <f t="shared" si="295"/>
        <v>#VALUE!</v>
      </c>
      <c r="AP354" s="666" t="e">
        <f t="shared" si="296"/>
        <v>#VALUE!</v>
      </c>
      <c r="AQ354" s="660" t="e">
        <f t="shared" si="297"/>
        <v>#VALUE!</v>
      </c>
      <c r="AR354" s="667" t="e">
        <f t="shared" si="298"/>
        <v>#VALUE!</v>
      </c>
      <c r="AS354" s="667" t="e">
        <f t="shared" si="299"/>
        <v>#VALUE!</v>
      </c>
      <c r="AT354" s="668" t="e">
        <f t="shared" si="300"/>
        <v>#VALUE!</v>
      </c>
      <c r="AU354" s="667" t="e">
        <f t="shared" si="301"/>
        <v>#VALUE!</v>
      </c>
      <c r="AV354" s="669" t="e">
        <f t="shared" si="302"/>
        <v>#VALUE!</v>
      </c>
      <c r="AW354" s="667" t="e">
        <f t="shared" si="303"/>
        <v>#VALUE!</v>
      </c>
      <c r="AX354" s="667" t="e">
        <f t="shared" si="304"/>
        <v>#VALUE!</v>
      </c>
      <c r="AY354" s="660" t="e">
        <f t="shared" si="305"/>
        <v>#VALUE!</v>
      </c>
      <c r="AZ354" s="670" t="e">
        <f t="shared" si="306"/>
        <v>#VALUE!</v>
      </c>
      <c r="BB354" s="662" t="e">
        <f>INDEX('Barge Gauging Data'!$B$26:$V$56,MATCH($C354,'Barge Gauging Data'!$B$26:$B$56,0),$BB$198)</f>
        <v>#N/A</v>
      </c>
      <c r="BC354" s="662" t="e">
        <f>INDEX('Barge Gauging Data'!$B$26:$V$56,MATCH($C354,'Barge Gauging Data'!$B$26:$B$56,0),$BC$198)</f>
        <v>#N/A</v>
      </c>
      <c r="BD354" s="662" t="e">
        <f>INDEX('Barge Gauging Data'!$B$26:$V$56,MATCH($C354,'Barge Gauging Data'!$B$26:$B$56,0),$BD$198)</f>
        <v>#N/A</v>
      </c>
      <c r="BE354" s="662" t="e">
        <f>INDEX('Barge Gauging Data'!$B$26:$V$56,MATCH($C354,'Barge Gauging Data'!$B$26:$B$56,0),$BE$198)</f>
        <v>#N/A</v>
      </c>
    </row>
    <row r="355" spans="1:57" hidden="1">
      <c r="A355" s="641" t="str">
        <f t="shared" si="322"/>
        <v>N</v>
      </c>
      <c r="C355" s="235" t="str">
        <f t="shared" si="324"/>
        <v/>
      </c>
      <c r="D355" s="211" t="str">
        <f t="shared" si="324"/>
        <v/>
      </c>
      <c r="E355" s="1016" t="str">
        <f t="shared" si="323"/>
        <v/>
      </c>
      <c r="F355" s="1016" t="str">
        <f t="shared" si="325"/>
        <v/>
      </c>
      <c r="G355" s="1016" t="str">
        <f t="shared" si="326"/>
        <v/>
      </c>
      <c r="H355" s="1016" t="str">
        <f t="shared" si="326"/>
        <v/>
      </c>
      <c r="I355" s="211" t="str">
        <f t="shared" si="345"/>
        <v/>
      </c>
      <c r="J355" s="1016" t="str">
        <f t="shared" si="327"/>
        <v/>
      </c>
      <c r="K355" s="213" t="str">
        <f t="shared" si="328"/>
        <v/>
      </c>
      <c r="L355" s="212" t="str">
        <f t="shared" si="329"/>
        <v/>
      </c>
      <c r="M355" s="1125" t="str">
        <f>IF(OR($C355="",$C355=0),"",INDEX(API2DENST_2,MATCH($C355,'Barge Gauging Data'!$B$27:$B$56,0),$AA$1))</f>
        <v/>
      </c>
      <c r="N355" s="212" t="str">
        <f t="shared" si="330"/>
        <v/>
      </c>
      <c r="O355" s="1016" t="str">
        <f t="shared" si="337"/>
        <v/>
      </c>
      <c r="P355" s="1125" t="str">
        <f t="shared" si="338"/>
        <v/>
      </c>
      <c r="Q355" s="1016" t="str">
        <f t="shared" si="339"/>
        <v/>
      </c>
      <c r="R355" s="214" t="str">
        <f t="shared" si="340"/>
        <v/>
      </c>
      <c r="S355" s="1125" t="str">
        <f t="shared" si="341"/>
        <v/>
      </c>
      <c r="T355" s="236" t="str">
        <f t="shared" si="342"/>
        <v/>
      </c>
      <c r="W355" s="642" t="e">
        <f>INDEX('Barge Gauging Data'!$B$26:$V$56,MATCH($C355,'Barge Gauging Data'!$B$26:$B$56,0),$W$198)</f>
        <v>#N/A</v>
      </c>
      <c r="X355" s="642" t="e">
        <f>INDEX('Barge Gauging Data'!$B$26:$V$56,MATCH($C355,'Barge Gauging Data'!$B$26:$B$56,0),$X$198)</f>
        <v>#N/A</v>
      </c>
      <c r="Y355" s="642" t="e">
        <f>INDEX('Barge Gauging Data'!$B$26:$V$56,MATCH($C355,'Barge Gauging Data'!$B$26:$B$56,0),$Y$198)</f>
        <v>#N/A</v>
      </c>
      <c r="Z355" s="642" t="e">
        <f>INDEX('Barge Gauging Data'!$B$26:$V$56,MATCH($C355,'Barge Gauging Data'!$B$26:$B$56,0),$Z$198)</f>
        <v>#N/A</v>
      </c>
      <c r="AB355" s="642" t="e">
        <f>INDEX(API2DENST_2,MATCH($C355,'Barge Gauging Data'!$B$27:$B$56,0),1)</f>
        <v>#N/A</v>
      </c>
      <c r="AC355" s="642" t="e">
        <f t="shared" si="287"/>
        <v>#N/A</v>
      </c>
      <c r="AE355" s="661" t="e">
        <f t="shared" si="288"/>
        <v>#VALUE!</v>
      </c>
      <c r="AF355" s="661" t="e">
        <f t="shared" si="289"/>
        <v>#VALUE!</v>
      </c>
      <c r="AH355" s="662" t="str">
        <f t="shared" si="343"/>
        <v/>
      </c>
      <c r="AI355" s="662" t="str">
        <f t="shared" si="344"/>
        <v/>
      </c>
      <c r="AJ355" s="663">
        <f t="shared" si="290"/>
        <v>192.4571</v>
      </c>
      <c r="AK355" s="660">
        <f t="shared" si="291"/>
        <v>0.24379999999999999</v>
      </c>
      <c r="AL355" s="660" t="e">
        <f t="shared" si="292"/>
        <v>#VALUE!</v>
      </c>
      <c r="AM355" s="664" t="e">
        <f t="shared" si="293"/>
        <v>#VALUE!</v>
      </c>
      <c r="AN355" s="664" t="e">
        <f t="shared" si="294"/>
        <v>#VALUE!</v>
      </c>
      <c r="AO355" s="665" t="e">
        <f t="shared" si="295"/>
        <v>#VALUE!</v>
      </c>
      <c r="AP355" s="666" t="e">
        <f t="shared" si="296"/>
        <v>#VALUE!</v>
      </c>
      <c r="AQ355" s="660" t="e">
        <f t="shared" si="297"/>
        <v>#VALUE!</v>
      </c>
      <c r="AR355" s="667" t="e">
        <f t="shared" si="298"/>
        <v>#VALUE!</v>
      </c>
      <c r="AS355" s="667" t="e">
        <f t="shared" si="299"/>
        <v>#VALUE!</v>
      </c>
      <c r="AT355" s="668" t="e">
        <f t="shared" si="300"/>
        <v>#VALUE!</v>
      </c>
      <c r="AU355" s="667" t="e">
        <f t="shared" si="301"/>
        <v>#VALUE!</v>
      </c>
      <c r="AV355" s="669" t="e">
        <f t="shared" si="302"/>
        <v>#VALUE!</v>
      </c>
      <c r="AW355" s="667" t="e">
        <f t="shared" si="303"/>
        <v>#VALUE!</v>
      </c>
      <c r="AX355" s="667" t="e">
        <f t="shared" si="304"/>
        <v>#VALUE!</v>
      </c>
      <c r="AY355" s="660" t="e">
        <f t="shared" si="305"/>
        <v>#VALUE!</v>
      </c>
      <c r="AZ355" s="670" t="e">
        <f t="shared" si="306"/>
        <v>#VALUE!</v>
      </c>
      <c r="BB355" s="662" t="e">
        <f>INDEX('Barge Gauging Data'!$B$26:$V$56,MATCH($C355,'Barge Gauging Data'!$B$26:$B$56,0),$BB$198)</f>
        <v>#N/A</v>
      </c>
      <c r="BC355" s="662" t="e">
        <f>INDEX('Barge Gauging Data'!$B$26:$V$56,MATCH($C355,'Barge Gauging Data'!$B$26:$B$56,0),$BC$198)</f>
        <v>#N/A</v>
      </c>
      <c r="BD355" s="662" t="e">
        <f>INDEX('Barge Gauging Data'!$B$26:$V$56,MATCH($C355,'Barge Gauging Data'!$B$26:$B$56,0),$BD$198)</f>
        <v>#N/A</v>
      </c>
      <c r="BE355" s="662" t="e">
        <f>INDEX('Barge Gauging Data'!$B$26:$V$56,MATCH($C355,'Barge Gauging Data'!$B$26:$B$56,0),$BE$198)</f>
        <v>#N/A</v>
      </c>
    </row>
    <row r="356" spans="1:57" hidden="1">
      <c r="A356" s="641" t="str">
        <f t="shared" si="322"/>
        <v>N</v>
      </c>
      <c r="C356" s="235" t="str">
        <f t="shared" si="324"/>
        <v/>
      </c>
      <c r="D356" s="211" t="str">
        <f t="shared" si="324"/>
        <v/>
      </c>
      <c r="E356" s="1016" t="str">
        <f t="shared" si="323"/>
        <v/>
      </c>
      <c r="F356" s="1016" t="str">
        <f t="shared" si="325"/>
        <v/>
      </c>
      <c r="G356" s="1016" t="str">
        <f t="shared" si="326"/>
        <v/>
      </c>
      <c r="H356" s="1016" t="str">
        <f t="shared" si="326"/>
        <v/>
      </c>
      <c r="I356" s="211" t="str">
        <f t="shared" si="345"/>
        <v/>
      </c>
      <c r="J356" s="1016" t="str">
        <f t="shared" si="327"/>
        <v/>
      </c>
      <c r="K356" s="213" t="str">
        <f t="shared" si="328"/>
        <v/>
      </c>
      <c r="L356" s="212" t="str">
        <f t="shared" si="329"/>
        <v/>
      </c>
      <c r="M356" s="1125" t="str">
        <f>IF(OR($C356="",$C356=0),"",INDEX(API2DENST_2,MATCH($C356,'Barge Gauging Data'!$B$27:$B$56,0),$AA$1))</f>
        <v/>
      </c>
      <c r="N356" s="212" t="str">
        <f t="shared" si="330"/>
        <v/>
      </c>
      <c r="O356" s="1016" t="str">
        <f t="shared" si="337"/>
        <v/>
      </c>
      <c r="P356" s="1125" t="str">
        <f t="shared" si="338"/>
        <v/>
      </c>
      <c r="Q356" s="1016" t="str">
        <f t="shared" si="339"/>
        <v/>
      </c>
      <c r="R356" s="214" t="str">
        <f t="shared" si="340"/>
        <v/>
      </c>
      <c r="S356" s="1125" t="str">
        <f t="shared" si="341"/>
        <v/>
      </c>
      <c r="T356" s="236" t="str">
        <f t="shared" si="342"/>
        <v/>
      </c>
      <c r="W356" s="642" t="e">
        <f>INDEX('Barge Gauging Data'!$B$26:$V$56,MATCH($C356,'Barge Gauging Data'!$B$26:$B$56,0),$W$198)</f>
        <v>#N/A</v>
      </c>
      <c r="X356" s="642" t="e">
        <f>INDEX('Barge Gauging Data'!$B$26:$V$56,MATCH($C356,'Barge Gauging Data'!$B$26:$B$56,0),$X$198)</f>
        <v>#N/A</v>
      </c>
      <c r="Y356" s="642" t="e">
        <f>INDEX('Barge Gauging Data'!$B$26:$V$56,MATCH($C356,'Barge Gauging Data'!$B$26:$B$56,0),$Y$198)</f>
        <v>#N/A</v>
      </c>
      <c r="Z356" s="642" t="e">
        <f>INDEX('Barge Gauging Data'!$B$26:$V$56,MATCH($C356,'Barge Gauging Data'!$B$26:$B$56,0),$Z$198)</f>
        <v>#N/A</v>
      </c>
      <c r="AB356" s="642" t="e">
        <f>INDEX(API2DENST_2,MATCH($C356,'Barge Gauging Data'!$B$27:$B$56,0),1)</f>
        <v>#N/A</v>
      </c>
      <c r="AC356" s="642" t="e">
        <f t="shared" si="287"/>
        <v>#N/A</v>
      </c>
      <c r="AE356" s="661" t="e">
        <f t="shared" si="288"/>
        <v>#VALUE!</v>
      </c>
      <c r="AF356" s="661" t="e">
        <f t="shared" si="289"/>
        <v>#VALUE!</v>
      </c>
      <c r="AH356" s="662" t="str">
        <f t="shared" si="343"/>
        <v/>
      </c>
      <c r="AI356" s="662" t="str">
        <f t="shared" si="344"/>
        <v/>
      </c>
      <c r="AJ356" s="663">
        <f t="shared" si="290"/>
        <v>192.4571</v>
      </c>
      <c r="AK356" s="660">
        <f t="shared" si="291"/>
        <v>0.24379999999999999</v>
      </c>
      <c r="AL356" s="660" t="e">
        <f t="shared" si="292"/>
        <v>#VALUE!</v>
      </c>
      <c r="AM356" s="664" t="e">
        <f t="shared" si="293"/>
        <v>#VALUE!</v>
      </c>
      <c r="AN356" s="664" t="e">
        <f t="shared" si="294"/>
        <v>#VALUE!</v>
      </c>
      <c r="AO356" s="665" t="e">
        <f t="shared" si="295"/>
        <v>#VALUE!</v>
      </c>
      <c r="AP356" s="666" t="e">
        <f t="shared" si="296"/>
        <v>#VALUE!</v>
      </c>
      <c r="AQ356" s="660" t="e">
        <f t="shared" si="297"/>
        <v>#VALUE!</v>
      </c>
      <c r="AR356" s="667" t="e">
        <f t="shared" si="298"/>
        <v>#VALUE!</v>
      </c>
      <c r="AS356" s="667" t="e">
        <f t="shared" si="299"/>
        <v>#VALUE!</v>
      </c>
      <c r="AT356" s="668" t="e">
        <f t="shared" si="300"/>
        <v>#VALUE!</v>
      </c>
      <c r="AU356" s="667" t="e">
        <f t="shared" si="301"/>
        <v>#VALUE!</v>
      </c>
      <c r="AV356" s="669" t="e">
        <f t="shared" si="302"/>
        <v>#VALUE!</v>
      </c>
      <c r="AW356" s="667" t="e">
        <f t="shared" si="303"/>
        <v>#VALUE!</v>
      </c>
      <c r="AX356" s="667" t="e">
        <f t="shared" si="304"/>
        <v>#VALUE!</v>
      </c>
      <c r="AY356" s="660" t="e">
        <f t="shared" si="305"/>
        <v>#VALUE!</v>
      </c>
      <c r="AZ356" s="670" t="e">
        <f t="shared" si="306"/>
        <v>#VALUE!</v>
      </c>
      <c r="BB356" s="662" t="e">
        <f>INDEX('Barge Gauging Data'!$B$26:$V$56,MATCH($C356,'Barge Gauging Data'!$B$26:$B$56,0),$BB$198)</f>
        <v>#N/A</v>
      </c>
      <c r="BC356" s="662" t="e">
        <f>INDEX('Barge Gauging Data'!$B$26:$V$56,MATCH($C356,'Barge Gauging Data'!$B$26:$B$56,0),$BC$198)</f>
        <v>#N/A</v>
      </c>
      <c r="BD356" s="662" t="e">
        <f>INDEX('Barge Gauging Data'!$B$26:$V$56,MATCH($C356,'Barge Gauging Data'!$B$26:$B$56,0),$BD$198)</f>
        <v>#N/A</v>
      </c>
      <c r="BE356" s="662" t="e">
        <f>INDEX('Barge Gauging Data'!$B$26:$V$56,MATCH($C356,'Barge Gauging Data'!$B$26:$B$56,0),$BE$198)</f>
        <v>#N/A</v>
      </c>
    </row>
    <row r="357" spans="1:57" hidden="1">
      <c r="A357" s="641" t="str">
        <f t="shared" si="322"/>
        <v>N</v>
      </c>
      <c r="C357" s="235" t="str">
        <f t="shared" si="324"/>
        <v/>
      </c>
      <c r="D357" s="211" t="str">
        <f t="shared" si="324"/>
        <v/>
      </c>
      <c r="E357" s="1016" t="str">
        <f t="shared" si="323"/>
        <v/>
      </c>
      <c r="F357" s="1016" t="str">
        <f t="shared" si="325"/>
        <v/>
      </c>
      <c r="G357" s="1016" t="str">
        <f t="shared" si="326"/>
        <v/>
      </c>
      <c r="H357" s="1016" t="str">
        <f t="shared" si="326"/>
        <v/>
      </c>
      <c r="I357" s="211" t="str">
        <f t="shared" si="345"/>
        <v/>
      </c>
      <c r="J357" s="1016" t="str">
        <f t="shared" si="327"/>
        <v/>
      </c>
      <c r="K357" s="213" t="str">
        <f t="shared" si="328"/>
        <v/>
      </c>
      <c r="L357" s="212" t="str">
        <f t="shared" si="329"/>
        <v/>
      </c>
      <c r="M357" s="1125" t="str">
        <f>IF(OR($C357="",$C357=0),"",INDEX(API2DENST_2,MATCH($C357,'Barge Gauging Data'!$B$27:$B$56,0),$AA$1))</f>
        <v/>
      </c>
      <c r="N357" s="212" t="str">
        <f t="shared" si="330"/>
        <v/>
      </c>
      <c r="O357" s="1016" t="str">
        <f t="shared" si="337"/>
        <v/>
      </c>
      <c r="P357" s="1125" t="str">
        <f t="shared" si="338"/>
        <v/>
      </c>
      <c r="Q357" s="1016" t="str">
        <f t="shared" si="339"/>
        <v/>
      </c>
      <c r="R357" s="214" t="str">
        <f t="shared" si="340"/>
        <v/>
      </c>
      <c r="S357" s="1125" t="str">
        <f t="shared" si="341"/>
        <v/>
      </c>
      <c r="T357" s="236" t="str">
        <f t="shared" si="342"/>
        <v/>
      </c>
      <c r="W357" s="642" t="e">
        <f>INDEX('Barge Gauging Data'!$B$26:$V$56,MATCH($C357,'Barge Gauging Data'!$B$26:$B$56,0),$W$198)</f>
        <v>#N/A</v>
      </c>
      <c r="X357" s="642" t="e">
        <f>INDEX('Barge Gauging Data'!$B$26:$V$56,MATCH($C357,'Barge Gauging Data'!$B$26:$B$56,0),$X$198)</f>
        <v>#N/A</v>
      </c>
      <c r="Y357" s="642" t="e">
        <f>INDEX('Barge Gauging Data'!$B$26:$V$56,MATCH($C357,'Barge Gauging Data'!$B$26:$B$56,0),$Y$198)</f>
        <v>#N/A</v>
      </c>
      <c r="Z357" s="642" t="e">
        <f>INDEX('Barge Gauging Data'!$B$26:$V$56,MATCH($C357,'Barge Gauging Data'!$B$26:$B$56,0),$Z$198)</f>
        <v>#N/A</v>
      </c>
      <c r="AB357" s="642" t="e">
        <f>INDEX(API2DENST_2,MATCH($C357,'Barge Gauging Data'!$B$27:$B$56,0),1)</f>
        <v>#N/A</v>
      </c>
      <c r="AC357" s="642" t="e">
        <f t="shared" si="287"/>
        <v>#N/A</v>
      </c>
      <c r="AE357" s="661" t="e">
        <f t="shared" si="288"/>
        <v>#VALUE!</v>
      </c>
      <c r="AF357" s="661" t="e">
        <f t="shared" si="289"/>
        <v>#VALUE!</v>
      </c>
      <c r="AH357" s="662" t="str">
        <f t="shared" si="343"/>
        <v/>
      </c>
      <c r="AI357" s="662" t="str">
        <f t="shared" si="344"/>
        <v/>
      </c>
      <c r="AJ357" s="663">
        <f t="shared" si="290"/>
        <v>192.4571</v>
      </c>
      <c r="AK357" s="660">
        <f t="shared" si="291"/>
        <v>0.24379999999999999</v>
      </c>
      <c r="AL357" s="660" t="e">
        <f t="shared" si="292"/>
        <v>#VALUE!</v>
      </c>
      <c r="AM357" s="664" t="e">
        <f t="shared" si="293"/>
        <v>#VALUE!</v>
      </c>
      <c r="AN357" s="664" t="e">
        <f t="shared" si="294"/>
        <v>#VALUE!</v>
      </c>
      <c r="AO357" s="665" t="e">
        <f t="shared" si="295"/>
        <v>#VALUE!</v>
      </c>
      <c r="AP357" s="666" t="e">
        <f t="shared" si="296"/>
        <v>#VALUE!</v>
      </c>
      <c r="AQ357" s="660" t="e">
        <f t="shared" si="297"/>
        <v>#VALUE!</v>
      </c>
      <c r="AR357" s="667" t="e">
        <f t="shared" si="298"/>
        <v>#VALUE!</v>
      </c>
      <c r="AS357" s="667" t="e">
        <f t="shared" si="299"/>
        <v>#VALUE!</v>
      </c>
      <c r="AT357" s="668" t="e">
        <f t="shared" si="300"/>
        <v>#VALUE!</v>
      </c>
      <c r="AU357" s="667" t="e">
        <f t="shared" si="301"/>
        <v>#VALUE!</v>
      </c>
      <c r="AV357" s="669" t="e">
        <f t="shared" si="302"/>
        <v>#VALUE!</v>
      </c>
      <c r="AW357" s="667" t="e">
        <f t="shared" si="303"/>
        <v>#VALUE!</v>
      </c>
      <c r="AX357" s="667" t="e">
        <f t="shared" si="304"/>
        <v>#VALUE!</v>
      </c>
      <c r="AY357" s="660" t="e">
        <f t="shared" si="305"/>
        <v>#VALUE!</v>
      </c>
      <c r="AZ357" s="670" t="e">
        <f t="shared" si="306"/>
        <v>#VALUE!</v>
      </c>
      <c r="BB357" s="662" t="e">
        <f>INDEX('Barge Gauging Data'!$B$26:$V$56,MATCH($C357,'Barge Gauging Data'!$B$26:$B$56,0),$BB$198)</f>
        <v>#N/A</v>
      </c>
      <c r="BC357" s="662" t="e">
        <f>INDEX('Barge Gauging Data'!$B$26:$V$56,MATCH($C357,'Barge Gauging Data'!$B$26:$B$56,0),$BC$198)</f>
        <v>#N/A</v>
      </c>
      <c r="BD357" s="662" t="e">
        <f>INDEX('Barge Gauging Data'!$B$26:$V$56,MATCH($C357,'Barge Gauging Data'!$B$26:$B$56,0),$BD$198)</f>
        <v>#N/A</v>
      </c>
      <c r="BE357" s="662" t="e">
        <f>INDEX('Barge Gauging Data'!$B$26:$V$56,MATCH($C357,'Barge Gauging Data'!$B$26:$B$56,0),$BE$198)</f>
        <v>#N/A</v>
      </c>
    </row>
    <row r="358" spans="1:57" hidden="1">
      <c r="A358" s="641" t="str">
        <f t="shared" ref="A358:A367" si="346">A181</f>
        <v>N</v>
      </c>
      <c r="C358" s="235" t="str">
        <f t="shared" si="324"/>
        <v/>
      </c>
      <c r="D358" s="211" t="str">
        <f t="shared" si="324"/>
        <v/>
      </c>
      <c r="E358" s="1016" t="str">
        <f t="shared" si="323"/>
        <v/>
      </c>
      <c r="F358" s="1016" t="str">
        <f t="shared" si="325"/>
        <v/>
      </c>
      <c r="G358" s="1016" t="str">
        <f t="shared" si="326"/>
        <v/>
      </c>
      <c r="H358" s="1016" t="str">
        <f t="shared" si="326"/>
        <v/>
      </c>
      <c r="I358" s="211" t="str">
        <f t="shared" si="345"/>
        <v/>
      </c>
      <c r="J358" s="1016" t="str">
        <f t="shared" si="327"/>
        <v/>
      </c>
      <c r="K358" s="213" t="str">
        <f t="shared" si="328"/>
        <v/>
      </c>
      <c r="L358" s="212" t="str">
        <f t="shared" si="329"/>
        <v/>
      </c>
      <c r="M358" s="1125" t="str">
        <f>IF(OR($C358="",$C358=0),"",INDEX(API2DENST_2,MATCH($C358,'Barge Gauging Data'!$B$27:$B$56,0),$AA$1))</f>
        <v/>
      </c>
      <c r="N358" s="212" t="str">
        <f t="shared" si="330"/>
        <v/>
      </c>
      <c r="O358" s="1016" t="str">
        <f t="shared" si="337"/>
        <v/>
      </c>
      <c r="P358" s="1125" t="str">
        <f t="shared" si="338"/>
        <v/>
      </c>
      <c r="Q358" s="1016" t="str">
        <f t="shared" si="339"/>
        <v/>
      </c>
      <c r="R358" s="214" t="str">
        <f t="shared" si="340"/>
        <v/>
      </c>
      <c r="S358" s="1125" t="str">
        <f t="shared" si="341"/>
        <v/>
      </c>
      <c r="T358" s="236" t="str">
        <f t="shared" si="342"/>
        <v/>
      </c>
      <c r="W358" s="642" t="e">
        <f>INDEX('Barge Gauging Data'!$B$26:$V$56,MATCH($C358,'Barge Gauging Data'!$B$26:$B$56,0),$W$198)</f>
        <v>#N/A</v>
      </c>
      <c r="X358" s="642" t="e">
        <f>INDEX('Barge Gauging Data'!$B$26:$V$56,MATCH($C358,'Barge Gauging Data'!$B$26:$B$56,0),$X$198)</f>
        <v>#N/A</v>
      </c>
      <c r="Y358" s="642" t="e">
        <f>INDEX('Barge Gauging Data'!$B$26:$V$56,MATCH($C358,'Barge Gauging Data'!$B$26:$B$56,0),$Y$198)</f>
        <v>#N/A</v>
      </c>
      <c r="Z358" s="642" t="e">
        <f>INDEX('Barge Gauging Data'!$B$26:$V$56,MATCH($C358,'Barge Gauging Data'!$B$26:$B$56,0),$Z$198)</f>
        <v>#N/A</v>
      </c>
      <c r="AB358" s="642" t="e">
        <f>INDEX(API2DENST_2,MATCH($C358,'Barge Gauging Data'!$B$27:$B$56,0),1)</f>
        <v>#N/A</v>
      </c>
      <c r="AC358" s="642" t="e">
        <f t="shared" si="287"/>
        <v>#N/A</v>
      </c>
      <c r="AE358" s="661" t="e">
        <f t="shared" si="288"/>
        <v>#VALUE!</v>
      </c>
      <c r="AF358" s="661" t="e">
        <f t="shared" si="289"/>
        <v>#VALUE!</v>
      </c>
      <c r="AH358" s="662" t="str">
        <f t="shared" si="343"/>
        <v/>
      </c>
      <c r="AI358" s="662" t="str">
        <f t="shared" si="344"/>
        <v/>
      </c>
      <c r="AJ358" s="663">
        <f t="shared" si="290"/>
        <v>192.4571</v>
      </c>
      <c r="AK358" s="660">
        <f t="shared" si="291"/>
        <v>0.24379999999999999</v>
      </c>
      <c r="AL358" s="660" t="e">
        <f t="shared" si="292"/>
        <v>#VALUE!</v>
      </c>
      <c r="AM358" s="664" t="e">
        <f t="shared" si="293"/>
        <v>#VALUE!</v>
      </c>
      <c r="AN358" s="664" t="e">
        <f t="shared" si="294"/>
        <v>#VALUE!</v>
      </c>
      <c r="AO358" s="665" t="e">
        <f t="shared" si="295"/>
        <v>#VALUE!</v>
      </c>
      <c r="AP358" s="666" t="e">
        <f t="shared" si="296"/>
        <v>#VALUE!</v>
      </c>
      <c r="AQ358" s="660" t="e">
        <f t="shared" si="297"/>
        <v>#VALUE!</v>
      </c>
      <c r="AR358" s="667" t="e">
        <f t="shared" si="298"/>
        <v>#VALUE!</v>
      </c>
      <c r="AS358" s="667" t="e">
        <f t="shared" si="299"/>
        <v>#VALUE!</v>
      </c>
      <c r="AT358" s="668" t="e">
        <f t="shared" si="300"/>
        <v>#VALUE!</v>
      </c>
      <c r="AU358" s="667" t="e">
        <f t="shared" si="301"/>
        <v>#VALUE!</v>
      </c>
      <c r="AV358" s="669" t="e">
        <f t="shared" si="302"/>
        <v>#VALUE!</v>
      </c>
      <c r="AW358" s="667" t="e">
        <f t="shared" si="303"/>
        <v>#VALUE!</v>
      </c>
      <c r="AX358" s="667" t="e">
        <f t="shared" si="304"/>
        <v>#VALUE!</v>
      </c>
      <c r="AY358" s="660" t="e">
        <f t="shared" si="305"/>
        <v>#VALUE!</v>
      </c>
      <c r="AZ358" s="670" t="e">
        <f t="shared" si="306"/>
        <v>#VALUE!</v>
      </c>
      <c r="BB358" s="662" t="e">
        <f>INDEX('Barge Gauging Data'!$B$26:$V$56,MATCH($C358,'Barge Gauging Data'!$B$26:$B$56,0),$BB$198)</f>
        <v>#N/A</v>
      </c>
      <c r="BC358" s="662" t="e">
        <f>INDEX('Barge Gauging Data'!$B$26:$V$56,MATCH($C358,'Barge Gauging Data'!$B$26:$B$56,0),$BC$198)</f>
        <v>#N/A</v>
      </c>
      <c r="BD358" s="662" t="e">
        <f>INDEX('Barge Gauging Data'!$B$26:$V$56,MATCH($C358,'Barge Gauging Data'!$B$26:$B$56,0),$BD$198)</f>
        <v>#N/A</v>
      </c>
      <c r="BE358" s="662" t="e">
        <f>INDEX('Barge Gauging Data'!$B$26:$V$56,MATCH($C358,'Barge Gauging Data'!$B$26:$B$56,0),$BE$198)</f>
        <v>#N/A</v>
      </c>
    </row>
    <row r="359" spans="1:57" hidden="1">
      <c r="A359" s="641" t="str">
        <f t="shared" si="346"/>
        <v>N</v>
      </c>
      <c r="C359" s="235" t="str">
        <f t="shared" si="324"/>
        <v/>
      </c>
      <c r="D359" s="211" t="str">
        <f t="shared" si="324"/>
        <v/>
      </c>
      <c r="E359" s="1016" t="str">
        <f t="shared" si="323"/>
        <v/>
      </c>
      <c r="F359" s="1016" t="str">
        <f t="shared" si="325"/>
        <v/>
      </c>
      <c r="G359" s="1016" t="str">
        <f t="shared" si="326"/>
        <v/>
      </c>
      <c r="H359" s="1016" t="str">
        <f t="shared" si="326"/>
        <v/>
      </c>
      <c r="I359" s="211" t="str">
        <f t="shared" si="345"/>
        <v/>
      </c>
      <c r="J359" s="1016" t="str">
        <f t="shared" si="327"/>
        <v/>
      </c>
      <c r="K359" s="213" t="str">
        <f t="shared" si="328"/>
        <v/>
      </c>
      <c r="L359" s="212" t="str">
        <f t="shared" si="329"/>
        <v/>
      </c>
      <c r="M359" s="1125" t="str">
        <f>IF(OR($C359="",$C359=0),"",INDEX(API2DENST_2,MATCH($C359,'Barge Gauging Data'!$B$27:$B$56,0),$AA$1))</f>
        <v/>
      </c>
      <c r="N359" s="212" t="str">
        <f t="shared" si="330"/>
        <v/>
      </c>
      <c r="O359" s="1016" t="str">
        <f t="shared" si="337"/>
        <v/>
      </c>
      <c r="P359" s="1125" t="str">
        <f t="shared" si="338"/>
        <v/>
      </c>
      <c r="Q359" s="1016" t="str">
        <f t="shared" si="339"/>
        <v/>
      </c>
      <c r="R359" s="214" t="str">
        <f t="shared" si="340"/>
        <v/>
      </c>
      <c r="S359" s="1125" t="str">
        <f t="shared" si="341"/>
        <v/>
      </c>
      <c r="T359" s="236" t="str">
        <f t="shared" si="342"/>
        <v/>
      </c>
      <c r="W359" s="642" t="e">
        <f>INDEX('Barge Gauging Data'!$B$26:$V$56,MATCH($C359,'Barge Gauging Data'!$B$26:$B$56,0),$W$198)</f>
        <v>#N/A</v>
      </c>
      <c r="X359" s="642" t="e">
        <f>INDEX('Barge Gauging Data'!$B$26:$V$56,MATCH($C359,'Barge Gauging Data'!$B$26:$B$56,0),$X$198)</f>
        <v>#N/A</v>
      </c>
      <c r="Y359" s="642" t="e">
        <f>INDEX('Barge Gauging Data'!$B$26:$V$56,MATCH($C359,'Barge Gauging Data'!$B$26:$B$56,0),$Y$198)</f>
        <v>#N/A</v>
      </c>
      <c r="Z359" s="642" t="e">
        <f>INDEX('Barge Gauging Data'!$B$26:$V$56,MATCH($C359,'Barge Gauging Data'!$B$26:$B$56,0),$Z$198)</f>
        <v>#N/A</v>
      </c>
      <c r="AB359" s="642" t="e">
        <f>INDEX(API2DENST_2,MATCH($C359,'Barge Gauging Data'!$B$27:$B$56,0),1)</f>
        <v>#N/A</v>
      </c>
      <c r="AC359" s="642" t="e">
        <f t="shared" si="287"/>
        <v>#N/A</v>
      </c>
      <c r="AE359" s="661" t="e">
        <f t="shared" si="288"/>
        <v>#VALUE!</v>
      </c>
      <c r="AF359" s="661" t="e">
        <f t="shared" si="289"/>
        <v>#VALUE!</v>
      </c>
      <c r="AH359" s="662" t="str">
        <f t="shared" si="343"/>
        <v/>
      </c>
      <c r="AI359" s="662" t="str">
        <f t="shared" si="344"/>
        <v/>
      </c>
      <c r="AJ359" s="663">
        <f t="shared" si="290"/>
        <v>192.4571</v>
      </c>
      <c r="AK359" s="660">
        <f t="shared" si="291"/>
        <v>0.24379999999999999</v>
      </c>
      <c r="AL359" s="660" t="e">
        <f t="shared" si="292"/>
        <v>#VALUE!</v>
      </c>
      <c r="AM359" s="664" t="e">
        <f t="shared" si="293"/>
        <v>#VALUE!</v>
      </c>
      <c r="AN359" s="664" t="e">
        <f t="shared" si="294"/>
        <v>#VALUE!</v>
      </c>
      <c r="AO359" s="665" t="e">
        <f t="shared" si="295"/>
        <v>#VALUE!</v>
      </c>
      <c r="AP359" s="666" t="e">
        <f t="shared" si="296"/>
        <v>#VALUE!</v>
      </c>
      <c r="AQ359" s="660" t="e">
        <f t="shared" si="297"/>
        <v>#VALUE!</v>
      </c>
      <c r="AR359" s="667" t="e">
        <f t="shared" si="298"/>
        <v>#VALUE!</v>
      </c>
      <c r="AS359" s="667" t="e">
        <f t="shared" si="299"/>
        <v>#VALUE!</v>
      </c>
      <c r="AT359" s="668" t="e">
        <f t="shared" si="300"/>
        <v>#VALUE!</v>
      </c>
      <c r="AU359" s="667" t="e">
        <f t="shared" si="301"/>
        <v>#VALUE!</v>
      </c>
      <c r="AV359" s="669" t="e">
        <f t="shared" si="302"/>
        <v>#VALUE!</v>
      </c>
      <c r="AW359" s="667" t="e">
        <f t="shared" si="303"/>
        <v>#VALUE!</v>
      </c>
      <c r="AX359" s="667" t="e">
        <f t="shared" si="304"/>
        <v>#VALUE!</v>
      </c>
      <c r="AY359" s="660" t="e">
        <f t="shared" si="305"/>
        <v>#VALUE!</v>
      </c>
      <c r="AZ359" s="670" t="e">
        <f t="shared" si="306"/>
        <v>#VALUE!</v>
      </c>
      <c r="BB359" s="662" t="e">
        <f>INDEX('Barge Gauging Data'!$B$26:$V$56,MATCH($C359,'Barge Gauging Data'!$B$26:$B$56,0),$BB$198)</f>
        <v>#N/A</v>
      </c>
      <c r="BC359" s="662" t="e">
        <f>INDEX('Barge Gauging Data'!$B$26:$V$56,MATCH($C359,'Barge Gauging Data'!$B$26:$B$56,0),$BC$198)</f>
        <v>#N/A</v>
      </c>
      <c r="BD359" s="662" t="e">
        <f>INDEX('Barge Gauging Data'!$B$26:$V$56,MATCH($C359,'Barge Gauging Data'!$B$26:$B$56,0),$BD$198)</f>
        <v>#N/A</v>
      </c>
      <c r="BE359" s="662" t="e">
        <f>INDEX('Barge Gauging Data'!$B$26:$V$56,MATCH($C359,'Barge Gauging Data'!$B$26:$B$56,0),$BE$198)</f>
        <v>#N/A</v>
      </c>
    </row>
    <row r="360" spans="1:57" hidden="1">
      <c r="A360" s="641" t="str">
        <f t="shared" si="346"/>
        <v>N</v>
      </c>
      <c r="C360" s="235" t="str">
        <f t="shared" si="324"/>
        <v/>
      </c>
      <c r="D360" s="211" t="str">
        <f t="shared" si="324"/>
        <v/>
      </c>
      <c r="E360" s="1016" t="str">
        <f t="shared" si="323"/>
        <v/>
      </c>
      <c r="F360" s="1016" t="str">
        <f t="shared" si="325"/>
        <v/>
      </c>
      <c r="G360" s="1016" t="str">
        <f t="shared" si="326"/>
        <v/>
      </c>
      <c r="H360" s="1016" t="str">
        <f t="shared" si="326"/>
        <v/>
      </c>
      <c r="I360" s="211" t="str">
        <f t="shared" si="345"/>
        <v/>
      </c>
      <c r="J360" s="1016" t="str">
        <f t="shared" si="327"/>
        <v/>
      </c>
      <c r="K360" s="213" t="str">
        <f t="shared" si="328"/>
        <v/>
      </c>
      <c r="L360" s="212" t="str">
        <f t="shared" si="329"/>
        <v/>
      </c>
      <c r="M360" s="1125" t="str">
        <f>IF(OR($C360="",$C360=0),"",INDEX(API2DENST_2,MATCH($C360,'Barge Gauging Data'!$B$27:$B$56,0),$AA$1))</f>
        <v/>
      </c>
      <c r="N360" s="212" t="str">
        <f t="shared" si="330"/>
        <v/>
      </c>
      <c r="O360" s="1016" t="str">
        <f t="shared" si="337"/>
        <v/>
      </c>
      <c r="P360" s="1125" t="str">
        <f t="shared" si="338"/>
        <v/>
      </c>
      <c r="Q360" s="1016" t="str">
        <f t="shared" si="339"/>
        <v/>
      </c>
      <c r="R360" s="214" t="str">
        <f t="shared" si="340"/>
        <v/>
      </c>
      <c r="S360" s="1125" t="str">
        <f t="shared" si="341"/>
        <v/>
      </c>
      <c r="T360" s="236" t="str">
        <f t="shared" si="342"/>
        <v/>
      </c>
      <c r="W360" s="642" t="e">
        <f>INDEX('Barge Gauging Data'!$B$26:$V$56,MATCH($C360,'Barge Gauging Data'!$B$26:$B$56,0),$W$198)</f>
        <v>#N/A</v>
      </c>
      <c r="X360" s="642" t="e">
        <f>INDEX('Barge Gauging Data'!$B$26:$V$56,MATCH($C360,'Barge Gauging Data'!$B$26:$B$56,0),$X$198)</f>
        <v>#N/A</v>
      </c>
      <c r="Y360" s="642" t="e">
        <f>INDEX('Barge Gauging Data'!$B$26:$V$56,MATCH($C360,'Barge Gauging Data'!$B$26:$B$56,0),$Y$198)</f>
        <v>#N/A</v>
      </c>
      <c r="Z360" s="642" t="e">
        <f>INDEX('Barge Gauging Data'!$B$26:$V$56,MATCH($C360,'Barge Gauging Data'!$B$26:$B$56,0),$Z$198)</f>
        <v>#N/A</v>
      </c>
      <c r="AB360" s="642" t="e">
        <f>INDEX(API2DENST_2,MATCH($C360,'Barge Gauging Data'!$B$27:$B$56,0),1)</f>
        <v>#N/A</v>
      </c>
      <c r="AC360" s="642" t="e">
        <f t="shared" si="287"/>
        <v>#N/A</v>
      </c>
      <c r="AE360" s="661" t="e">
        <f t="shared" si="288"/>
        <v>#VALUE!</v>
      </c>
      <c r="AF360" s="661" t="e">
        <f t="shared" si="289"/>
        <v>#VALUE!</v>
      </c>
      <c r="AH360" s="662" t="str">
        <f t="shared" si="343"/>
        <v/>
      </c>
      <c r="AI360" s="662" t="str">
        <f t="shared" si="344"/>
        <v/>
      </c>
      <c r="AJ360" s="663">
        <f t="shared" si="290"/>
        <v>192.4571</v>
      </c>
      <c r="AK360" s="660">
        <f t="shared" si="291"/>
        <v>0.24379999999999999</v>
      </c>
      <c r="AL360" s="660" t="e">
        <f t="shared" si="292"/>
        <v>#VALUE!</v>
      </c>
      <c r="AM360" s="664" t="e">
        <f t="shared" si="293"/>
        <v>#VALUE!</v>
      </c>
      <c r="AN360" s="664" t="e">
        <f t="shared" si="294"/>
        <v>#VALUE!</v>
      </c>
      <c r="AO360" s="665" t="e">
        <f t="shared" si="295"/>
        <v>#VALUE!</v>
      </c>
      <c r="AP360" s="666" t="e">
        <f t="shared" si="296"/>
        <v>#VALUE!</v>
      </c>
      <c r="AQ360" s="660" t="e">
        <f t="shared" si="297"/>
        <v>#VALUE!</v>
      </c>
      <c r="AR360" s="667" t="e">
        <f t="shared" si="298"/>
        <v>#VALUE!</v>
      </c>
      <c r="AS360" s="667" t="e">
        <f t="shared" si="299"/>
        <v>#VALUE!</v>
      </c>
      <c r="AT360" s="668" t="e">
        <f t="shared" si="300"/>
        <v>#VALUE!</v>
      </c>
      <c r="AU360" s="667" t="e">
        <f t="shared" si="301"/>
        <v>#VALUE!</v>
      </c>
      <c r="AV360" s="669" t="e">
        <f t="shared" si="302"/>
        <v>#VALUE!</v>
      </c>
      <c r="AW360" s="667" t="e">
        <f t="shared" si="303"/>
        <v>#VALUE!</v>
      </c>
      <c r="AX360" s="667" t="e">
        <f t="shared" si="304"/>
        <v>#VALUE!</v>
      </c>
      <c r="AY360" s="660" t="e">
        <f t="shared" si="305"/>
        <v>#VALUE!</v>
      </c>
      <c r="AZ360" s="670" t="e">
        <f t="shared" si="306"/>
        <v>#VALUE!</v>
      </c>
      <c r="BB360" s="662" t="e">
        <f>INDEX('Barge Gauging Data'!$B$26:$V$56,MATCH($C360,'Barge Gauging Data'!$B$26:$B$56,0),$BB$198)</f>
        <v>#N/A</v>
      </c>
      <c r="BC360" s="662" t="e">
        <f>INDEX('Barge Gauging Data'!$B$26:$V$56,MATCH($C360,'Barge Gauging Data'!$B$26:$B$56,0),$BC$198)</f>
        <v>#N/A</v>
      </c>
      <c r="BD360" s="662" t="e">
        <f>INDEX('Barge Gauging Data'!$B$26:$V$56,MATCH($C360,'Barge Gauging Data'!$B$26:$B$56,0),$BD$198)</f>
        <v>#N/A</v>
      </c>
      <c r="BE360" s="662" t="e">
        <f>INDEX('Barge Gauging Data'!$B$26:$V$56,MATCH($C360,'Barge Gauging Data'!$B$26:$B$56,0),$BE$198)</f>
        <v>#N/A</v>
      </c>
    </row>
    <row r="361" spans="1:57" hidden="1">
      <c r="A361" s="641" t="str">
        <f t="shared" si="346"/>
        <v>N</v>
      </c>
      <c r="C361" s="235" t="str">
        <f t="shared" si="324"/>
        <v/>
      </c>
      <c r="D361" s="211" t="str">
        <f t="shared" si="324"/>
        <v/>
      </c>
      <c r="E361" s="1016" t="str">
        <f t="shared" si="323"/>
        <v/>
      </c>
      <c r="F361" s="1016" t="str">
        <f t="shared" si="325"/>
        <v/>
      </c>
      <c r="G361" s="1016" t="str">
        <f t="shared" si="326"/>
        <v/>
      </c>
      <c r="H361" s="1016" t="str">
        <f t="shared" si="326"/>
        <v/>
      </c>
      <c r="I361" s="211" t="str">
        <f t="shared" si="345"/>
        <v/>
      </c>
      <c r="J361" s="1016" t="str">
        <f t="shared" si="327"/>
        <v/>
      </c>
      <c r="K361" s="213" t="str">
        <f t="shared" si="328"/>
        <v/>
      </c>
      <c r="L361" s="212" t="str">
        <f t="shared" si="329"/>
        <v/>
      </c>
      <c r="M361" s="1125" t="str">
        <f>IF(OR($C361="",$C361=0),"",INDEX(API2DENST_2,MATCH($C361,'Barge Gauging Data'!$B$27:$B$56,0),$AA$1))</f>
        <v/>
      </c>
      <c r="N361" s="212" t="str">
        <f t="shared" si="330"/>
        <v/>
      </c>
      <c r="O361" s="1016" t="str">
        <f t="shared" si="337"/>
        <v/>
      </c>
      <c r="P361" s="1125" t="str">
        <f t="shared" si="338"/>
        <v/>
      </c>
      <c r="Q361" s="1016" t="str">
        <f t="shared" si="339"/>
        <v/>
      </c>
      <c r="R361" s="214" t="str">
        <f t="shared" si="340"/>
        <v/>
      </c>
      <c r="S361" s="1125" t="str">
        <f t="shared" si="341"/>
        <v/>
      </c>
      <c r="T361" s="236" t="str">
        <f t="shared" si="342"/>
        <v/>
      </c>
      <c r="W361" s="642" t="e">
        <f>INDEX('Barge Gauging Data'!$B$26:$V$56,MATCH($C361,'Barge Gauging Data'!$B$26:$B$56,0),$W$198)</f>
        <v>#N/A</v>
      </c>
      <c r="X361" s="642" t="e">
        <f>INDEX('Barge Gauging Data'!$B$26:$V$56,MATCH($C361,'Barge Gauging Data'!$B$26:$B$56,0),$X$198)</f>
        <v>#N/A</v>
      </c>
      <c r="Y361" s="642" t="e">
        <f>INDEX('Barge Gauging Data'!$B$26:$V$56,MATCH($C361,'Barge Gauging Data'!$B$26:$B$56,0),$Y$198)</f>
        <v>#N/A</v>
      </c>
      <c r="Z361" s="642" t="e">
        <f>INDEX('Barge Gauging Data'!$B$26:$V$56,MATCH($C361,'Barge Gauging Data'!$B$26:$B$56,0),$Z$198)</f>
        <v>#N/A</v>
      </c>
      <c r="AB361" s="642" t="e">
        <f>INDEX(API2DENST_2,MATCH($C361,'Barge Gauging Data'!$B$27:$B$56,0),1)</f>
        <v>#N/A</v>
      </c>
      <c r="AC361" s="642" t="e">
        <f t="shared" si="287"/>
        <v>#N/A</v>
      </c>
      <c r="AE361" s="661" t="e">
        <f t="shared" si="288"/>
        <v>#VALUE!</v>
      </c>
      <c r="AF361" s="661" t="e">
        <f t="shared" si="289"/>
        <v>#VALUE!</v>
      </c>
      <c r="AH361" s="662" t="str">
        <f t="shared" si="343"/>
        <v/>
      </c>
      <c r="AI361" s="662" t="str">
        <f t="shared" si="344"/>
        <v/>
      </c>
      <c r="AJ361" s="663">
        <f t="shared" si="290"/>
        <v>192.4571</v>
      </c>
      <c r="AK361" s="660">
        <f t="shared" si="291"/>
        <v>0.24379999999999999</v>
      </c>
      <c r="AL361" s="660" t="e">
        <f t="shared" si="292"/>
        <v>#VALUE!</v>
      </c>
      <c r="AM361" s="664" t="e">
        <f t="shared" si="293"/>
        <v>#VALUE!</v>
      </c>
      <c r="AN361" s="664" t="e">
        <f t="shared" si="294"/>
        <v>#VALUE!</v>
      </c>
      <c r="AO361" s="665" t="e">
        <f t="shared" si="295"/>
        <v>#VALUE!</v>
      </c>
      <c r="AP361" s="666" t="e">
        <f t="shared" si="296"/>
        <v>#VALUE!</v>
      </c>
      <c r="AQ361" s="660" t="e">
        <f t="shared" si="297"/>
        <v>#VALUE!</v>
      </c>
      <c r="AR361" s="667" t="e">
        <f t="shared" si="298"/>
        <v>#VALUE!</v>
      </c>
      <c r="AS361" s="667" t="e">
        <f t="shared" si="299"/>
        <v>#VALUE!</v>
      </c>
      <c r="AT361" s="668" t="e">
        <f t="shared" si="300"/>
        <v>#VALUE!</v>
      </c>
      <c r="AU361" s="667" t="e">
        <f t="shared" si="301"/>
        <v>#VALUE!</v>
      </c>
      <c r="AV361" s="669" t="e">
        <f t="shared" si="302"/>
        <v>#VALUE!</v>
      </c>
      <c r="AW361" s="667" t="e">
        <f t="shared" si="303"/>
        <v>#VALUE!</v>
      </c>
      <c r="AX361" s="667" t="e">
        <f t="shared" si="304"/>
        <v>#VALUE!</v>
      </c>
      <c r="AY361" s="660" t="e">
        <f t="shared" si="305"/>
        <v>#VALUE!</v>
      </c>
      <c r="AZ361" s="670" t="e">
        <f t="shared" si="306"/>
        <v>#VALUE!</v>
      </c>
      <c r="BB361" s="662" t="e">
        <f>INDEX('Barge Gauging Data'!$B$26:$V$56,MATCH($C361,'Barge Gauging Data'!$B$26:$B$56,0),$BB$198)</f>
        <v>#N/A</v>
      </c>
      <c r="BC361" s="662" t="e">
        <f>INDEX('Barge Gauging Data'!$B$26:$V$56,MATCH($C361,'Barge Gauging Data'!$B$26:$B$56,0),$BC$198)</f>
        <v>#N/A</v>
      </c>
      <c r="BD361" s="662" t="e">
        <f>INDEX('Barge Gauging Data'!$B$26:$V$56,MATCH($C361,'Barge Gauging Data'!$B$26:$B$56,0),$BD$198)</f>
        <v>#N/A</v>
      </c>
      <c r="BE361" s="662" t="e">
        <f>INDEX('Barge Gauging Data'!$B$26:$V$56,MATCH($C361,'Barge Gauging Data'!$B$26:$B$56,0),$BE$198)</f>
        <v>#N/A</v>
      </c>
    </row>
    <row r="362" spans="1:57" hidden="1">
      <c r="A362" s="641" t="str">
        <f t="shared" si="346"/>
        <v>N</v>
      </c>
      <c r="C362" s="235" t="str">
        <f t="shared" si="324"/>
        <v/>
      </c>
      <c r="D362" s="211" t="str">
        <f t="shared" si="324"/>
        <v/>
      </c>
      <c r="E362" s="1016" t="str">
        <f t="shared" si="323"/>
        <v/>
      </c>
      <c r="F362" s="1016" t="str">
        <f t="shared" si="325"/>
        <v/>
      </c>
      <c r="G362" s="1016" t="str">
        <f t="shared" si="326"/>
        <v/>
      </c>
      <c r="H362" s="1016" t="str">
        <f t="shared" si="326"/>
        <v/>
      </c>
      <c r="I362" s="211" t="str">
        <f t="shared" si="345"/>
        <v/>
      </c>
      <c r="J362" s="1016" t="str">
        <f t="shared" si="327"/>
        <v/>
      </c>
      <c r="K362" s="213" t="str">
        <f t="shared" si="328"/>
        <v/>
      </c>
      <c r="L362" s="212" t="str">
        <f t="shared" si="329"/>
        <v/>
      </c>
      <c r="M362" s="1125" t="str">
        <f>IF(OR($C362="",$C362=0),"",INDEX(API2DENST_2,MATCH($C362,'Barge Gauging Data'!$B$27:$B$56,0),$AA$1))</f>
        <v/>
      </c>
      <c r="N362" s="212" t="str">
        <f t="shared" si="330"/>
        <v/>
      </c>
      <c r="O362" s="1016" t="str">
        <f t="shared" si="337"/>
        <v/>
      </c>
      <c r="P362" s="1125" t="str">
        <f t="shared" si="338"/>
        <v/>
      </c>
      <c r="Q362" s="1016" t="str">
        <f t="shared" si="339"/>
        <v/>
      </c>
      <c r="R362" s="214" t="str">
        <f t="shared" si="340"/>
        <v/>
      </c>
      <c r="S362" s="1125" t="str">
        <f t="shared" si="341"/>
        <v/>
      </c>
      <c r="T362" s="236" t="str">
        <f t="shared" si="342"/>
        <v/>
      </c>
      <c r="W362" s="642" t="e">
        <f>INDEX('Barge Gauging Data'!$B$26:$V$56,MATCH($C362,'Barge Gauging Data'!$B$26:$B$56,0),$W$198)</f>
        <v>#N/A</v>
      </c>
      <c r="X362" s="642" t="e">
        <f>INDEX('Barge Gauging Data'!$B$26:$V$56,MATCH($C362,'Barge Gauging Data'!$B$26:$B$56,0),$X$198)</f>
        <v>#N/A</v>
      </c>
      <c r="Y362" s="642" t="e">
        <f>INDEX('Barge Gauging Data'!$B$26:$V$56,MATCH($C362,'Barge Gauging Data'!$B$26:$B$56,0),$Y$198)</f>
        <v>#N/A</v>
      </c>
      <c r="Z362" s="642" t="e">
        <f>INDEX('Barge Gauging Data'!$B$26:$V$56,MATCH($C362,'Barge Gauging Data'!$B$26:$B$56,0),$Z$198)</f>
        <v>#N/A</v>
      </c>
      <c r="AB362" s="642" t="e">
        <f>INDEX(API2DENST_2,MATCH($C362,'Barge Gauging Data'!$B$27:$B$56,0),1)</f>
        <v>#N/A</v>
      </c>
      <c r="AC362" s="642" t="e">
        <f t="shared" si="287"/>
        <v>#N/A</v>
      </c>
      <c r="AE362" s="661" t="e">
        <f t="shared" si="288"/>
        <v>#VALUE!</v>
      </c>
      <c r="AF362" s="661" t="e">
        <f t="shared" si="289"/>
        <v>#VALUE!</v>
      </c>
      <c r="AH362" s="662" t="str">
        <f t="shared" si="343"/>
        <v/>
      </c>
      <c r="AI362" s="662" t="str">
        <f t="shared" si="344"/>
        <v/>
      </c>
      <c r="AJ362" s="663">
        <f t="shared" si="290"/>
        <v>192.4571</v>
      </c>
      <c r="AK362" s="660">
        <f t="shared" si="291"/>
        <v>0.24379999999999999</v>
      </c>
      <c r="AL362" s="660" t="e">
        <f t="shared" si="292"/>
        <v>#VALUE!</v>
      </c>
      <c r="AM362" s="664" t="e">
        <f t="shared" si="293"/>
        <v>#VALUE!</v>
      </c>
      <c r="AN362" s="664" t="e">
        <f t="shared" si="294"/>
        <v>#VALUE!</v>
      </c>
      <c r="AO362" s="665" t="e">
        <f t="shared" si="295"/>
        <v>#VALUE!</v>
      </c>
      <c r="AP362" s="666" t="e">
        <f t="shared" si="296"/>
        <v>#VALUE!</v>
      </c>
      <c r="AQ362" s="660" t="e">
        <f t="shared" si="297"/>
        <v>#VALUE!</v>
      </c>
      <c r="AR362" s="667" t="e">
        <f t="shared" si="298"/>
        <v>#VALUE!</v>
      </c>
      <c r="AS362" s="667" t="e">
        <f t="shared" si="299"/>
        <v>#VALUE!</v>
      </c>
      <c r="AT362" s="668" t="e">
        <f t="shared" si="300"/>
        <v>#VALUE!</v>
      </c>
      <c r="AU362" s="667" t="e">
        <f t="shared" si="301"/>
        <v>#VALUE!</v>
      </c>
      <c r="AV362" s="669" t="e">
        <f t="shared" si="302"/>
        <v>#VALUE!</v>
      </c>
      <c r="AW362" s="667" t="e">
        <f t="shared" si="303"/>
        <v>#VALUE!</v>
      </c>
      <c r="AX362" s="667" t="e">
        <f t="shared" si="304"/>
        <v>#VALUE!</v>
      </c>
      <c r="AY362" s="660" t="e">
        <f t="shared" si="305"/>
        <v>#VALUE!</v>
      </c>
      <c r="AZ362" s="670" t="e">
        <f t="shared" si="306"/>
        <v>#VALUE!</v>
      </c>
      <c r="BB362" s="662" t="e">
        <f>INDEX('Barge Gauging Data'!$B$26:$V$56,MATCH($C362,'Barge Gauging Data'!$B$26:$B$56,0),$BB$198)</f>
        <v>#N/A</v>
      </c>
      <c r="BC362" s="662" t="e">
        <f>INDEX('Barge Gauging Data'!$B$26:$V$56,MATCH($C362,'Barge Gauging Data'!$B$26:$B$56,0),$BC$198)</f>
        <v>#N/A</v>
      </c>
      <c r="BD362" s="662" t="e">
        <f>INDEX('Barge Gauging Data'!$B$26:$V$56,MATCH($C362,'Barge Gauging Data'!$B$26:$B$56,0),$BD$198)</f>
        <v>#N/A</v>
      </c>
      <c r="BE362" s="662" t="e">
        <f>INDEX('Barge Gauging Data'!$B$26:$V$56,MATCH($C362,'Barge Gauging Data'!$B$26:$B$56,0),$BE$198)</f>
        <v>#N/A</v>
      </c>
    </row>
    <row r="363" spans="1:57" hidden="1">
      <c r="A363" s="641" t="str">
        <f t="shared" si="346"/>
        <v>N</v>
      </c>
      <c r="C363" s="235" t="str">
        <f t="shared" si="324"/>
        <v/>
      </c>
      <c r="D363" s="211" t="str">
        <f t="shared" si="324"/>
        <v/>
      </c>
      <c r="E363" s="1016" t="str">
        <f t="shared" si="323"/>
        <v/>
      </c>
      <c r="F363" s="1016" t="str">
        <f t="shared" si="325"/>
        <v/>
      </c>
      <c r="G363" s="1016" t="str">
        <f t="shared" si="326"/>
        <v/>
      </c>
      <c r="H363" s="1016" t="str">
        <f t="shared" si="326"/>
        <v/>
      </c>
      <c r="I363" s="211" t="str">
        <f t="shared" si="345"/>
        <v/>
      </c>
      <c r="J363" s="1016" t="str">
        <f t="shared" si="327"/>
        <v/>
      </c>
      <c r="K363" s="213" t="str">
        <f t="shared" si="328"/>
        <v/>
      </c>
      <c r="L363" s="212" t="str">
        <f t="shared" si="329"/>
        <v/>
      </c>
      <c r="M363" s="1125" t="str">
        <f>IF(OR($C363="",$C363=0),"",INDEX(API2DENST_2,MATCH($C363,'Barge Gauging Data'!$B$27:$B$56,0),$AA$1))</f>
        <v/>
      </c>
      <c r="N363" s="212" t="str">
        <f t="shared" si="330"/>
        <v/>
      </c>
      <c r="O363" s="1016" t="str">
        <f t="shared" si="337"/>
        <v/>
      </c>
      <c r="P363" s="1125" t="str">
        <f t="shared" si="338"/>
        <v/>
      </c>
      <c r="Q363" s="1016" t="str">
        <f t="shared" si="339"/>
        <v/>
      </c>
      <c r="R363" s="214" t="str">
        <f t="shared" si="340"/>
        <v/>
      </c>
      <c r="S363" s="1125" t="str">
        <f t="shared" si="341"/>
        <v/>
      </c>
      <c r="T363" s="236" t="str">
        <f t="shared" si="342"/>
        <v/>
      </c>
      <c r="W363" s="642" t="e">
        <f>INDEX('Barge Gauging Data'!$B$26:$V$56,MATCH($C363,'Barge Gauging Data'!$B$26:$B$56,0),$W$198)</f>
        <v>#N/A</v>
      </c>
      <c r="X363" s="642" t="e">
        <f>INDEX('Barge Gauging Data'!$B$26:$V$56,MATCH($C363,'Barge Gauging Data'!$B$26:$B$56,0),$X$198)</f>
        <v>#N/A</v>
      </c>
      <c r="Y363" s="642" t="e">
        <f>INDEX('Barge Gauging Data'!$B$26:$V$56,MATCH($C363,'Barge Gauging Data'!$B$26:$B$56,0),$Y$198)</f>
        <v>#N/A</v>
      </c>
      <c r="Z363" s="642" t="e">
        <f>INDEX('Barge Gauging Data'!$B$26:$V$56,MATCH($C363,'Barge Gauging Data'!$B$26:$B$56,0),$Z$198)</f>
        <v>#N/A</v>
      </c>
      <c r="AB363" s="642" t="e">
        <f>INDEX(API2DENST_2,MATCH($C363,'Barge Gauging Data'!$B$27:$B$56,0),1)</f>
        <v>#N/A</v>
      </c>
      <c r="AC363" s="642" t="e">
        <f t="shared" si="287"/>
        <v>#N/A</v>
      </c>
      <c r="AE363" s="661" t="e">
        <f t="shared" si="288"/>
        <v>#VALUE!</v>
      </c>
      <c r="AF363" s="661" t="e">
        <f t="shared" si="289"/>
        <v>#VALUE!</v>
      </c>
      <c r="AH363" s="662" t="str">
        <f t="shared" si="343"/>
        <v/>
      </c>
      <c r="AI363" s="662" t="str">
        <f t="shared" si="344"/>
        <v/>
      </c>
      <c r="AJ363" s="663">
        <f t="shared" si="290"/>
        <v>192.4571</v>
      </c>
      <c r="AK363" s="660">
        <f t="shared" si="291"/>
        <v>0.24379999999999999</v>
      </c>
      <c r="AL363" s="660" t="e">
        <f t="shared" si="292"/>
        <v>#VALUE!</v>
      </c>
      <c r="AM363" s="664" t="e">
        <f t="shared" si="293"/>
        <v>#VALUE!</v>
      </c>
      <c r="AN363" s="664" t="e">
        <f t="shared" si="294"/>
        <v>#VALUE!</v>
      </c>
      <c r="AO363" s="665" t="e">
        <f t="shared" si="295"/>
        <v>#VALUE!</v>
      </c>
      <c r="AP363" s="666" t="e">
        <f t="shared" si="296"/>
        <v>#VALUE!</v>
      </c>
      <c r="AQ363" s="660" t="e">
        <f t="shared" si="297"/>
        <v>#VALUE!</v>
      </c>
      <c r="AR363" s="667" t="e">
        <f t="shared" si="298"/>
        <v>#VALUE!</v>
      </c>
      <c r="AS363" s="667" t="e">
        <f t="shared" si="299"/>
        <v>#VALUE!</v>
      </c>
      <c r="AT363" s="668" t="e">
        <f t="shared" si="300"/>
        <v>#VALUE!</v>
      </c>
      <c r="AU363" s="667" t="e">
        <f t="shared" si="301"/>
        <v>#VALUE!</v>
      </c>
      <c r="AV363" s="669" t="e">
        <f t="shared" si="302"/>
        <v>#VALUE!</v>
      </c>
      <c r="AW363" s="667" t="e">
        <f t="shared" si="303"/>
        <v>#VALUE!</v>
      </c>
      <c r="AX363" s="667" t="e">
        <f t="shared" si="304"/>
        <v>#VALUE!</v>
      </c>
      <c r="AY363" s="660" t="e">
        <f t="shared" si="305"/>
        <v>#VALUE!</v>
      </c>
      <c r="AZ363" s="670" t="e">
        <f t="shared" si="306"/>
        <v>#VALUE!</v>
      </c>
      <c r="BB363" s="662" t="e">
        <f>INDEX('Barge Gauging Data'!$B$26:$V$56,MATCH($C363,'Barge Gauging Data'!$B$26:$B$56,0),$BB$198)</f>
        <v>#N/A</v>
      </c>
      <c r="BC363" s="662" t="e">
        <f>INDEX('Barge Gauging Data'!$B$26:$V$56,MATCH($C363,'Barge Gauging Data'!$B$26:$B$56,0),$BC$198)</f>
        <v>#N/A</v>
      </c>
      <c r="BD363" s="662" t="e">
        <f>INDEX('Barge Gauging Data'!$B$26:$V$56,MATCH($C363,'Barge Gauging Data'!$B$26:$B$56,0),$BD$198)</f>
        <v>#N/A</v>
      </c>
      <c r="BE363" s="662" t="e">
        <f>INDEX('Barge Gauging Data'!$B$26:$V$56,MATCH($C363,'Barge Gauging Data'!$B$26:$B$56,0),$BE$198)</f>
        <v>#N/A</v>
      </c>
    </row>
    <row r="364" spans="1:57" hidden="1">
      <c r="A364" s="641" t="str">
        <f t="shared" si="346"/>
        <v>N</v>
      </c>
      <c r="C364" s="235" t="str">
        <f t="shared" si="324"/>
        <v/>
      </c>
      <c r="D364" s="211" t="str">
        <f t="shared" si="324"/>
        <v/>
      </c>
      <c r="E364" s="1016" t="str">
        <f t="shared" si="323"/>
        <v/>
      </c>
      <c r="F364" s="1016" t="str">
        <f t="shared" si="325"/>
        <v/>
      </c>
      <c r="G364" s="1016" t="str">
        <f t="shared" si="326"/>
        <v/>
      </c>
      <c r="H364" s="1016" t="str">
        <f t="shared" si="326"/>
        <v/>
      </c>
      <c r="I364" s="211" t="str">
        <f t="shared" si="345"/>
        <v/>
      </c>
      <c r="J364" s="1016" t="str">
        <f t="shared" si="327"/>
        <v/>
      </c>
      <c r="K364" s="213" t="str">
        <f t="shared" si="328"/>
        <v/>
      </c>
      <c r="L364" s="212" t="str">
        <f t="shared" si="329"/>
        <v/>
      </c>
      <c r="M364" s="1125" t="str">
        <f>IF(OR($C364="",$C364=0),"",INDEX(API2DENST_2,MATCH($C364,'Barge Gauging Data'!$B$27:$B$56,0),$AA$1))</f>
        <v/>
      </c>
      <c r="N364" s="212" t="str">
        <f t="shared" si="330"/>
        <v/>
      </c>
      <c r="O364" s="1016" t="str">
        <f t="shared" si="337"/>
        <v/>
      </c>
      <c r="P364" s="1125" t="str">
        <f t="shared" si="338"/>
        <v/>
      </c>
      <c r="Q364" s="1016" t="str">
        <f t="shared" si="339"/>
        <v/>
      </c>
      <c r="R364" s="214" t="str">
        <f t="shared" si="340"/>
        <v/>
      </c>
      <c r="S364" s="1125" t="str">
        <f t="shared" si="341"/>
        <v/>
      </c>
      <c r="T364" s="236" t="str">
        <f t="shared" si="342"/>
        <v/>
      </c>
      <c r="W364" s="642" t="e">
        <f>INDEX('Barge Gauging Data'!$B$26:$V$56,MATCH($C364,'Barge Gauging Data'!$B$26:$B$56,0),$W$198)</f>
        <v>#N/A</v>
      </c>
      <c r="X364" s="642" t="e">
        <f>INDEX('Barge Gauging Data'!$B$26:$V$56,MATCH($C364,'Barge Gauging Data'!$B$26:$B$56,0),$X$198)</f>
        <v>#N/A</v>
      </c>
      <c r="Y364" s="642" t="e">
        <f>INDEX('Barge Gauging Data'!$B$26:$V$56,MATCH($C364,'Barge Gauging Data'!$B$26:$B$56,0),$Y$198)</f>
        <v>#N/A</v>
      </c>
      <c r="Z364" s="642" t="e">
        <f>INDEX('Barge Gauging Data'!$B$26:$V$56,MATCH($C364,'Barge Gauging Data'!$B$26:$B$56,0),$Z$198)</f>
        <v>#N/A</v>
      </c>
      <c r="AB364" s="642" t="e">
        <f>INDEX(API2DENST_2,MATCH($C364,'Barge Gauging Data'!$B$27:$B$56,0),1)</f>
        <v>#N/A</v>
      </c>
      <c r="AC364" s="642" t="e">
        <f t="shared" si="287"/>
        <v>#N/A</v>
      </c>
      <c r="AE364" s="661" t="e">
        <f t="shared" si="288"/>
        <v>#VALUE!</v>
      </c>
      <c r="AF364" s="661" t="e">
        <f t="shared" si="289"/>
        <v>#VALUE!</v>
      </c>
      <c r="AH364" s="662" t="str">
        <f t="shared" si="343"/>
        <v/>
      </c>
      <c r="AI364" s="662" t="str">
        <f t="shared" si="344"/>
        <v/>
      </c>
      <c r="AJ364" s="663">
        <f t="shared" si="290"/>
        <v>192.4571</v>
      </c>
      <c r="AK364" s="660">
        <f t="shared" si="291"/>
        <v>0.24379999999999999</v>
      </c>
      <c r="AL364" s="660" t="e">
        <f t="shared" si="292"/>
        <v>#VALUE!</v>
      </c>
      <c r="AM364" s="664" t="e">
        <f t="shared" si="293"/>
        <v>#VALUE!</v>
      </c>
      <c r="AN364" s="664" t="e">
        <f t="shared" si="294"/>
        <v>#VALUE!</v>
      </c>
      <c r="AO364" s="665" t="e">
        <f t="shared" si="295"/>
        <v>#VALUE!</v>
      </c>
      <c r="AP364" s="666" t="e">
        <f t="shared" si="296"/>
        <v>#VALUE!</v>
      </c>
      <c r="AQ364" s="660" t="e">
        <f t="shared" si="297"/>
        <v>#VALUE!</v>
      </c>
      <c r="AR364" s="667" t="e">
        <f t="shared" si="298"/>
        <v>#VALUE!</v>
      </c>
      <c r="AS364" s="667" t="e">
        <f t="shared" si="299"/>
        <v>#VALUE!</v>
      </c>
      <c r="AT364" s="668" t="e">
        <f t="shared" si="300"/>
        <v>#VALUE!</v>
      </c>
      <c r="AU364" s="667" t="e">
        <f t="shared" si="301"/>
        <v>#VALUE!</v>
      </c>
      <c r="AV364" s="669" t="e">
        <f t="shared" si="302"/>
        <v>#VALUE!</v>
      </c>
      <c r="AW364" s="667" t="e">
        <f t="shared" si="303"/>
        <v>#VALUE!</v>
      </c>
      <c r="AX364" s="667" t="e">
        <f t="shared" si="304"/>
        <v>#VALUE!</v>
      </c>
      <c r="AY364" s="660" t="e">
        <f t="shared" si="305"/>
        <v>#VALUE!</v>
      </c>
      <c r="AZ364" s="670" t="e">
        <f t="shared" si="306"/>
        <v>#VALUE!</v>
      </c>
      <c r="BB364" s="662" t="e">
        <f>INDEX('Barge Gauging Data'!$B$26:$V$56,MATCH($C364,'Barge Gauging Data'!$B$26:$B$56,0),$BB$198)</f>
        <v>#N/A</v>
      </c>
      <c r="BC364" s="662" t="e">
        <f>INDEX('Barge Gauging Data'!$B$26:$V$56,MATCH($C364,'Barge Gauging Data'!$B$26:$B$56,0),$BC$198)</f>
        <v>#N/A</v>
      </c>
      <c r="BD364" s="662" t="e">
        <f>INDEX('Barge Gauging Data'!$B$26:$V$56,MATCH($C364,'Barge Gauging Data'!$B$26:$B$56,0),$BD$198)</f>
        <v>#N/A</v>
      </c>
      <c r="BE364" s="662" t="e">
        <f>INDEX('Barge Gauging Data'!$B$26:$V$56,MATCH($C364,'Barge Gauging Data'!$B$26:$B$56,0),$BE$198)</f>
        <v>#N/A</v>
      </c>
    </row>
    <row r="365" spans="1:57" hidden="1">
      <c r="A365" s="641" t="str">
        <f t="shared" si="346"/>
        <v>N</v>
      </c>
      <c r="C365" s="235" t="str">
        <f t="shared" si="324"/>
        <v/>
      </c>
      <c r="D365" s="211" t="str">
        <f t="shared" si="324"/>
        <v/>
      </c>
      <c r="E365" s="1016" t="str">
        <f t="shared" si="323"/>
        <v/>
      </c>
      <c r="F365" s="1016" t="str">
        <f t="shared" si="325"/>
        <v/>
      </c>
      <c r="G365" s="1016" t="str">
        <f t="shared" si="326"/>
        <v/>
      </c>
      <c r="H365" s="1016" t="str">
        <f t="shared" si="326"/>
        <v/>
      </c>
      <c r="I365" s="211" t="str">
        <f t="shared" si="345"/>
        <v/>
      </c>
      <c r="J365" s="1016" t="str">
        <f t="shared" si="327"/>
        <v/>
      </c>
      <c r="K365" s="213" t="str">
        <f t="shared" si="328"/>
        <v/>
      </c>
      <c r="L365" s="212" t="str">
        <f t="shared" si="329"/>
        <v/>
      </c>
      <c r="M365" s="1125" t="str">
        <f>IF(OR($C365="",$C365=0),"",INDEX(API2DENST_2,MATCH($C365,'Barge Gauging Data'!$B$27:$B$56,0),$AA$1))</f>
        <v/>
      </c>
      <c r="N365" s="212" t="str">
        <f t="shared" si="330"/>
        <v/>
      </c>
      <c r="O365" s="1016" t="str">
        <f t="shared" si="337"/>
        <v/>
      </c>
      <c r="P365" s="1125" t="str">
        <f t="shared" si="338"/>
        <v/>
      </c>
      <c r="Q365" s="1016" t="str">
        <f t="shared" si="339"/>
        <v/>
      </c>
      <c r="R365" s="214" t="str">
        <f t="shared" si="340"/>
        <v/>
      </c>
      <c r="S365" s="1125" t="str">
        <f t="shared" si="341"/>
        <v/>
      </c>
      <c r="T365" s="236" t="str">
        <f t="shared" si="342"/>
        <v/>
      </c>
      <c r="W365" s="642" t="e">
        <f>INDEX('Barge Gauging Data'!$B$26:$V$56,MATCH($C365,'Barge Gauging Data'!$B$26:$B$56,0),$W$198)</f>
        <v>#N/A</v>
      </c>
      <c r="X365" s="642" t="e">
        <f>INDEX('Barge Gauging Data'!$B$26:$V$56,MATCH($C365,'Barge Gauging Data'!$B$26:$B$56,0),$X$198)</f>
        <v>#N/A</v>
      </c>
      <c r="Y365" s="642" t="e">
        <f>INDEX('Barge Gauging Data'!$B$26:$V$56,MATCH($C365,'Barge Gauging Data'!$B$26:$B$56,0),$Y$198)</f>
        <v>#N/A</v>
      </c>
      <c r="Z365" s="642" t="e">
        <f>INDEX('Barge Gauging Data'!$B$26:$V$56,MATCH($C365,'Barge Gauging Data'!$B$26:$B$56,0),$Z$198)</f>
        <v>#N/A</v>
      </c>
      <c r="AB365" s="642" t="e">
        <f>INDEX(API2DENST_2,MATCH($C365,'Barge Gauging Data'!$B$27:$B$56,0),1)</f>
        <v>#N/A</v>
      </c>
      <c r="AC365" s="642" t="e">
        <f t="shared" si="287"/>
        <v>#N/A</v>
      </c>
      <c r="AE365" s="661" t="e">
        <f t="shared" si="288"/>
        <v>#VALUE!</v>
      </c>
      <c r="AF365" s="661" t="e">
        <f t="shared" si="289"/>
        <v>#VALUE!</v>
      </c>
      <c r="AH365" s="662" t="str">
        <f t="shared" si="343"/>
        <v/>
      </c>
      <c r="AI365" s="662" t="str">
        <f t="shared" si="344"/>
        <v/>
      </c>
      <c r="AJ365" s="663">
        <f t="shared" si="290"/>
        <v>192.4571</v>
      </c>
      <c r="AK365" s="660">
        <f t="shared" si="291"/>
        <v>0.24379999999999999</v>
      </c>
      <c r="AL365" s="660" t="e">
        <f t="shared" si="292"/>
        <v>#VALUE!</v>
      </c>
      <c r="AM365" s="664" t="e">
        <f t="shared" si="293"/>
        <v>#VALUE!</v>
      </c>
      <c r="AN365" s="664" t="e">
        <f t="shared" si="294"/>
        <v>#VALUE!</v>
      </c>
      <c r="AO365" s="665" t="e">
        <f t="shared" si="295"/>
        <v>#VALUE!</v>
      </c>
      <c r="AP365" s="666" t="e">
        <f t="shared" si="296"/>
        <v>#VALUE!</v>
      </c>
      <c r="AQ365" s="660" t="e">
        <f t="shared" si="297"/>
        <v>#VALUE!</v>
      </c>
      <c r="AR365" s="667" t="e">
        <f t="shared" si="298"/>
        <v>#VALUE!</v>
      </c>
      <c r="AS365" s="667" t="e">
        <f t="shared" si="299"/>
        <v>#VALUE!</v>
      </c>
      <c r="AT365" s="668" t="e">
        <f t="shared" si="300"/>
        <v>#VALUE!</v>
      </c>
      <c r="AU365" s="667" t="e">
        <f t="shared" si="301"/>
        <v>#VALUE!</v>
      </c>
      <c r="AV365" s="669" t="e">
        <f t="shared" si="302"/>
        <v>#VALUE!</v>
      </c>
      <c r="AW365" s="667" t="e">
        <f t="shared" si="303"/>
        <v>#VALUE!</v>
      </c>
      <c r="AX365" s="667" t="e">
        <f t="shared" si="304"/>
        <v>#VALUE!</v>
      </c>
      <c r="AY365" s="660" t="e">
        <f t="shared" si="305"/>
        <v>#VALUE!</v>
      </c>
      <c r="AZ365" s="670" t="e">
        <f t="shared" si="306"/>
        <v>#VALUE!</v>
      </c>
      <c r="BB365" s="662" t="e">
        <f>INDEX('Barge Gauging Data'!$B$26:$V$56,MATCH($C365,'Barge Gauging Data'!$B$26:$B$56,0),$BB$198)</f>
        <v>#N/A</v>
      </c>
      <c r="BC365" s="662" t="e">
        <f>INDEX('Barge Gauging Data'!$B$26:$V$56,MATCH($C365,'Barge Gauging Data'!$B$26:$B$56,0),$BC$198)</f>
        <v>#N/A</v>
      </c>
      <c r="BD365" s="662" t="e">
        <f>INDEX('Barge Gauging Data'!$B$26:$V$56,MATCH($C365,'Barge Gauging Data'!$B$26:$B$56,0),$BD$198)</f>
        <v>#N/A</v>
      </c>
      <c r="BE365" s="662" t="e">
        <f>INDEX('Barge Gauging Data'!$B$26:$V$56,MATCH($C365,'Barge Gauging Data'!$B$26:$B$56,0),$BE$198)</f>
        <v>#N/A</v>
      </c>
    </row>
    <row r="366" spans="1:57" hidden="1">
      <c r="A366" s="641" t="str">
        <f t="shared" si="346"/>
        <v>N</v>
      </c>
      <c r="C366" s="237" t="str">
        <f t="shared" si="324"/>
        <v/>
      </c>
      <c r="D366" s="238" t="str">
        <f t="shared" si="324"/>
        <v/>
      </c>
      <c r="E366" s="1017" t="str">
        <f t="shared" si="323"/>
        <v/>
      </c>
      <c r="F366" s="1017" t="str">
        <f t="shared" si="325"/>
        <v/>
      </c>
      <c r="G366" s="1017" t="str">
        <f t="shared" si="326"/>
        <v/>
      </c>
      <c r="H366" s="1017" t="str">
        <f t="shared" si="326"/>
        <v/>
      </c>
      <c r="I366" s="238" t="str">
        <f t="shared" si="345"/>
        <v/>
      </c>
      <c r="J366" s="1017" t="str">
        <f t="shared" si="327"/>
        <v/>
      </c>
      <c r="K366" s="240" t="str">
        <f t="shared" si="328"/>
        <v/>
      </c>
      <c r="L366" s="239" t="str">
        <f t="shared" si="329"/>
        <v/>
      </c>
      <c r="M366" s="1126" t="str">
        <f>IF(OR($C366="",$C366=0),"",INDEX(API2DENST_2,MATCH($C366,'Barge Gauging Data'!$B$27:$B$56,0),$AA$1))</f>
        <v/>
      </c>
      <c r="N366" s="239" t="str">
        <f t="shared" si="330"/>
        <v/>
      </c>
      <c r="O366" s="1017" t="str">
        <f t="shared" si="337"/>
        <v/>
      </c>
      <c r="P366" s="1126" t="str">
        <f t="shared" si="338"/>
        <v/>
      </c>
      <c r="Q366" s="1017" t="str">
        <f t="shared" si="339"/>
        <v/>
      </c>
      <c r="R366" s="241" t="str">
        <f t="shared" si="340"/>
        <v/>
      </c>
      <c r="S366" s="1126" t="str">
        <f t="shared" si="341"/>
        <v/>
      </c>
      <c r="T366" s="242" t="str">
        <f t="shared" si="342"/>
        <v/>
      </c>
      <c r="W366" s="642" t="e">
        <f>INDEX('Barge Gauging Data'!$B$26:$V$56,MATCH($C366,'Barge Gauging Data'!$B$26:$B$56,0),$W$198)</f>
        <v>#N/A</v>
      </c>
      <c r="X366" s="642" t="e">
        <f>INDEX('Barge Gauging Data'!$B$26:$V$56,MATCH($C366,'Barge Gauging Data'!$B$26:$B$56,0),$X$198)</f>
        <v>#N/A</v>
      </c>
      <c r="Y366" s="642" t="e">
        <f>INDEX('Barge Gauging Data'!$B$26:$V$56,MATCH($C366,'Barge Gauging Data'!$B$26:$B$56,0),$Y$198)</f>
        <v>#N/A</v>
      </c>
      <c r="Z366" s="642" t="e">
        <f>INDEX('Barge Gauging Data'!$B$26:$V$56,MATCH($C366,'Barge Gauging Data'!$B$26:$B$56,0),$Z$198)</f>
        <v>#N/A</v>
      </c>
      <c r="AB366" s="642" t="e">
        <f>INDEX(API2DENST_2,MATCH($C366,'Barge Gauging Data'!$B$27:$B$56,0),1)</f>
        <v>#N/A</v>
      </c>
      <c r="AC366" s="642" t="e">
        <f t="shared" si="287"/>
        <v>#N/A</v>
      </c>
      <c r="AE366" s="661" t="e">
        <f t="shared" si="288"/>
        <v>#VALUE!</v>
      </c>
      <c r="AF366" s="661" t="e">
        <f t="shared" si="289"/>
        <v>#VALUE!</v>
      </c>
      <c r="AH366" s="662" t="str">
        <f t="shared" si="343"/>
        <v/>
      </c>
      <c r="AI366" s="662" t="str">
        <f t="shared" si="344"/>
        <v/>
      </c>
      <c r="AJ366" s="663">
        <f t="shared" si="290"/>
        <v>192.4571</v>
      </c>
      <c r="AK366" s="660">
        <f t="shared" si="291"/>
        <v>0.24379999999999999</v>
      </c>
      <c r="AL366" s="660" t="e">
        <f t="shared" si="292"/>
        <v>#VALUE!</v>
      </c>
      <c r="AM366" s="664" t="e">
        <f t="shared" si="293"/>
        <v>#VALUE!</v>
      </c>
      <c r="AN366" s="664" t="e">
        <f t="shared" si="294"/>
        <v>#VALUE!</v>
      </c>
      <c r="AO366" s="665" t="e">
        <f t="shared" si="295"/>
        <v>#VALUE!</v>
      </c>
      <c r="AP366" s="666" t="e">
        <f t="shared" si="296"/>
        <v>#VALUE!</v>
      </c>
      <c r="AQ366" s="660" t="e">
        <f t="shared" si="297"/>
        <v>#VALUE!</v>
      </c>
      <c r="AR366" s="667" t="e">
        <f t="shared" si="298"/>
        <v>#VALUE!</v>
      </c>
      <c r="AS366" s="667" t="e">
        <f t="shared" si="299"/>
        <v>#VALUE!</v>
      </c>
      <c r="AT366" s="668" t="e">
        <f t="shared" si="300"/>
        <v>#VALUE!</v>
      </c>
      <c r="AU366" s="667" t="e">
        <f t="shared" si="301"/>
        <v>#VALUE!</v>
      </c>
      <c r="AV366" s="669" t="e">
        <f t="shared" si="302"/>
        <v>#VALUE!</v>
      </c>
      <c r="AW366" s="667" t="e">
        <f t="shared" si="303"/>
        <v>#VALUE!</v>
      </c>
      <c r="AX366" s="667" t="e">
        <f t="shared" si="304"/>
        <v>#VALUE!</v>
      </c>
      <c r="AY366" s="660" t="e">
        <f t="shared" si="305"/>
        <v>#VALUE!</v>
      </c>
      <c r="AZ366" s="670" t="e">
        <f t="shared" si="306"/>
        <v>#VALUE!</v>
      </c>
      <c r="BB366" s="662" t="e">
        <f>INDEX('Barge Gauging Data'!$B$26:$V$56,MATCH($C366,'Barge Gauging Data'!$B$26:$B$56,0),$BB$198)</f>
        <v>#N/A</v>
      </c>
      <c r="BC366" s="662" t="e">
        <f>INDEX('Barge Gauging Data'!$B$26:$V$56,MATCH($C366,'Barge Gauging Data'!$B$26:$B$56,0),$BC$198)</f>
        <v>#N/A</v>
      </c>
      <c r="BD366" s="662" t="e">
        <f>INDEX('Barge Gauging Data'!$B$26:$V$56,MATCH($C366,'Barge Gauging Data'!$B$26:$B$56,0),$BD$198)</f>
        <v>#N/A</v>
      </c>
      <c r="BE366" s="662" t="e">
        <f>INDEX('Barge Gauging Data'!$B$26:$V$56,MATCH($C366,'Barge Gauging Data'!$B$26:$B$56,0),$BE$198)</f>
        <v>#N/A</v>
      </c>
    </row>
    <row r="367" spans="1:57" hidden="1">
      <c r="A367" s="641" t="str">
        <f t="shared" si="346"/>
        <v>N</v>
      </c>
      <c r="C367" s="671"/>
      <c r="D367" s="671"/>
      <c r="E367" s="672"/>
      <c r="F367" s="672"/>
      <c r="G367" s="672"/>
      <c r="H367" s="1501"/>
      <c r="I367" s="671"/>
      <c r="J367" s="672"/>
      <c r="K367" s="673"/>
      <c r="L367" s="672"/>
      <c r="M367" s="674"/>
      <c r="N367" s="672"/>
      <c r="O367" s="672"/>
      <c r="P367" s="674"/>
      <c r="Q367" s="674"/>
      <c r="R367" s="675"/>
      <c r="S367" s="1138" t="s">
        <v>401</v>
      </c>
      <c r="T367" s="620">
        <f>SUM(T337:T366)</f>
        <v>0</v>
      </c>
      <c r="V367" s="1163">
        <f>SUM(Q337:Q366)</f>
        <v>0</v>
      </c>
      <c r="W367" s="1163">
        <f>SUM(R337:R366)</f>
        <v>0</v>
      </c>
      <c r="X367" s="676"/>
      <c r="Y367" s="676"/>
      <c r="Z367" s="676"/>
      <c r="AB367" s="676"/>
      <c r="AC367" s="676"/>
      <c r="AE367" s="677"/>
      <c r="AF367" s="677"/>
      <c r="AH367" s="678"/>
      <c r="AI367" s="678"/>
      <c r="AJ367" s="679"/>
      <c r="AK367" s="680"/>
      <c r="AL367" s="680"/>
      <c r="AM367" s="681"/>
      <c r="AN367" s="681"/>
      <c r="AO367" s="682"/>
      <c r="AP367" s="683"/>
      <c r="AQ367" s="680"/>
      <c r="AR367" s="684"/>
      <c r="AS367" s="684"/>
      <c r="AT367" s="685"/>
      <c r="AU367" s="684"/>
      <c r="AV367" s="686"/>
      <c r="AW367" s="684"/>
      <c r="AX367" s="684"/>
      <c r="AY367" s="680"/>
      <c r="AZ367" s="687"/>
      <c r="BB367" s="678"/>
      <c r="BC367" s="678"/>
      <c r="BD367" s="678"/>
      <c r="BE367" s="678"/>
    </row>
    <row r="368" spans="1:57" s="702" customFormat="1" ht="5.25">
      <c r="A368" s="702" t="s">
        <v>284</v>
      </c>
      <c r="C368" s="704"/>
      <c r="D368" s="704"/>
      <c r="E368" s="704"/>
      <c r="F368" s="704"/>
      <c r="G368" s="704"/>
      <c r="H368" s="704"/>
      <c r="I368" s="704"/>
      <c r="J368" s="705"/>
      <c r="K368" s="705"/>
      <c r="L368" s="705"/>
      <c r="M368" s="705"/>
      <c r="N368" s="705"/>
      <c r="O368" s="705"/>
      <c r="P368" s="705"/>
      <c r="Q368" s="705"/>
      <c r="R368" s="705"/>
      <c r="S368" s="706"/>
      <c r="T368" s="706"/>
      <c r="V368" s="707"/>
      <c r="W368" s="707"/>
      <c r="X368" s="707"/>
      <c r="Y368" s="707"/>
      <c r="Z368" s="707"/>
      <c r="AA368" s="707"/>
      <c r="AB368" s="707"/>
      <c r="AC368" s="707"/>
      <c r="AD368" s="707"/>
      <c r="AE368" s="708"/>
      <c r="AF368" s="708"/>
      <c r="AG368" s="707"/>
      <c r="AH368" s="709"/>
      <c r="AI368" s="709"/>
      <c r="AJ368" s="710"/>
      <c r="AK368" s="711"/>
      <c r="AL368" s="711"/>
      <c r="AM368" s="712"/>
      <c r="AN368" s="712"/>
      <c r="AO368" s="713"/>
      <c r="AP368" s="714"/>
      <c r="AQ368" s="711"/>
      <c r="AR368" s="715"/>
      <c r="AS368" s="715"/>
      <c r="AT368" s="716"/>
      <c r="AU368" s="715"/>
      <c r="AV368" s="717"/>
      <c r="AW368" s="715"/>
      <c r="AX368" s="715"/>
      <c r="AY368" s="711"/>
      <c r="AZ368" s="718"/>
      <c r="BA368" s="707"/>
      <c r="BB368" s="709"/>
      <c r="BC368" s="709"/>
      <c r="BD368" s="709"/>
      <c r="BE368" s="709"/>
    </row>
    <row r="369" spans="1:32" hidden="1">
      <c r="A369" s="654" t="str">
        <f>IF(SUMCALC="No","N","Y")</f>
        <v>N</v>
      </c>
      <c r="C369" s="777" t="str">
        <f>C196</f>
        <v>AFTER BUNKERING (CLOSING GAUGING)</v>
      </c>
      <c r="D369" s="778"/>
      <c r="E369" s="778"/>
      <c r="F369" s="778"/>
      <c r="G369" s="778" t="s">
        <v>401</v>
      </c>
      <c r="H369" s="1506"/>
      <c r="I369" s="779"/>
      <c r="J369" s="780">
        <f>SUMIF($A198:$A366,"Y",(J198:J366))</f>
        <v>30.55</v>
      </c>
      <c r="K369" s="780"/>
      <c r="L369" s="780">
        <f>SUMIF($A198:$A366,"Y",(L198:L366))</f>
        <v>0</v>
      </c>
      <c r="M369" s="780"/>
      <c r="N369" s="780"/>
      <c r="O369" s="780">
        <f>SUMIF($A198:$A366,"Y",(O198:O366))</f>
        <v>30.55</v>
      </c>
      <c r="P369" s="780"/>
      <c r="Q369" s="780">
        <f>SUMIF($A198:$A366,"Y",(Q198:Q366))</f>
        <v>30.315999999999999</v>
      </c>
      <c r="R369" s="780">
        <f>SUMIF($A198:$A366,"Y",(R198:R366))</f>
        <v>25.32</v>
      </c>
      <c r="S369" s="780"/>
      <c r="T369" s="781">
        <f>SUMIF($A198:$A367,"Y",(T198:T367))/2</f>
        <v>25.286000000000001</v>
      </c>
      <c r="Z369" s="689"/>
      <c r="AB369" s="689"/>
      <c r="AC369" s="689"/>
      <c r="AD369" s="689"/>
      <c r="AE369" s="689"/>
      <c r="AF369" s="689"/>
    </row>
    <row r="370" spans="1:32" hidden="1">
      <c r="A370" s="688" t="str">
        <f>A369</f>
        <v>N</v>
      </c>
      <c r="C370" s="782"/>
      <c r="D370" s="783"/>
      <c r="E370" s="783"/>
      <c r="F370" s="783"/>
      <c r="G370" s="783" t="s">
        <v>403</v>
      </c>
      <c r="H370" s="783"/>
      <c r="I370" s="784"/>
      <c r="J370" s="785">
        <f>SUMIF($A198:$A333,"Y",(J198:J333))</f>
        <v>30.55</v>
      </c>
      <c r="K370" s="785"/>
      <c r="L370" s="785">
        <f>SUMIF($A198:$A333,"Y",(L198:L333))</f>
        <v>0</v>
      </c>
      <c r="M370" s="785"/>
      <c r="N370" s="785"/>
      <c r="O370" s="785">
        <f>SUMIF($A198:$A333,"Y",(O198:O333))</f>
        <v>30.55</v>
      </c>
      <c r="P370" s="785"/>
      <c r="Q370" s="785">
        <f>SUMIF($A198:$A333,"Y",(Q198:Q333))</f>
        <v>30.315999999999999</v>
      </c>
      <c r="R370" s="785">
        <f>SUMIF($A198:$A333,"Y",(R198:R333))</f>
        <v>25.32</v>
      </c>
      <c r="S370" s="785"/>
      <c r="T370" s="786">
        <f>SUMIF($A198:$A334,"Y",(T198:T334))/2</f>
        <v>25.286000000000001</v>
      </c>
      <c r="Z370" s="689"/>
      <c r="AB370" s="689"/>
      <c r="AC370" s="689"/>
      <c r="AD370" s="689"/>
      <c r="AE370" s="689"/>
      <c r="AF370" s="689"/>
    </row>
    <row r="371" spans="1:32" hidden="1">
      <c r="A371" s="688" t="str">
        <f>A369</f>
        <v>N</v>
      </c>
      <c r="C371" s="787"/>
      <c r="D371" s="788"/>
      <c r="E371" s="788"/>
      <c r="F371" s="788"/>
      <c r="G371" s="788" t="s">
        <v>402</v>
      </c>
      <c r="H371" s="788"/>
      <c r="I371" s="789"/>
      <c r="J371" s="790">
        <f>SUMIF($A336:$A366,"Y",(J336:J366))</f>
        <v>0</v>
      </c>
      <c r="K371" s="790"/>
      <c r="L371" s="790">
        <f>SUMIF($A336:$A366,"Y",(L336:L366))</f>
        <v>0</v>
      </c>
      <c r="M371" s="790"/>
      <c r="N371" s="790"/>
      <c r="O371" s="790">
        <f>SUMIF($A336:$A366,"Y",(O336:O366))</f>
        <v>0</v>
      </c>
      <c r="P371" s="790"/>
      <c r="Q371" s="790">
        <f>SUMIF($A336:$A366,"Y",(Q336:Q366))</f>
        <v>0</v>
      </c>
      <c r="R371" s="790">
        <f>SUMIF($A336:$A366,"Y",(R336:R366))</f>
        <v>0</v>
      </c>
      <c r="S371" s="790"/>
      <c r="T371" s="791">
        <f>SUMIF($A336:$A367,"Y",(T336:T367))/2</f>
        <v>0</v>
      </c>
      <c r="Z371" s="689"/>
      <c r="AB371" s="689"/>
      <c r="AC371" s="689"/>
      <c r="AD371" s="689"/>
      <c r="AE371" s="689"/>
      <c r="AF371" s="689"/>
    </row>
    <row r="372" spans="1:32" s="702" customFormat="1" ht="5.25" hidden="1">
      <c r="A372" s="702" t="str">
        <f>A369</f>
        <v>N</v>
      </c>
      <c r="Z372" s="708"/>
      <c r="AA372" s="708"/>
      <c r="AB372" s="708"/>
      <c r="AC372" s="708"/>
      <c r="AD372" s="708"/>
      <c r="AE372" s="708"/>
    </row>
    <row r="373" spans="1:32" ht="15.75">
      <c r="A373" s="690" t="s">
        <v>284</v>
      </c>
      <c r="C373" s="628"/>
      <c r="D373" s="629"/>
      <c r="E373" s="629"/>
      <c r="F373" s="629"/>
      <c r="G373" s="629"/>
      <c r="H373" s="629"/>
      <c r="I373" s="629"/>
      <c r="J373" s="630"/>
      <c r="K373" s="631"/>
      <c r="L373" s="630"/>
      <c r="M373" s="629" t="str">
        <f>"TOTAL DELIVERED ("&amp;INDEX('STANDARD SETT'!H15:L15,1,GRADECHNO_2)&amp;"):"</f>
        <v>TOTAL DELIVERED ():</v>
      </c>
      <c r="N373" s="629"/>
      <c r="O373" s="632" t="str">
        <f>IF(SUMCALC="No","",O193-O370)</f>
        <v/>
      </c>
      <c r="P373" s="633"/>
      <c r="Q373" s="632" t="str">
        <f>IF(SUMCALC="No","",Q193-Q370)</f>
        <v/>
      </c>
      <c r="R373" s="632" t="str">
        <f>IF(SUMCALC="No","",R193-R370)</f>
        <v/>
      </c>
      <c r="S373" s="2809">
        <f>T193-T370</f>
        <v>40.209000000000003</v>
      </c>
      <c r="T373" s="2810">
        <f>T370-T193</f>
        <v>-40.209000000000003</v>
      </c>
      <c r="Z373" s="689"/>
      <c r="AA373" s="689"/>
      <c r="AB373" s="689"/>
      <c r="AC373" s="689"/>
      <c r="AD373" s="689"/>
      <c r="AE373" s="689"/>
    </row>
    <row r="374" spans="1:32" ht="15.75">
      <c r="A374" s="690" t="s">
        <v>284</v>
      </c>
      <c r="C374" s="634"/>
      <c r="D374" s="635"/>
      <c r="E374" s="635"/>
      <c r="F374" s="635"/>
      <c r="G374" s="635"/>
      <c r="H374" s="635"/>
      <c r="I374" s="635"/>
      <c r="J374" s="636"/>
      <c r="K374" s="637"/>
      <c r="L374" s="636"/>
      <c r="M374" s="635" t="s">
        <v>616</v>
      </c>
      <c r="N374" s="635"/>
      <c r="O374" s="638" t="str">
        <f>IF(SUMCALC="No","",O194-O371)</f>
        <v/>
      </c>
      <c r="P374" s="639"/>
      <c r="Q374" s="638" t="str">
        <f>IF(SUMCALC="No","",Q194-Q371)</f>
        <v/>
      </c>
      <c r="R374" s="638" t="str">
        <f>IF(SUMCALC="No","",R194-R371)</f>
        <v/>
      </c>
      <c r="S374" s="2811">
        <f>T194-T371</f>
        <v>0</v>
      </c>
      <c r="T374" s="2812"/>
      <c r="Z374" s="689"/>
      <c r="AA374" s="689"/>
      <c r="AB374" s="689"/>
      <c r="AC374" s="689"/>
      <c r="AD374" s="689"/>
      <c r="AE374" s="689"/>
    </row>
    <row r="375" spans="1:32" s="702" customFormat="1" ht="5.25">
      <c r="A375" s="702" t="s">
        <v>284</v>
      </c>
      <c r="Z375" s="708"/>
      <c r="AA375" s="708"/>
      <c r="AB375" s="708"/>
      <c r="AC375" s="708"/>
      <c r="AD375" s="708"/>
      <c r="AE375" s="708"/>
    </row>
    <row r="376" spans="1:32" ht="15.75">
      <c r="A376" s="690" t="s">
        <v>284</v>
      </c>
      <c r="C376" s="628"/>
      <c r="D376" s="629"/>
      <c r="E376" s="629"/>
      <c r="F376" s="629"/>
      <c r="G376" s="629"/>
      <c r="H376" s="629"/>
      <c r="I376" s="629"/>
      <c r="J376" s="630"/>
      <c r="K376" s="631"/>
      <c r="L376" s="630"/>
      <c r="M376" s="629" t="s">
        <v>874</v>
      </c>
      <c r="N376" s="629"/>
      <c r="O376" s="743" t="str">
        <f>IF(O377="","",'STANDARD SETT'!$O16)</f>
        <v/>
      </c>
      <c r="P376" s="743" t="str">
        <f>IF(P377="","",'STANDARD SETT'!$O17)</f>
        <v/>
      </c>
      <c r="Q376" s="744" t="str">
        <f>IF(Q377="","",'STANDARD SETT'!$O18)</f>
        <v/>
      </c>
      <c r="R376" s="743" t="str">
        <f>IF(R377="","",'STANDARD SETT'!$O19)</f>
        <v/>
      </c>
      <c r="S376" s="744" t="str">
        <f>IF(S377="","",'STANDARD SETT'!$O20)</f>
        <v/>
      </c>
      <c r="T376" s="745" t="str">
        <f>IF(T377="","",'STANDARD SETT'!$O21)</f>
        <v>LSMGO</v>
      </c>
      <c r="Z376" s="689"/>
      <c r="AA376" s="689"/>
      <c r="AB376" s="689"/>
      <c r="AC376" s="689"/>
      <c r="AD376" s="689"/>
      <c r="AE376" s="689"/>
    </row>
    <row r="377" spans="1:32" ht="15.75">
      <c r="A377" s="690" t="s">
        <v>284</v>
      </c>
      <c r="C377" s="634"/>
      <c r="D377" s="635"/>
      <c r="E377" s="635"/>
      <c r="F377" s="635"/>
      <c r="G377" s="635"/>
      <c r="H377" s="635"/>
      <c r="I377" s="635"/>
      <c r="J377" s="636"/>
      <c r="K377" s="637"/>
      <c r="L377" s="636"/>
      <c r="M377" s="635" t="s">
        <v>312</v>
      </c>
      <c r="N377" s="635"/>
      <c r="O377" s="638" t="str">
        <f>IF($A21="Y",$T42-$T219,"")</f>
        <v/>
      </c>
      <c r="P377" s="638" t="str">
        <f>IF($A44="Y",$T65-$T242,"")</f>
        <v/>
      </c>
      <c r="Q377" s="638" t="str">
        <f>IF($A67="Y",$T88-$T265,"")</f>
        <v/>
      </c>
      <c r="R377" s="638" t="str">
        <f>IF($A90="Y",$T111-$T288,"")</f>
        <v/>
      </c>
      <c r="S377" s="638" t="str">
        <f>IF($A113="Y",$T134-$T311,"")</f>
        <v/>
      </c>
      <c r="T377" s="746">
        <f>IF($A136="Y",$T157-$T334,"")</f>
        <v>40.209000000000003</v>
      </c>
      <c r="Z377" s="689"/>
      <c r="AA377" s="689"/>
      <c r="AB377" s="689"/>
      <c r="AC377" s="689"/>
      <c r="AD377" s="689"/>
      <c r="AE377" s="689"/>
    </row>
    <row r="378" spans="1:32" ht="7.5" customHeight="1">
      <c r="A378" s="688" t="s">
        <v>284</v>
      </c>
      <c r="Z378" s="689"/>
      <c r="AA378" s="689"/>
      <c r="AB378" s="689"/>
      <c r="AC378" s="689"/>
      <c r="AD378" s="689"/>
      <c r="AE378" s="689"/>
    </row>
    <row r="379" spans="1:32">
      <c r="A379" s="654" t="s">
        <v>284</v>
      </c>
      <c r="C379" s="691" t="s">
        <v>179</v>
      </c>
      <c r="D379" s="2818"/>
      <c r="E379" s="2819"/>
      <c r="F379" s="2819"/>
      <c r="G379" s="2819"/>
      <c r="H379" s="2819"/>
      <c r="I379" s="2819"/>
      <c r="J379" s="2819"/>
      <c r="K379" s="2819"/>
      <c r="L379" s="2819"/>
      <c r="M379" s="2819"/>
      <c r="N379" s="2819"/>
      <c r="O379" s="2819"/>
      <c r="P379" s="2819"/>
      <c r="Q379" s="2819"/>
      <c r="R379" s="2820"/>
      <c r="Z379" s="689"/>
      <c r="AA379" s="689"/>
      <c r="AB379" s="689"/>
      <c r="AC379" s="689"/>
      <c r="AD379" s="689"/>
      <c r="AE379" s="689"/>
    </row>
    <row r="380" spans="1:32">
      <c r="A380" s="654" t="s">
        <v>284</v>
      </c>
      <c r="D380" s="2818"/>
      <c r="E380" s="2819"/>
      <c r="F380" s="2819"/>
      <c r="G380" s="2819"/>
      <c r="H380" s="2819"/>
      <c r="I380" s="2819"/>
      <c r="J380" s="2819"/>
      <c r="K380" s="2819"/>
      <c r="L380" s="2819"/>
      <c r="M380" s="2819"/>
      <c r="N380" s="2819"/>
      <c r="O380" s="2819"/>
      <c r="P380" s="2819"/>
      <c r="Q380" s="2819"/>
      <c r="R380" s="2820"/>
      <c r="Z380" s="689"/>
      <c r="AA380" s="689"/>
      <c r="AB380" s="689"/>
      <c r="AC380" s="689"/>
      <c r="AD380" s="689"/>
      <c r="AE380" s="689"/>
    </row>
    <row r="381" spans="1:32">
      <c r="A381" s="654" t="s">
        <v>284</v>
      </c>
      <c r="D381" s="2818"/>
      <c r="E381" s="2819"/>
      <c r="F381" s="2819"/>
      <c r="G381" s="2819"/>
      <c r="H381" s="2819"/>
      <c r="I381" s="2819"/>
      <c r="J381" s="2819"/>
      <c r="K381" s="2819"/>
      <c r="L381" s="2819"/>
      <c r="M381" s="2819"/>
      <c r="N381" s="2819"/>
      <c r="O381" s="2819"/>
      <c r="P381" s="2819"/>
      <c r="Q381" s="2819"/>
      <c r="R381" s="2820"/>
      <c r="Z381" s="689"/>
      <c r="AA381" s="689"/>
      <c r="AB381" s="689"/>
      <c r="AC381" s="689"/>
      <c r="AD381" s="689"/>
      <c r="AE381" s="689"/>
    </row>
    <row r="382" spans="1:32">
      <c r="A382" s="654" t="s">
        <v>284</v>
      </c>
      <c r="Z382" s="689"/>
      <c r="AA382" s="689"/>
      <c r="AB382" s="689"/>
      <c r="AC382" s="689"/>
      <c r="AD382" s="689"/>
      <c r="AE382" s="689"/>
    </row>
    <row r="383" spans="1:32">
      <c r="A383" s="654" t="s">
        <v>284</v>
      </c>
      <c r="Z383" s="689"/>
      <c r="AA383" s="689"/>
      <c r="AB383" s="689"/>
      <c r="AC383" s="689"/>
      <c r="AD383" s="689"/>
      <c r="AE383" s="689"/>
    </row>
    <row r="384" spans="1:32">
      <c r="A384" s="654" t="s">
        <v>284</v>
      </c>
      <c r="Z384" s="689"/>
      <c r="AA384" s="689"/>
      <c r="AB384" s="689"/>
      <c r="AC384" s="689"/>
      <c r="AD384" s="689"/>
      <c r="AE384" s="689"/>
    </row>
    <row r="385" spans="1:31">
      <c r="A385" s="654" t="s">
        <v>284</v>
      </c>
      <c r="C385" s="2807" t="str">
        <f>CHENG</f>
        <v>CANO ARTHUR D. CADAVOS</v>
      </c>
      <c r="D385" s="2807"/>
      <c r="E385" s="2807"/>
      <c r="R385" s="2808" t="str">
        <f>SURVEYOR</f>
        <v>MEHMET EROĞLU</v>
      </c>
      <c r="S385" s="2808"/>
      <c r="T385" s="2808"/>
      <c r="Z385" s="689"/>
      <c r="AA385" s="689"/>
      <c r="AB385" s="689"/>
      <c r="AC385" s="689"/>
      <c r="AD385" s="689"/>
      <c r="AE385" s="689"/>
    </row>
    <row r="386" spans="1:31">
      <c r="A386" s="654" t="s">
        <v>284</v>
      </c>
      <c r="C386" s="2379" t="s">
        <v>15</v>
      </c>
      <c r="D386" s="2379"/>
      <c r="E386" s="2379"/>
      <c r="R386" s="2386" t="str">
        <f>"Bunker Surveyor"&amp;IF(SPORE=TRUE,", License No. "&amp;SURVLIC,"")</f>
        <v>Bunker Surveyor</v>
      </c>
      <c r="S386" s="2815"/>
      <c r="T386" s="2815"/>
      <c r="Z386" s="689"/>
      <c r="AA386" s="689"/>
      <c r="AB386" s="689"/>
      <c r="AC386" s="689"/>
      <c r="AD386" s="689"/>
      <c r="AE386" s="689"/>
    </row>
    <row r="387" spans="1:31" ht="2.25" customHeight="1"/>
  </sheetData>
  <sheetProtection autoFilter="0"/>
  <autoFilter ref="A17:A386" xr:uid="{00000000-0009-0000-0000-000014000000}">
    <filterColumn colId="0">
      <filters>
        <filter val="Y"/>
      </filters>
    </filterColumn>
  </autoFilter>
  <mergeCells count="44">
    <mergeCell ref="D381:R381"/>
    <mergeCell ref="C385:E385"/>
    <mergeCell ref="R385:T385"/>
    <mergeCell ref="C386:E386"/>
    <mergeCell ref="R386:T386"/>
    <mergeCell ref="D380:R380"/>
    <mergeCell ref="C244:D244"/>
    <mergeCell ref="E244:I244"/>
    <mergeCell ref="C267:D267"/>
    <mergeCell ref="E267:I267"/>
    <mergeCell ref="C290:D290"/>
    <mergeCell ref="E290:I290"/>
    <mergeCell ref="C313:D313"/>
    <mergeCell ref="E313:I313"/>
    <mergeCell ref="C336:D336"/>
    <mergeCell ref="E336:I336"/>
    <mergeCell ref="D379:R379"/>
    <mergeCell ref="S373:T373"/>
    <mergeCell ref="S374:T374"/>
    <mergeCell ref="C159:D159"/>
    <mergeCell ref="E159:I159"/>
    <mergeCell ref="C198:D198"/>
    <mergeCell ref="E198:I198"/>
    <mergeCell ref="C221:D221"/>
    <mergeCell ref="E221:I221"/>
    <mergeCell ref="C90:D90"/>
    <mergeCell ref="E90:I90"/>
    <mergeCell ref="C113:D113"/>
    <mergeCell ref="E113:I113"/>
    <mergeCell ref="C136:D136"/>
    <mergeCell ref="E136:I136"/>
    <mergeCell ref="C21:D21"/>
    <mergeCell ref="E21:I21"/>
    <mergeCell ref="C44:D44"/>
    <mergeCell ref="E44:I44"/>
    <mergeCell ref="C67:D67"/>
    <mergeCell ref="E67:I67"/>
    <mergeCell ref="D14:F15"/>
    <mergeCell ref="C9:E9"/>
    <mergeCell ref="D11:F11"/>
    <mergeCell ref="D12:F12"/>
    <mergeCell ref="I12:O13"/>
    <mergeCell ref="D13:F13"/>
    <mergeCell ref="C14:C15"/>
  </mergeCells>
  <conditionalFormatting sqref="C337:T366">
    <cfRule type="expression" dxfId="28" priority="5">
      <formula>C337&lt;&gt;C160</formula>
    </cfRule>
  </conditionalFormatting>
  <conditionalFormatting sqref="P373:R374">
    <cfRule type="expression" dxfId="27" priority="1">
      <formula>SUMCALC="No"</formula>
    </cfRule>
  </conditionalFormatting>
  <dataValidations count="1">
    <dataValidation type="list" errorStyle="information" allowBlank="1" showInputMessage="1" showErrorMessage="1" prompt="Choose Remarks from list or edit yours." sqref="D379:R381" xr:uid="{00000000-0002-0000-1400-000000000000}">
      <formula1>REMCOL</formula1>
    </dataValidation>
  </dataValidations>
  <hyperlinks>
    <hyperlink ref="C379" location="REMCODE" display="Remarks:" xr:uid="{00000000-0004-0000-1400-000000000000}"/>
  </hyperlinks>
  <printOptions horizontalCentered="1"/>
  <pageMargins left="0.3" right="0.3" top="0.2" bottom="0.3" header="0.1" footer="0.1"/>
  <pageSetup scale="65" orientation="portrait" cellComments="atEnd" horizontalDpi="4294967293" r:id="rId1"/>
  <headerFooter>
    <oddFooter>&amp;L&amp;8BunkerManager, v1.12&amp;C&amp;8by AMS-Marine | www.ams-marine.com&amp;R&amp;8RefNo: PI/2022/15000/TR</oddFooter>
  </headerFooter>
  <colBreaks count="1" manualBreakCount="1">
    <brk id="20" max="411" man="1"/>
  </colBreaks>
  <drawing r:id="rId2"/>
  <legacyDrawing r:id="rId3"/>
  <mc:AlternateContent xmlns:mc="http://schemas.openxmlformats.org/markup-compatibility/2006">
    <mc:Choice Requires="x14">
      <controls>
        <mc:AlternateContent xmlns:mc="http://schemas.openxmlformats.org/markup-compatibility/2006">
          <mc:Choice Requires="x14">
            <control shapeId="288769" r:id="rId4" name="List Box 1">
              <controlPr defaultSize="0" print="0" autoLine="0" autoPict="0" macro="[0]!CHOOSEGRADE">
                <anchor moveWithCells="1">
                  <from>
                    <xdr:col>8</xdr:col>
                    <xdr:colOff>9525</xdr:colOff>
                    <xdr:row>13</xdr:row>
                    <xdr:rowOff>9525</xdr:rowOff>
                  </from>
                  <to>
                    <xdr:col>10</xdr:col>
                    <xdr:colOff>0</xdr:colOff>
                    <xdr:row>15</xdr:row>
                    <xdr:rowOff>38100</xdr:rowOff>
                  </to>
                </anchor>
              </controlPr>
            </control>
          </mc:Choice>
        </mc:AlternateContent>
        <mc:AlternateContent xmlns:mc="http://schemas.openxmlformats.org/markup-compatibility/2006">
          <mc:Choice Requires="x14">
            <control shapeId="288770" r:id="rId5" name="List Box 2">
              <controlPr defaultSize="0" print="0" autoLine="0" autoPict="0" macro="[0]!BEEPER">
                <anchor moveWithCells="1">
                  <from>
                    <xdr:col>10</xdr:col>
                    <xdr:colOff>133350</xdr:colOff>
                    <xdr:row>13</xdr:row>
                    <xdr:rowOff>28575</xdr:rowOff>
                  </from>
                  <to>
                    <xdr:col>13</xdr:col>
                    <xdr:colOff>209550</xdr:colOff>
                    <xdr:row>14</xdr:row>
                    <xdr:rowOff>123825</xdr:rowOff>
                  </to>
                </anchor>
              </controlPr>
            </control>
          </mc:Choice>
        </mc:AlternateContent>
        <mc:AlternateContent xmlns:mc="http://schemas.openxmlformats.org/markup-compatibility/2006">
          <mc:Choice Requires="x14">
            <control shapeId="288771" r:id="rId6" name="List Box 3">
              <controlPr defaultSize="0" print="0" autoLine="0" autoPict="0" macro="[0]!BEEPER">
                <anchor moveWithCells="1">
                  <from>
                    <xdr:col>14</xdr:col>
                    <xdr:colOff>57150</xdr:colOff>
                    <xdr:row>13</xdr:row>
                    <xdr:rowOff>28575</xdr:rowOff>
                  </from>
                  <to>
                    <xdr:col>15</xdr:col>
                    <xdr:colOff>0</xdr:colOff>
                    <xdr:row>14</xdr:row>
                    <xdr:rowOff>123825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7">
    <tabColor rgb="FF7030A0"/>
    <pageSetUpPr fitToPage="1"/>
  </sheetPr>
  <dimension ref="A1:O67"/>
  <sheetViews>
    <sheetView showGridLines="0" showRowColHeaders="0" topLeftCell="A8" zoomScaleNormal="100" zoomScaleSheetLayoutView="100" workbookViewId="0">
      <pane ySplit="11" topLeftCell="A43" activePane="bottomLeft" state="frozen"/>
      <selection pane="bottomLeft" activeCell="B59" sqref="B59:L59"/>
    </sheetView>
  </sheetViews>
  <sheetFormatPr defaultColWidth="0" defaultRowHeight="15" zeroHeight="1"/>
  <cols>
    <col min="1" max="1" width="2.125" style="354" bestFit="1" customWidth="1"/>
    <col min="2" max="3" width="9" style="354" customWidth="1"/>
    <col min="4" max="4" width="10.625" style="354" customWidth="1"/>
    <col min="5" max="6" width="9" style="354" customWidth="1"/>
    <col min="7" max="7" width="9.875" style="354" bestFit="1" customWidth="1"/>
    <col min="8" max="8" width="9" style="354" customWidth="1"/>
    <col min="9" max="9" width="9.125" style="354" customWidth="1"/>
    <col min="10" max="10" width="5.875" style="354" customWidth="1"/>
    <col min="11" max="12" width="9" style="354" customWidth="1"/>
    <col min="13" max="13" width="0.375" style="354" customWidth="1"/>
    <col min="14" max="16384" width="9" style="354" hidden="1"/>
  </cols>
  <sheetData>
    <row r="1" spans="1:15">
      <c r="B1" s="355"/>
      <c r="C1" s="355"/>
      <c r="D1" s="355"/>
      <c r="E1" s="391"/>
      <c r="F1" s="391"/>
      <c r="G1" s="391"/>
      <c r="H1" s="391"/>
      <c r="I1" s="391"/>
      <c r="J1" s="391"/>
      <c r="K1" s="391"/>
      <c r="L1" s="391"/>
      <c r="O1" s="354" t="s">
        <v>491</v>
      </c>
    </row>
    <row r="2" spans="1:15">
      <c r="B2" s="355"/>
      <c r="C2" s="355"/>
      <c r="D2" s="355"/>
      <c r="E2" s="391"/>
      <c r="F2" s="391"/>
      <c r="G2" s="391"/>
      <c r="H2" s="391"/>
      <c r="I2" s="391"/>
      <c r="J2" s="391"/>
      <c r="K2" s="391"/>
      <c r="L2" s="391"/>
      <c r="O2" s="354" t="s">
        <v>492</v>
      </c>
    </row>
    <row r="3" spans="1:15">
      <c r="B3" s="355"/>
      <c r="C3" s="355"/>
      <c r="D3" s="355"/>
      <c r="E3" s="391"/>
      <c r="F3" s="391"/>
      <c r="G3" s="391"/>
      <c r="H3" s="391"/>
      <c r="I3" s="391"/>
      <c r="J3" s="391"/>
      <c r="K3" s="391"/>
      <c r="L3" s="391"/>
      <c r="O3" s="354" t="s">
        <v>493</v>
      </c>
    </row>
    <row r="4" spans="1:15" ht="18.75">
      <c r="B4" s="355"/>
      <c r="C4" s="355"/>
      <c r="D4" s="355"/>
      <c r="E4" s="391"/>
      <c r="F4" s="391"/>
      <c r="H4" s="392"/>
      <c r="I4" s="392"/>
      <c r="J4" s="392"/>
      <c r="K4" s="392"/>
      <c r="L4" s="334" t="str">
        <f>COMPANY1</f>
        <v>Petro Inspect International</v>
      </c>
      <c r="O4" s="354" t="s">
        <v>494</v>
      </c>
    </row>
    <row r="5" spans="1:15" s="362" customFormat="1" ht="11.25">
      <c r="B5" s="363"/>
      <c r="C5" s="363"/>
      <c r="D5" s="363"/>
      <c r="E5" s="393"/>
      <c r="F5" s="393"/>
      <c r="H5" s="394"/>
      <c r="I5" s="394"/>
      <c r="J5" s="394"/>
      <c r="K5" s="394"/>
      <c r="L5" s="335" t="str">
        <f>COMPANY2</f>
        <v>ops@petro-inspect.com</v>
      </c>
    </row>
    <row r="6" spans="1:15" s="362" customFormat="1" ht="11.25">
      <c r="B6" s="363"/>
      <c r="C6" s="363"/>
      <c r="D6" s="363"/>
      <c r="E6" s="393"/>
      <c r="F6" s="393"/>
      <c r="H6" s="394"/>
      <c r="I6" s="394"/>
      <c r="J6" s="394"/>
      <c r="K6" s="394"/>
      <c r="L6" s="335" t="str">
        <f>COMPANY3</f>
        <v/>
      </c>
    </row>
    <row r="7" spans="1:15" s="362" customFormat="1" ht="11.25">
      <c r="A7" s="363"/>
      <c r="B7" s="363"/>
      <c r="C7" s="363"/>
      <c r="D7" s="363"/>
      <c r="E7" s="393"/>
      <c r="F7" s="393"/>
      <c r="H7" s="394"/>
      <c r="I7" s="394"/>
      <c r="J7" s="394"/>
      <c r="K7" s="394"/>
      <c r="L7" s="335" t="str">
        <f>COMPANY4</f>
        <v/>
      </c>
    </row>
    <row r="8" spans="1:15" ht="3" customHeight="1" thickBot="1">
      <c r="A8" s="368"/>
      <c r="B8" s="368"/>
      <c r="C8" s="368"/>
      <c r="D8" s="368"/>
      <c r="E8" s="395"/>
      <c r="F8" s="395"/>
      <c r="G8" s="396"/>
      <c r="H8" s="397"/>
      <c r="I8" s="397"/>
      <c r="J8" s="397"/>
      <c r="K8" s="397"/>
      <c r="L8" s="397"/>
      <c r="M8" s="362"/>
    </row>
    <row r="9" spans="1:15" s="362" customFormat="1" ht="2.25" customHeight="1">
      <c r="E9" s="393"/>
      <c r="F9" s="393"/>
      <c r="G9" s="335"/>
      <c r="H9" s="398"/>
      <c r="I9" s="398"/>
      <c r="J9" s="398"/>
      <c r="K9" s="398"/>
      <c r="L9" s="398"/>
    </row>
    <row r="10" spans="1:15" s="362" customFormat="1" ht="3.75" customHeight="1">
      <c r="E10" s="393"/>
      <c r="F10" s="393"/>
      <c r="G10" s="335"/>
      <c r="H10" s="398"/>
      <c r="I10" s="398"/>
      <c r="J10" s="398"/>
      <c r="K10" s="398"/>
      <c r="L10" s="398"/>
    </row>
    <row r="11" spans="1:15" ht="18.75">
      <c r="A11" s="203"/>
      <c r="B11" s="203"/>
      <c r="C11" s="203"/>
      <c r="D11" s="203"/>
      <c r="E11" s="203"/>
      <c r="F11" s="203"/>
      <c r="G11" s="203" t="s">
        <v>188</v>
      </c>
      <c r="H11" s="203"/>
      <c r="I11" s="203"/>
      <c r="J11" s="203"/>
      <c r="K11" s="203"/>
      <c r="L11" s="203"/>
      <c r="M11" s="362"/>
    </row>
    <row r="12" spans="1:15" s="362" customFormat="1" ht="11.25">
      <c r="A12" s="385"/>
      <c r="B12" s="385"/>
      <c r="C12" s="385"/>
      <c r="D12" s="385"/>
      <c r="E12" s="385"/>
      <c r="F12" s="385"/>
      <c r="G12" s="385"/>
      <c r="H12" s="385"/>
      <c r="I12" s="385"/>
      <c r="J12" s="385"/>
      <c r="K12" s="385"/>
      <c r="L12" s="385"/>
    </row>
    <row r="13" spans="1:15" s="362" customFormat="1" ht="11.25">
      <c r="A13" s="385"/>
      <c r="B13" s="385"/>
      <c r="C13" s="385"/>
      <c r="D13" s="385"/>
      <c r="E13" s="385"/>
      <c r="F13" s="385"/>
      <c r="G13" s="385"/>
      <c r="H13" s="385"/>
      <c r="I13" s="385"/>
      <c r="J13" s="385"/>
      <c r="K13" s="385"/>
      <c r="L13" s="385"/>
    </row>
    <row r="14" spans="1:15" ht="15.75" customHeight="1">
      <c r="B14" s="331" t="s">
        <v>160</v>
      </c>
      <c r="C14" s="372"/>
      <c r="D14" s="332" t="str">
        <f>VESSEL</f>
        <v>MV PESSADA</v>
      </c>
      <c r="E14" s="373"/>
      <c r="F14" s="373"/>
      <c r="G14" s="373"/>
      <c r="H14" s="373"/>
      <c r="I14" s="373"/>
      <c r="J14" s="373"/>
      <c r="K14" s="373"/>
      <c r="L14" s="371"/>
      <c r="M14" s="362"/>
    </row>
    <row r="15" spans="1:15" ht="15.75" customHeight="1">
      <c r="B15" s="331" t="s">
        <v>175</v>
      </c>
      <c r="C15" s="372"/>
      <c r="D15" s="607" t="str">
        <f>MYBARGENAME</f>
        <v>M/T YALÇIN 2</v>
      </c>
      <c r="E15" s="374"/>
      <c r="F15" s="374"/>
      <c r="G15" s="374"/>
      <c r="H15" s="374"/>
      <c r="I15" s="374"/>
      <c r="J15" s="332"/>
      <c r="K15" s="373"/>
      <c r="L15" s="371"/>
      <c r="M15" s="362"/>
    </row>
    <row r="16" spans="1:15" ht="15.75" customHeight="1">
      <c r="B16" s="331" t="s">
        <v>174</v>
      </c>
      <c r="C16" s="372"/>
      <c r="D16" s="375">
        <f>DATESURVC</f>
        <v>44792</v>
      </c>
      <c r="E16" s="374"/>
      <c r="F16" s="374"/>
      <c r="G16" s="374"/>
      <c r="H16" s="374"/>
      <c r="I16" s="374"/>
      <c r="J16" s="332"/>
      <c r="K16" s="373"/>
      <c r="L16" s="371"/>
      <c r="M16" s="362"/>
    </row>
    <row r="17" spans="1:15" ht="15.75" customHeight="1">
      <c r="B17" s="331" t="s">
        <v>496</v>
      </c>
      <c r="C17" s="372"/>
      <c r="D17" s="376" t="str">
        <f>VSLRCVD_ALL</f>
        <v>LSFO, LSMGO</v>
      </c>
      <c r="E17" s="374"/>
      <c r="F17" s="374"/>
      <c r="G17" s="374"/>
      <c r="H17" s="374"/>
      <c r="I17" s="374"/>
      <c r="J17" s="332"/>
      <c r="K17" s="373"/>
      <c r="L17" s="371"/>
      <c r="M17" s="362"/>
    </row>
    <row r="18" spans="1:15" s="362" customFormat="1" ht="11.25">
      <c r="B18" s="386"/>
      <c r="C18" s="387"/>
      <c r="D18" s="385"/>
      <c r="E18" s="385"/>
      <c r="F18" s="385"/>
      <c r="G18" s="385"/>
      <c r="H18" s="385"/>
      <c r="I18" s="385"/>
      <c r="J18" s="385"/>
      <c r="K18" s="385"/>
      <c r="L18" s="385"/>
    </row>
    <row r="19" spans="1:15" s="362" customFormat="1" ht="11.25">
      <c r="A19" s="385"/>
      <c r="B19" s="385"/>
      <c r="C19" s="385"/>
      <c r="D19" s="385"/>
      <c r="E19" s="385"/>
      <c r="F19" s="385"/>
      <c r="G19" s="385"/>
      <c r="H19" s="385"/>
      <c r="I19" s="385"/>
      <c r="J19" s="385"/>
      <c r="K19" s="385"/>
      <c r="L19" s="385"/>
    </row>
    <row r="20" spans="1:15" ht="17.25">
      <c r="A20" s="399"/>
      <c r="B20" s="400" t="s">
        <v>984</v>
      </c>
      <c r="C20" s="401"/>
      <c r="D20" s="401"/>
      <c r="E20" s="401"/>
      <c r="F20" s="401"/>
      <c r="G20" s="402" t="s">
        <v>187</v>
      </c>
      <c r="H20" s="401"/>
      <c r="I20" s="401"/>
      <c r="J20" s="401"/>
      <c r="K20" s="401"/>
      <c r="L20" s="403"/>
    </row>
    <row r="21" spans="1:15" ht="17.25">
      <c r="A21" s="404"/>
      <c r="B21" s="2839" t="s">
        <v>183</v>
      </c>
      <c r="C21" s="2839"/>
      <c r="D21" s="2839"/>
      <c r="E21" s="2829" t="s">
        <v>492</v>
      </c>
      <c r="F21" s="2830"/>
      <c r="G21" s="2830"/>
      <c r="H21" s="2830"/>
      <c r="I21" s="2830"/>
      <c r="J21" s="2830"/>
      <c r="K21" s="2830"/>
      <c r="L21" s="2831"/>
    </row>
    <row r="22" spans="1:15" ht="17.25">
      <c r="A22" s="404"/>
      <c r="B22" s="2839" t="s">
        <v>182</v>
      </c>
      <c r="C22" s="2839"/>
      <c r="D22" s="2839"/>
      <c r="E22" s="2845" t="s">
        <v>186</v>
      </c>
      <c r="F22" s="2833"/>
      <c r="G22" s="2833"/>
      <c r="H22" s="2833"/>
      <c r="I22" s="2833"/>
      <c r="J22" s="2833"/>
      <c r="K22" s="2833"/>
      <c r="L22" s="2834"/>
    </row>
    <row r="23" spans="1:15" ht="15" customHeight="1">
      <c r="A23" s="404"/>
      <c r="B23" s="2842" t="s">
        <v>181</v>
      </c>
      <c r="C23" s="2843"/>
      <c r="D23" s="2843"/>
      <c r="E23" s="2846" t="s">
        <v>180</v>
      </c>
      <c r="F23" s="2836"/>
      <c r="G23" s="2836"/>
      <c r="H23" s="2836"/>
      <c r="I23" s="2836"/>
      <c r="J23" s="2836"/>
      <c r="K23" s="2836"/>
      <c r="L23" s="2837"/>
      <c r="O23" s="1172"/>
    </row>
    <row r="24" spans="1:15">
      <c r="A24" s="1191">
        <v>1</v>
      </c>
      <c r="B24" s="2840" t="s">
        <v>185</v>
      </c>
      <c r="C24" s="2841"/>
      <c r="D24" s="2841"/>
      <c r="E24" s="2235" t="s">
        <v>1578</v>
      </c>
      <c r="F24" s="1182"/>
      <c r="G24" s="2232"/>
      <c r="H24" s="1182"/>
      <c r="I24" s="1182"/>
      <c r="J24" s="1182"/>
      <c r="K24" s="1182"/>
      <c r="L24" s="1183"/>
      <c r="O24" s="1188" t="s">
        <v>185</v>
      </c>
    </row>
    <row r="25" spans="1:15">
      <c r="A25" s="1191">
        <v>2</v>
      </c>
      <c r="B25" s="2844" t="s">
        <v>980</v>
      </c>
      <c r="C25" s="2839"/>
      <c r="D25" s="2839"/>
      <c r="E25" s="2235" t="s">
        <v>1579</v>
      </c>
      <c r="F25" s="1185"/>
      <c r="G25" s="1185"/>
      <c r="H25" s="1185"/>
      <c r="I25" s="1185"/>
      <c r="J25" s="1185"/>
      <c r="K25" s="1185"/>
      <c r="L25" s="1186"/>
      <c r="O25" s="1188" t="s">
        <v>980</v>
      </c>
    </row>
    <row r="26" spans="1:15">
      <c r="A26" s="1191">
        <v>3</v>
      </c>
      <c r="B26" s="2844" t="s">
        <v>981</v>
      </c>
      <c r="C26" s="2839"/>
      <c r="D26" s="2839"/>
      <c r="E26" s="2235" t="s">
        <v>1580</v>
      </c>
      <c r="F26" s="1185"/>
      <c r="G26" s="1185"/>
      <c r="H26" s="1185"/>
      <c r="I26" s="1185"/>
      <c r="J26" s="1185"/>
      <c r="K26" s="1185"/>
      <c r="L26" s="1186"/>
      <c r="O26" s="1188" t="s">
        <v>981</v>
      </c>
    </row>
    <row r="27" spans="1:15">
      <c r="A27" s="1191">
        <v>4</v>
      </c>
      <c r="B27" s="2844" t="s">
        <v>495</v>
      </c>
      <c r="C27" s="2839"/>
      <c r="D27" s="2839"/>
      <c r="E27" s="2235" t="s">
        <v>1581</v>
      </c>
      <c r="F27" s="1185"/>
      <c r="G27" s="1185"/>
      <c r="H27" s="1185"/>
      <c r="I27" s="1185"/>
      <c r="J27" s="1185"/>
      <c r="K27" s="1185"/>
      <c r="L27" s="1186"/>
      <c r="O27" s="1188" t="s">
        <v>495</v>
      </c>
    </row>
    <row r="28" spans="1:15">
      <c r="A28" s="1191">
        <v>5</v>
      </c>
      <c r="B28" s="2844" t="s">
        <v>982</v>
      </c>
      <c r="C28" s="2839"/>
      <c r="D28" s="2839"/>
      <c r="E28" s="2230" t="s">
        <v>6</v>
      </c>
      <c r="F28" s="1185"/>
      <c r="G28" s="1185"/>
      <c r="H28" s="1185"/>
      <c r="I28" s="1185"/>
      <c r="J28" s="1185"/>
      <c r="K28" s="1185"/>
      <c r="L28" s="1186"/>
      <c r="O28" s="1189" t="s">
        <v>982</v>
      </c>
    </row>
    <row r="29" spans="1:15">
      <c r="A29" s="1191">
        <v>6</v>
      </c>
      <c r="B29" s="2844" t="s">
        <v>983</v>
      </c>
      <c r="C29" s="2839"/>
      <c r="D29" s="2839"/>
      <c r="E29" s="2230" t="s">
        <v>6</v>
      </c>
      <c r="F29" s="1185"/>
      <c r="G29" s="1185"/>
      <c r="H29" s="1185"/>
      <c r="I29" s="1185"/>
      <c r="J29" s="1185"/>
      <c r="K29" s="1185"/>
      <c r="L29" s="1186"/>
      <c r="O29" s="1189" t="s">
        <v>983</v>
      </c>
    </row>
    <row r="30" spans="1:15" hidden="1">
      <c r="A30" s="1191">
        <v>7</v>
      </c>
      <c r="B30" s="2844"/>
      <c r="C30" s="2839"/>
      <c r="D30" s="2839"/>
      <c r="E30" s="1184"/>
      <c r="F30" s="1185"/>
      <c r="G30" s="1185"/>
      <c r="H30" s="1185"/>
      <c r="I30" s="1185"/>
      <c r="J30" s="1185"/>
      <c r="K30" s="1185"/>
      <c r="L30" s="1186"/>
      <c r="O30" s="1189"/>
    </row>
    <row r="31" spans="1:15" hidden="1">
      <c r="A31" s="1191">
        <v>8</v>
      </c>
      <c r="B31" s="2844"/>
      <c r="C31" s="2839"/>
      <c r="D31" s="2839"/>
      <c r="E31" s="1184"/>
      <c r="F31" s="1185"/>
      <c r="G31" s="1185"/>
      <c r="H31" s="1185"/>
      <c r="I31" s="1185"/>
      <c r="J31" s="1185"/>
      <c r="K31" s="1185"/>
      <c r="L31" s="1186"/>
      <c r="O31" s="1188"/>
    </row>
    <row r="32" spans="1:15" hidden="1">
      <c r="A32" s="1191">
        <v>9</v>
      </c>
      <c r="B32" s="2844"/>
      <c r="C32" s="2839"/>
      <c r="D32" s="2839"/>
      <c r="E32" s="1184"/>
      <c r="F32" s="1185"/>
      <c r="G32" s="1185"/>
      <c r="H32" s="1185"/>
      <c r="I32" s="1185"/>
      <c r="J32" s="1185"/>
      <c r="K32" s="1185"/>
      <c r="L32" s="1186"/>
      <c r="O32" s="1188"/>
    </row>
    <row r="33" spans="1:15" hidden="1">
      <c r="A33" s="1191">
        <v>10</v>
      </c>
      <c r="B33" s="2842"/>
      <c r="C33" s="2843"/>
      <c r="D33" s="2843"/>
      <c r="E33" s="536"/>
      <c r="F33" s="537"/>
      <c r="G33" s="537"/>
      <c r="H33" s="537"/>
      <c r="I33" s="537"/>
      <c r="J33" s="537"/>
      <c r="K33" s="537"/>
      <c r="L33" s="538"/>
      <c r="O33" s="1188"/>
    </row>
    <row r="34" spans="1:15" ht="7.5" customHeight="1">
      <c r="B34" s="1190"/>
      <c r="C34" s="1190"/>
      <c r="D34" s="1190"/>
      <c r="E34" s="1190"/>
      <c r="F34" s="1190"/>
      <c r="G34" s="1190"/>
      <c r="H34" s="1190"/>
      <c r="I34" s="1190"/>
      <c r="J34" s="1190"/>
      <c r="K34" s="1190"/>
      <c r="L34" s="1190"/>
    </row>
    <row r="35" spans="1:15">
      <c r="B35" s="614" t="s">
        <v>179</v>
      </c>
    </row>
    <row r="36" spans="1:15">
      <c r="B36" s="2847"/>
      <c r="C36" s="2827"/>
      <c r="D36" s="2827"/>
      <c r="E36" s="2827"/>
      <c r="F36" s="2827"/>
      <c r="G36" s="2827"/>
      <c r="H36" s="2827"/>
      <c r="I36" s="2827"/>
      <c r="J36" s="2827"/>
      <c r="K36" s="2827"/>
      <c r="L36" s="2828"/>
    </row>
    <row r="37" spans="1:15">
      <c r="B37" s="2848"/>
      <c r="C37" s="2827"/>
      <c r="D37" s="2827"/>
      <c r="E37" s="2827"/>
      <c r="F37" s="2827"/>
      <c r="G37" s="2827"/>
      <c r="H37" s="2827"/>
      <c r="I37" s="2827"/>
      <c r="J37" s="2827"/>
      <c r="K37" s="2827"/>
      <c r="L37" s="2828"/>
    </row>
    <row r="38" spans="1:15">
      <c r="B38" s="2848"/>
      <c r="C38" s="2827"/>
      <c r="D38" s="2827"/>
      <c r="E38" s="2827"/>
      <c r="F38" s="2827"/>
      <c r="G38" s="2827"/>
      <c r="H38" s="2827"/>
      <c r="I38" s="2827"/>
      <c r="J38" s="2827"/>
      <c r="K38" s="2827"/>
      <c r="L38" s="2828"/>
    </row>
    <row r="39" spans="1:15">
      <c r="B39" s="2848"/>
      <c r="C39" s="2827"/>
      <c r="D39" s="2827"/>
      <c r="E39" s="2827"/>
      <c r="F39" s="2827"/>
      <c r="G39" s="2827"/>
      <c r="H39" s="2827"/>
      <c r="I39" s="2827"/>
      <c r="J39" s="2827"/>
      <c r="K39" s="2827"/>
      <c r="L39" s="2828"/>
    </row>
    <row r="40" spans="1:15">
      <c r="B40" s="355"/>
      <c r="C40" s="355"/>
      <c r="D40" s="355"/>
      <c r="E40" s="355"/>
      <c r="F40" s="355"/>
      <c r="G40" s="355"/>
      <c r="H40" s="355"/>
      <c r="I40" s="355"/>
      <c r="J40" s="355"/>
      <c r="K40" s="355"/>
      <c r="L40" s="355"/>
    </row>
    <row r="41" spans="1:15" ht="17.25">
      <c r="A41" s="405"/>
      <c r="B41" s="400" t="s">
        <v>985</v>
      </c>
      <c r="C41" s="401"/>
      <c r="D41" s="401"/>
      <c r="E41" s="401"/>
      <c r="F41" s="401"/>
      <c r="G41" s="402" t="s">
        <v>184</v>
      </c>
      <c r="H41" s="401"/>
      <c r="I41" s="401"/>
      <c r="J41" s="401"/>
      <c r="K41" s="401"/>
      <c r="L41" s="403"/>
    </row>
    <row r="42" spans="1:15" ht="17.25">
      <c r="A42" s="404"/>
      <c r="B42" s="2838" t="s">
        <v>183</v>
      </c>
      <c r="C42" s="2839"/>
      <c r="D42" s="2839"/>
      <c r="E42" s="2829" t="s">
        <v>492</v>
      </c>
      <c r="F42" s="2830"/>
      <c r="G42" s="2830"/>
      <c r="H42" s="2830"/>
      <c r="I42" s="2830"/>
      <c r="J42" s="2830"/>
      <c r="K42" s="2830"/>
      <c r="L42" s="2831"/>
    </row>
    <row r="43" spans="1:15" ht="17.25">
      <c r="A43" s="404"/>
      <c r="B43" s="2838" t="s">
        <v>182</v>
      </c>
      <c r="C43" s="2839"/>
      <c r="D43" s="2839"/>
      <c r="E43" s="2832" t="s">
        <v>1546</v>
      </c>
      <c r="F43" s="2833"/>
      <c r="G43" s="2833"/>
      <c r="H43" s="2833"/>
      <c r="I43" s="2833"/>
      <c r="J43" s="2833"/>
      <c r="K43" s="2833"/>
      <c r="L43" s="2834"/>
    </row>
    <row r="44" spans="1:15" ht="17.25">
      <c r="A44" s="404"/>
      <c r="B44" s="2842" t="s">
        <v>181</v>
      </c>
      <c r="C44" s="2843"/>
      <c r="D44" s="2843"/>
      <c r="E44" s="2835" t="s">
        <v>1535</v>
      </c>
      <c r="F44" s="2836"/>
      <c r="G44" s="2836"/>
      <c r="H44" s="2836"/>
      <c r="I44" s="2836"/>
      <c r="J44" s="2836"/>
      <c r="K44" s="2836"/>
      <c r="L44" s="2837"/>
    </row>
    <row r="45" spans="1:15">
      <c r="A45" s="1191">
        <v>1</v>
      </c>
      <c r="B45" s="2840" t="s">
        <v>980</v>
      </c>
      <c r="C45" s="2841"/>
      <c r="D45" s="2841"/>
      <c r="E45" s="2235" t="s">
        <v>1582</v>
      </c>
      <c r="F45" s="1182"/>
      <c r="G45" s="1182"/>
      <c r="H45" s="1182"/>
      <c r="I45" s="1182"/>
      <c r="J45" s="1182"/>
      <c r="K45" s="1182"/>
      <c r="L45" s="1183"/>
    </row>
    <row r="46" spans="1:15">
      <c r="A46" s="1191">
        <v>2</v>
      </c>
      <c r="B46" s="2844" t="s">
        <v>981</v>
      </c>
      <c r="C46" s="2839"/>
      <c r="D46" s="2839"/>
      <c r="E46" s="2235" t="s">
        <v>1583</v>
      </c>
      <c r="F46" s="1185"/>
      <c r="G46" s="1185"/>
      <c r="H46" s="1185"/>
      <c r="I46" s="1185"/>
      <c r="J46" s="1185"/>
      <c r="K46" s="1185"/>
      <c r="L46" s="1186"/>
    </row>
    <row r="47" spans="1:15">
      <c r="A47" s="1191">
        <v>3</v>
      </c>
      <c r="B47" s="2844" t="s">
        <v>495</v>
      </c>
      <c r="C47" s="2839"/>
      <c r="D47" s="2839"/>
      <c r="E47" s="2235" t="s">
        <v>1584</v>
      </c>
      <c r="F47" s="1185"/>
      <c r="G47" s="1185"/>
      <c r="H47" s="1185"/>
      <c r="I47" s="1185"/>
      <c r="J47" s="1185"/>
      <c r="K47" s="1185"/>
      <c r="L47" s="1186"/>
    </row>
    <row r="48" spans="1:15">
      <c r="A48" s="1191">
        <v>4</v>
      </c>
      <c r="B48" s="2844" t="s">
        <v>982</v>
      </c>
      <c r="C48" s="2839"/>
      <c r="D48" s="2839"/>
      <c r="E48" s="2234" t="s">
        <v>6</v>
      </c>
      <c r="F48" s="1185"/>
      <c r="G48" s="1185"/>
      <c r="H48" s="1185"/>
      <c r="I48" s="1185"/>
      <c r="J48" s="1185"/>
      <c r="K48" s="1185"/>
      <c r="L48" s="1186"/>
    </row>
    <row r="49" spans="1:12">
      <c r="A49" s="1191">
        <v>5</v>
      </c>
      <c r="B49" s="2844" t="s">
        <v>983</v>
      </c>
      <c r="C49" s="2839"/>
      <c r="D49" s="2839"/>
      <c r="E49" s="2233" t="s">
        <v>6</v>
      </c>
      <c r="F49" s="1185"/>
      <c r="G49" s="1185"/>
      <c r="H49" s="1185"/>
      <c r="I49" s="1185"/>
      <c r="J49" s="1185"/>
      <c r="K49" s="1185"/>
      <c r="L49" s="1186"/>
    </row>
    <row r="50" spans="1:12">
      <c r="A50" s="1191">
        <v>6</v>
      </c>
      <c r="B50" s="2844"/>
      <c r="C50" s="2839"/>
      <c r="D50" s="2839"/>
      <c r="E50" s="1187"/>
      <c r="F50" s="1185"/>
      <c r="G50" s="1185"/>
      <c r="H50" s="1185"/>
      <c r="I50" s="1185"/>
      <c r="J50" s="1185"/>
      <c r="K50" s="1185"/>
      <c r="L50" s="1186"/>
    </row>
    <row r="51" spans="1:12" hidden="1">
      <c r="A51" s="1191">
        <v>7</v>
      </c>
      <c r="B51" s="2844"/>
      <c r="C51" s="2839"/>
      <c r="D51" s="2839"/>
      <c r="E51" s="1184"/>
      <c r="F51" s="1185"/>
      <c r="G51" s="1185"/>
      <c r="H51" s="1185"/>
      <c r="I51" s="1185"/>
      <c r="J51" s="1185"/>
      <c r="K51" s="1185"/>
      <c r="L51" s="1186"/>
    </row>
    <row r="52" spans="1:12" hidden="1">
      <c r="A52" s="1191">
        <v>8</v>
      </c>
      <c r="B52" s="2844"/>
      <c r="C52" s="2839"/>
      <c r="D52" s="2839"/>
      <c r="E52" s="1184"/>
      <c r="F52" s="1185"/>
      <c r="G52" s="1185"/>
      <c r="H52" s="1185"/>
      <c r="I52" s="1185"/>
      <c r="J52" s="1185"/>
      <c r="K52" s="1185"/>
      <c r="L52" s="1186"/>
    </row>
    <row r="53" spans="1:12" hidden="1">
      <c r="A53" s="1191">
        <v>9</v>
      </c>
      <c r="B53" s="2844"/>
      <c r="C53" s="2839"/>
      <c r="D53" s="2839"/>
      <c r="E53" s="1184"/>
      <c r="F53" s="1185"/>
      <c r="G53" s="1185"/>
      <c r="H53" s="1185"/>
      <c r="I53" s="1185"/>
      <c r="J53" s="1185"/>
      <c r="K53" s="1185"/>
      <c r="L53" s="1186"/>
    </row>
    <row r="54" spans="1:12" hidden="1">
      <c r="A54" s="1191">
        <v>10</v>
      </c>
      <c r="B54" s="2842"/>
      <c r="C54" s="2843"/>
      <c r="D54" s="2843"/>
      <c r="E54" s="536"/>
      <c r="F54" s="537"/>
      <c r="G54" s="537"/>
      <c r="H54" s="537"/>
      <c r="I54" s="537"/>
      <c r="J54" s="537"/>
      <c r="K54" s="537"/>
      <c r="L54" s="538"/>
    </row>
    <row r="55" spans="1:12" ht="7.5" customHeight="1">
      <c r="B55" s="1190"/>
      <c r="C55" s="1190"/>
      <c r="D55" s="1190"/>
      <c r="E55" s="1190"/>
      <c r="F55" s="1190"/>
      <c r="G55" s="1190"/>
      <c r="H55" s="1190"/>
      <c r="I55" s="1190"/>
      <c r="J55" s="1190"/>
      <c r="K55" s="1190"/>
      <c r="L55" s="1190"/>
    </row>
    <row r="56" spans="1:12">
      <c r="B56" s="614" t="s">
        <v>179</v>
      </c>
      <c r="L56" s="355"/>
    </row>
    <row r="57" spans="1:12">
      <c r="B57" s="2826"/>
      <c r="C57" s="2827"/>
      <c r="D57" s="2827"/>
      <c r="E57" s="2827"/>
      <c r="F57" s="2827"/>
      <c r="G57" s="2827"/>
      <c r="H57" s="2827"/>
      <c r="I57" s="2827"/>
      <c r="J57" s="2827"/>
      <c r="K57" s="2827"/>
      <c r="L57" s="2828"/>
    </row>
    <row r="58" spans="1:12">
      <c r="B58" s="2848"/>
      <c r="C58" s="2827"/>
      <c r="D58" s="2827"/>
      <c r="E58" s="2827"/>
      <c r="F58" s="2827"/>
      <c r="G58" s="2827"/>
      <c r="H58" s="2827"/>
      <c r="I58" s="2827"/>
      <c r="J58" s="2827"/>
      <c r="K58" s="2827"/>
      <c r="L58" s="2828"/>
    </row>
    <row r="59" spans="1:12">
      <c r="B59" s="2848"/>
      <c r="C59" s="2827"/>
      <c r="D59" s="2827"/>
      <c r="E59" s="2827"/>
      <c r="F59" s="2827"/>
      <c r="G59" s="2827"/>
      <c r="H59" s="2827"/>
      <c r="I59" s="2827"/>
      <c r="J59" s="2827"/>
      <c r="K59" s="2827"/>
      <c r="L59" s="2828"/>
    </row>
    <row r="60" spans="1:12">
      <c r="B60" s="2848"/>
      <c r="C60" s="2827"/>
      <c r="D60" s="2827"/>
      <c r="E60" s="2827"/>
      <c r="F60" s="2827"/>
      <c r="G60" s="2827"/>
      <c r="H60" s="2827"/>
      <c r="I60" s="2827"/>
      <c r="J60" s="2827"/>
      <c r="K60" s="2827"/>
      <c r="L60" s="2828"/>
    </row>
    <row r="62" spans="1:12"/>
    <row r="63" spans="1:12"/>
    <row r="64" spans="1:12"/>
    <row r="65" spans="2:12">
      <c r="B65" s="2853" t="str">
        <f>CHENG</f>
        <v>CANO ARTHUR D. CADAVOS</v>
      </c>
      <c r="C65" s="2854"/>
      <c r="D65" s="2854"/>
      <c r="E65" s="2854"/>
      <c r="I65" s="2855" t="str">
        <f>SURVEYOR</f>
        <v>MEHMET EROĞLU</v>
      </c>
      <c r="J65" s="2856"/>
      <c r="K65" s="2856"/>
      <c r="L65" s="2856"/>
    </row>
    <row r="66" spans="2:12">
      <c r="B66" s="2849" t="s">
        <v>15</v>
      </c>
      <c r="C66" s="2850"/>
      <c r="D66" s="2850"/>
      <c r="E66" s="2850"/>
      <c r="I66" s="2851" t="str">
        <f>"Bunker Surveyor"&amp;IF(SPORE=TRUE,", License No. "&amp;SURVLIC,"")</f>
        <v>Bunker Surveyor</v>
      </c>
      <c r="J66" s="2852"/>
      <c r="K66" s="2852"/>
      <c r="L66" s="2852"/>
    </row>
    <row r="67" spans="2:12" ht="2.25" customHeight="1"/>
  </sheetData>
  <sheetProtection autoFilter="0"/>
  <mergeCells count="44">
    <mergeCell ref="B30:D30"/>
    <mergeCell ref="B66:E66"/>
    <mergeCell ref="I66:L66"/>
    <mergeCell ref="B46:D46"/>
    <mergeCell ref="B47:D47"/>
    <mergeCell ref="B54:D54"/>
    <mergeCell ref="B65:E65"/>
    <mergeCell ref="I65:L65"/>
    <mergeCell ref="B48:D48"/>
    <mergeCell ref="B58:L58"/>
    <mergeCell ref="B59:L59"/>
    <mergeCell ref="B60:L60"/>
    <mergeCell ref="B53:D53"/>
    <mergeCell ref="B32:D32"/>
    <mergeCell ref="B38:L38"/>
    <mergeCell ref="B39:L39"/>
    <mergeCell ref="E21:L21"/>
    <mergeCell ref="E22:L22"/>
    <mergeCell ref="E23:L23"/>
    <mergeCell ref="B36:L36"/>
    <mergeCell ref="B37:L37"/>
    <mergeCell ref="B21:D21"/>
    <mergeCell ref="B22:D22"/>
    <mergeCell ref="B23:D23"/>
    <mergeCell ref="B24:D24"/>
    <mergeCell ref="B33:D33"/>
    <mergeCell ref="B25:D25"/>
    <mergeCell ref="B26:D26"/>
    <mergeCell ref="B27:D27"/>
    <mergeCell ref="B28:D28"/>
    <mergeCell ref="B29:D29"/>
    <mergeCell ref="B31:D31"/>
    <mergeCell ref="B57:L57"/>
    <mergeCell ref="E42:L42"/>
    <mergeCell ref="E43:L43"/>
    <mergeCell ref="E44:L44"/>
    <mergeCell ref="B42:D42"/>
    <mergeCell ref="B43:D43"/>
    <mergeCell ref="B45:D45"/>
    <mergeCell ref="B44:D44"/>
    <mergeCell ref="B49:D49"/>
    <mergeCell ref="B50:D50"/>
    <mergeCell ref="B51:D51"/>
    <mergeCell ref="B52:D52"/>
  </mergeCells>
  <dataValidations count="4">
    <dataValidation type="list" errorStyle="warning" allowBlank="1" showInputMessage="1" showErrorMessage="1" prompt="Choose Remarks from list or edit yours." sqref="B36:B39" xr:uid="{00000000-0002-0000-1500-000000000000}">
      <formula1>REMCOL</formula1>
    </dataValidation>
    <dataValidation type="list" errorStyle="warning" allowBlank="1" showInputMessage="1" showErrorMessage="1" sqref="E21:L21 E42:L42" xr:uid="{00000000-0002-0000-1500-000001000000}">
      <formula1>$O$2:$O$4</formula1>
    </dataValidation>
    <dataValidation type="list" errorStyle="information" allowBlank="1" showInputMessage="1" showErrorMessage="1" prompt="Choose Remarks from list or edit yours." sqref="B57:L60" xr:uid="{00000000-0002-0000-1500-000002000000}">
      <formula1>REMCOL</formula1>
    </dataValidation>
    <dataValidation type="list" errorStyle="information" allowBlank="1" showInputMessage="1" sqref="B45:D54 B24:D33" xr:uid="{00000000-0002-0000-1500-000003000000}">
      <formula1>$O$23:$O$33</formula1>
    </dataValidation>
  </dataValidations>
  <hyperlinks>
    <hyperlink ref="B35" location="REMCODE" display="Remarks:" xr:uid="{00000000-0004-0000-1500-000000000000}"/>
    <hyperlink ref="B56" location="REMARKS!A1" display="Remarks:" xr:uid="{00000000-0004-0000-1500-000001000000}"/>
  </hyperlinks>
  <printOptions horizontalCentered="1"/>
  <pageMargins left="0.3" right="0.3" top="0.2" bottom="0.3" header="0.1" footer="0.1"/>
  <pageSetup scale="94" orientation="portrait" horizontalDpi="4294967293" r:id="rId1"/>
  <headerFooter>
    <oddFooter>&amp;L&amp;8BunkerManager, v1.12&amp;C&amp;8by AMS-Marine | www.ams-marine.com&amp;R&amp;8RefNo: PI/2022/15000/TR</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1" filterMode="1">
    <tabColor theme="5"/>
    <pageSetUpPr fitToPage="1"/>
  </sheetPr>
  <dimension ref="A1:O76"/>
  <sheetViews>
    <sheetView showGridLines="0" showRowColHeaders="0" topLeftCell="B8" zoomScaleNormal="100" zoomScaleSheetLayoutView="100" workbookViewId="0">
      <pane ySplit="4" topLeftCell="A12" activePane="bottomLeft" state="frozen"/>
      <selection pane="bottomLeft"/>
    </sheetView>
  </sheetViews>
  <sheetFormatPr defaultColWidth="0" defaultRowHeight="12" zeroHeight="1"/>
  <cols>
    <col min="1" max="1" width="4.375" style="1044" hidden="1" customWidth="1"/>
    <col min="2" max="2" width="11.25" style="1350" customWidth="1"/>
    <col min="3" max="3" width="7.875" style="1044" customWidth="1"/>
    <col min="4" max="4" width="16.875" style="1044" customWidth="1"/>
    <col min="5" max="5" width="6.875" style="1044" customWidth="1"/>
    <col min="6" max="6" width="11.25" style="1044" customWidth="1"/>
    <col min="7" max="7" width="10.25" style="1044" customWidth="1"/>
    <col min="8" max="8" width="7.5" style="1044" bestFit="1" customWidth="1"/>
    <col min="9" max="9" width="7.625" style="1044" customWidth="1"/>
    <col min="10" max="10" width="10.75" style="1044" customWidth="1"/>
    <col min="11" max="11" width="0.25" style="1044" customWidth="1"/>
    <col min="12" max="13" width="8" style="1044" hidden="1" customWidth="1"/>
    <col min="14" max="14" width="13.25" style="1044" hidden="1" customWidth="1"/>
    <col min="15" max="16384" width="8" style="1044" hidden="1"/>
  </cols>
  <sheetData>
    <row r="1" spans="1:15" ht="15" hidden="1">
      <c r="B1" s="480"/>
      <c r="C1" s="481"/>
      <c r="D1" s="481"/>
      <c r="E1" s="481"/>
      <c r="F1" s="482"/>
      <c r="G1" s="482"/>
      <c r="H1" s="482"/>
      <c r="I1" s="482"/>
      <c r="J1" s="482"/>
      <c r="K1" s="482"/>
      <c r="L1" s="482"/>
      <c r="M1" s="482"/>
      <c r="N1" s="482"/>
      <c r="O1" s="482"/>
    </row>
    <row r="2" spans="1:15" ht="14.25">
      <c r="B2" s="1536"/>
      <c r="C2" s="1537"/>
      <c r="D2" s="1537"/>
      <c r="E2" s="1537"/>
      <c r="F2" s="1538"/>
      <c r="G2" s="1538"/>
      <c r="H2" s="1538"/>
      <c r="I2" s="1538"/>
      <c r="J2" s="1538"/>
      <c r="K2" s="1538"/>
      <c r="L2" s="482"/>
      <c r="M2" s="482"/>
      <c r="N2" s="482"/>
      <c r="O2" s="482"/>
    </row>
    <row r="3" spans="1:15" ht="18" customHeight="1">
      <c r="B3" s="1536"/>
      <c r="C3" s="1537"/>
      <c r="D3" s="1537"/>
      <c r="E3" s="1537"/>
      <c r="F3" s="1538"/>
      <c r="G3" s="1538"/>
      <c r="H3" s="1538"/>
      <c r="I3" s="1538"/>
      <c r="J3" s="1538"/>
      <c r="K3" s="1538"/>
      <c r="L3" s="482"/>
      <c r="M3" s="482"/>
      <c r="N3" s="482"/>
      <c r="O3" s="482"/>
    </row>
    <row r="4" spans="1:15" ht="18">
      <c r="B4" s="1536"/>
      <c r="C4" s="1537"/>
      <c r="D4" s="1537"/>
      <c r="E4" s="1537"/>
      <c r="F4" s="1538"/>
      <c r="G4" s="1538"/>
      <c r="H4" s="1536"/>
      <c r="I4" s="1538"/>
      <c r="J4" s="483" t="str">
        <f>COMPANY1</f>
        <v>Petro Inspect International</v>
      </c>
      <c r="K4" s="1538"/>
      <c r="L4" s="482"/>
      <c r="M4" s="482"/>
      <c r="N4" s="482"/>
      <c r="O4" s="482"/>
    </row>
    <row r="5" spans="1:15" ht="14.25">
      <c r="B5" s="1536"/>
      <c r="C5" s="1537"/>
      <c r="D5" s="1537"/>
      <c r="E5" s="1537"/>
      <c r="F5" s="1538"/>
      <c r="G5" s="1538"/>
      <c r="H5" s="1536"/>
      <c r="I5" s="1538"/>
      <c r="J5" s="484" t="str">
        <f>COMPANY2</f>
        <v>ops@petro-inspect.com</v>
      </c>
      <c r="K5" s="1538"/>
      <c r="L5" s="482"/>
      <c r="M5" s="482"/>
      <c r="N5" s="482"/>
      <c r="O5" s="482"/>
    </row>
    <row r="6" spans="1:15" ht="14.25">
      <c r="B6" s="1536"/>
      <c r="C6" s="1537"/>
      <c r="D6" s="1537"/>
      <c r="E6" s="1537"/>
      <c r="F6" s="1538"/>
      <c r="G6" s="1538"/>
      <c r="H6" s="1536"/>
      <c r="I6" s="1538"/>
      <c r="J6" s="484" t="str">
        <f>COMPANY3</f>
        <v/>
      </c>
      <c r="K6" s="1538"/>
      <c r="L6" s="482"/>
      <c r="M6" s="482"/>
      <c r="N6" s="482"/>
      <c r="O6" s="482"/>
    </row>
    <row r="7" spans="1:15" ht="14.25">
      <c r="B7" s="1537"/>
      <c r="C7" s="1537"/>
      <c r="D7" s="1537"/>
      <c r="E7" s="1537"/>
      <c r="F7" s="1538"/>
      <c r="G7" s="1538"/>
      <c r="H7" s="1536"/>
      <c r="I7" s="1538"/>
      <c r="J7" s="484" t="str">
        <f>COMPANY4</f>
        <v/>
      </c>
      <c r="K7" s="1119"/>
    </row>
    <row r="8" spans="1:15" s="1045" customFormat="1" ht="3" customHeight="1" thickBot="1">
      <c r="B8" s="1539"/>
      <c r="C8" s="1539"/>
      <c r="D8" s="1539"/>
      <c r="E8" s="1539"/>
      <c r="F8" s="1540"/>
      <c r="G8" s="1540"/>
      <c r="H8" s="1032"/>
      <c r="I8" s="1541"/>
      <c r="J8" s="1541"/>
      <c r="K8" s="1046"/>
    </row>
    <row r="9" spans="1:15" s="1045" customFormat="1" ht="3" customHeight="1">
      <c r="B9" s="2931"/>
      <c r="C9" s="2931"/>
      <c r="D9" s="2931"/>
      <c r="E9" s="2931"/>
      <c r="F9" s="2931"/>
      <c r="G9" s="2931"/>
      <c r="H9" s="2931"/>
      <c r="I9" s="2931"/>
      <c r="J9" s="2931"/>
      <c r="K9" s="1046"/>
    </row>
    <row r="10" spans="1:15" ht="24.75" customHeight="1">
      <c r="B10" s="1547"/>
      <c r="C10" s="1547"/>
      <c r="D10" s="1547"/>
      <c r="E10" s="1547"/>
      <c r="F10" s="1548" t="s">
        <v>753</v>
      </c>
      <c r="G10" s="1547"/>
      <c r="H10" s="1547"/>
      <c r="I10" s="1547"/>
      <c r="J10" s="1547"/>
      <c r="K10" s="1119"/>
      <c r="N10" s="1344"/>
    </row>
    <row r="11" spans="1:15" s="1045" customFormat="1" ht="5.25">
      <c r="B11" s="1549"/>
      <c r="C11" s="1549"/>
      <c r="D11" s="1549"/>
      <c r="E11" s="1549"/>
      <c r="F11" s="1549"/>
      <c r="G11" s="1549"/>
      <c r="H11" s="1549"/>
      <c r="I11" s="1549"/>
      <c r="J11" s="1549"/>
      <c r="K11" s="1046"/>
      <c r="N11" s="1345"/>
    </row>
    <row r="12" spans="1:15" ht="12.75">
      <c r="B12" s="1550" t="s">
        <v>682</v>
      </c>
      <c r="C12" s="2932" t="s">
        <v>879</v>
      </c>
      <c r="D12" s="2932"/>
      <c r="E12" s="2933" t="str">
        <f>VESSEL</f>
        <v>MV PESSADA</v>
      </c>
      <c r="F12" s="2933"/>
      <c r="G12" s="2933"/>
      <c r="H12" s="1551" t="s">
        <v>7</v>
      </c>
      <c r="I12" s="2934" t="str">
        <f>IMONO</f>
        <v>9174270</v>
      </c>
      <c r="J12" s="2934"/>
      <c r="K12" s="1119"/>
    </row>
    <row r="13" spans="1:15" ht="12.75">
      <c r="B13" s="1550" t="s">
        <v>201</v>
      </c>
      <c r="C13" s="2937">
        <f>DATESURVS</f>
        <v>44792</v>
      </c>
      <c r="D13" s="2937"/>
      <c r="E13" s="2938" t="s">
        <v>880</v>
      </c>
      <c r="F13" s="2938"/>
      <c r="G13" s="2935" t="str">
        <f>PORT</f>
        <v>ISTANBUL / TURKEY</v>
      </c>
      <c r="H13" s="2936"/>
      <c r="I13" s="2936"/>
      <c r="J13" s="2936"/>
      <c r="K13" s="1119"/>
    </row>
    <row r="14" spans="1:15" ht="24">
      <c r="B14" s="2890" t="s">
        <v>754</v>
      </c>
      <c r="C14" s="2890"/>
      <c r="D14" s="2890"/>
      <c r="E14" s="2890"/>
      <c r="F14" s="2890"/>
      <c r="G14" s="2890"/>
      <c r="H14" s="2890"/>
      <c r="I14" s="2890"/>
      <c r="J14" s="2890"/>
      <c r="K14" s="1119"/>
      <c r="N14" s="1344" t="s">
        <v>755</v>
      </c>
    </row>
    <row r="15" spans="1:15" ht="12.75">
      <c r="B15" s="2925" t="s">
        <v>756</v>
      </c>
      <c r="C15" s="2925"/>
      <c r="D15" s="2925"/>
      <c r="E15" s="2925"/>
      <c r="F15" s="2935">
        <f>CLIENT</f>
        <v>0</v>
      </c>
      <c r="G15" s="2935"/>
      <c r="H15" s="2935"/>
      <c r="I15" s="2935"/>
      <c r="J15" s="2935"/>
      <c r="K15" s="1119"/>
    </row>
    <row r="16" spans="1:15" ht="61.5">
      <c r="A16" s="2015"/>
      <c r="B16" s="2921" t="s">
        <v>1391</v>
      </c>
      <c r="C16" s="2922"/>
      <c r="D16" s="2922"/>
      <c r="E16" s="2922"/>
      <c r="F16" s="2922"/>
      <c r="G16" s="2922"/>
      <c r="H16" s="2922"/>
      <c r="I16" s="2922"/>
      <c r="J16" s="2922"/>
      <c r="K16" s="1119"/>
    </row>
    <row r="17" spans="1:11" ht="17.25" customHeight="1">
      <c r="B17" s="2890" t="s">
        <v>757</v>
      </c>
      <c r="C17" s="2890"/>
      <c r="D17" s="2890"/>
      <c r="E17" s="2890"/>
      <c r="F17" s="2890"/>
      <c r="G17" s="2890"/>
      <c r="H17" s="2890"/>
      <c r="I17" s="2890"/>
      <c r="J17" s="2890"/>
      <c r="K17" s="1119"/>
    </row>
    <row r="18" spans="1:11" ht="45.75">
      <c r="A18" s="2014"/>
      <c r="B18" s="2921" t="s">
        <v>758</v>
      </c>
      <c r="C18" s="2922"/>
      <c r="D18" s="2922"/>
      <c r="E18" s="2922"/>
      <c r="F18" s="2922"/>
      <c r="G18" s="2922"/>
      <c r="H18" s="2922"/>
      <c r="I18" s="2922"/>
      <c r="J18" s="2922"/>
      <c r="K18" s="1119"/>
    </row>
    <row r="19" spans="1:11" ht="19.5" customHeight="1">
      <c r="B19" s="2923" t="s">
        <v>882</v>
      </c>
      <c r="C19" s="2924"/>
      <c r="D19" s="2924"/>
      <c r="E19" s="2924"/>
      <c r="F19" s="2924"/>
      <c r="G19" s="2924"/>
      <c r="H19" s="2924"/>
      <c r="I19" s="2924"/>
      <c r="J19" s="2924"/>
      <c r="K19" s="1119"/>
    </row>
    <row r="20" spans="1:11" ht="18.75" customHeight="1">
      <c r="B20" s="2925" t="s">
        <v>759</v>
      </c>
      <c r="C20" s="2925"/>
      <c r="D20" s="2925"/>
      <c r="E20" s="2879"/>
      <c r="F20" s="2879"/>
      <c r="G20" s="2926" t="s">
        <v>621</v>
      </c>
      <c r="H20" s="2926"/>
      <c r="I20" s="2926"/>
      <c r="J20" s="2926"/>
      <c r="K20" s="1119"/>
    </row>
    <row r="21" spans="1:11" ht="15" customHeight="1">
      <c r="B21" s="2925" t="s">
        <v>760</v>
      </c>
      <c r="C21" s="2925"/>
      <c r="D21" s="2925"/>
      <c r="E21" s="1552">
        <v>4</v>
      </c>
      <c r="F21" s="1553" t="s">
        <v>884</v>
      </c>
      <c r="G21" s="2926" t="s">
        <v>186</v>
      </c>
      <c r="H21" s="2926"/>
      <c r="I21" s="2926"/>
      <c r="J21" s="2926"/>
      <c r="K21" s="1119"/>
    </row>
    <row r="22" spans="1:11" ht="15" customHeight="1">
      <c r="B22" s="2925" t="s">
        <v>761</v>
      </c>
      <c r="C22" s="2925"/>
      <c r="D22" s="2925"/>
      <c r="E22" s="2879"/>
      <c r="F22" s="2879"/>
      <c r="G22" s="2926" t="s">
        <v>772</v>
      </c>
      <c r="H22" s="2926"/>
      <c r="I22" s="2926"/>
      <c r="J22" s="2926"/>
      <c r="K22" s="1119"/>
    </row>
    <row r="23" spans="1:11" ht="15" customHeight="1">
      <c r="B23" s="2925" t="s">
        <v>762</v>
      </c>
      <c r="C23" s="2925"/>
      <c r="D23" s="2925"/>
      <c r="E23" s="2925"/>
      <c r="F23" s="2925"/>
      <c r="G23" s="2930" t="s">
        <v>1205</v>
      </c>
      <c r="H23" s="2930"/>
      <c r="I23" s="2930"/>
      <c r="J23" s="2930"/>
      <c r="K23" s="1119"/>
    </row>
    <row r="24" spans="1:11" s="1030" customFormat="1" ht="25.5" customHeight="1">
      <c r="B24" s="2927" t="s">
        <v>763</v>
      </c>
      <c r="C24" s="2927"/>
      <c r="D24" s="2927"/>
      <c r="E24" s="2927"/>
      <c r="F24" s="2927"/>
      <c r="G24" s="2927"/>
      <c r="H24" s="2927"/>
      <c r="I24" s="2927"/>
      <c r="J24" s="2927"/>
      <c r="K24" s="1542"/>
    </row>
    <row r="25" spans="1:11" s="1030" customFormat="1" ht="18.75" customHeight="1">
      <c r="B25" s="2928" t="s">
        <v>764</v>
      </c>
      <c r="C25" s="2929"/>
      <c r="D25" s="1554" t="s">
        <v>765</v>
      </c>
      <c r="E25" s="2916" t="s">
        <v>883</v>
      </c>
      <c r="F25" s="2917"/>
      <c r="G25" s="1555" t="s">
        <v>766</v>
      </c>
      <c r="H25" s="2918" t="s">
        <v>767</v>
      </c>
      <c r="I25" s="2919"/>
      <c r="J25" s="2920"/>
      <c r="K25" s="1542"/>
    </row>
    <row r="26" spans="1:11" s="1030" customFormat="1" ht="12.75">
      <c r="A26" s="1030" t="str">
        <f>IF(AND(B26&gt;"",D26&gt;0),"Y","N")</f>
        <v>N</v>
      </c>
      <c r="B26" s="2904" t="str">
        <f>IF(D26&gt;0,'Cover Page'!I$88,"")</f>
        <v/>
      </c>
      <c r="C26" s="2905"/>
      <c r="D26" s="1556">
        <f>'Cover Page'!I$104</f>
        <v>0</v>
      </c>
      <c r="E26" s="2891">
        <v>250</v>
      </c>
      <c r="F26" s="2892"/>
      <c r="G26" s="1557">
        <v>4</v>
      </c>
      <c r="H26" s="2893" t="s">
        <v>1206</v>
      </c>
      <c r="I26" s="2894"/>
      <c r="J26" s="2895"/>
      <c r="K26" s="1542"/>
    </row>
    <row r="27" spans="1:11" s="1030" customFormat="1" ht="12.75" hidden="1">
      <c r="A27" s="1030" t="str">
        <f t="shared" ref="A27:A31" si="0">IF(AND(B27&gt;"",D27&gt;0),"Y","N")</f>
        <v>Y</v>
      </c>
      <c r="B27" s="2900" t="str">
        <f>IF(D27&gt;0,'Cover Page'!J$88,"")</f>
        <v>LSFO</v>
      </c>
      <c r="C27" s="2901"/>
      <c r="D27" s="1413">
        <f>'Cover Page'!J$104</f>
        <v>250</v>
      </c>
      <c r="E27" s="2863">
        <v>3.43201</v>
      </c>
      <c r="F27" s="2864"/>
      <c r="G27" s="1029">
        <v>3.4323450000000002</v>
      </c>
      <c r="H27" s="2907"/>
      <c r="I27" s="2908"/>
      <c r="J27" s="2909"/>
    </row>
    <row r="28" spans="1:11" s="1030" customFormat="1" ht="12.75" hidden="1">
      <c r="A28" s="1030" t="str">
        <f t="shared" si="0"/>
        <v>N</v>
      </c>
      <c r="B28" s="2900" t="str">
        <f>IF(D28&gt;0,'Cover Page'!K$88,"")</f>
        <v/>
      </c>
      <c r="C28" s="2901"/>
      <c r="D28" s="1413">
        <f>'Cover Page'!K$104</f>
        <v>0</v>
      </c>
      <c r="E28" s="2863">
        <v>3.43201</v>
      </c>
      <c r="F28" s="2864"/>
      <c r="G28" s="1029">
        <v>3.4323450000000002</v>
      </c>
      <c r="H28" s="2907"/>
      <c r="I28" s="2908"/>
      <c r="J28" s="2909"/>
    </row>
    <row r="29" spans="1:11" s="1030" customFormat="1" ht="12.75" hidden="1">
      <c r="A29" s="1030" t="str">
        <f t="shared" si="0"/>
        <v>N</v>
      </c>
      <c r="B29" s="2900" t="str">
        <f>IF(D29&gt;0,'Cover Page'!L$88,"")</f>
        <v/>
      </c>
      <c r="C29" s="2901"/>
      <c r="D29" s="1413">
        <f>'Cover Page'!L$104</f>
        <v>0</v>
      </c>
      <c r="E29" s="2863">
        <v>3.43201</v>
      </c>
      <c r="F29" s="2864"/>
      <c r="G29" s="1029">
        <v>3.4323450000000002</v>
      </c>
      <c r="H29" s="2907"/>
      <c r="I29" s="2908"/>
      <c r="J29" s="2909"/>
    </row>
    <row r="30" spans="1:11" s="1030" customFormat="1" ht="12.75" hidden="1">
      <c r="A30" s="1030" t="str">
        <f t="shared" si="0"/>
        <v>N</v>
      </c>
      <c r="B30" s="2900" t="str">
        <f>IF(D30&gt;0,'Cover Page'!M$88,"")</f>
        <v/>
      </c>
      <c r="C30" s="2901"/>
      <c r="D30" s="1413">
        <f>'Cover Page'!M$104</f>
        <v>0</v>
      </c>
      <c r="E30" s="2863">
        <v>3.43201</v>
      </c>
      <c r="F30" s="2864"/>
      <c r="G30" s="1029">
        <v>3.4323450000000002</v>
      </c>
      <c r="H30" s="2907"/>
      <c r="I30" s="2908"/>
      <c r="J30" s="2909"/>
    </row>
    <row r="31" spans="1:11" s="1030" customFormat="1" ht="12.75">
      <c r="A31" s="1030" t="str">
        <f t="shared" si="0"/>
        <v>Y</v>
      </c>
      <c r="B31" s="2876" t="str">
        <f>IF(D31&gt;0,'Cover Page'!N$88,"")</f>
        <v>LSMGO</v>
      </c>
      <c r="C31" s="2877"/>
      <c r="D31" s="1558">
        <f>'Cover Page'!N$104</f>
        <v>40</v>
      </c>
      <c r="E31" s="2891">
        <v>100</v>
      </c>
      <c r="F31" s="2892"/>
      <c r="G31" s="1557">
        <v>2</v>
      </c>
      <c r="H31" s="2896" t="s">
        <v>1207</v>
      </c>
      <c r="I31" s="2897"/>
      <c r="J31" s="2898"/>
      <c r="K31" s="1542"/>
    </row>
    <row r="32" spans="1:11" s="1346" customFormat="1" ht="6.75">
      <c r="B32" s="1559"/>
      <c r="C32" s="1559"/>
      <c r="D32" s="1559"/>
      <c r="E32" s="1559"/>
      <c r="F32" s="1559"/>
      <c r="G32" s="1559"/>
      <c r="H32" s="1559"/>
      <c r="I32" s="1559"/>
      <c r="J32" s="1559"/>
      <c r="K32" s="1543"/>
    </row>
    <row r="33" spans="2:11" s="1030" customFormat="1" ht="15" customHeight="1">
      <c r="B33" s="2910" t="s">
        <v>768</v>
      </c>
      <c r="C33" s="2911"/>
      <c r="D33" s="2911"/>
      <c r="E33" s="1586">
        <v>2</v>
      </c>
      <c r="F33" s="1587" t="s">
        <v>881</v>
      </c>
      <c r="G33" s="1560" t="s">
        <v>769</v>
      </c>
      <c r="H33" s="2914" t="s">
        <v>30</v>
      </c>
      <c r="I33" s="2914"/>
      <c r="J33" s="2915"/>
      <c r="K33" s="1542"/>
    </row>
    <row r="34" spans="2:11" s="1030" customFormat="1" ht="15" customHeight="1">
      <c r="B34" s="2912" t="s">
        <v>770</v>
      </c>
      <c r="C34" s="2913"/>
      <c r="D34" s="2913"/>
      <c r="E34" s="1588">
        <v>3</v>
      </c>
      <c r="F34" s="1589" t="s">
        <v>881</v>
      </c>
      <c r="G34" s="1561" t="s">
        <v>769</v>
      </c>
      <c r="H34" s="2902" t="s">
        <v>30</v>
      </c>
      <c r="I34" s="2902"/>
      <c r="J34" s="2903"/>
      <c r="K34" s="1542"/>
    </row>
    <row r="35" spans="2:11" s="1030" customFormat="1" ht="25.5" customHeight="1">
      <c r="B35" s="2899" t="s">
        <v>771</v>
      </c>
      <c r="C35" s="2899"/>
      <c r="D35" s="2899"/>
      <c r="E35" s="2899"/>
      <c r="F35" s="2899"/>
      <c r="G35" s="2899"/>
      <c r="H35" s="2899"/>
      <c r="I35" s="2899"/>
      <c r="J35" s="2899"/>
      <c r="K35" s="1542"/>
    </row>
    <row r="36" spans="2:11" s="1030" customFormat="1" ht="30" customHeight="1">
      <c r="B36" s="2906" t="s">
        <v>1005</v>
      </c>
      <c r="C36" s="2906"/>
      <c r="D36" s="2906"/>
      <c r="E36" s="2906"/>
      <c r="F36" s="2906"/>
      <c r="G36" s="2906"/>
      <c r="H36" s="2906"/>
      <c r="I36" s="2906"/>
      <c r="J36" s="1562" t="s">
        <v>772</v>
      </c>
      <c r="K36" s="1542"/>
    </row>
    <row r="37" spans="2:11" s="1030" customFormat="1" ht="17.25" customHeight="1">
      <c r="B37" s="2906" t="s">
        <v>773</v>
      </c>
      <c r="C37" s="2906"/>
      <c r="D37" s="2906"/>
      <c r="E37" s="2906"/>
      <c r="F37" s="2906"/>
      <c r="G37" s="2906"/>
      <c r="H37" s="2906"/>
      <c r="I37" s="2906"/>
      <c r="J37" s="1562" t="s">
        <v>772</v>
      </c>
      <c r="K37" s="1542"/>
    </row>
    <row r="38" spans="2:11" s="1030" customFormat="1" ht="25.5" customHeight="1">
      <c r="B38" s="2890" t="s">
        <v>774</v>
      </c>
      <c r="C38" s="2890"/>
      <c r="D38" s="2890"/>
      <c r="E38" s="2890"/>
      <c r="F38" s="2890"/>
      <c r="G38" s="2890"/>
      <c r="H38" s="2890"/>
      <c r="I38" s="2890"/>
      <c r="J38" s="2890"/>
      <c r="K38" s="1542"/>
    </row>
    <row r="39" spans="2:11" s="1030" customFormat="1" ht="18.75" customHeight="1">
      <c r="B39" s="2879" t="s">
        <v>1006</v>
      </c>
      <c r="C39" s="2879"/>
      <c r="D39" s="2879"/>
      <c r="E39" s="2879"/>
      <c r="F39" s="2879"/>
      <c r="G39" s="2879"/>
      <c r="H39" s="2879"/>
      <c r="I39" s="2879"/>
      <c r="J39" s="1563" t="s">
        <v>772</v>
      </c>
      <c r="K39" s="1542"/>
    </row>
    <row r="40" spans="2:11" s="1030" customFormat="1" ht="15" customHeight="1">
      <c r="B40" s="2879" t="s">
        <v>775</v>
      </c>
      <c r="C40" s="2879"/>
      <c r="D40" s="2879"/>
      <c r="E40" s="2879"/>
      <c r="F40" s="2879"/>
      <c r="G40" s="2879"/>
      <c r="H40" s="2879"/>
      <c r="I40" s="2879"/>
      <c r="J40" s="1563" t="s">
        <v>621</v>
      </c>
      <c r="K40" s="1542"/>
    </row>
    <row r="41" spans="2:11" s="1030" customFormat="1" ht="6.75" customHeight="1">
      <c r="B41" s="1564"/>
      <c r="C41" s="1564"/>
      <c r="D41" s="1564"/>
      <c r="E41" s="1564"/>
      <c r="F41" s="1564"/>
      <c r="G41" s="1564"/>
      <c r="H41" s="1564"/>
      <c r="I41" s="1564"/>
      <c r="J41" s="1565"/>
      <c r="K41" s="1542"/>
    </row>
    <row r="42" spans="2:11" s="1030" customFormat="1" ht="24" customHeight="1">
      <c r="B42" s="1566" t="s">
        <v>776</v>
      </c>
      <c r="C42" s="2869" t="s">
        <v>777</v>
      </c>
      <c r="D42" s="2869"/>
      <c r="E42" s="2869" t="s">
        <v>778</v>
      </c>
      <c r="F42" s="2869"/>
      <c r="G42" s="2869" t="s">
        <v>779</v>
      </c>
      <c r="H42" s="2869"/>
      <c r="I42" s="2870"/>
      <c r="J42" s="2870"/>
      <c r="K42" s="1542"/>
    </row>
    <row r="43" spans="2:11" s="1030" customFormat="1" ht="12.75">
      <c r="B43" s="1567" t="s">
        <v>780</v>
      </c>
      <c r="C43" s="2878" t="s">
        <v>781</v>
      </c>
      <c r="D43" s="2878"/>
      <c r="E43" s="2878" t="s">
        <v>782</v>
      </c>
      <c r="F43" s="2878"/>
      <c r="G43" s="2878" t="s">
        <v>783</v>
      </c>
      <c r="H43" s="2878"/>
      <c r="I43" s="2878"/>
      <c r="J43" s="2878"/>
      <c r="K43" s="1542"/>
    </row>
    <row r="44" spans="2:11" s="1030" customFormat="1" ht="12.75">
      <c r="B44" s="1568" t="s">
        <v>784</v>
      </c>
      <c r="C44" s="2880">
        <v>42679</v>
      </c>
      <c r="D44" s="2880"/>
      <c r="E44" s="2880">
        <v>42679</v>
      </c>
      <c r="F44" s="2880"/>
      <c r="G44" s="2880">
        <v>42494</v>
      </c>
      <c r="H44" s="2880"/>
      <c r="I44" s="2880"/>
      <c r="J44" s="2880"/>
      <c r="K44" s="1542"/>
    </row>
    <row r="45" spans="2:11" s="1030" customFormat="1" ht="12.75">
      <c r="B45" s="1569"/>
      <c r="C45" s="2875"/>
      <c r="D45" s="2875"/>
      <c r="E45" s="2875"/>
      <c r="F45" s="2875"/>
      <c r="G45" s="2875"/>
      <c r="H45" s="2875"/>
      <c r="I45" s="2875"/>
      <c r="J45" s="2875"/>
      <c r="K45" s="1542"/>
    </row>
    <row r="46" spans="2:11" s="1346" customFormat="1" ht="6.75">
      <c r="B46" s="1570"/>
      <c r="C46" s="1570"/>
      <c r="D46" s="1571"/>
      <c r="E46" s="1571"/>
      <c r="F46" s="1571"/>
      <c r="G46" s="1571"/>
      <c r="H46" s="1571"/>
      <c r="I46" s="1571"/>
      <c r="J46" s="1571"/>
      <c r="K46" s="1543"/>
    </row>
    <row r="47" spans="2:11" s="1030" customFormat="1" ht="12.75">
      <c r="B47" s="1572" t="s">
        <v>179</v>
      </c>
      <c r="C47" s="1573"/>
      <c r="D47" s="1574"/>
      <c r="E47" s="1574"/>
      <c r="F47" s="1574"/>
      <c r="G47" s="1574"/>
      <c r="H47" s="1574"/>
      <c r="I47" s="1574"/>
      <c r="J47" s="1574"/>
      <c r="K47" s="1542"/>
    </row>
    <row r="48" spans="2:11" s="1030" customFormat="1" ht="15" customHeight="1">
      <c r="B48" s="2871"/>
      <c r="C48" s="2872"/>
      <c r="D48" s="2872"/>
      <c r="E48" s="2872"/>
      <c r="F48" s="2872"/>
      <c r="G48" s="2872"/>
      <c r="H48" s="2872"/>
      <c r="I48" s="2872"/>
      <c r="J48" s="2873"/>
      <c r="K48" s="1542"/>
    </row>
    <row r="49" spans="2:13" s="1030" customFormat="1" ht="15" customHeight="1">
      <c r="B49" s="2882"/>
      <c r="C49" s="2883"/>
      <c r="D49" s="2883"/>
      <c r="E49" s="2883"/>
      <c r="F49" s="2883"/>
      <c r="G49" s="2883"/>
      <c r="H49" s="2883"/>
      <c r="I49" s="2883"/>
      <c r="J49" s="2884"/>
      <c r="K49" s="1542"/>
    </row>
    <row r="50" spans="2:13" s="1030" customFormat="1" ht="15" customHeight="1">
      <c r="B50" s="2885"/>
      <c r="C50" s="2886"/>
      <c r="D50" s="2886"/>
      <c r="E50" s="2886"/>
      <c r="F50" s="2886"/>
      <c r="G50" s="2886"/>
      <c r="H50" s="2886"/>
      <c r="I50" s="2886"/>
      <c r="J50" s="2887"/>
      <c r="K50" s="1542"/>
    </row>
    <row r="51" spans="2:13" s="1030" customFormat="1" ht="15" customHeight="1">
      <c r="B51" s="1575"/>
      <c r="C51" s="1575"/>
      <c r="D51" s="1576"/>
      <c r="E51" s="1576"/>
      <c r="F51" s="1576"/>
      <c r="G51" s="1576"/>
      <c r="H51" s="1576"/>
      <c r="I51" s="1576"/>
      <c r="J51" s="1576"/>
      <c r="K51" s="1542"/>
    </row>
    <row r="52" spans="2:13" s="1030" customFormat="1" ht="27.75" customHeight="1">
      <c r="B52" s="2881" t="s">
        <v>785</v>
      </c>
      <c r="C52" s="2881"/>
      <c r="D52" s="2861"/>
      <c r="E52" s="2861"/>
      <c r="F52" s="2866" t="s">
        <v>1007</v>
      </c>
      <c r="G52" s="2866"/>
      <c r="H52" s="2874"/>
      <c r="I52" s="2874"/>
      <c r="J52" s="2874"/>
      <c r="K52" s="1542"/>
    </row>
    <row r="53" spans="2:13">
      <c r="B53" s="2888" t="s">
        <v>786</v>
      </c>
      <c r="C53" s="2888"/>
      <c r="D53" s="2865" t="str">
        <f>CHENG</f>
        <v>CANO ARTHUR D. CADAVOS</v>
      </c>
      <c r="E53" s="2865"/>
      <c r="F53" s="1577"/>
      <c r="G53" s="1578" t="s">
        <v>786</v>
      </c>
      <c r="H53" s="2867" t="str">
        <f>SURVEYOR</f>
        <v>MEHMET EROĞLU</v>
      </c>
      <c r="I53" s="2867"/>
      <c r="J53" s="2867"/>
      <c r="K53" s="1119"/>
    </row>
    <row r="54" spans="2:13">
      <c r="B54" s="2881" t="s">
        <v>787</v>
      </c>
      <c r="C54" s="2881"/>
      <c r="D54" s="2889">
        <v>0.63541666666666663</v>
      </c>
      <c r="E54" s="2889"/>
      <c r="F54" s="1579"/>
      <c r="G54" s="1578" t="s">
        <v>1220</v>
      </c>
      <c r="H54" s="2868" t="str">
        <f>SURVLIC</f>
        <v>09346</v>
      </c>
      <c r="I54" s="2868"/>
      <c r="J54" s="2868"/>
      <c r="K54" s="1119"/>
    </row>
    <row r="55" spans="2:13" ht="0.75" customHeight="1">
      <c r="B55" s="1580"/>
      <c r="C55" s="1581"/>
      <c r="D55" s="1581"/>
      <c r="E55" s="1581"/>
      <c r="F55" s="1582"/>
      <c r="G55" s="1581"/>
      <c r="H55" s="1581"/>
      <c r="I55" s="1581"/>
      <c r="J55" s="1583"/>
      <c r="K55" s="1119"/>
    </row>
    <row r="56" spans="2:13" ht="2.25" customHeight="1">
      <c r="B56" s="1584"/>
      <c r="C56" s="1585"/>
      <c r="D56" s="1585"/>
      <c r="E56" s="1585"/>
      <c r="F56" s="1585"/>
      <c r="G56" s="1585"/>
      <c r="H56" s="1585"/>
      <c r="I56" s="2857"/>
      <c r="J56" s="2858"/>
      <c r="K56" s="1544"/>
      <c r="L56" s="1347"/>
      <c r="M56" s="1347"/>
    </row>
    <row r="57" spans="2:13" ht="7.5" customHeight="1">
      <c r="B57" s="2405"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57" s="2406"/>
      <c r="D57" s="2406"/>
      <c r="E57" s="2406"/>
      <c r="F57" s="2406"/>
      <c r="G57" s="2406"/>
      <c r="H57" s="2406"/>
      <c r="I57" s="2859"/>
      <c r="J57" s="2860"/>
      <c r="K57" s="1545"/>
      <c r="L57" s="1348"/>
      <c r="M57" s="1348"/>
    </row>
    <row r="58" spans="2:13" ht="7.5" customHeight="1">
      <c r="B58" s="2405"/>
      <c r="C58" s="2406"/>
      <c r="D58" s="2406"/>
      <c r="E58" s="2406"/>
      <c r="F58" s="2406"/>
      <c r="G58" s="2406"/>
      <c r="H58" s="2406"/>
      <c r="I58" s="2859"/>
      <c r="J58" s="2860"/>
      <c r="K58" s="1545"/>
      <c r="L58" s="1348"/>
      <c r="M58" s="1348"/>
    </row>
    <row r="59" spans="2:13" ht="7.5" customHeight="1">
      <c r="B59" s="2405"/>
      <c r="C59" s="2406"/>
      <c r="D59" s="2406"/>
      <c r="E59" s="2406"/>
      <c r="F59" s="2406"/>
      <c r="G59" s="2406"/>
      <c r="H59" s="2406"/>
      <c r="I59" s="2859"/>
      <c r="J59" s="2860"/>
      <c r="K59" s="1546"/>
      <c r="L59" s="1349"/>
      <c r="M59" s="1349"/>
    </row>
    <row r="60" spans="2:13" ht="7.5" customHeight="1">
      <c r="B60" s="2405"/>
      <c r="C60" s="2406"/>
      <c r="D60" s="2406"/>
      <c r="E60" s="2406"/>
      <c r="F60" s="2406"/>
      <c r="G60" s="2406"/>
      <c r="H60" s="2406"/>
      <c r="I60" s="2859"/>
      <c r="J60" s="2860"/>
      <c r="K60" s="1546"/>
      <c r="L60" s="1349"/>
      <c r="M60" s="1349"/>
    </row>
    <row r="61" spans="2:13" ht="7.5" customHeight="1">
      <c r="B61" s="2405"/>
      <c r="C61" s="2406"/>
      <c r="D61" s="2406"/>
      <c r="E61" s="2406"/>
      <c r="F61" s="2406"/>
      <c r="G61" s="2406"/>
      <c r="H61" s="2406"/>
      <c r="I61" s="2859"/>
      <c r="J61" s="2860"/>
      <c r="K61" s="1546"/>
      <c r="L61" s="1349"/>
      <c r="M61" s="1349"/>
    </row>
    <row r="62" spans="2:13">
      <c r="B62" s="2407"/>
      <c r="C62" s="2408"/>
      <c r="D62" s="2408"/>
      <c r="E62" s="2408"/>
      <c r="F62" s="2408"/>
      <c r="G62" s="2408"/>
      <c r="H62" s="2408"/>
      <c r="I62" s="2861"/>
      <c r="J62" s="2862"/>
      <c r="K62" s="1545"/>
      <c r="L62" s="1348"/>
      <c r="M62" s="1348"/>
    </row>
    <row r="63" spans="2:13" hidden="1">
      <c r="B63" s="1348"/>
      <c r="C63" s="1348"/>
      <c r="D63" s="1348"/>
      <c r="E63" s="1348"/>
      <c r="F63" s="1348"/>
      <c r="G63" s="1348"/>
      <c r="H63" s="1348"/>
      <c r="I63" s="1348"/>
      <c r="J63" s="1348"/>
      <c r="K63" s="1348"/>
      <c r="L63" s="1348"/>
      <c r="M63" s="1348"/>
    </row>
    <row r="64" spans="2:13" hidden="1">
      <c r="B64" s="1348"/>
      <c r="C64" s="1348"/>
      <c r="D64" s="1348"/>
      <c r="E64" s="1348"/>
      <c r="F64" s="1348"/>
      <c r="G64" s="1348"/>
      <c r="H64" s="1348"/>
      <c r="I64" s="1348"/>
      <c r="J64" s="1348"/>
      <c r="K64" s="1348"/>
      <c r="L64" s="1348"/>
      <c r="M64" s="1348"/>
    </row>
    <row r="65" spans="2:14" hidden="1">
      <c r="B65" s="1348"/>
      <c r="C65" s="1348"/>
      <c r="D65" s="1348"/>
      <c r="E65" s="1348"/>
      <c r="F65" s="1348"/>
      <c r="G65" s="1348"/>
      <c r="H65" s="1348"/>
      <c r="I65" s="1348"/>
      <c r="J65" s="1348"/>
      <c r="K65" s="1348"/>
      <c r="L65" s="1348"/>
      <c r="M65" s="1348"/>
    </row>
    <row r="66" spans="2:14" hidden="1">
      <c r="B66" s="1348"/>
      <c r="C66" s="1348"/>
      <c r="D66" s="1348"/>
      <c r="E66" s="1348"/>
      <c r="F66" s="1348"/>
      <c r="G66" s="1348"/>
      <c r="H66" s="1348"/>
      <c r="I66" s="1348"/>
      <c r="J66" s="1348"/>
      <c r="K66" s="1348"/>
      <c r="L66" s="1348"/>
      <c r="M66" s="1348"/>
    </row>
    <row r="67" spans="2:14" hidden="1">
      <c r="B67" s="1348"/>
      <c r="C67" s="1348"/>
      <c r="D67" s="1348"/>
      <c r="E67" s="1348"/>
      <c r="F67" s="1348"/>
      <c r="G67" s="1348"/>
      <c r="H67" s="1348"/>
      <c r="I67" s="1348"/>
      <c r="J67" s="1348"/>
      <c r="K67" s="1348"/>
      <c r="L67" s="1348"/>
      <c r="M67" s="1348"/>
    </row>
    <row r="68" spans="2:14" hidden="1">
      <c r="B68" s="1348"/>
      <c r="C68" s="1348"/>
      <c r="D68" s="1348"/>
      <c r="E68" s="1348"/>
      <c r="F68" s="1348"/>
      <c r="G68" s="1348"/>
      <c r="H68" s="1348"/>
      <c r="I68" s="1348"/>
      <c r="J68" s="1348"/>
      <c r="K68" s="1348"/>
      <c r="L68" s="1348"/>
      <c r="M68" s="1348"/>
    </row>
    <row r="69" spans="2:14" hidden="1">
      <c r="B69" s="1348"/>
      <c r="C69" s="1348"/>
      <c r="D69" s="1348"/>
      <c r="E69" s="1348"/>
      <c r="F69" s="1348"/>
      <c r="G69" s="1348"/>
      <c r="H69" s="1348"/>
      <c r="I69" s="1348"/>
      <c r="J69" s="1348"/>
      <c r="K69" s="1348"/>
      <c r="L69" s="1348"/>
      <c r="M69" s="1348"/>
    </row>
    <row r="70" spans="2:14" hidden="1">
      <c r="B70" s="1348"/>
      <c r="C70" s="1348"/>
      <c r="D70" s="1348"/>
      <c r="E70" s="1348"/>
      <c r="F70" s="1348"/>
      <c r="G70" s="1348"/>
      <c r="H70" s="1348"/>
      <c r="I70" s="1348"/>
      <c r="J70" s="1348"/>
      <c r="K70" s="1348"/>
      <c r="L70" s="1348"/>
      <c r="M70" s="1348"/>
    </row>
    <row r="71" spans="2:14" hidden="1">
      <c r="B71" s="1348"/>
      <c r="C71" s="1348"/>
      <c r="D71" s="1348"/>
      <c r="E71" s="1348"/>
      <c r="F71" s="1348"/>
      <c r="G71" s="1348"/>
      <c r="H71" s="1348"/>
      <c r="I71" s="1348"/>
      <c r="J71" s="1348"/>
      <c r="K71" s="1348"/>
      <c r="L71" s="1348"/>
      <c r="M71" s="1348"/>
    </row>
    <row r="72" spans="2:14" hidden="1">
      <c r="B72" s="1348"/>
      <c r="C72" s="1348"/>
      <c r="D72" s="1348"/>
      <c r="E72" s="1348"/>
      <c r="F72" s="1348"/>
      <c r="G72" s="1348"/>
      <c r="H72" s="1348"/>
      <c r="I72" s="1348"/>
      <c r="J72" s="1348"/>
      <c r="K72" s="1348"/>
      <c r="L72" s="1348"/>
      <c r="M72" s="1348"/>
    </row>
    <row r="73" spans="2:14" hidden="1">
      <c r="B73" s="1348"/>
      <c r="C73" s="1348"/>
      <c r="D73" s="1348"/>
      <c r="E73" s="1348"/>
      <c r="F73" s="1348"/>
      <c r="G73" s="1348"/>
      <c r="H73" s="1348"/>
      <c r="I73" s="1348"/>
      <c r="J73" s="1348"/>
      <c r="K73" s="1348"/>
      <c r="L73" s="1348"/>
      <c r="M73" s="1348"/>
    </row>
    <row r="74" spans="2:14" ht="12.75" hidden="1">
      <c r="B74" s="1348"/>
      <c r="C74" s="1348"/>
      <c r="D74" s="1348"/>
      <c r="E74" s="1348"/>
      <c r="F74" s="1348"/>
      <c r="G74" s="1348"/>
      <c r="H74" s="1348"/>
      <c r="I74" s="1348"/>
      <c r="J74" s="1348"/>
      <c r="K74" s="1348"/>
      <c r="L74" s="1348"/>
      <c r="M74" s="1348"/>
      <c r="N74" s="1048"/>
    </row>
    <row r="75" spans="2:14" hidden="1">
      <c r="B75" s="1348"/>
      <c r="C75" s="1348"/>
      <c r="D75" s="1348"/>
      <c r="E75" s="1348"/>
      <c r="F75" s="1348"/>
      <c r="G75" s="1348"/>
      <c r="H75" s="1348"/>
      <c r="I75" s="1348"/>
      <c r="J75" s="1348"/>
      <c r="K75" s="1348"/>
      <c r="L75" s="1348"/>
      <c r="M75" s="1348"/>
    </row>
    <row r="76" spans="2:14" hidden="1">
      <c r="K76" s="1348"/>
      <c r="L76" s="1348"/>
      <c r="M76" s="1348"/>
    </row>
  </sheetData>
  <sheetProtection algorithmName="SHA-512" hashValue="pWU54d9YxQ/MpB7co1BJk0ztB4HiQQgNr9WVykO/UzVVizueB+ywdD4OqNj9VvvpsnXEolnp+9YeMUcuBKdLXQ==" saltValue="tu/blcgNWf41eZWrZtLVXA==" spinCount="100000" sheet="1" objects="1" scenarios="1" autoFilter="0"/>
  <autoFilter ref="A25:A31" xr:uid="{00000000-0009-0000-0000-000016000000}">
    <filterColumn colId="0">
      <filters>
        <filter val="Y"/>
      </filters>
    </filterColumn>
  </autoFilter>
  <mergeCells count="85">
    <mergeCell ref="B16:J16"/>
    <mergeCell ref="B9:J9"/>
    <mergeCell ref="C12:D12"/>
    <mergeCell ref="E12:G12"/>
    <mergeCell ref="I12:J12"/>
    <mergeCell ref="G13:J13"/>
    <mergeCell ref="B14:J14"/>
    <mergeCell ref="B15:E15"/>
    <mergeCell ref="F15:J15"/>
    <mergeCell ref="C13:D13"/>
    <mergeCell ref="E13:F13"/>
    <mergeCell ref="E25:F25"/>
    <mergeCell ref="H25:J25"/>
    <mergeCell ref="B17:J17"/>
    <mergeCell ref="B18:J18"/>
    <mergeCell ref="B19:J19"/>
    <mergeCell ref="B20:F20"/>
    <mergeCell ref="G20:J20"/>
    <mergeCell ref="B21:D21"/>
    <mergeCell ref="G21:J21"/>
    <mergeCell ref="B22:F22"/>
    <mergeCell ref="G22:J22"/>
    <mergeCell ref="B24:J24"/>
    <mergeCell ref="B25:C25"/>
    <mergeCell ref="B23:F23"/>
    <mergeCell ref="G23:J23"/>
    <mergeCell ref="H30:J30"/>
    <mergeCell ref="B30:C30"/>
    <mergeCell ref="B33:D33"/>
    <mergeCell ref="B34:D34"/>
    <mergeCell ref="H33:J33"/>
    <mergeCell ref="B38:J38"/>
    <mergeCell ref="E26:F26"/>
    <mergeCell ref="H26:J26"/>
    <mergeCell ref="E31:F31"/>
    <mergeCell ref="H31:J31"/>
    <mergeCell ref="B35:J35"/>
    <mergeCell ref="B29:C29"/>
    <mergeCell ref="H34:J34"/>
    <mergeCell ref="B26:C26"/>
    <mergeCell ref="B27:C27"/>
    <mergeCell ref="B28:C28"/>
    <mergeCell ref="B36:I36"/>
    <mergeCell ref="B37:I37"/>
    <mergeCell ref="H27:J27"/>
    <mergeCell ref="H28:J28"/>
    <mergeCell ref="H29:J29"/>
    <mergeCell ref="B52:C52"/>
    <mergeCell ref="B49:J49"/>
    <mergeCell ref="B50:J50"/>
    <mergeCell ref="B53:C53"/>
    <mergeCell ref="B54:C54"/>
    <mergeCell ref="D54:E54"/>
    <mergeCell ref="C45:D45"/>
    <mergeCell ref="E45:F45"/>
    <mergeCell ref="B31:C31"/>
    <mergeCell ref="C43:D43"/>
    <mergeCell ref="B39:I39"/>
    <mergeCell ref="B40:I40"/>
    <mergeCell ref="G43:H43"/>
    <mergeCell ref="I43:J43"/>
    <mergeCell ref="G44:H44"/>
    <mergeCell ref="I44:J44"/>
    <mergeCell ref="G45:H45"/>
    <mergeCell ref="I45:J45"/>
    <mergeCell ref="E43:F43"/>
    <mergeCell ref="C44:D44"/>
    <mergeCell ref="E44:F44"/>
    <mergeCell ref="C42:D42"/>
    <mergeCell ref="I56:J62"/>
    <mergeCell ref="E27:F27"/>
    <mergeCell ref="E28:F28"/>
    <mergeCell ref="E29:F29"/>
    <mergeCell ref="E30:F30"/>
    <mergeCell ref="D53:E53"/>
    <mergeCell ref="F52:G52"/>
    <mergeCell ref="B57:H62"/>
    <mergeCell ref="H53:J53"/>
    <mergeCell ref="H54:J54"/>
    <mergeCell ref="E42:F42"/>
    <mergeCell ref="G42:H42"/>
    <mergeCell ref="I42:J42"/>
    <mergeCell ref="B48:J48"/>
    <mergeCell ref="D52:E52"/>
    <mergeCell ref="H52:J52"/>
  </mergeCells>
  <dataValidations count="3">
    <dataValidation type="list" allowBlank="1" showInputMessage="1" showErrorMessage="1" error="Yes, No or empty cell is permitted." sqref="J36:J37 J39:J40 G22:J22 G20:J20" xr:uid="{00000000-0002-0000-1600-000000000000}">
      <formula1>"Yes, No"</formula1>
    </dataValidation>
    <dataValidation type="list" errorStyle="information" allowBlank="1" showInputMessage="1" showErrorMessage="1" prompt="Choose Remarks from list or edit yours." sqref="B48:J50" xr:uid="{00000000-0002-0000-1600-000001000000}">
      <formula1>REMCOL</formula1>
    </dataValidation>
    <dataValidation type="list" allowBlank="1" showInputMessage="1" showErrorMessage="1" sqref="H33:J34" xr:uid="{00000000-0002-0000-1600-000002000000}">
      <formula1>GRADESLIST</formula1>
    </dataValidation>
  </dataValidations>
  <hyperlinks>
    <hyperlink ref="B47" location="REMCODE" display="Remarks:" xr:uid="{00000000-0004-0000-1600-000000000000}"/>
  </hyperlinks>
  <printOptions horizontalCentered="1"/>
  <pageMargins left="0.3" right="0.3" top="0.2" bottom="0.3" header="0.3" footer="0.1"/>
  <pageSetup paperSize="9" orientation="portrait" r:id="rId1"/>
  <headerFooter scaleWithDoc="0">
    <oddFooter>&amp;L&amp;8BunkerManager, v1.12&amp;C&amp;8by AMS-Marine | www.ams-marine.com&amp;R&amp;8RefNo: BD/2015/00926 SG</oddFooter>
  </headerFooter>
  <rowBreaks count="1" manualBreakCount="1">
    <brk id="62" min="1" max="12"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2" filterMode="1">
    <tabColor theme="5"/>
    <pageSetUpPr fitToPage="1"/>
  </sheetPr>
  <dimension ref="A1:S400"/>
  <sheetViews>
    <sheetView showGridLines="0" showRowColHeaders="0" topLeftCell="C8" zoomScaleNormal="100" zoomScaleSheetLayoutView="100" workbookViewId="0">
      <pane ySplit="10" topLeftCell="A18" activePane="bottomLeft" state="frozen"/>
      <selection pane="bottomLeft"/>
    </sheetView>
  </sheetViews>
  <sheetFormatPr defaultColWidth="0" defaultRowHeight="12.75" zeroHeight="1"/>
  <cols>
    <col min="1" max="2" width="4.875" style="881" hidden="1" customWidth="1"/>
    <col min="3" max="3" width="7.125" style="881" customWidth="1"/>
    <col min="4" max="4" width="6" style="881" customWidth="1"/>
    <col min="5" max="5" width="5.375" style="881" customWidth="1"/>
    <col min="6" max="9" width="7.5" style="881" customWidth="1"/>
    <col min="10" max="10" width="4.25" style="881" customWidth="1"/>
    <col min="11" max="11" width="8.5" style="881" customWidth="1"/>
    <col min="12" max="12" width="6.5" style="881" customWidth="1"/>
    <col min="13" max="13" width="8.875" style="881" customWidth="1"/>
    <col min="14" max="14" width="7.5" style="881" customWidth="1"/>
    <col min="15" max="15" width="7.375" style="881" customWidth="1"/>
    <col min="16" max="16" width="8.75" style="881" customWidth="1"/>
    <col min="17" max="17" width="0.25" style="881" customWidth="1"/>
    <col min="18" max="16384" width="9" style="881" hidden="1"/>
  </cols>
  <sheetData>
    <row r="1" spans="1:19" ht="15" hidden="1">
      <c r="C1" s="480"/>
      <c r="D1" s="481"/>
      <c r="E1" s="481"/>
      <c r="F1" s="481"/>
      <c r="G1" s="482"/>
      <c r="H1" s="482"/>
      <c r="I1" s="482"/>
      <c r="J1" s="482"/>
      <c r="K1" s="482"/>
      <c r="L1" s="482"/>
      <c r="M1" s="482"/>
      <c r="N1" s="482"/>
      <c r="O1" s="482"/>
      <c r="P1" s="482"/>
      <c r="Q1" s="482"/>
      <c r="R1" s="482"/>
    </row>
    <row r="2" spans="1:19" ht="15">
      <c r="C2" s="1590"/>
      <c r="D2" s="1591"/>
      <c r="E2" s="1591"/>
      <c r="F2" s="1591"/>
      <c r="G2" s="1592"/>
      <c r="H2" s="1592"/>
      <c r="I2" s="1592"/>
      <c r="J2" s="1592"/>
      <c r="K2" s="1592"/>
      <c r="L2" s="1592"/>
      <c r="M2" s="1592"/>
      <c r="N2" s="1592"/>
      <c r="O2" s="1592"/>
      <c r="P2" s="1592"/>
      <c r="Q2" s="1592"/>
      <c r="R2" s="482"/>
    </row>
    <row r="3" spans="1:19" ht="15">
      <c r="C3" s="1590"/>
      <c r="D3" s="1591"/>
      <c r="E3" s="1591"/>
      <c r="F3" s="1591"/>
      <c r="G3" s="1592"/>
      <c r="H3" s="1592"/>
      <c r="I3" s="1592"/>
      <c r="J3" s="1592"/>
      <c r="K3" s="1592"/>
      <c r="L3" s="1592"/>
      <c r="M3" s="1592"/>
      <c r="N3" s="1592"/>
      <c r="O3" s="1592"/>
      <c r="P3" s="1592"/>
      <c r="Q3" s="1592"/>
      <c r="R3" s="482"/>
    </row>
    <row r="4" spans="1:19" ht="20.25" customHeight="1">
      <c r="C4" s="1590"/>
      <c r="D4" s="1591"/>
      <c r="E4" s="1591"/>
      <c r="F4" s="1591"/>
      <c r="G4" s="1592"/>
      <c r="H4" s="1592"/>
      <c r="I4" s="1590"/>
      <c r="J4" s="1590"/>
      <c r="K4" s="1592"/>
      <c r="L4" s="1592"/>
      <c r="M4" s="1592"/>
      <c r="N4" s="1592"/>
      <c r="O4" s="1592"/>
      <c r="P4" s="1593" t="str">
        <f>COMPANY1</f>
        <v>Petro Inspect International</v>
      </c>
      <c r="Q4" s="1594"/>
    </row>
    <row r="5" spans="1:19" ht="15">
      <c r="C5" s="1590"/>
      <c r="D5" s="1591"/>
      <c r="E5" s="1591"/>
      <c r="F5" s="1591"/>
      <c r="G5" s="1592"/>
      <c r="H5" s="1592"/>
      <c r="I5" s="1590"/>
      <c r="J5" s="1590"/>
      <c r="K5" s="1592"/>
      <c r="L5" s="1592"/>
      <c r="M5" s="1592"/>
      <c r="N5" s="1592"/>
      <c r="O5" s="1592"/>
      <c r="P5" s="1595" t="str">
        <f>COMPANY2</f>
        <v>ops@petro-inspect.com</v>
      </c>
      <c r="Q5" s="1594"/>
    </row>
    <row r="6" spans="1:19" ht="15">
      <c r="C6" s="1590"/>
      <c r="D6" s="1591"/>
      <c r="E6" s="1591"/>
      <c r="F6" s="1591"/>
      <c r="G6" s="1592"/>
      <c r="H6" s="1592"/>
      <c r="I6" s="1590"/>
      <c r="J6" s="1590"/>
      <c r="K6" s="1592"/>
      <c r="L6" s="1592"/>
      <c r="M6" s="1592"/>
      <c r="N6" s="1592"/>
      <c r="O6" s="1592"/>
      <c r="P6" s="1595" t="str">
        <f>COMPANY3</f>
        <v/>
      </c>
      <c r="Q6" s="1594"/>
    </row>
    <row r="7" spans="1:19" ht="15">
      <c r="C7" s="1591"/>
      <c r="D7" s="1591"/>
      <c r="E7" s="1591"/>
      <c r="F7" s="1591"/>
      <c r="G7" s="1592"/>
      <c r="H7" s="1592"/>
      <c r="I7" s="1590"/>
      <c r="J7" s="1590"/>
      <c r="K7" s="1592"/>
      <c r="L7" s="1592"/>
      <c r="M7" s="1592"/>
      <c r="N7" s="1592"/>
      <c r="O7" s="1592"/>
      <c r="P7" s="1595" t="str">
        <f>COMPANY4</f>
        <v/>
      </c>
      <c r="Q7" s="1594"/>
    </row>
    <row r="8" spans="1:19" ht="2.25" customHeight="1" thickBot="1">
      <c r="C8" s="1596"/>
      <c r="D8" s="1596"/>
      <c r="E8" s="1596"/>
      <c r="F8" s="1596"/>
      <c r="G8" s="1597"/>
      <c r="H8" s="1597"/>
      <c r="I8" s="1598"/>
      <c r="J8" s="1598"/>
      <c r="K8" s="1599"/>
      <c r="L8" s="1599"/>
      <c r="M8" s="1599"/>
      <c r="N8" s="1599"/>
      <c r="O8" s="1599"/>
      <c r="P8" s="1599"/>
      <c r="Q8" s="1594"/>
    </row>
    <row r="9" spans="1:19" ht="2.25" customHeight="1">
      <c r="C9" s="1594"/>
      <c r="D9" s="1594"/>
      <c r="E9" s="1594"/>
      <c r="F9" s="1594"/>
      <c r="G9" s="1594"/>
      <c r="H9" s="1594"/>
      <c r="I9" s="1594"/>
      <c r="J9" s="1594"/>
      <c r="K9" s="1594"/>
      <c r="L9" s="1594"/>
      <c r="M9" s="1594"/>
      <c r="N9" s="1594"/>
      <c r="O9" s="1594"/>
      <c r="P9" s="1594"/>
      <c r="Q9" s="1594"/>
    </row>
    <row r="10" spans="1:19" ht="23.25">
      <c r="C10" s="3074" t="str">
        <f>"Vessel Measurement Report"&amp;IF(GRADECHNO=2," (Residuals)",IF(GRADECHNO=3," (Distillates)",""))</f>
        <v>Vessel Measurement Report (Distillates)</v>
      </c>
      <c r="D10" s="3074"/>
      <c r="E10" s="3074"/>
      <c r="F10" s="3074"/>
      <c r="G10" s="3074"/>
      <c r="H10" s="3074"/>
      <c r="I10" s="3074"/>
      <c r="J10" s="3074"/>
      <c r="K10" s="3074"/>
      <c r="L10" s="3074"/>
      <c r="M10" s="3074"/>
      <c r="N10" s="3074"/>
      <c r="O10" s="3074"/>
      <c r="P10" s="3074"/>
      <c r="Q10" s="1600"/>
      <c r="R10" s="1044"/>
      <c r="S10" s="1044"/>
    </row>
    <row r="11" spans="1:19" s="1046" customFormat="1" ht="5.25">
      <c r="C11" s="3075"/>
      <c r="D11" s="3075"/>
      <c r="E11" s="3075"/>
      <c r="F11" s="3075"/>
      <c r="G11" s="3075"/>
      <c r="H11" s="3075"/>
      <c r="I11" s="3075"/>
      <c r="J11" s="3075"/>
      <c r="K11" s="3075"/>
      <c r="L11" s="3075"/>
      <c r="M11" s="3075"/>
      <c r="N11" s="3075"/>
      <c r="O11" s="3075"/>
      <c r="P11" s="3075"/>
      <c r="Q11" s="1601"/>
      <c r="R11" s="1045"/>
      <c r="S11" s="1045"/>
    </row>
    <row r="12" spans="1:19">
      <c r="C12" s="3076" t="s">
        <v>160</v>
      </c>
      <c r="D12" s="3076"/>
      <c r="E12" s="3076"/>
      <c r="F12" s="3078" t="str">
        <f>VESSEL</f>
        <v>MV PESSADA</v>
      </c>
      <c r="G12" s="3078"/>
      <c r="H12" s="3078"/>
      <c r="I12" s="3078"/>
      <c r="J12" s="1594"/>
      <c r="K12" s="1594"/>
      <c r="L12" s="3050" t="s">
        <v>789</v>
      </c>
      <c r="M12" s="3050"/>
      <c r="N12" s="3080" t="str">
        <f>PORT</f>
        <v>ISTANBUL / TURKEY</v>
      </c>
      <c r="O12" s="3080"/>
      <c r="P12" s="3080"/>
      <c r="Q12" s="1600"/>
    </row>
    <row r="13" spans="1:19">
      <c r="C13" s="3076" t="s">
        <v>788</v>
      </c>
      <c r="D13" s="3076"/>
      <c r="E13" s="3076"/>
      <c r="F13" s="3077" t="str">
        <f>MYBARGENAME</f>
        <v>M/T YALÇIN 2</v>
      </c>
      <c r="G13" s="3078"/>
      <c r="H13" s="3078"/>
      <c r="I13" s="1602" t="s">
        <v>911</v>
      </c>
      <c r="J13" s="3072" t="str">
        <f>IF(BARGESEL=1,BARGELIC,MYBARGELIC)</f>
        <v>SB 788H</v>
      </c>
      <c r="K13" s="3072"/>
      <c r="L13" s="3050" t="s">
        <v>790</v>
      </c>
      <c r="M13" s="3050"/>
      <c r="N13" s="3051">
        <f>DATESURVC</f>
        <v>44792</v>
      </c>
      <c r="O13" s="3051"/>
      <c r="P13" s="3051"/>
      <c r="Q13" s="1600"/>
    </row>
    <row r="14" spans="1:19">
      <c r="C14" s="3076" t="s">
        <v>926</v>
      </c>
      <c r="D14" s="3076"/>
      <c r="E14" s="3076"/>
      <c r="F14" s="3070" t="str">
        <f>PRETAPE</f>
        <v>005523</v>
      </c>
      <c r="G14" s="3070"/>
      <c r="H14" s="3050" t="s">
        <v>927</v>
      </c>
      <c r="I14" s="3050"/>
      <c r="J14" s="3070" t="str">
        <f>PRETHERMO</f>
        <v>9-02436</v>
      </c>
      <c r="K14" s="3070"/>
      <c r="L14" s="3050" t="s">
        <v>925</v>
      </c>
      <c r="M14" s="3050"/>
      <c r="N14" s="3073" t="str">
        <f>IF(ISERROR(VSLRCVD_GROUP),"N/A",VSLRCVD_GROUP)</f>
        <v>LSMGO</v>
      </c>
      <c r="O14" s="3073"/>
      <c r="P14" s="3073"/>
      <c r="Q14" s="1600"/>
    </row>
    <row r="15" spans="1:19">
      <c r="C15" s="3076" t="s">
        <v>886</v>
      </c>
      <c r="D15" s="3076"/>
      <c r="E15" s="3076"/>
      <c r="F15" s="3079" t="s">
        <v>928</v>
      </c>
      <c r="G15" s="3079"/>
      <c r="H15" s="3079"/>
      <c r="I15" s="1602" t="s">
        <v>201</v>
      </c>
      <c r="J15" s="3071">
        <v>36892</v>
      </c>
      <c r="K15" s="3071"/>
      <c r="L15" s="3050"/>
      <c r="M15" s="3050"/>
      <c r="N15" s="3073"/>
      <c r="O15" s="3073"/>
      <c r="P15" s="3073"/>
      <c r="Q15" s="1600"/>
    </row>
    <row r="16" spans="1:19" s="160" customFormat="1" ht="3" customHeight="1">
      <c r="A16" s="1046"/>
      <c r="C16" s="1603"/>
      <c r="D16" s="1603"/>
      <c r="E16" s="1603"/>
      <c r="F16" s="1603"/>
      <c r="G16" s="1603"/>
      <c r="H16" s="1603"/>
      <c r="I16" s="1603"/>
      <c r="J16" s="1603"/>
      <c r="K16" s="1603"/>
      <c r="L16" s="1603"/>
      <c r="M16" s="1603"/>
      <c r="N16" s="1603"/>
      <c r="O16" s="1603"/>
      <c r="P16" s="1603"/>
      <c r="Q16" s="1601"/>
    </row>
    <row r="17" spans="1:19" ht="18.75" customHeight="1">
      <c r="C17" s="1604" t="s">
        <v>791</v>
      </c>
      <c r="D17" s="1605"/>
      <c r="E17" s="1605"/>
      <c r="F17" s="1594"/>
      <c r="G17" s="1594"/>
      <c r="H17" s="1594"/>
      <c r="I17" s="1594"/>
      <c r="J17" s="1594"/>
      <c r="K17" s="1594"/>
      <c r="L17" s="1594"/>
      <c r="M17" s="1594"/>
      <c r="N17" s="1594"/>
      <c r="O17" s="1594"/>
      <c r="P17" s="1594"/>
      <c r="Q17" s="1600"/>
      <c r="S17" s="1044"/>
    </row>
    <row r="18" spans="1:19">
      <c r="C18" s="3052" t="s">
        <v>1183</v>
      </c>
      <c r="D18" s="3053"/>
      <c r="E18" s="3054">
        <f>'Vessel Gauging Data'!N18</f>
        <v>12</v>
      </c>
      <c r="F18" s="3055"/>
      <c r="G18" s="3055"/>
      <c r="H18" s="1606" t="s">
        <v>793</v>
      </c>
      <c r="I18" s="3060">
        <f>'Vessel Gauging Data'!N20</f>
        <v>0</v>
      </c>
      <c r="J18" s="3061"/>
      <c r="K18" s="3064" t="s">
        <v>794</v>
      </c>
      <c r="L18" s="3065"/>
      <c r="M18" s="3066"/>
      <c r="N18" s="1607" t="s">
        <v>772</v>
      </c>
      <c r="O18" s="2988" t="s">
        <v>795</v>
      </c>
      <c r="P18" s="2983" t="s">
        <v>796</v>
      </c>
      <c r="Q18" s="1600"/>
    </row>
    <row r="19" spans="1:19">
      <c r="C19" s="3056" t="s">
        <v>1184</v>
      </c>
      <c r="D19" s="3057"/>
      <c r="E19" s="3058">
        <f>'Vessel Gauging Data'!N19</f>
        <v>12</v>
      </c>
      <c r="F19" s="3059"/>
      <c r="G19" s="3059"/>
      <c r="H19" s="1608" t="s">
        <v>798</v>
      </c>
      <c r="I19" s="3062">
        <f>'Vessel Gauging Data'!N21</f>
        <v>1</v>
      </c>
      <c r="J19" s="3063"/>
      <c r="K19" s="3067" t="s">
        <v>799</v>
      </c>
      <c r="L19" s="3068"/>
      <c r="M19" s="3069"/>
      <c r="N19" s="1609" t="s">
        <v>621</v>
      </c>
      <c r="O19" s="2989"/>
      <c r="P19" s="2983"/>
      <c r="Q19" s="1600"/>
    </row>
    <row r="20" spans="1:19" ht="24.95" customHeight="1">
      <c r="C20" s="2994" t="s">
        <v>800</v>
      </c>
      <c r="D20" s="2978" t="s">
        <v>764</v>
      </c>
      <c r="E20" s="2969" t="s">
        <v>36</v>
      </c>
      <c r="F20" s="2994" t="str">
        <f>'Vessel BQS Report'!F17</f>
        <v>Actual Height as Measured</v>
      </c>
      <c r="G20" s="2978" t="str">
        <f>'Vessel BQS Report'!E17</f>
        <v>Reference Height from Table</v>
      </c>
      <c r="H20" s="2990" t="str">
        <f>'Vessel Gauging Data'!H24</f>
        <v>Observed Ullage Sounding Gauge</v>
      </c>
      <c r="I20" s="2992" t="str">
        <f>'Vessel Gauging Data'!I24</f>
        <v>Corrected Ullage Sounding Gauge</v>
      </c>
      <c r="J20" s="2980" t="str">
        <f>'Vessel BQS Report'!I17</f>
        <v>U-S-G-E</v>
      </c>
      <c r="K20" s="2969" t="s">
        <v>913</v>
      </c>
      <c r="L20" s="2969" t="s">
        <v>912</v>
      </c>
      <c r="M20" s="2969" t="s">
        <v>914</v>
      </c>
      <c r="N20" s="2969" t="str">
        <f>'Vessel BQS Report'!M17</f>
        <v>Density
 @ 15°C</v>
      </c>
      <c r="O20" s="2969" t="s">
        <v>168</v>
      </c>
      <c r="P20" s="2969" t="str">
        <f>'Vessel BQS Report'!Q17</f>
        <v>G.S.V.
 @ 15° C</v>
      </c>
      <c r="Q20" s="1600"/>
    </row>
    <row r="21" spans="1:19" ht="24.95" customHeight="1">
      <c r="C21" s="2995"/>
      <c r="D21" s="2979"/>
      <c r="E21" s="2970"/>
      <c r="F21" s="2995"/>
      <c r="G21" s="2979"/>
      <c r="H21" s="2991"/>
      <c r="I21" s="2993"/>
      <c r="J21" s="2981"/>
      <c r="K21" s="2970"/>
      <c r="L21" s="2970"/>
      <c r="M21" s="2970"/>
      <c r="N21" s="2970"/>
      <c r="O21" s="2970"/>
      <c r="P21" s="2970"/>
      <c r="Q21" s="1600"/>
    </row>
    <row r="22" spans="1:19" ht="24">
      <c r="C22" s="2996"/>
      <c r="D22" s="2997"/>
      <c r="E22" s="1610" t="str">
        <f>'Vessel BQS Report'!N18</f>
        <v>° C</v>
      </c>
      <c r="F22" s="1611" t="str">
        <f>'Vessel BQS Report'!F18</f>
        <v>m</v>
      </c>
      <c r="G22" s="1612" t="str">
        <f>'Vessel BQS Report'!E18</f>
        <v>m</v>
      </c>
      <c r="H22" s="1613" t="str">
        <f>'Vessel BQS Report'!G18</f>
        <v>m</v>
      </c>
      <c r="I22" s="1614" t="str">
        <f>H22</f>
        <v>m</v>
      </c>
      <c r="J22" s="2982"/>
      <c r="K22" s="1610" t="str">
        <f>'Vessel BQS Report'!J18</f>
        <v>m3</v>
      </c>
      <c r="L22" s="1610" t="str">
        <f>'Vessel BQS Report'!L18</f>
        <v>m3</v>
      </c>
      <c r="M22" s="1610" t="str">
        <f>'Vessel BQS Report'!O18</f>
        <v>m3</v>
      </c>
      <c r="N22" s="1610" t="str">
        <f>'Vessel BQS Report'!M18</f>
        <v>kg/L</v>
      </c>
      <c r="O22" s="1610" t="str">
        <f>'Vessel BQS Report'!P18</f>
        <v>Table 54B</v>
      </c>
      <c r="P22" s="1610" t="str">
        <f>'Vessel BQS Report'!Q18</f>
        <v>m3</v>
      </c>
      <c r="Q22" s="1600"/>
    </row>
    <row r="23" spans="1:19" s="1046" customFormat="1" ht="5.25" hidden="1">
      <c r="A23" s="1046" t="s">
        <v>270</v>
      </c>
      <c r="C23" s="1049"/>
      <c r="D23" s="1049"/>
      <c r="E23" s="1049"/>
      <c r="F23" s="1050"/>
      <c r="G23" s="1050"/>
      <c r="H23" s="1049"/>
      <c r="I23" s="1049"/>
      <c r="J23" s="1049"/>
      <c r="K23" s="1049"/>
      <c r="L23" s="1049"/>
      <c r="M23" s="1049"/>
      <c r="N23" s="1049"/>
      <c r="O23" s="1049"/>
      <c r="P23" s="1049"/>
      <c r="Q23" s="1045"/>
    </row>
    <row r="24" spans="1:19" hidden="1">
      <c r="A24" s="881" t="s">
        <v>270</v>
      </c>
      <c r="B24" s="881">
        <v>1</v>
      </c>
      <c r="C24" s="2959" t="str">
        <f>'Vessel BQS Report'!C21</f>
        <v>NOMINATED TANKS</v>
      </c>
      <c r="D24" s="2960"/>
      <c r="E24" s="2960"/>
      <c r="F24" s="2961"/>
      <c r="G24" s="2962" t="str">
        <f>'Vessel BQS Report'!E21</f>
        <v>HSFO</v>
      </c>
      <c r="H24" s="2963"/>
      <c r="I24" s="1051"/>
      <c r="J24" s="1052"/>
      <c r="K24" s="1053"/>
      <c r="L24" s="1054"/>
      <c r="M24" s="1054"/>
      <c r="N24" s="1055"/>
      <c r="O24" s="1056"/>
      <c r="P24" s="1054"/>
      <c r="Q24" s="1044"/>
    </row>
    <row r="25" spans="1:19" hidden="1">
      <c r="A25" s="881" t="str">
        <f>'Vessel BQS Report'!A22</f>
        <v>N</v>
      </c>
      <c r="C25" s="1057" t="str">
        <f>'Vessel BQS Report'!C22</f>
        <v/>
      </c>
      <c r="D25" s="1058" t="str">
        <f>'Vessel BQS Report'!D22</f>
        <v/>
      </c>
      <c r="E25" s="1059" t="str">
        <f>'Vessel BQS Report'!N22</f>
        <v/>
      </c>
      <c r="F25" s="1060" t="str">
        <f>'Vessel BQS Report'!F22</f>
        <v/>
      </c>
      <c r="G25" s="1061" t="str">
        <f>'Vessel BQS Report'!E22</f>
        <v/>
      </c>
      <c r="H25" s="1161" t="str">
        <f>'Vessel BQS Report'!G22</f>
        <v/>
      </c>
      <c r="I25" s="1159" t="str">
        <f>'Vessel BQS Report'!H22</f>
        <v/>
      </c>
      <c r="J25" s="1062" t="str">
        <f>'Vessel BQS Report'!I22</f>
        <v/>
      </c>
      <c r="K25" s="1063" t="str">
        <f>'Vessel BQS Report'!J22</f>
        <v/>
      </c>
      <c r="L25" s="1064" t="str">
        <f>'Vessel BQS Report'!L22</f>
        <v/>
      </c>
      <c r="M25" s="1064" t="str">
        <f>'Vessel BQS Report'!O22</f>
        <v/>
      </c>
      <c r="N25" s="1065" t="str">
        <f>'Vessel BQS Report'!M22</f>
        <v/>
      </c>
      <c r="O25" s="1065" t="str">
        <f>'Vessel BQS Report'!P22</f>
        <v/>
      </c>
      <c r="P25" s="1064" t="str">
        <f>'Vessel BQS Report'!Q22</f>
        <v/>
      </c>
      <c r="Q25" s="1044"/>
    </row>
    <row r="26" spans="1:19" hidden="1">
      <c r="A26" s="881" t="str">
        <f>'Vessel BQS Report'!A23</f>
        <v>N</v>
      </c>
      <c r="C26" s="1057" t="str">
        <f>'Vessel BQS Report'!C23</f>
        <v/>
      </c>
      <c r="D26" s="1058" t="str">
        <f>'Vessel BQS Report'!D23</f>
        <v/>
      </c>
      <c r="E26" s="1059" t="str">
        <f>'Vessel BQS Report'!N23</f>
        <v/>
      </c>
      <c r="F26" s="1060" t="str">
        <f>'Vessel BQS Report'!F23</f>
        <v/>
      </c>
      <c r="G26" s="1061" t="str">
        <f>'Vessel BQS Report'!E23</f>
        <v/>
      </c>
      <c r="H26" s="1060" t="str">
        <f>'Vessel BQS Report'!G23</f>
        <v/>
      </c>
      <c r="I26" s="1159" t="str">
        <f>'Vessel BQS Report'!H23</f>
        <v/>
      </c>
      <c r="J26" s="1062" t="str">
        <f>'Vessel BQS Report'!I23</f>
        <v/>
      </c>
      <c r="K26" s="1063" t="str">
        <f>'Vessel BQS Report'!J23</f>
        <v/>
      </c>
      <c r="L26" s="1064" t="str">
        <f>'Vessel BQS Report'!L23</f>
        <v/>
      </c>
      <c r="M26" s="1064" t="str">
        <f>'Vessel BQS Report'!O23</f>
        <v/>
      </c>
      <c r="N26" s="1065" t="str">
        <f>'Vessel BQS Report'!M23</f>
        <v/>
      </c>
      <c r="O26" s="1065" t="str">
        <f>'Vessel BQS Report'!P23</f>
        <v/>
      </c>
      <c r="P26" s="1064" t="str">
        <f>'Vessel BQS Report'!Q23</f>
        <v/>
      </c>
      <c r="Q26" s="1044"/>
    </row>
    <row r="27" spans="1:19" hidden="1">
      <c r="A27" s="881" t="str">
        <f>'Vessel BQS Report'!A24</f>
        <v>N</v>
      </c>
      <c r="C27" s="1057" t="str">
        <f>'Vessel BQS Report'!C24</f>
        <v/>
      </c>
      <c r="D27" s="1058" t="str">
        <f>'Vessel BQS Report'!D24</f>
        <v/>
      </c>
      <c r="E27" s="1059" t="str">
        <f>'Vessel BQS Report'!N24</f>
        <v/>
      </c>
      <c r="F27" s="1060" t="str">
        <f>'Vessel BQS Report'!F24</f>
        <v/>
      </c>
      <c r="G27" s="1061" t="str">
        <f>'Vessel BQS Report'!E24</f>
        <v/>
      </c>
      <c r="H27" s="1060" t="str">
        <f>'Vessel BQS Report'!G24</f>
        <v/>
      </c>
      <c r="I27" s="1159" t="str">
        <f>'Vessel BQS Report'!H24</f>
        <v/>
      </c>
      <c r="J27" s="1062" t="str">
        <f>'Vessel BQS Report'!I24</f>
        <v/>
      </c>
      <c r="K27" s="1063" t="str">
        <f>'Vessel BQS Report'!J24</f>
        <v/>
      </c>
      <c r="L27" s="1064" t="str">
        <f>'Vessel BQS Report'!L24</f>
        <v/>
      </c>
      <c r="M27" s="1064" t="str">
        <f>'Vessel BQS Report'!O24</f>
        <v/>
      </c>
      <c r="N27" s="1065" t="str">
        <f>'Vessel BQS Report'!M24</f>
        <v/>
      </c>
      <c r="O27" s="1065" t="str">
        <f>'Vessel BQS Report'!P24</f>
        <v/>
      </c>
      <c r="P27" s="1064" t="str">
        <f>'Vessel BQS Report'!Q24</f>
        <v/>
      </c>
      <c r="Q27" s="1044"/>
    </row>
    <row r="28" spans="1:19" hidden="1">
      <c r="A28" s="881" t="str">
        <f>'Vessel BQS Report'!A25</f>
        <v>N</v>
      </c>
      <c r="C28" s="1057" t="str">
        <f>'Vessel BQS Report'!C25</f>
        <v/>
      </c>
      <c r="D28" s="1058" t="str">
        <f>'Vessel BQS Report'!D25</f>
        <v/>
      </c>
      <c r="E28" s="1059" t="str">
        <f>'Vessel BQS Report'!N25</f>
        <v/>
      </c>
      <c r="F28" s="1060" t="str">
        <f>'Vessel BQS Report'!F25</f>
        <v/>
      </c>
      <c r="G28" s="1061" t="str">
        <f>'Vessel BQS Report'!E25</f>
        <v/>
      </c>
      <c r="H28" s="1060" t="str">
        <f>'Vessel BQS Report'!G25</f>
        <v/>
      </c>
      <c r="I28" s="1159" t="str">
        <f>'Vessel BQS Report'!H25</f>
        <v/>
      </c>
      <c r="J28" s="1062" t="str">
        <f>'Vessel BQS Report'!I25</f>
        <v/>
      </c>
      <c r="K28" s="1063" t="str">
        <f>'Vessel BQS Report'!J25</f>
        <v/>
      </c>
      <c r="L28" s="1064" t="str">
        <f>'Vessel BQS Report'!L25</f>
        <v/>
      </c>
      <c r="M28" s="1064" t="str">
        <f>'Vessel BQS Report'!O25</f>
        <v/>
      </c>
      <c r="N28" s="1065" t="str">
        <f>'Vessel BQS Report'!M25</f>
        <v/>
      </c>
      <c r="O28" s="1065" t="str">
        <f>'Vessel BQS Report'!P25</f>
        <v/>
      </c>
      <c r="P28" s="1064" t="str">
        <f>'Vessel BQS Report'!Q25</f>
        <v/>
      </c>
      <c r="Q28" s="1044"/>
    </row>
    <row r="29" spans="1:19" hidden="1">
      <c r="A29" s="881" t="str">
        <f>'Vessel BQS Report'!A26</f>
        <v>N</v>
      </c>
      <c r="C29" s="1057" t="str">
        <f>'Vessel BQS Report'!C26</f>
        <v/>
      </c>
      <c r="D29" s="1058" t="str">
        <f>'Vessel BQS Report'!D26</f>
        <v/>
      </c>
      <c r="E29" s="1059" t="str">
        <f>'Vessel BQS Report'!N26</f>
        <v/>
      </c>
      <c r="F29" s="1060" t="str">
        <f>'Vessel BQS Report'!F26</f>
        <v/>
      </c>
      <c r="G29" s="1061" t="str">
        <f>'Vessel BQS Report'!E26</f>
        <v/>
      </c>
      <c r="H29" s="1060" t="str">
        <f>'Vessel BQS Report'!G26</f>
        <v/>
      </c>
      <c r="I29" s="1159" t="str">
        <f>'Vessel BQS Report'!H26</f>
        <v/>
      </c>
      <c r="J29" s="1062" t="str">
        <f>'Vessel BQS Report'!I26</f>
        <v/>
      </c>
      <c r="K29" s="1063" t="str">
        <f>'Vessel BQS Report'!J26</f>
        <v/>
      </c>
      <c r="L29" s="1064" t="str">
        <f>'Vessel BQS Report'!L26</f>
        <v/>
      </c>
      <c r="M29" s="1064" t="str">
        <f>'Vessel BQS Report'!O26</f>
        <v/>
      </c>
      <c r="N29" s="1065" t="str">
        <f>'Vessel BQS Report'!M26</f>
        <v/>
      </c>
      <c r="O29" s="1065" t="str">
        <f>'Vessel BQS Report'!P26</f>
        <v/>
      </c>
      <c r="P29" s="1064" t="str">
        <f>'Vessel BQS Report'!Q26</f>
        <v/>
      </c>
      <c r="Q29" s="1044"/>
    </row>
    <row r="30" spans="1:19" hidden="1">
      <c r="A30" s="881" t="str">
        <f>'Vessel BQS Report'!A27</f>
        <v>N</v>
      </c>
      <c r="C30" s="1057" t="str">
        <f>'Vessel BQS Report'!C27</f>
        <v/>
      </c>
      <c r="D30" s="1058" t="str">
        <f>'Vessel BQS Report'!D27</f>
        <v/>
      </c>
      <c r="E30" s="1059" t="str">
        <f>'Vessel BQS Report'!N27</f>
        <v/>
      </c>
      <c r="F30" s="1060" t="str">
        <f>'Vessel BQS Report'!F27</f>
        <v/>
      </c>
      <c r="G30" s="1061" t="str">
        <f>'Vessel BQS Report'!E27</f>
        <v/>
      </c>
      <c r="H30" s="1060" t="str">
        <f>'Vessel BQS Report'!G27</f>
        <v/>
      </c>
      <c r="I30" s="1159" t="str">
        <f>'Vessel BQS Report'!H27</f>
        <v/>
      </c>
      <c r="J30" s="1062" t="str">
        <f>'Vessel BQS Report'!I27</f>
        <v/>
      </c>
      <c r="K30" s="1063" t="str">
        <f>'Vessel BQS Report'!J27</f>
        <v/>
      </c>
      <c r="L30" s="1064" t="str">
        <f>'Vessel BQS Report'!L27</f>
        <v/>
      </c>
      <c r="M30" s="1064" t="str">
        <f>'Vessel BQS Report'!O27</f>
        <v/>
      </c>
      <c r="N30" s="1065" t="str">
        <f>'Vessel BQS Report'!M27</f>
        <v/>
      </c>
      <c r="O30" s="1065" t="str">
        <f>'Vessel BQS Report'!P27</f>
        <v/>
      </c>
      <c r="P30" s="1064" t="str">
        <f>'Vessel BQS Report'!Q27</f>
        <v/>
      </c>
      <c r="Q30" s="1044"/>
    </row>
    <row r="31" spans="1:19" hidden="1">
      <c r="A31" s="881" t="str">
        <f>'Vessel BQS Report'!A28</f>
        <v>N</v>
      </c>
      <c r="C31" s="1057" t="str">
        <f>'Vessel BQS Report'!C28</f>
        <v/>
      </c>
      <c r="D31" s="1058" t="str">
        <f>'Vessel BQS Report'!D28</f>
        <v/>
      </c>
      <c r="E31" s="1059" t="str">
        <f>'Vessel BQS Report'!N28</f>
        <v/>
      </c>
      <c r="F31" s="1060" t="str">
        <f>'Vessel BQS Report'!F28</f>
        <v/>
      </c>
      <c r="G31" s="1061" t="str">
        <f>'Vessel BQS Report'!E28</f>
        <v/>
      </c>
      <c r="H31" s="1060" t="str">
        <f>'Vessel BQS Report'!G28</f>
        <v/>
      </c>
      <c r="I31" s="1159" t="str">
        <f>'Vessel BQS Report'!H28</f>
        <v/>
      </c>
      <c r="J31" s="1062" t="str">
        <f>'Vessel BQS Report'!I28</f>
        <v/>
      </c>
      <c r="K31" s="1063" t="str">
        <f>'Vessel BQS Report'!J28</f>
        <v/>
      </c>
      <c r="L31" s="1064" t="str">
        <f>'Vessel BQS Report'!L28</f>
        <v/>
      </c>
      <c r="M31" s="1064" t="str">
        <f>'Vessel BQS Report'!O28</f>
        <v/>
      </c>
      <c r="N31" s="1065" t="str">
        <f>'Vessel BQS Report'!M28</f>
        <v/>
      </c>
      <c r="O31" s="1065" t="str">
        <f>'Vessel BQS Report'!P28</f>
        <v/>
      </c>
      <c r="P31" s="1064" t="str">
        <f>'Vessel BQS Report'!Q28</f>
        <v/>
      </c>
      <c r="Q31" s="1044"/>
    </row>
    <row r="32" spans="1:19" hidden="1">
      <c r="A32" s="881" t="str">
        <f>'Vessel BQS Report'!A29</f>
        <v>N</v>
      </c>
      <c r="C32" s="1057" t="str">
        <f>'Vessel BQS Report'!C29</f>
        <v/>
      </c>
      <c r="D32" s="1058" t="str">
        <f>'Vessel BQS Report'!D29</f>
        <v/>
      </c>
      <c r="E32" s="1059" t="str">
        <f>'Vessel BQS Report'!N29</f>
        <v/>
      </c>
      <c r="F32" s="1060" t="str">
        <f>'Vessel BQS Report'!F29</f>
        <v/>
      </c>
      <c r="G32" s="1061" t="str">
        <f>'Vessel BQS Report'!E29</f>
        <v/>
      </c>
      <c r="H32" s="1060" t="str">
        <f>'Vessel BQS Report'!G29</f>
        <v/>
      </c>
      <c r="I32" s="1159" t="str">
        <f>'Vessel BQS Report'!H29</f>
        <v/>
      </c>
      <c r="J32" s="1062" t="str">
        <f>'Vessel BQS Report'!I29</f>
        <v/>
      </c>
      <c r="K32" s="1063" t="str">
        <f>'Vessel BQS Report'!J29</f>
        <v/>
      </c>
      <c r="L32" s="1064" t="str">
        <f>'Vessel BQS Report'!L29</f>
        <v/>
      </c>
      <c r="M32" s="1064" t="str">
        <f>'Vessel BQS Report'!O29</f>
        <v/>
      </c>
      <c r="N32" s="1065" t="str">
        <f>'Vessel BQS Report'!M29</f>
        <v/>
      </c>
      <c r="O32" s="1065" t="str">
        <f>'Vessel BQS Report'!P29</f>
        <v/>
      </c>
      <c r="P32" s="1064" t="str">
        <f>'Vessel BQS Report'!Q29</f>
        <v/>
      </c>
      <c r="Q32" s="1044"/>
    </row>
    <row r="33" spans="1:17" hidden="1">
      <c r="A33" s="881" t="str">
        <f>'Vessel BQS Report'!A30</f>
        <v>N</v>
      </c>
      <c r="C33" s="1057" t="str">
        <f>'Vessel BQS Report'!C30</f>
        <v/>
      </c>
      <c r="D33" s="1058" t="str">
        <f>'Vessel BQS Report'!D30</f>
        <v/>
      </c>
      <c r="E33" s="1059" t="str">
        <f>'Vessel BQS Report'!N30</f>
        <v/>
      </c>
      <c r="F33" s="1060" t="str">
        <f>'Vessel BQS Report'!F30</f>
        <v/>
      </c>
      <c r="G33" s="1061" t="str">
        <f>'Vessel BQS Report'!E30</f>
        <v/>
      </c>
      <c r="H33" s="1060" t="str">
        <f>'Vessel BQS Report'!G30</f>
        <v/>
      </c>
      <c r="I33" s="1159" t="str">
        <f>'Vessel BQS Report'!H30</f>
        <v/>
      </c>
      <c r="J33" s="1062" t="str">
        <f>'Vessel BQS Report'!I30</f>
        <v/>
      </c>
      <c r="K33" s="1063" t="str">
        <f>'Vessel BQS Report'!J30</f>
        <v/>
      </c>
      <c r="L33" s="1064" t="str">
        <f>'Vessel BQS Report'!L30</f>
        <v/>
      </c>
      <c r="M33" s="1064" t="str">
        <f>'Vessel BQS Report'!O30</f>
        <v/>
      </c>
      <c r="N33" s="1065" t="str">
        <f>'Vessel BQS Report'!M30</f>
        <v/>
      </c>
      <c r="O33" s="1065" t="str">
        <f>'Vessel BQS Report'!P30</f>
        <v/>
      </c>
      <c r="P33" s="1064" t="str">
        <f>'Vessel BQS Report'!Q30</f>
        <v/>
      </c>
      <c r="Q33" s="1044"/>
    </row>
    <row r="34" spans="1:17" hidden="1">
      <c r="A34" s="881" t="str">
        <f>'Vessel BQS Report'!A31</f>
        <v>N</v>
      </c>
      <c r="C34" s="1057" t="str">
        <f>'Vessel BQS Report'!C31</f>
        <v/>
      </c>
      <c r="D34" s="1058" t="str">
        <f>'Vessel BQS Report'!D31</f>
        <v/>
      </c>
      <c r="E34" s="1059" t="str">
        <f>'Vessel BQS Report'!N31</f>
        <v/>
      </c>
      <c r="F34" s="1060" t="str">
        <f>'Vessel BQS Report'!F31</f>
        <v/>
      </c>
      <c r="G34" s="1061" t="str">
        <f>'Vessel BQS Report'!E31</f>
        <v/>
      </c>
      <c r="H34" s="1060" t="str">
        <f>'Vessel BQS Report'!G31</f>
        <v/>
      </c>
      <c r="I34" s="1159" t="str">
        <f>'Vessel BQS Report'!H31</f>
        <v/>
      </c>
      <c r="J34" s="1062" t="str">
        <f>'Vessel BQS Report'!I31</f>
        <v/>
      </c>
      <c r="K34" s="1063" t="str">
        <f>'Vessel BQS Report'!J31</f>
        <v/>
      </c>
      <c r="L34" s="1064" t="str">
        <f>'Vessel BQS Report'!L31</f>
        <v/>
      </c>
      <c r="M34" s="1064" t="str">
        <f>'Vessel BQS Report'!O31</f>
        <v/>
      </c>
      <c r="N34" s="1065" t="str">
        <f>'Vessel BQS Report'!M31</f>
        <v/>
      </c>
      <c r="O34" s="1065" t="str">
        <f>'Vessel BQS Report'!P31</f>
        <v/>
      </c>
      <c r="P34" s="1064" t="str">
        <f>'Vessel BQS Report'!Q31</f>
        <v/>
      </c>
      <c r="Q34" s="1044"/>
    </row>
    <row r="35" spans="1:17" hidden="1">
      <c r="A35" s="881" t="str">
        <f>'Vessel BQS Report'!A32</f>
        <v>N</v>
      </c>
      <c r="C35" s="1057" t="str">
        <f>'Vessel BQS Report'!C32</f>
        <v/>
      </c>
      <c r="D35" s="1058" t="str">
        <f>'Vessel BQS Report'!D32</f>
        <v/>
      </c>
      <c r="E35" s="1059" t="str">
        <f>'Vessel BQS Report'!N32</f>
        <v/>
      </c>
      <c r="F35" s="1060" t="str">
        <f>'Vessel BQS Report'!F32</f>
        <v/>
      </c>
      <c r="G35" s="1061" t="str">
        <f>'Vessel BQS Report'!E32</f>
        <v/>
      </c>
      <c r="H35" s="1060" t="str">
        <f>'Vessel BQS Report'!G32</f>
        <v/>
      </c>
      <c r="I35" s="1159" t="str">
        <f>'Vessel BQS Report'!H32</f>
        <v/>
      </c>
      <c r="J35" s="1062" t="str">
        <f>'Vessel BQS Report'!I32</f>
        <v/>
      </c>
      <c r="K35" s="1063" t="str">
        <f>'Vessel BQS Report'!J32</f>
        <v/>
      </c>
      <c r="L35" s="1064" t="str">
        <f>'Vessel BQS Report'!L32</f>
        <v/>
      </c>
      <c r="M35" s="1064" t="str">
        <f>'Vessel BQS Report'!O32</f>
        <v/>
      </c>
      <c r="N35" s="1065" t="str">
        <f>'Vessel BQS Report'!M32</f>
        <v/>
      </c>
      <c r="O35" s="1065" t="str">
        <f>'Vessel BQS Report'!P32</f>
        <v/>
      </c>
      <c r="P35" s="1064" t="str">
        <f>'Vessel BQS Report'!Q32</f>
        <v/>
      </c>
      <c r="Q35" s="1044"/>
    </row>
    <row r="36" spans="1:17" hidden="1">
      <c r="A36" s="881" t="str">
        <f>'Vessel BQS Report'!A33</f>
        <v>N</v>
      </c>
      <c r="C36" s="1057" t="str">
        <f>'Vessel BQS Report'!C33</f>
        <v/>
      </c>
      <c r="D36" s="1058" t="str">
        <f>'Vessel BQS Report'!D33</f>
        <v/>
      </c>
      <c r="E36" s="1059" t="str">
        <f>'Vessel BQS Report'!N33</f>
        <v/>
      </c>
      <c r="F36" s="1060" t="str">
        <f>'Vessel BQS Report'!F33</f>
        <v/>
      </c>
      <c r="G36" s="1061" t="str">
        <f>'Vessel BQS Report'!E33</f>
        <v/>
      </c>
      <c r="H36" s="1060" t="str">
        <f>'Vessel BQS Report'!G33</f>
        <v/>
      </c>
      <c r="I36" s="1159" t="str">
        <f>'Vessel BQS Report'!H33</f>
        <v/>
      </c>
      <c r="J36" s="1062" t="str">
        <f>'Vessel BQS Report'!I33</f>
        <v/>
      </c>
      <c r="K36" s="1063" t="str">
        <f>'Vessel BQS Report'!J33</f>
        <v/>
      </c>
      <c r="L36" s="1064" t="str">
        <f>'Vessel BQS Report'!L33</f>
        <v/>
      </c>
      <c r="M36" s="1064" t="str">
        <f>'Vessel BQS Report'!O33</f>
        <v/>
      </c>
      <c r="N36" s="1065" t="str">
        <f>'Vessel BQS Report'!M33</f>
        <v/>
      </c>
      <c r="O36" s="1065" t="str">
        <f>'Vessel BQS Report'!P33</f>
        <v/>
      </c>
      <c r="P36" s="1064" t="str">
        <f>'Vessel BQS Report'!Q33</f>
        <v/>
      </c>
      <c r="Q36" s="1044"/>
    </row>
    <row r="37" spans="1:17" hidden="1">
      <c r="A37" s="881" t="str">
        <f>'Vessel BQS Report'!A34</f>
        <v>N</v>
      </c>
      <c r="C37" s="1057" t="str">
        <f>'Vessel BQS Report'!C34</f>
        <v/>
      </c>
      <c r="D37" s="1058" t="str">
        <f>'Vessel BQS Report'!D34</f>
        <v/>
      </c>
      <c r="E37" s="1059" t="str">
        <f>'Vessel BQS Report'!N34</f>
        <v/>
      </c>
      <c r="F37" s="1060" t="str">
        <f>'Vessel BQS Report'!F34</f>
        <v/>
      </c>
      <c r="G37" s="1061" t="str">
        <f>'Vessel BQS Report'!E34</f>
        <v/>
      </c>
      <c r="H37" s="1060" t="str">
        <f>'Vessel BQS Report'!G34</f>
        <v/>
      </c>
      <c r="I37" s="1159" t="str">
        <f>'Vessel BQS Report'!H34</f>
        <v/>
      </c>
      <c r="J37" s="1062" t="str">
        <f>'Vessel BQS Report'!I34</f>
        <v/>
      </c>
      <c r="K37" s="1063" t="str">
        <f>'Vessel BQS Report'!J34</f>
        <v/>
      </c>
      <c r="L37" s="1064" t="str">
        <f>'Vessel BQS Report'!L34</f>
        <v/>
      </c>
      <c r="M37" s="1064" t="str">
        <f>'Vessel BQS Report'!O34</f>
        <v/>
      </c>
      <c r="N37" s="1065" t="str">
        <f>'Vessel BQS Report'!M34</f>
        <v/>
      </c>
      <c r="O37" s="1065" t="str">
        <f>'Vessel BQS Report'!P34</f>
        <v/>
      </c>
      <c r="P37" s="1064" t="str">
        <f>'Vessel BQS Report'!Q34</f>
        <v/>
      </c>
      <c r="Q37" s="1044"/>
    </row>
    <row r="38" spans="1:17" hidden="1">
      <c r="A38" s="881" t="str">
        <f>'Vessel BQS Report'!A35</f>
        <v>N</v>
      </c>
      <c r="C38" s="1057" t="str">
        <f>'Vessel BQS Report'!C35</f>
        <v/>
      </c>
      <c r="D38" s="1058" t="str">
        <f>'Vessel BQS Report'!D35</f>
        <v/>
      </c>
      <c r="E38" s="1059" t="str">
        <f>'Vessel BQS Report'!N35</f>
        <v/>
      </c>
      <c r="F38" s="1060" t="str">
        <f>'Vessel BQS Report'!F35</f>
        <v/>
      </c>
      <c r="G38" s="1061" t="str">
        <f>'Vessel BQS Report'!E35</f>
        <v/>
      </c>
      <c r="H38" s="1060" t="str">
        <f>'Vessel BQS Report'!G35</f>
        <v/>
      </c>
      <c r="I38" s="1159" t="str">
        <f>'Vessel BQS Report'!H35</f>
        <v/>
      </c>
      <c r="J38" s="1062" t="str">
        <f>'Vessel BQS Report'!I35</f>
        <v/>
      </c>
      <c r="K38" s="1063" t="str">
        <f>'Vessel BQS Report'!J35</f>
        <v/>
      </c>
      <c r="L38" s="1064" t="str">
        <f>'Vessel BQS Report'!L35</f>
        <v/>
      </c>
      <c r="M38" s="1064" t="str">
        <f>'Vessel BQS Report'!O35</f>
        <v/>
      </c>
      <c r="N38" s="1065" t="str">
        <f>'Vessel BQS Report'!M35</f>
        <v/>
      </c>
      <c r="O38" s="1065" t="str">
        <f>'Vessel BQS Report'!P35</f>
        <v/>
      </c>
      <c r="P38" s="1064" t="str">
        <f>'Vessel BQS Report'!Q35</f>
        <v/>
      </c>
      <c r="Q38" s="1044"/>
    </row>
    <row r="39" spans="1:17" hidden="1">
      <c r="A39" s="881" t="str">
        <f>'Vessel BQS Report'!A36</f>
        <v>N</v>
      </c>
      <c r="C39" s="1057" t="str">
        <f>'Vessel BQS Report'!C36</f>
        <v/>
      </c>
      <c r="D39" s="1058" t="str">
        <f>'Vessel BQS Report'!D36</f>
        <v/>
      </c>
      <c r="E39" s="1059" t="str">
        <f>'Vessel BQS Report'!N36</f>
        <v/>
      </c>
      <c r="F39" s="1060" t="str">
        <f>'Vessel BQS Report'!F36</f>
        <v/>
      </c>
      <c r="G39" s="1061" t="str">
        <f>'Vessel BQS Report'!E36</f>
        <v/>
      </c>
      <c r="H39" s="1060" t="str">
        <f>'Vessel BQS Report'!G36</f>
        <v/>
      </c>
      <c r="I39" s="1159" t="str">
        <f>'Vessel BQS Report'!H36</f>
        <v/>
      </c>
      <c r="J39" s="1062" t="str">
        <f>'Vessel BQS Report'!I36</f>
        <v/>
      </c>
      <c r="K39" s="1063" t="str">
        <f>'Vessel BQS Report'!J36</f>
        <v/>
      </c>
      <c r="L39" s="1064" t="str">
        <f>'Vessel BQS Report'!L36</f>
        <v/>
      </c>
      <c r="M39" s="1064" t="str">
        <f>'Vessel BQS Report'!O36</f>
        <v/>
      </c>
      <c r="N39" s="1065" t="str">
        <f>'Vessel BQS Report'!M36</f>
        <v/>
      </c>
      <c r="O39" s="1065" t="str">
        <f>'Vessel BQS Report'!P36</f>
        <v/>
      </c>
      <c r="P39" s="1064" t="str">
        <f>'Vessel BQS Report'!Q36</f>
        <v/>
      </c>
      <c r="Q39" s="1044"/>
    </row>
    <row r="40" spans="1:17" hidden="1">
      <c r="A40" s="881" t="str">
        <f>'Vessel BQS Report'!A37</f>
        <v>N</v>
      </c>
      <c r="C40" s="1057" t="str">
        <f>'Vessel BQS Report'!C37</f>
        <v/>
      </c>
      <c r="D40" s="1058" t="str">
        <f>'Vessel BQS Report'!D37</f>
        <v/>
      </c>
      <c r="E40" s="1059" t="str">
        <f>'Vessel BQS Report'!N37</f>
        <v/>
      </c>
      <c r="F40" s="1060" t="str">
        <f>'Vessel BQS Report'!F37</f>
        <v/>
      </c>
      <c r="G40" s="1061" t="str">
        <f>'Vessel BQS Report'!E37</f>
        <v/>
      </c>
      <c r="H40" s="1060" t="str">
        <f>'Vessel BQS Report'!G37</f>
        <v/>
      </c>
      <c r="I40" s="1159" t="str">
        <f>'Vessel BQS Report'!H37</f>
        <v/>
      </c>
      <c r="J40" s="1062" t="str">
        <f>'Vessel BQS Report'!I37</f>
        <v/>
      </c>
      <c r="K40" s="1063" t="str">
        <f>'Vessel BQS Report'!J37</f>
        <v/>
      </c>
      <c r="L40" s="1064" t="str">
        <f>'Vessel BQS Report'!L37</f>
        <v/>
      </c>
      <c r="M40" s="1064" t="str">
        <f>'Vessel BQS Report'!O37</f>
        <v/>
      </c>
      <c r="N40" s="1065" t="str">
        <f>'Vessel BQS Report'!M37</f>
        <v/>
      </c>
      <c r="O40" s="1065" t="str">
        <f>'Vessel BQS Report'!P37</f>
        <v/>
      </c>
      <c r="P40" s="1064" t="str">
        <f>'Vessel BQS Report'!Q37</f>
        <v/>
      </c>
      <c r="Q40" s="1044"/>
    </row>
    <row r="41" spans="1:17" hidden="1">
      <c r="A41" s="881" t="str">
        <f>'Vessel BQS Report'!A38</f>
        <v>N</v>
      </c>
      <c r="C41" s="1057" t="str">
        <f>'Vessel BQS Report'!C38</f>
        <v/>
      </c>
      <c r="D41" s="1058" t="str">
        <f>'Vessel BQS Report'!D38</f>
        <v/>
      </c>
      <c r="E41" s="1059" t="str">
        <f>'Vessel BQS Report'!N38</f>
        <v/>
      </c>
      <c r="F41" s="1060" t="str">
        <f>'Vessel BQS Report'!F38</f>
        <v/>
      </c>
      <c r="G41" s="1061" t="str">
        <f>'Vessel BQS Report'!E38</f>
        <v/>
      </c>
      <c r="H41" s="1060" t="str">
        <f>'Vessel BQS Report'!G38</f>
        <v/>
      </c>
      <c r="I41" s="1159" t="str">
        <f>'Vessel BQS Report'!H38</f>
        <v/>
      </c>
      <c r="J41" s="1062" t="str">
        <f>'Vessel BQS Report'!I38</f>
        <v/>
      </c>
      <c r="K41" s="1063" t="str">
        <f>'Vessel BQS Report'!J38</f>
        <v/>
      </c>
      <c r="L41" s="1064" t="str">
        <f>'Vessel BQS Report'!L38</f>
        <v/>
      </c>
      <c r="M41" s="1064" t="str">
        <f>'Vessel BQS Report'!O38</f>
        <v/>
      </c>
      <c r="N41" s="1065" t="str">
        <f>'Vessel BQS Report'!M38</f>
        <v/>
      </c>
      <c r="O41" s="1065" t="str">
        <f>'Vessel BQS Report'!P38</f>
        <v/>
      </c>
      <c r="P41" s="1064" t="str">
        <f>'Vessel BQS Report'!Q38</f>
        <v/>
      </c>
      <c r="Q41" s="1044"/>
    </row>
    <row r="42" spans="1:17" hidden="1">
      <c r="A42" s="881" t="str">
        <f>'Vessel BQS Report'!A39</f>
        <v>N</v>
      </c>
      <c r="C42" s="1057" t="str">
        <f>'Vessel BQS Report'!C39</f>
        <v/>
      </c>
      <c r="D42" s="1058" t="str">
        <f>'Vessel BQS Report'!D39</f>
        <v/>
      </c>
      <c r="E42" s="1059" t="str">
        <f>'Vessel BQS Report'!N39</f>
        <v/>
      </c>
      <c r="F42" s="1060" t="str">
        <f>'Vessel BQS Report'!F39</f>
        <v/>
      </c>
      <c r="G42" s="1061" t="str">
        <f>'Vessel BQS Report'!E39</f>
        <v/>
      </c>
      <c r="H42" s="1060" t="str">
        <f>'Vessel BQS Report'!G39</f>
        <v/>
      </c>
      <c r="I42" s="1159" t="str">
        <f>'Vessel BQS Report'!H39</f>
        <v/>
      </c>
      <c r="J42" s="1062" t="str">
        <f>'Vessel BQS Report'!I39</f>
        <v/>
      </c>
      <c r="K42" s="1063" t="str">
        <f>'Vessel BQS Report'!J39</f>
        <v/>
      </c>
      <c r="L42" s="1064" t="str">
        <f>'Vessel BQS Report'!L39</f>
        <v/>
      </c>
      <c r="M42" s="1064" t="str">
        <f>'Vessel BQS Report'!O39</f>
        <v/>
      </c>
      <c r="N42" s="1065" t="str">
        <f>'Vessel BQS Report'!M39</f>
        <v/>
      </c>
      <c r="O42" s="1065" t="str">
        <f>'Vessel BQS Report'!P39</f>
        <v/>
      </c>
      <c r="P42" s="1064" t="str">
        <f>'Vessel BQS Report'!Q39</f>
        <v/>
      </c>
      <c r="Q42" s="1044"/>
    </row>
    <row r="43" spans="1:17" hidden="1">
      <c r="A43" s="881" t="str">
        <f>'Vessel BQS Report'!A40</f>
        <v>N</v>
      </c>
      <c r="C43" s="1057" t="str">
        <f>'Vessel BQS Report'!C40</f>
        <v/>
      </c>
      <c r="D43" s="1058" t="str">
        <f>'Vessel BQS Report'!D40</f>
        <v/>
      </c>
      <c r="E43" s="1059" t="str">
        <f>'Vessel BQS Report'!N40</f>
        <v/>
      </c>
      <c r="F43" s="1060" t="str">
        <f>'Vessel BQS Report'!F40</f>
        <v/>
      </c>
      <c r="G43" s="1061" t="str">
        <f>'Vessel BQS Report'!E40</f>
        <v/>
      </c>
      <c r="H43" s="1060" t="str">
        <f>'Vessel BQS Report'!G40</f>
        <v/>
      </c>
      <c r="I43" s="1159" t="str">
        <f>'Vessel BQS Report'!H40</f>
        <v/>
      </c>
      <c r="J43" s="1062" t="str">
        <f>'Vessel BQS Report'!I40</f>
        <v/>
      </c>
      <c r="K43" s="1063" t="str">
        <f>'Vessel BQS Report'!J40</f>
        <v/>
      </c>
      <c r="L43" s="1064" t="str">
        <f>'Vessel BQS Report'!L40</f>
        <v/>
      </c>
      <c r="M43" s="1064" t="str">
        <f>'Vessel BQS Report'!O40</f>
        <v/>
      </c>
      <c r="N43" s="1065" t="str">
        <f>'Vessel BQS Report'!M40</f>
        <v/>
      </c>
      <c r="O43" s="1065" t="str">
        <f>'Vessel BQS Report'!P40</f>
        <v/>
      </c>
      <c r="P43" s="1064" t="str">
        <f>'Vessel BQS Report'!Q40</f>
        <v/>
      </c>
      <c r="Q43" s="1044"/>
    </row>
    <row r="44" spans="1:17" hidden="1">
      <c r="A44" s="881" t="str">
        <f>'Vessel BQS Report'!A41</f>
        <v>N</v>
      </c>
      <c r="C44" s="1099" t="str">
        <f>'Vessel BQS Report'!C41</f>
        <v/>
      </c>
      <c r="D44" s="1100" t="str">
        <f>'Vessel BQS Report'!D41</f>
        <v/>
      </c>
      <c r="E44" s="1101" t="str">
        <f>'Vessel BQS Report'!N41</f>
        <v/>
      </c>
      <c r="F44" s="1102" t="str">
        <f>'Vessel BQS Report'!F41</f>
        <v/>
      </c>
      <c r="G44" s="1103" t="str">
        <f>'Vessel BQS Report'!E41</f>
        <v/>
      </c>
      <c r="H44" s="1162" t="str">
        <f>'Vessel BQS Report'!G41</f>
        <v/>
      </c>
      <c r="I44" s="1160" t="str">
        <f>'Vessel BQS Report'!H41</f>
        <v/>
      </c>
      <c r="J44" s="1104" t="str">
        <f>'Vessel BQS Report'!I41</f>
        <v/>
      </c>
      <c r="K44" s="1105" t="str">
        <f>'Vessel BQS Report'!J41</f>
        <v/>
      </c>
      <c r="L44" s="1106" t="str">
        <f>'Vessel BQS Report'!L41</f>
        <v/>
      </c>
      <c r="M44" s="1106" t="str">
        <f>'Vessel BQS Report'!O41</f>
        <v/>
      </c>
      <c r="N44" s="1107" t="str">
        <f>'Vessel BQS Report'!M41</f>
        <v/>
      </c>
      <c r="O44" s="1107" t="str">
        <f>'Vessel BQS Report'!P41</f>
        <v/>
      </c>
      <c r="P44" s="1106" t="str">
        <f>'Vessel BQS Report'!Q41</f>
        <v/>
      </c>
      <c r="Q44" s="1044"/>
    </row>
    <row r="45" spans="1:17" hidden="1">
      <c r="A45" s="881" t="s">
        <v>270</v>
      </c>
      <c r="C45" s="1118"/>
      <c r="D45" s="1075"/>
      <c r="E45" s="1076"/>
      <c r="F45" s="1077"/>
      <c r="G45" s="1077"/>
      <c r="H45" s="1078"/>
      <c r="I45" s="1078"/>
      <c r="J45" s="1078"/>
      <c r="K45" s="1077"/>
      <c r="L45" s="1079"/>
      <c r="M45" s="2957" t="s">
        <v>801</v>
      </c>
      <c r="N45" s="2957"/>
      <c r="O45" s="2958">
        <f>SUM(P25:P44)</f>
        <v>0</v>
      </c>
      <c r="P45" s="2958"/>
      <c r="Q45" s="1044"/>
    </row>
    <row r="46" spans="1:17" s="1046" customFormat="1" ht="5.25" hidden="1">
      <c r="A46" s="1046" t="s">
        <v>270</v>
      </c>
      <c r="C46" s="1108"/>
      <c r="D46" s="1109"/>
      <c r="E46" s="1110"/>
      <c r="F46" s="1111"/>
      <c r="G46" s="1111"/>
      <c r="H46" s="1112"/>
      <c r="I46" s="1113"/>
      <c r="J46" s="1113"/>
      <c r="K46" s="1114"/>
      <c r="L46" s="1115"/>
      <c r="M46" s="1115"/>
      <c r="N46" s="1116"/>
      <c r="O46" s="1117"/>
      <c r="P46" s="1115"/>
      <c r="Q46" s="1045"/>
    </row>
    <row r="47" spans="1:17" hidden="1">
      <c r="A47" s="881" t="s">
        <v>270</v>
      </c>
      <c r="B47" s="881">
        <v>2</v>
      </c>
      <c r="C47" s="2959" t="str">
        <f>'Vessel BQS Report'!C44</f>
        <v>NOMINATED TANKS</v>
      </c>
      <c r="D47" s="2960"/>
      <c r="E47" s="2960"/>
      <c r="F47" s="2961"/>
      <c r="G47" s="2962" t="str">
        <f>'Vessel BQS Report'!E44</f>
        <v>LSFO</v>
      </c>
      <c r="H47" s="2963"/>
      <c r="I47" s="1051"/>
      <c r="J47" s="1052"/>
      <c r="K47" s="1053"/>
      <c r="L47" s="1054"/>
      <c r="M47" s="1054"/>
      <c r="N47" s="1055"/>
      <c r="O47" s="1056"/>
      <c r="P47" s="1054"/>
      <c r="Q47" s="1044"/>
    </row>
    <row r="48" spans="1:17" hidden="1">
      <c r="A48" s="881" t="str">
        <f>'Vessel BQS Report'!A45</f>
        <v>N</v>
      </c>
      <c r="C48" s="1057" t="str">
        <f>'Vessel BQS Report'!C45</f>
        <v>A FO P</v>
      </c>
      <c r="D48" s="1058" t="str">
        <f>'Vessel BQS Report'!D45</f>
        <v>LSFO</v>
      </c>
      <c r="E48" s="1059">
        <f>'Vessel BQS Report'!N45</f>
        <v>35</v>
      </c>
      <c r="F48" s="1060">
        <f>'Vessel BQS Report'!F45</f>
        <v>17.43</v>
      </c>
      <c r="G48" s="1061">
        <f>'Vessel BQS Report'!E45</f>
        <v>17.43</v>
      </c>
      <c r="H48" s="1060">
        <f>'Vessel BQS Report'!G45</f>
        <v>0</v>
      </c>
      <c r="I48" s="1159">
        <f>'Vessel BQS Report'!H45</f>
        <v>0</v>
      </c>
      <c r="J48" s="1062" t="str">
        <f>'Vessel BQS Report'!I45</f>
        <v>S</v>
      </c>
      <c r="K48" s="1063">
        <f>'Vessel BQS Report'!J45</f>
        <v>0.1</v>
      </c>
      <c r="L48" s="1064">
        <f>'Vessel BQS Report'!L45</f>
        <v>0</v>
      </c>
      <c r="M48" s="1064">
        <f>'Vessel BQS Report'!O45</f>
        <v>0.1</v>
      </c>
      <c r="N48" s="1065">
        <f>'Vessel BQS Report'!M45</f>
        <v>0.91769999999999996</v>
      </c>
      <c r="O48" s="1065">
        <f>'Vessel BQS Report'!P45</f>
        <v>0.9849</v>
      </c>
      <c r="P48" s="1064">
        <f>'Vessel BQS Report'!Q45</f>
        <v>9.8000000000000004E-2</v>
      </c>
      <c r="Q48" s="1044"/>
    </row>
    <row r="49" spans="1:17" hidden="1">
      <c r="A49" s="881" t="str">
        <f>'Vessel BQS Report'!A46</f>
        <v>N</v>
      </c>
      <c r="C49" s="1057" t="str">
        <f>'Vessel BQS Report'!C46</f>
        <v/>
      </c>
      <c r="D49" s="1058" t="str">
        <f>'Vessel BQS Report'!D46</f>
        <v/>
      </c>
      <c r="E49" s="1059" t="str">
        <f>'Vessel BQS Report'!N46</f>
        <v/>
      </c>
      <c r="F49" s="1060" t="str">
        <f>'Vessel BQS Report'!F46</f>
        <v/>
      </c>
      <c r="G49" s="1061" t="str">
        <f>'Vessel BQS Report'!E46</f>
        <v/>
      </c>
      <c r="H49" s="1060" t="str">
        <f>'Vessel BQS Report'!G46</f>
        <v/>
      </c>
      <c r="I49" s="1159" t="str">
        <f>'Vessel BQS Report'!H46</f>
        <v/>
      </c>
      <c r="J49" s="1062" t="str">
        <f>'Vessel BQS Report'!I46</f>
        <v/>
      </c>
      <c r="K49" s="1063" t="str">
        <f>'Vessel BQS Report'!J46</f>
        <v/>
      </c>
      <c r="L49" s="1064" t="str">
        <f>'Vessel BQS Report'!L46</f>
        <v/>
      </c>
      <c r="M49" s="1064" t="str">
        <f>'Vessel BQS Report'!O46</f>
        <v/>
      </c>
      <c r="N49" s="1065" t="str">
        <f>'Vessel BQS Report'!M46</f>
        <v/>
      </c>
      <c r="O49" s="1065" t="str">
        <f>'Vessel BQS Report'!P46</f>
        <v/>
      </c>
      <c r="P49" s="1064" t="str">
        <f>'Vessel BQS Report'!Q46</f>
        <v/>
      </c>
      <c r="Q49" s="1044"/>
    </row>
    <row r="50" spans="1:17" hidden="1">
      <c r="A50" s="881" t="str">
        <f>'Vessel BQS Report'!A47</f>
        <v>N</v>
      </c>
      <c r="C50" s="1057" t="str">
        <f>'Vessel BQS Report'!C47</f>
        <v/>
      </c>
      <c r="D50" s="1058" t="str">
        <f>'Vessel BQS Report'!D47</f>
        <v/>
      </c>
      <c r="E50" s="1059" t="str">
        <f>'Vessel BQS Report'!N47</f>
        <v/>
      </c>
      <c r="F50" s="1060" t="str">
        <f>'Vessel BQS Report'!F47</f>
        <v/>
      </c>
      <c r="G50" s="1061" t="str">
        <f>'Vessel BQS Report'!E47</f>
        <v/>
      </c>
      <c r="H50" s="1060" t="str">
        <f>'Vessel BQS Report'!G47</f>
        <v/>
      </c>
      <c r="I50" s="1159" t="str">
        <f>'Vessel BQS Report'!H47</f>
        <v/>
      </c>
      <c r="J50" s="1062" t="str">
        <f>'Vessel BQS Report'!I47</f>
        <v/>
      </c>
      <c r="K50" s="1063" t="str">
        <f>'Vessel BQS Report'!J47</f>
        <v/>
      </c>
      <c r="L50" s="1064" t="str">
        <f>'Vessel BQS Report'!L47</f>
        <v/>
      </c>
      <c r="M50" s="1064" t="str">
        <f>'Vessel BQS Report'!O47</f>
        <v/>
      </c>
      <c r="N50" s="1065" t="str">
        <f>'Vessel BQS Report'!M47</f>
        <v/>
      </c>
      <c r="O50" s="1065" t="str">
        <f>'Vessel BQS Report'!P47</f>
        <v/>
      </c>
      <c r="P50" s="1064" t="str">
        <f>'Vessel BQS Report'!Q47</f>
        <v/>
      </c>
      <c r="Q50" s="1044"/>
    </row>
    <row r="51" spans="1:17" hidden="1">
      <c r="A51" s="881" t="str">
        <f>'Vessel BQS Report'!A48</f>
        <v>N</v>
      </c>
      <c r="C51" s="1057" t="str">
        <f>'Vessel BQS Report'!C48</f>
        <v/>
      </c>
      <c r="D51" s="1058" t="str">
        <f>'Vessel BQS Report'!D48</f>
        <v/>
      </c>
      <c r="E51" s="1059" t="str">
        <f>'Vessel BQS Report'!N48</f>
        <v/>
      </c>
      <c r="F51" s="1060" t="str">
        <f>'Vessel BQS Report'!F48</f>
        <v/>
      </c>
      <c r="G51" s="1061" t="str">
        <f>'Vessel BQS Report'!E48</f>
        <v/>
      </c>
      <c r="H51" s="1060" t="str">
        <f>'Vessel BQS Report'!G48</f>
        <v/>
      </c>
      <c r="I51" s="1159" t="str">
        <f>'Vessel BQS Report'!H48</f>
        <v/>
      </c>
      <c r="J51" s="1062" t="str">
        <f>'Vessel BQS Report'!I48</f>
        <v/>
      </c>
      <c r="K51" s="1063" t="str">
        <f>'Vessel BQS Report'!J48</f>
        <v/>
      </c>
      <c r="L51" s="1064" t="str">
        <f>'Vessel BQS Report'!L48</f>
        <v/>
      </c>
      <c r="M51" s="1064" t="str">
        <f>'Vessel BQS Report'!O48</f>
        <v/>
      </c>
      <c r="N51" s="1065" t="str">
        <f>'Vessel BQS Report'!M48</f>
        <v/>
      </c>
      <c r="O51" s="1065" t="str">
        <f>'Vessel BQS Report'!P48</f>
        <v/>
      </c>
      <c r="P51" s="1064" t="str">
        <f>'Vessel BQS Report'!Q48</f>
        <v/>
      </c>
      <c r="Q51" s="1044"/>
    </row>
    <row r="52" spans="1:17" hidden="1">
      <c r="A52" s="881" t="str">
        <f>'Vessel BQS Report'!A49</f>
        <v>N</v>
      </c>
      <c r="C52" s="1057" t="str">
        <f>'Vessel BQS Report'!C49</f>
        <v/>
      </c>
      <c r="D52" s="1058" t="str">
        <f>'Vessel BQS Report'!D49</f>
        <v/>
      </c>
      <c r="E52" s="1059" t="str">
        <f>'Vessel BQS Report'!N49</f>
        <v/>
      </c>
      <c r="F52" s="1060" t="str">
        <f>'Vessel BQS Report'!F49</f>
        <v/>
      </c>
      <c r="G52" s="1061" t="str">
        <f>'Vessel BQS Report'!E49</f>
        <v/>
      </c>
      <c r="H52" s="1060" t="str">
        <f>'Vessel BQS Report'!G49</f>
        <v/>
      </c>
      <c r="I52" s="1159" t="str">
        <f>'Vessel BQS Report'!H49</f>
        <v/>
      </c>
      <c r="J52" s="1062" t="str">
        <f>'Vessel BQS Report'!I49</f>
        <v/>
      </c>
      <c r="K52" s="1063" t="str">
        <f>'Vessel BQS Report'!J49</f>
        <v/>
      </c>
      <c r="L52" s="1064" t="str">
        <f>'Vessel BQS Report'!L49</f>
        <v/>
      </c>
      <c r="M52" s="1064" t="str">
        <f>'Vessel BQS Report'!O49</f>
        <v/>
      </c>
      <c r="N52" s="1065" t="str">
        <f>'Vessel BQS Report'!M49</f>
        <v/>
      </c>
      <c r="O52" s="1065" t="str">
        <f>'Vessel BQS Report'!P49</f>
        <v/>
      </c>
      <c r="P52" s="1064" t="str">
        <f>'Vessel BQS Report'!Q49</f>
        <v/>
      </c>
      <c r="Q52" s="1044"/>
    </row>
    <row r="53" spans="1:17" hidden="1">
      <c r="A53" s="881" t="str">
        <f>'Vessel BQS Report'!A50</f>
        <v>N</v>
      </c>
      <c r="C53" s="1057" t="str">
        <f>'Vessel BQS Report'!C50</f>
        <v/>
      </c>
      <c r="D53" s="1058" t="str">
        <f>'Vessel BQS Report'!D50</f>
        <v/>
      </c>
      <c r="E53" s="1059" t="str">
        <f>'Vessel BQS Report'!N50</f>
        <v/>
      </c>
      <c r="F53" s="1060" t="str">
        <f>'Vessel BQS Report'!F50</f>
        <v/>
      </c>
      <c r="G53" s="1061" t="str">
        <f>'Vessel BQS Report'!E50</f>
        <v/>
      </c>
      <c r="H53" s="1060" t="str">
        <f>'Vessel BQS Report'!G50</f>
        <v/>
      </c>
      <c r="I53" s="1159" t="str">
        <f>'Vessel BQS Report'!H50</f>
        <v/>
      </c>
      <c r="J53" s="1062" t="str">
        <f>'Vessel BQS Report'!I50</f>
        <v/>
      </c>
      <c r="K53" s="1063" t="str">
        <f>'Vessel BQS Report'!J50</f>
        <v/>
      </c>
      <c r="L53" s="1064" t="str">
        <f>'Vessel BQS Report'!L50</f>
        <v/>
      </c>
      <c r="M53" s="1064" t="str">
        <f>'Vessel BQS Report'!O50</f>
        <v/>
      </c>
      <c r="N53" s="1065" t="str">
        <f>'Vessel BQS Report'!M50</f>
        <v/>
      </c>
      <c r="O53" s="1065" t="str">
        <f>'Vessel BQS Report'!P50</f>
        <v/>
      </c>
      <c r="P53" s="1064" t="str">
        <f>'Vessel BQS Report'!Q50</f>
        <v/>
      </c>
      <c r="Q53" s="1044"/>
    </row>
    <row r="54" spans="1:17" hidden="1">
      <c r="A54" s="881" t="str">
        <f>'Vessel BQS Report'!A51</f>
        <v>N</v>
      </c>
      <c r="C54" s="1057" t="str">
        <f>'Vessel BQS Report'!C51</f>
        <v/>
      </c>
      <c r="D54" s="1058" t="str">
        <f>'Vessel BQS Report'!D51</f>
        <v/>
      </c>
      <c r="E54" s="1059" t="str">
        <f>'Vessel BQS Report'!N51</f>
        <v/>
      </c>
      <c r="F54" s="1060" t="str">
        <f>'Vessel BQS Report'!F51</f>
        <v/>
      </c>
      <c r="G54" s="1061" t="str">
        <f>'Vessel BQS Report'!E51</f>
        <v/>
      </c>
      <c r="H54" s="1060" t="str">
        <f>'Vessel BQS Report'!G51</f>
        <v/>
      </c>
      <c r="I54" s="1159" t="str">
        <f>'Vessel BQS Report'!H51</f>
        <v/>
      </c>
      <c r="J54" s="1062" t="str">
        <f>'Vessel BQS Report'!I51</f>
        <v/>
      </c>
      <c r="K54" s="1063" t="str">
        <f>'Vessel BQS Report'!J51</f>
        <v/>
      </c>
      <c r="L54" s="1064" t="str">
        <f>'Vessel BQS Report'!L51</f>
        <v/>
      </c>
      <c r="M54" s="1064" t="str">
        <f>'Vessel BQS Report'!O51</f>
        <v/>
      </c>
      <c r="N54" s="1065" t="str">
        <f>'Vessel BQS Report'!M51</f>
        <v/>
      </c>
      <c r="O54" s="1065" t="str">
        <f>'Vessel BQS Report'!P51</f>
        <v/>
      </c>
      <c r="P54" s="1064" t="str">
        <f>'Vessel BQS Report'!Q51</f>
        <v/>
      </c>
      <c r="Q54" s="1044"/>
    </row>
    <row r="55" spans="1:17" hidden="1">
      <c r="A55" s="881" t="str">
        <f>'Vessel BQS Report'!A52</f>
        <v>N</v>
      </c>
      <c r="C55" s="1057" t="str">
        <f>'Vessel BQS Report'!C52</f>
        <v/>
      </c>
      <c r="D55" s="1058" t="str">
        <f>'Vessel BQS Report'!D52</f>
        <v/>
      </c>
      <c r="E55" s="1059" t="str">
        <f>'Vessel BQS Report'!N52</f>
        <v/>
      </c>
      <c r="F55" s="1060" t="str">
        <f>'Vessel BQS Report'!F52</f>
        <v/>
      </c>
      <c r="G55" s="1061" t="str">
        <f>'Vessel BQS Report'!E52</f>
        <v/>
      </c>
      <c r="H55" s="1060" t="str">
        <f>'Vessel BQS Report'!G52</f>
        <v/>
      </c>
      <c r="I55" s="1159" t="str">
        <f>'Vessel BQS Report'!H52</f>
        <v/>
      </c>
      <c r="J55" s="1062" t="str">
        <f>'Vessel BQS Report'!I52</f>
        <v/>
      </c>
      <c r="K55" s="1063" t="str">
        <f>'Vessel BQS Report'!J52</f>
        <v/>
      </c>
      <c r="L55" s="1064" t="str">
        <f>'Vessel BQS Report'!L52</f>
        <v/>
      </c>
      <c r="M55" s="1064" t="str">
        <f>'Vessel BQS Report'!O52</f>
        <v/>
      </c>
      <c r="N55" s="1065" t="str">
        <f>'Vessel BQS Report'!M52</f>
        <v/>
      </c>
      <c r="O55" s="1065" t="str">
        <f>'Vessel BQS Report'!P52</f>
        <v/>
      </c>
      <c r="P55" s="1064" t="str">
        <f>'Vessel BQS Report'!Q52</f>
        <v/>
      </c>
      <c r="Q55" s="1044"/>
    </row>
    <row r="56" spans="1:17" hidden="1">
      <c r="A56" s="881" t="str">
        <f>'Vessel BQS Report'!A53</f>
        <v>N</v>
      </c>
      <c r="C56" s="1057" t="str">
        <f>'Vessel BQS Report'!C53</f>
        <v/>
      </c>
      <c r="D56" s="1058" t="str">
        <f>'Vessel BQS Report'!D53</f>
        <v/>
      </c>
      <c r="E56" s="1059" t="str">
        <f>'Vessel BQS Report'!N53</f>
        <v/>
      </c>
      <c r="F56" s="1060" t="str">
        <f>'Vessel BQS Report'!F53</f>
        <v/>
      </c>
      <c r="G56" s="1061" t="str">
        <f>'Vessel BQS Report'!E53</f>
        <v/>
      </c>
      <c r="H56" s="1060" t="str">
        <f>'Vessel BQS Report'!G53</f>
        <v/>
      </c>
      <c r="I56" s="1159" t="str">
        <f>'Vessel BQS Report'!H53</f>
        <v/>
      </c>
      <c r="J56" s="1062" t="str">
        <f>'Vessel BQS Report'!I53</f>
        <v/>
      </c>
      <c r="K56" s="1063" t="str">
        <f>'Vessel BQS Report'!J53</f>
        <v/>
      </c>
      <c r="L56" s="1064" t="str">
        <f>'Vessel BQS Report'!L53</f>
        <v/>
      </c>
      <c r="M56" s="1064" t="str">
        <f>'Vessel BQS Report'!O53</f>
        <v/>
      </c>
      <c r="N56" s="1065" t="str">
        <f>'Vessel BQS Report'!M53</f>
        <v/>
      </c>
      <c r="O56" s="1065" t="str">
        <f>'Vessel BQS Report'!P53</f>
        <v/>
      </c>
      <c r="P56" s="1064" t="str">
        <f>'Vessel BQS Report'!Q53</f>
        <v/>
      </c>
      <c r="Q56" s="1044"/>
    </row>
    <row r="57" spans="1:17" hidden="1">
      <c r="A57" s="881" t="str">
        <f>'Vessel BQS Report'!A54</f>
        <v>N</v>
      </c>
      <c r="C57" s="1057" t="str">
        <f>'Vessel BQS Report'!C54</f>
        <v/>
      </c>
      <c r="D57" s="1058" t="str">
        <f>'Vessel BQS Report'!D54</f>
        <v/>
      </c>
      <c r="E57" s="1059" t="str">
        <f>'Vessel BQS Report'!N54</f>
        <v/>
      </c>
      <c r="F57" s="1060" t="str">
        <f>'Vessel BQS Report'!F54</f>
        <v/>
      </c>
      <c r="G57" s="1061" t="str">
        <f>'Vessel BQS Report'!E54</f>
        <v/>
      </c>
      <c r="H57" s="1060" t="str">
        <f>'Vessel BQS Report'!G54</f>
        <v/>
      </c>
      <c r="I57" s="1159" t="str">
        <f>'Vessel BQS Report'!H54</f>
        <v/>
      </c>
      <c r="J57" s="1062" t="str">
        <f>'Vessel BQS Report'!I54</f>
        <v/>
      </c>
      <c r="K57" s="1063" t="str">
        <f>'Vessel BQS Report'!J54</f>
        <v/>
      </c>
      <c r="L57" s="1064" t="str">
        <f>'Vessel BQS Report'!L54</f>
        <v/>
      </c>
      <c r="M57" s="1064" t="str">
        <f>'Vessel BQS Report'!O54</f>
        <v/>
      </c>
      <c r="N57" s="1065" t="str">
        <f>'Vessel BQS Report'!M54</f>
        <v/>
      </c>
      <c r="O57" s="1065" t="str">
        <f>'Vessel BQS Report'!P54</f>
        <v/>
      </c>
      <c r="P57" s="1064" t="str">
        <f>'Vessel BQS Report'!Q54</f>
        <v/>
      </c>
      <c r="Q57" s="1044"/>
    </row>
    <row r="58" spans="1:17" hidden="1">
      <c r="A58" s="881" t="str">
        <f>'Vessel BQS Report'!A55</f>
        <v>N</v>
      </c>
      <c r="C58" s="1057" t="str">
        <f>'Vessel BQS Report'!C55</f>
        <v/>
      </c>
      <c r="D58" s="1058" t="str">
        <f>'Vessel BQS Report'!D55</f>
        <v/>
      </c>
      <c r="E58" s="1059" t="str">
        <f>'Vessel BQS Report'!N55</f>
        <v/>
      </c>
      <c r="F58" s="1060" t="str">
        <f>'Vessel BQS Report'!F55</f>
        <v/>
      </c>
      <c r="G58" s="1061" t="str">
        <f>'Vessel BQS Report'!E55</f>
        <v/>
      </c>
      <c r="H58" s="1060" t="str">
        <f>'Vessel BQS Report'!G55</f>
        <v/>
      </c>
      <c r="I58" s="1159" t="str">
        <f>'Vessel BQS Report'!H55</f>
        <v/>
      </c>
      <c r="J58" s="1062" t="str">
        <f>'Vessel BQS Report'!I55</f>
        <v/>
      </c>
      <c r="K58" s="1063" t="str">
        <f>'Vessel BQS Report'!J55</f>
        <v/>
      </c>
      <c r="L58" s="1064" t="str">
        <f>'Vessel BQS Report'!L55</f>
        <v/>
      </c>
      <c r="M58" s="1064" t="str">
        <f>'Vessel BQS Report'!O55</f>
        <v/>
      </c>
      <c r="N58" s="1065" t="str">
        <f>'Vessel BQS Report'!M55</f>
        <v/>
      </c>
      <c r="O58" s="1065" t="str">
        <f>'Vessel BQS Report'!P55</f>
        <v/>
      </c>
      <c r="P58" s="1064" t="str">
        <f>'Vessel BQS Report'!Q55</f>
        <v/>
      </c>
      <c r="Q58" s="1044"/>
    </row>
    <row r="59" spans="1:17" hidden="1">
      <c r="A59" s="881" t="str">
        <f>'Vessel BQS Report'!A56</f>
        <v>N</v>
      </c>
      <c r="C59" s="1057" t="str">
        <f>'Vessel BQS Report'!C56</f>
        <v/>
      </c>
      <c r="D59" s="1058" t="str">
        <f>'Vessel BQS Report'!D56</f>
        <v/>
      </c>
      <c r="E59" s="1059" t="str">
        <f>'Vessel BQS Report'!N56</f>
        <v/>
      </c>
      <c r="F59" s="1060" t="str">
        <f>'Vessel BQS Report'!F56</f>
        <v/>
      </c>
      <c r="G59" s="1061" t="str">
        <f>'Vessel BQS Report'!E56</f>
        <v/>
      </c>
      <c r="H59" s="1060" t="str">
        <f>'Vessel BQS Report'!G56</f>
        <v/>
      </c>
      <c r="I59" s="1159" t="str">
        <f>'Vessel BQS Report'!H56</f>
        <v/>
      </c>
      <c r="J59" s="1062" t="str">
        <f>'Vessel BQS Report'!I56</f>
        <v/>
      </c>
      <c r="K59" s="1063" t="str">
        <f>'Vessel BQS Report'!J56</f>
        <v/>
      </c>
      <c r="L59" s="1064" t="str">
        <f>'Vessel BQS Report'!L56</f>
        <v/>
      </c>
      <c r="M59" s="1064" t="str">
        <f>'Vessel BQS Report'!O56</f>
        <v/>
      </c>
      <c r="N59" s="1065" t="str">
        <f>'Vessel BQS Report'!M56</f>
        <v/>
      </c>
      <c r="O59" s="1065" t="str">
        <f>'Vessel BQS Report'!P56</f>
        <v/>
      </c>
      <c r="P59" s="1064" t="str">
        <f>'Vessel BQS Report'!Q56</f>
        <v/>
      </c>
      <c r="Q59" s="1044"/>
    </row>
    <row r="60" spans="1:17" hidden="1">
      <c r="A60" s="881" t="str">
        <f>'Vessel BQS Report'!A57</f>
        <v>N</v>
      </c>
      <c r="C60" s="1057" t="str">
        <f>'Vessel BQS Report'!C57</f>
        <v/>
      </c>
      <c r="D60" s="1058" t="str">
        <f>'Vessel BQS Report'!D57</f>
        <v/>
      </c>
      <c r="E60" s="1059" t="str">
        <f>'Vessel BQS Report'!N57</f>
        <v/>
      </c>
      <c r="F60" s="1060" t="str">
        <f>'Vessel BQS Report'!F57</f>
        <v/>
      </c>
      <c r="G60" s="1061" t="str">
        <f>'Vessel BQS Report'!E57</f>
        <v/>
      </c>
      <c r="H60" s="1060" t="str">
        <f>'Vessel BQS Report'!G57</f>
        <v/>
      </c>
      <c r="I60" s="1159" t="str">
        <f>'Vessel BQS Report'!H57</f>
        <v/>
      </c>
      <c r="J60" s="1062" t="str">
        <f>'Vessel BQS Report'!I57</f>
        <v/>
      </c>
      <c r="K60" s="1063" t="str">
        <f>'Vessel BQS Report'!J57</f>
        <v/>
      </c>
      <c r="L60" s="1064" t="str">
        <f>'Vessel BQS Report'!L57</f>
        <v/>
      </c>
      <c r="M60" s="1064" t="str">
        <f>'Vessel BQS Report'!O57</f>
        <v/>
      </c>
      <c r="N60" s="1065" t="str">
        <f>'Vessel BQS Report'!M57</f>
        <v/>
      </c>
      <c r="O60" s="1065" t="str">
        <f>'Vessel BQS Report'!P57</f>
        <v/>
      </c>
      <c r="P60" s="1064" t="str">
        <f>'Vessel BQS Report'!Q57</f>
        <v/>
      </c>
      <c r="Q60" s="1044"/>
    </row>
    <row r="61" spans="1:17" hidden="1">
      <c r="A61" s="881" t="str">
        <f>'Vessel BQS Report'!A58</f>
        <v>N</v>
      </c>
      <c r="C61" s="1057" t="str">
        <f>'Vessel BQS Report'!C58</f>
        <v/>
      </c>
      <c r="D61" s="1058" t="str">
        <f>'Vessel BQS Report'!D58</f>
        <v/>
      </c>
      <c r="E61" s="1059" t="str">
        <f>'Vessel BQS Report'!N58</f>
        <v/>
      </c>
      <c r="F61" s="1060" t="str">
        <f>'Vessel BQS Report'!F58</f>
        <v/>
      </c>
      <c r="G61" s="1061" t="str">
        <f>'Vessel BQS Report'!E58</f>
        <v/>
      </c>
      <c r="H61" s="1060" t="str">
        <f>'Vessel BQS Report'!G58</f>
        <v/>
      </c>
      <c r="I61" s="1159" t="str">
        <f>'Vessel BQS Report'!H58</f>
        <v/>
      </c>
      <c r="J61" s="1062" t="str">
        <f>'Vessel BQS Report'!I58</f>
        <v/>
      </c>
      <c r="K61" s="1063" t="str">
        <f>'Vessel BQS Report'!J58</f>
        <v/>
      </c>
      <c r="L61" s="1064" t="str">
        <f>'Vessel BQS Report'!L58</f>
        <v/>
      </c>
      <c r="M61" s="1064" t="str">
        <f>'Vessel BQS Report'!O58</f>
        <v/>
      </c>
      <c r="N61" s="1065" t="str">
        <f>'Vessel BQS Report'!M58</f>
        <v/>
      </c>
      <c r="O61" s="1065" t="str">
        <f>'Vessel BQS Report'!P58</f>
        <v/>
      </c>
      <c r="P61" s="1064" t="str">
        <f>'Vessel BQS Report'!Q58</f>
        <v/>
      </c>
      <c r="Q61" s="1044"/>
    </row>
    <row r="62" spans="1:17" hidden="1">
      <c r="A62" s="881" t="str">
        <f>'Vessel BQS Report'!A59</f>
        <v>N</v>
      </c>
      <c r="C62" s="1057" t="str">
        <f>'Vessel BQS Report'!C59</f>
        <v/>
      </c>
      <c r="D62" s="1058" t="str">
        <f>'Vessel BQS Report'!D59</f>
        <v/>
      </c>
      <c r="E62" s="1059" t="str">
        <f>'Vessel BQS Report'!N59</f>
        <v/>
      </c>
      <c r="F62" s="1060" t="str">
        <f>'Vessel BQS Report'!F59</f>
        <v/>
      </c>
      <c r="G62" s="1061" t="str">
        <f>'Vessel BQS Report'!E59</f>
        <v/>
      </c>
      <c r="H62" s="1060" t="str">
        <f>'Vessel BQS Report'!G59</f>
        <v/>
      </c>
      <c r="I62" s="1159" t="str">
        <f>'Vessel BQS Report'!H59</f>
        <v/>
      </c>
      <c r="J62" s="1062" t="str">
        <f>'Vessel BQS Report'!I59</f>
        <v/>
      </c>
      <c r="K62" s="1063" t="str">
        <f>'Vessel BQS Report'!J59</f>
        <v/>
      </c>
      <c r="L62" s="1064" t="str">
        <f>'Vessel BQS Report'!L59</f>
        <v/>
      </c>
      <c r="M62" s="1064" t="str">
        <f>'Vessel BQS Report'!O59</f>
        <v/>
      </c>
      <c r="N62" s="1065" t="str">
        <f>'Vessel BQS Report'!M59</f>
        <v/>
      </c>
      <c r="O62" s="1065" t="str">
        <f>'Vessel BQS Report'!P59</f>
        <v/>
      </c>
      <c r="P62" s="1064" t="str">
        <f>'Vessel BQS Report'!Q59</f>
        <v/>
      </c>
      <c r="Q62" s="1044"/>
    </row>
    <row r="63" spans="1:17" hidden="1">
      <c r="A63" s="881" t="str">
        <f>'Vessel BQS Report'!A60</f>
        <v>N</v>
      </c>
      <c r="C63" s="1057" t="str">
        <f>'Vessel BQS Report'!C60</f>
        <v/>
      </c>
      <c r="D63" s="1058" t="str">
        <f>'Vessel BQS Report'!D60</f>
        <v/>
      </c>
      <c r="E63" s="1059" t="str">
        <f>'Vessel BQS Report'!N60</f>
        <v/>
      </c>
      <c r="F63" s="1060" t="str">
        <f>'Vessel BQS Report'!F60</f>
        <v/>
      </c>
      <c r="G63" s="1061" t="str">
        <f>'Vessel BQS Report'!E60</f>
        <v/>
      </c>
      <c r="H63" s="1060" t="str">
        <f>'Vessel BQS Report'!G60</f>
        <v/>
      </c>
      <c r="I63" s="1159" t="str">
        <f>'Vessel BQS Report'!H60</f>
        <v/>
      </c>
      <c r="J63" s="1062" t="str">
        <f>'Vessel BQS Report'!I60</f>
        <v/>
      </c>
      <c r="K63" s="1063" t="str">
        <f>'Vessel BQS Report'!J60</f>
        <v/>
      </c>
      <c r="L63" s="1064" t="str">
        <f>'Vessel BQS Report'!L60</f>
        <v/>
      </c>
      <c r="M63" s="1064" t="str">
        <f>'Vessel BQS Report'!O60</f>
        <v/>
      </c>
      <c r="N63" s="1065" t="str">
        <f>'Vessel BQS Report'!M60</f>
        <v/>
      </c>
      <c r="O63" s="1065" t="str">
        <f>'Vessel BQS Report'!P60</f>
        <v/>
      </c>
      <c r="P63" s="1064" t="str">
        <f>'Vessel BQS Report'!Q60</f>
        <v/>
      </c>
      <c r="Q63" s="1044"/>
    </row>
    <row r="64" spans="1:17" hidden="1">
      <c r="A64" s="881" t="str">
        <f>'Vessel BQS Report'!A61</f>
        <v>N</v>
      </c>
      <c r="C64" s="1057" t="str">
        <f>'Vessel BQS Report'!C61</f>
        <v/>
      </c>
      <c r="D64" s="1058" t="str">
        <f>'Vessel BQS Report'!D61</f>
        <v/>
      </c>
      <c r="E64" s="1059" t="str">
        <f>'Vessel BQS Report'!N61</f>
        <v/>
      </c>
      <c r="F64" s="1060" t="str">
        <f>'Vessel BQS Report'!F61</f>
        <v/>
      </c>
      <c r="G64" s="1061" t="str">
        <f>'Vessel BQS Report'!E61</f>
        <v/>
      </c>
      <c r="H64" s="1060" t="str">
        <f>'Vessel BQS Report'!G61</f>
        <v/>
      </c>
      <c r="I64" s="1159" t="str">
        <f>'Vessel BQS Report'!H61</f>
        <v/>
      </c>
      <c r="J64" s="1062" t="str">
        <f>'Vessel BQS Report'!I61</f>
        <v/>
      </c>
      <c r="K64" s="1063" t="str">
        <f>'Vessel BQS Report'!J61</f>
        <v/>
      </c>
      <c r="L64" s="1064" t="str">
        <f>'Vessel BQS Report'!L61</f>
        <v/>
      </c>
      <c r="M64" s="1064" t="str">
        <f>'Vessel BQS Report'!O61</f>
        <v/>
      </c>
      <c r="N64" s="1065" t="str">
        <f>'Vessel BQS Report'!M61</f>
        <v/>
      </c>
      <c r="O64" s="1065" t="str">
        <f>'Vessel BQS Report'!P61</f>
        <v/>
      </c>
      <c r="P64" s="1064" t="str">
        <f>'Vessel BQS Report'!Q61</f>
        <v/>
      </c>
      <c r="Q64" s="1044"/>
    </row>
    <row r="65" spans="1:17" hidden="1">
      <c r="A65" s="881" t="str">
        <f>'Vessel BQS Report'!A62</f>
        <v>N</v>
      </c>
      <c r="C65" s="1057" t="str">
        <f>'Vessel BQS Report'!C62</f>
        <v/>
      </c>
      <c r="D65" s="1058" t="str">
        <f>'Vessel BQS Report'!D62</f>
        <v/>
      </c>
      <c r="E65" s="1059" t="str">
        <f>'Vessel BQS Report'!N62</f>
        <v/>
      </c>
      <c r="F65" s="1060" t="str">
        <f>'Vessel BQS Report'!F62</f>
        <v/>
      </c>
      <c r="G65" s="1061" t="str">
        <f>'Vessel BQS Report'!E62</f>
        <v/>
      </c>
      <c r="H65" s="1060" t="str">
        <f>'Vessel BQS Report'!G62</f>
        <v/>
      </c>
      <c r="I65" s="1159" t="str">
        <f>'Vessel BQS Report'!H62</f>
        <v/>
      </c>
      <c r="J65" s="1062" t="str">
        <f>'Vessel BQS Report'!I62</f>
        <v/>
      </c>
      <c r="K65" s="1063" t="str">
        <f>'Vessel BQS Report'!J62</f>
        <v/>
      </c>
      <c r="L65" s="1064" t="str">
        <f>'Vessel BQS Report'!L62</f>
        <v/>
      </c>
      <c r="M65" s="1064" t="str">
        <f>'Vessel BQS Report'!O62</f>
        <v/>
      </c>
      <c r="N65" s="1065" t="str">
        <f>'Vessel BQS Report'!M62</f>
        <v/>
      </c>
      <c r="O65" s="1065" t="str">
        <f>'Vessel BQS Report'!P62</f>
        <v/>
      </c>
      <c r="P65" s="1064" t="str">
        <f>'Vessel BQS Report'!Q62</f>
        <v/>
      </c>
      <c r="Q65" s="1044"/>
    </row>
    <row r="66" spans="1:17" hidden="1">
      <c r="A66" s="881" t="str">
        <f>'Vessel BQS Report'!A63</f>
        <v>N</v>
      </c>
      <c r="C66" s="1057" t="str">
        <f>'Vessel BQS Report'!C63</f>
        <v/>
      </c>
      <c r="D66" s="1058" t="str">
        <f>'Vessel BQS Report'!D63</f>
        <v/>
      </c>
      <c r="E66" s="1059" t="str">
        <f>'Vessel BQS Report'!N63</f>
        <v/>
      </c>
      <c r="F66" s="1060" t="str">
        <f>'Vessel BQS Report'!F63</f>
        <v/>
      </c>
      <c r="G66" s="1061" t="str">
        <f>'Vessel BQS Report'!E63</f>
        <v/>
      </c>
      <c r="H66" s="1060" t="str">
        <f>'Vessel BQS Report'!G63</f>
        <v/>
      </c>
      <c r="I66" s="1159" t="str">
        <f>'Vessel BQS Report'!H63</f>
        <v/>
      </c>
      <c r="J66" s="1062" t="str">
        <f>'Vessel BQS Report'!I63</f>
        <v/>
      </c>
      <c r="K66" s="1063" t="str">
        <f>'Vessel BQS Report'!J63</f>
        <v/>
      </c>
      <c r="L66" s="1064" t="str">
        <f>'Vessel BQS Report'!L63</f>
        <v/>
      </c>
      <c r="M66" s="1064" t="str">
        <f>'Vessel BQS Report'!O63</f>
        <v/>
      </c>
      <c r="N66" s="1065" t="str">
        <f>'Vessel BQS Report'!M63</f>
        <v/>
      </c>
      <c r="O66" s="1065" t="str">
        <f>'Vessel BQS Report'!P63</f>
        <v/>
      </c>
      <c r="P66" s="1064" t="str">
        <f>'Vessel BQS Report'!Q63</f>
        <v/>
      </c>
      <c r="Q66" s="1044"/>
    </row>
    <row r="67" spans="1:17" hidden="1">
      <c r="A67" s="881" t="str">
        <f>'Vessel BQS Report'!A64</f>
        <v>N</v>
      </c>
      <c r="C67" s="1066" t="str">
        <f>'Vessel BQS Report'!C64</f>
        <v/>
      </c>
      <c r="D67" s="1067" t="str">
        <f>'Vessel BQS Report'!D64</f>
        <v/>
      </c>
      <c r="E67" s="1068" t="str">
        <f>'Vessel BQS Report'!N64</f>
        <v/>
      </c>
      <c r="F67" s="1069" t="str">
        <f>'Vessel BQS Report'!F64</f>
        <v/>
      </c>
      <c r="G67" s="1070" t="str">
        <f>'Vessel BQS Report'!E64</f>
        <v/>
      </c>
      <c r="H67" s="1069" t="str">
        <f>'Vessel BQS Report'!G64</f>
        <v/>
      </c>
      <c r="I67" s="1160" t="str">
        <f>'Vessel BQS Report'!H64</f>
        <v/>
      </c>
      <c r="J67" s="1071" t="str">
        <f>'Vessel BQS Report'!I64</f>
        <v/>
      </c>
      <c r="K67" s="1072" t="str">
        <f>'Vessel BQS Report'!J64</f>
        <v/>
      </c>
      <c r="L67" s="1073" t="str">
        <f>'Vessel BQS Report'!L64</f>
        <v/>
      </c>
      <c r="M67" s="1073" t="str">
        <f>'Vessel BQS Report'!O64</f>
        <v/>
      </c>
      <c r="N67" s="1074" t="str">
        <f>'Vessel BQS Report'!M64</f>
        <v/>
      </c>
      <c r="O67" s="1074" t="str">
        <f>'Vessel BQS Report'!P64</f>
        <v/>
      </c>
      <c r="P67" s="1073" t="str">
        <f>'Vessel BQS Report'!Q64</f>
        <v/>
      </c>
      <c r="Q67" s="1044"/>
    </row>
    <row r="68" spans="1:17" hidden="1">
      <c r="A68" s="881" t="s">
        <v>270</v>
      </c>
      <c r="C68" s="1118"/>
      <c r="D68" s="1075"/>
      <c r="E68" s="1076"/>
      <c r="F68" s="1077"/>
      <c r="G68" s="1077"/>
      <c r="H68" s="1078"/>
      <c r="I68" s="1078"/>
      <c r="J68" s="1078"/>
      <c r="K68" s="1077"/>
      <c r="L68" s="1079"/>
      <c r="M68" s="2957" t="s">
        <v>801</v>
      </c>
      <c r="N68" s="2957"/>
      <c r="O68" s="2958">
        <f>SUM(P48:P67)</f>
        <v>9.8000000000000004E-2</v>
      </c>
      <c r="P68" s="2958"/>
      <c r="Q68" s="1044"/>
    </row>
    <row r="69" spans="1:17" s="1046" customFormat="1" ht="5.25" hidden="1">
      <c r="A69" s="1046" t="s">
        <v>270</v>
      </c>
      <c r="C69" s="1108"/>
      <c r="D69" s="1109"/>
      <c r="E69" s="1110"/>
      <c r="F69" s="1111"/>
      <c r="G69" s="1111"/>
      <c r="H69" s="1112"/>
      <c r="I69" s="1113"/>
      <c r="J69" s="1113"/>
      <c r="K69" s="1114"/>
      <c r="L69" s="1115"/>
      <c r="M69" s="1115"/>
      <c r="N69" s="1116"/>
      <c r="O69" s="1117"/>
      <c r="P69" s="1115"/>
      <c r="Q69" s="1045"/>
    </row>
    <row r="70" spans="1:17" hidden="1">
      <c r="A70" s="881" t="s">
        <v>270</v>
      </c>
      <c r="B70" s="881">
        <v>3</v>
      </c>
      <c r="C70" s="2959" t="str">
        <f>'Vessel BQS Report'!C67</f>
        <v>NOMINATED TANKS</v>
      </c>
      <c r="D70" s="2960"/>
      <c r="E70" s="2960"/>
      <c r="F70" s="2961"/>
      <c r="G70" s="2962" t="str">
        <f>'Vessel BQS Report'!E67</f>
        <v>MDO</v>
      </c>
      <c r="H70" s="2963"/>
      <c r="I70" s="1051"/>
      <c r="J70" s="1052"/>
      <c r="K70" s="1053"/>
      <c r="L70" s="1054"/>
      <c r="M70" s="1054"/>
      <c r="N70" s="1055"/>
      <c r="O70" s="1056"/>
      <c r="P70" s="1054"/>
      <c r="Q70" s="1044"/>
    </row>
    <row r="71" spans="1:17" hidden="1">
      <c r="A71" s="881" t="str">
        <f>'Vessel BQS Report'!A68</f>
        <v>N</v>
      </c>
      <c r="C71" s="1057" t="str">
        <f>'Vessel BQS Report'!C68</f>
        <v/>
      </c>
      <c r="D71" s="1058" t="str">
        <f>'Vessel BQS Report'!D68</f>
        <v/>
      </c>
      <c r="E71" s="1059" t="str">
        <f>'Vessel BQS Report'!N68</f>
        <v/>
      </c>
      <c r="F71" s="1060" t="str">
        <f>'Vessel BQS Report'!F68</f>
        <v/>
      </c>
      <c r="G71" s="1061" t="str">
        <f>'Vessel BQS Report'!E68</f>
        <v/>
      </c>
      <c r="H71" s="1060" t="str">
        <f>'Vessel BQS Report'!G68</f>
        <v/>
      </c>
      <c r="I71" s="1159" t="str">
        <f>'Vessel BQS Report'!H68</f>
        <v/>
      </c>
      <c r="J71" s="1062" t="str">
        <f>'Vessel BQS Report'!I68</f>
        <v/>
      </c>
      <c r="K71" s="1063" t="str">
        <f>'Vessel BQS Report'!J68</f>
        <v/>
      </c>
      <c r="L71" s="1064" t="str">
        <f>'Vessel BQS Report'!L68</f>
        <v/>
      </c>
      <c r="M71" s="1064" t="str">
        <f>'Vessel BQS Report'!O68</f>
        <v/>
      </c>
      <c r="N71" s="1065" t="str">
        <f>'Vessel BQS Report'!M68</f>
        <v/>
      </c>
      <c r="O71" s="1065" t="str">
        <f>'Vessel BQS Report'!P68</f>
        <v/>
      </c>
      <c r="P71" s="1064" t="str">
        <f>'Vessel BQS Report'!Q68</f>
        <v/>
      </c>
      <c r="Q71" s="1044"/>
    </row>
    <row r="72" spans="1:17" hidden="1">
      <c r="A72" s="881" t="str">
        <f>'Vessel BQS Report'!A69</f>
        <v>N</v>
      </c>
      <c r="C72" s="1057" t="str">
        <f>'Vessel BQS Report'!C69</f>
        <v/>
      </c>
      <c r="D72" s="1058" t="str">
        <f>'Vessel BQS Report'!D69</f>
        <v/>
      </c>
      <c r="E72" s="1059" t="str">
        <f>'Vessel BQS Report'!N69</f>
        <v/>
      </c>
      <c r="F72" s="1060" t="str">
        <f>'Vessel BQS Report'!F69</f>
        <v/>
      </c>
      <c r="G72" s="1061" t="str">
        <f>'Vessel BQS Report'!E69</f>
        <v/>
      </c>
      <c r="H72" s="1060" t="str">
        <f>'Vessel BQS Report'!G69</f>
        <v/>
      </c>
      <c r="I72" s="1159" t="str">
        <f>'Vessel BQS Report'!H69</f>
        <v/>
      </c>
      <c r="J72" s="1062" t="str">
        <f>'Vessel BQS Report'!I69</f>
        <v/>
      </c>
      <c r="K72" s="1063" t="str">
        <f>'Vessel BQS Report'!J69</f>
        <v/>
      </c>
      <c r="L72" s="1064" t="str">
        <f>'Vessel BQS Report'!L69</f>
        <v/>
      </c>
      <c r="M72" s="1064" t="str">
        <f>'Vessel BQS Report'!O69</f>
        <v/>
      </c>
      <c r="N72" s="1065" t="str">
        <f>'Vessel BQS Report'!M69</f>
        <v/>
      </c>
      <c r="O72" s="1065" t="str">
        <f>'Vessel BQS Report'!P69</f>
        <v/>
      </c>
      <c r="P72" s="1064" t="str">
        <f>'Vessel BQS Report'!Q69</f>
        <v/>
      </c>
      <c r="Q72" s="1044"/>
    </row>
    <row r="73" spans="1:17" hidden="1">
      <c r="A73" s="881" t="str">
        <f>'Vessel BQS Report'!A70</f>
        <v>N</v>
      </c>
      <c r="C73" s="1057" t="str">
        <f>'Vessel BQS Report'!C70</f>
        <v/>
      </c>
      <c r="D73" s="1058" t="str">
        <f>'Vessel BQS Report'!D70</f>
        <v/>
      </c>
      <c r="E73" s="1059" t="str">
        <f>'Vessel BQS Report'!N70</f>
        <v/>
      </c>
      <c r="F73" s="1060" t="str">
        <f>'Vessel BQS Report'!F70</f>
        <v/>
      </c>
      <c r="G73" s="1061" t="str">
        <f>'Vessel BQS Report'!E70</f>
        <v/>
      </c>
      <c r="H73" s="1060" t="str">
        <f>'Vessel BQS Report'!G70</f>
        <v/>
      </c>
      <c r="I73" s="1159" t="str">
        <f>'Vessel BQS Report'!H70</f>
        <v/>
      </c>
      <c r="J73" s="1062" t="str">
        <f>'Vessel BQS Report'!I70</f>
        <v/>
      </c>
      <c r="K73" s="1063" t="str">
        <f>'Vessel BQS Report'!J70</f>
        <v/>
      </c>
      <c r="L73" s="1064" t="str">
        <f>'Vessel BQS Report'!L70</f>
        <v/>
      </c>
      <c r="M73" s="1064" t="str">
        <f>'Vessel BQS Report'!O70</f>
        <v/>
      </c>
      <c r="N73" s="1065" t="str">
        <f>'Vessel BQS Report'!M70</f>
        <v/>
      </c>
      <c r="O73" s="1065" t="str">
        <f>'Vessel BQS Report'!P70</f>
        <v/>
      </c>
      <c r="P73" s="1064" t="str">
        <f>'Vessel BQS Report'!Q70</f>
        <v/>
      </c>
      <c r="Q73" s="1044"/>
    </row>
    <row r="74" spans="1:17" hidden="1">
      <c r="A74" s="881" t="str">
        <f>'Vessel BQS Report'!A71</f>
        <v>N</v>
      </c>
      <c r="C74" s="1057" t="str">
        <f>'Vessel BQS Report'!C71</f>
        <v/>
      </c>
      <c r="D74" s="1058" t="str">
        <f>'Vessel BQS Report'!D71</f>
        <v/>
      </c>
      <c r="E74" s="1059" t="str">
        <f>'Vessel BQS Report'!N71</f>
        <v/>
      </c>
      <c r="F74" s="1060" t="str">
        <f>'Vessel BQS Report'!F71</f>
        <v/>
      </c>
      <c r="G74" s="1061" t="str">
        <f>'Vessel BQS Report'!E71</f>
        <v/>
      </c>
      <c r="H74" s="1060" t="str">
        <f>'Vessel BQS Report'!G71</f>
        <v/>
      </c>
      <c r="I74" s="1159" t="str">
        <f>'Vessel BQS Report'!H71</f>
        <v/>
      </c>
      <c r="J74" s="1062" t="str">
        <f>'Vessel BQS Report'!I71</f>
        <v/>
      </c>
      <c r="K74" s="1063" t="str">
        <f>'Vessel BQS Report'!J71</f>
        <v/>
      </c>
      <c r="L74" s="1064" t="str">
        <f>'Vessel BQS Report'!L71</f>
        <v/>
      </c>
      <c r="M74" s="1064" t="str">
        <f>'Vessel BQS Report'!O71</f>
        <v/>
      </c>
      <c r="N74" s="1065" t="str">
        <f>'Vessel BQS Report'!M71</f>
        <v/>
      </c>
      <c r="O74" s="1065" t="str">
        <f>'Vessel BQS Report'!P71</f>
        <v/>
      </c>
      <c r="P74" s="1064" t="str">
        <f>'Vessel BQS Report'!Q71</f>
        <v/>
      </c>
      <c r="Q74" s="1044"/>
    </row>
    <row r="75" spans="1:17" hidden="1">
      <c r="A75" s="881" t="str">
        <f>'Vessel BQS Report'!A72</f>
        <v>N</v>
      </c>
      <c r="C75" s="1057" t="str">
        <f>'Vessel BQS Report'!C72</f>
        <v/>
      </c>
      <c r="D75" s="1058" t="str">
        <f>'Vessel BQS Report'!D72</f>
        <v/>
      </c>
      <c r="E75" s="1059" t="str">
        <f>'Vessel BQS Report'!N72</f>
        <v/>
      </c>
      <c r="F75" s="1060" t="str">
        <f>'Vessel BQS Report'!F72</f>
        <v/>
      </c>
      <c r="G75" s="1061" t="str">
        <f>'Vessel BQS Report'!E72</f>
        <v/>
      </c>
      <c r="H75" s="1060" t="str">
        <f>'Vessel BQS Report'!G72</f>
        <v/>
      </c>
      <c r="I75" s="1159" t="str">
        <f>'Vessel BQS Report'!H72</f>
        <v/>
      </c>
      <c r="J75" s="1062" t="str">
        <f>'Vessel BQS Report'!I72</f>
        <v/>
      </c>
      <c r="K75" s="1063" t="str">
        <f>'Vessel BQS Report'!J72</f>
        <v/>
      </c>
      <c r="L75" s="1064" t="str">
        <f>'Vessel BQS Report'!L72</f>
        <v/>
      </c>
      <c r="M75" s="1064" t="str">
        <f>'Vessel BQS Report'!O72</f>
        <v/>
      </c>
      <c r="N75" s="1065" t="str">
        <f>'Vessel BQS Report'!M72</f>
        <v/>
      </c>
      <c r="O75" s="1065" t="str">
        <f>'Vessel BQS Report'!P72</f>
        <v/>
      </c>
      <c r="P75" s="1064" t="str">
        <f>'Vessel BQS Report'!Q72</f>
        <v/>
      </c>
      <c r="Q75" s="1044"/>
    </row>
    <row r="76" spans="1:17" hidden="1">
      <c r="A76" s="881" t="str">
        <f>'Vessel BQS Report'!A73</f>
        <v>N</v>
      </c>
      <c r="C76" s="1057" t="str">
        <f>'Vessel BQS Report'!C73</f>
        <v/>
      </c>
      <c r="D76" s="1058" t="str">
        <f>'Vessel BQS Report'!D73</f>
        <v/>
      </c>
      <c r="E76" s="1059" t="str">
        <f>'Vessel BQS Report'!N73</f>
        <v/>
      </c>
      <c r="F76" s="1060" t="str">
        <f>'Vessel BQS Report'!F73</f>
        <v/>
      </c>
      <c r="G76" s="1061" t="str">
        <f>'Vessel BQS Report'!E73</f>
        <v/>
      </c>
      <c r="H76" s="1060" t="str">
        <f>'Vessel BQS Report'!G73</f>
        <v/>
      </c>
      <c r="I76" s="1159" t="str">
        <f>'Vessel BQS Report'!H73</f>
        <v/>
      </c>
      <c r="J76" s="1062" t="str">
        <f>'Vessel BQS Report'!I73</f>
        <v/>
      </c>
      <c r="K76" s="1063" t="str">
        <f>'Vessel BQS Report'!J73</f>
        <v/>
      </c>
      <c r="L76" s="1064" t="str">
        <f>'Vessel BQS Report'!L73</f>
        <v/>
      </c>
      <c r="M76" s="1064" t="str">
        <f>'Vessel BQS Report'!O73</f>
        <v/>
      </c>
      <c r="N76" s="1065" t="str">
        <f>'Vessel BQS Report'!M73</f>
        <v/>
      </c>
      <c r="O76" s="1065" t="str">
        <f>'Vessel BQS Report'!P73</f>
        <v/>
      </c>
      <c r="P76" s="1064" t="str">
        <f>'Vessel BQS Report'!Q73</f>
        <v/>
      </c>
      <c r="Q76" s="1044"/>
    </row>
    <row r="77" spans="1:17" hidden="1">
      <c r="A77" s="881" t="str">
        <f>'Vessel BQS Report'!A74</f>
        <v>N</v>
      </c>
      <c r="C77" s="1057" t="str">
        <f>'Vessel BQS Report'!C74</f>
        <v/>
      </c>
      <c r="D77" s="1058" t="str">
        <f>'Vessel BQS Report'!D74</f>
        <v/>
      </c>
      <c r="E77" s="1059" t="str">
        <f>'Vessel BQS Report'!N74</f>
        <v/>
      </c>
      <c r="F77" s="1060" t="str">
        <f>'Vessel BQS Report'!F74</f>
        <v/>
      </c>
      <c r="G77" s="1061" t="str">
        <f>'Vessel BQS Report'!E74</f>
        <v/>
      </c>
      <c r="H77" s="1060" t="str">
        <f>'Vessel BQS Report'!G74</f>
        <v/>
      </c>
      <c r="I77" s="1159" t="str">
        <f>'Vessel BQS Report'!H74</f>
        <v/>
      </c>
      <c r="J77" s="1062" t="str">
        <f>'Vessel BQS Report'!I74</f>
        <v/>
      </c>
      <c r="K77" s="1063" t="str">
        <f>'Vessel BQS Report'!J74</f>
        <v/>
      </c>
      <c r="L77" s="1064" t="str">
        <f>'Vessel BQS Report'!L74</f>
        <v/>
      </c>
      <c r="M77" s="1064" t="str">
        <f>'Vessel BQS Report'!O74</f>
        <v/>
      </c>
      <c r="N77" s="1065" t="str">
        <f>'Vessel BQS Report'!M74</f>
        <v/>
      </c>
      <c r="O77" s="1065" t="str">
        <f>'Vessel BQS Report'!P74</f>
        <v/>
      </c>
      <c r="P77" s="1064" t="str">
        <f>'Vessel BQS Report'!Q74</f>
        <v/>
      </c>
      <c r="Q77" s="1044"/>
    </row>
    <row r="78" spans="1:17" hidden="1">
      <c r="A78" s="881" t="str">
        <f>'Vessel BQS Report'!A75</f>
        <v>N</v>
      </c>
      <c r="C78" s="1057" t="str">
        <f>'Vessel BQS Report'!C75</f>
        <v/>
      </c>
      <c r="D78" s="1058" t="str">
        <f>'Vessel BQS Report'!D75</f>
        <v/>
      </c>
      <c r="E78" s="1059" t="str">
        <f>'Vessel BQS Report'!N75</f>
        <v/>
      </c>
      <c r="F78" s="1060" t="str">
        <f>'Vessel BQS Report'!F75</f>
        <v/>
      </c>
      <c r="G78" s="1061" t="str">
        <f>'Vessel BQS Report'!E75</f>
        <v/>
      </c>
      <c r="H78" s="1060" t="str">
        <f>'Vessel BQS Report'!G75</f>
        <v/>
      </c>
      <c r="I78" s="1159" t="str">
        <f>'Vessel BQS Report'!H75</f>
        <v/>
      </c>
      <c r="J78" s="1062" t="str">
        <f>'Vessel BQS Report'!I75</f>
        <v/>
      </c>
      <c r="K78" s="1063" t="str">
        <f>'Vessel BQS Report'!J75</f>
        <v/>
      </c>
      <c r="L78" s="1064" t="str">
        <f>'Vessel BQS Report'!L75</f>
        <v/>
      </c>
      <c r="M78" s="1064" t="str">
        <f>'Vessel BQS Report'!O75</f>
        <v/>
      </c>
      <c r="N78" s="1065" t="str">
        <f>'Vessel BQS Report'!M75</f>
        <v/>
      </c>
      <c r="O78" s="1065" t="str">
        <f>'Vessel BQS Report'!P75</f>
        <v/>
      </c>
      <c r="P78" s="1064" t="str">
        <f>'Vessel BQS Report'!Q75</f>
        <v/>
      </c>
      <c r="Q78" s="1044"/>
    </row>
    <row r="79" spans="1:17" hidden="1">
      <c r="A79" s="881" t="str">
        <f>'Vessel BQS Report'!A76</f>
        <v>N</v>
      </c>
      <c r="C79" s="1057" t="str">
        <f>'Vessel BQS Report'!C76</f>
        <v/>
      </c>
      <c r="D79" s="1058" t="str">
        <f>'Vessel BQS Report'!D76</f>
        <v/>
      </c>
      <c r="E79" s="1059" t="str">
        <f>'Vessel BQS Report'!N76</f>
        <v/>
      </c>
      <c r="F79" s="1060" t="str">
        <f>'Vessel BQS Report'!F76</f>
        <v/>
      </c>
      <c r="G79" s="1061" t="str">
        <f>'Vessel BQS Report'!E76</f>
        <v/>
      </c>
      <c r="H79" s="1060" t="str">
        <f>'Vessel BQS Report'!G76</f>
        <v/>
      </c>
      <c r="I79" s="1159" t="str">
        <f>'Vessel BQS Report'!H76</f>
        <v/>
      </c>
      <c r="J79" s="1062" t="str">
        <f>'Vessel BQS Report'!I76</f>
        <v/>
      </c>
      <c r="K79" s="1063" t="str">
        <f>'Vessel BQS Report'!J76</f>
        <v/>
      </c>
      <c r="L79" s="1064" t="str">
        <f>'Vessel BQS Report'!L76</f>
        <v/>
      </c>
      <c r="M79" s="1064" t="str">
        <f>'Vessel BQS Report'!O76</f>
        <v/>
      </c>
      <c r="N79" s="1065" t="str">
        <f>'Vessel BQS Report'!M76</f>
        <v/>
      </c>
      <c r="O79" s="1065" t="str">
        <f>'Vessel BQS Report'!P76</f>
        <v/>
      </c>
      <c r="P79" s="1064" t="str">
        <f>'Vessel BQS Report'!Q76</f>
        <v/>
      </c>
      <c r="Q79" s="1044"/>
    </row>
    <row r="80" spans="1:17" hidden="1">
      <c r="A80" s="881" t="str">
        <f>'Vessel BQS Report'!A77</f>
        <v>N</v>
      </c>
      <c r="C80" s="1057" t="str">
        <f>'Vessel BQS Report'!C77</f>
        <v/>
      </c>
      <c r="D80" s="1058" t="str">
        <f>'Vessel BQS Report'!D77</f>
        <v/>
      </c>
      <c r="E80" s="1059" t="str">
        <f>'Vessel BQS Report'!N77</f>
        <v/>
      </c>
      <c r="F80" s="1060" t="str">
        <f>'Vessel BQS Report'!F77</f>
        <v/>
      </c>
      <c r="G80" s="1061" t="str">
        <f>'Vessel BQS Report'!E77</f>
        <v/>
      </c>
      <c r="H80" s="1060" t="str">
        <f>'Vessel BQS Report'!G77</f>
        <v/>
      </c>
      <c r="I80" s="1159" t="str">
        <f>'Vessel BQS Report'!H77</f>
        <v/>
      </c>
      <c r="J80" s="1062" t="str">
        <f>'Vessel BQS Report'!I77</f>
        <v/>
      </c>
      <c r="K80" s="1063" t="str">
        <f>'Vessel BQS Report'!J77</f>
        <v/>
      </c>
      <c r="L80" s="1064" t="str">
        <f>'Vessel BQS Report'!L77</f>
        <v/>
      </c>
      <c r="M80" s="1064" t="str">
        <f>'Vessel BQS Report'!O77</f>
        <v/>
      </c>
      <c r="N80" s="1065" t="str">
        <f>'Vessel BQS Report'!M77</f>
        <v/>
      </c>
      <c r="O80" s="1065" t="str">
        <f>'Vessel BQS Report'!P77</f>
        <v/>
      </c>
      <c r="P80" s="1064" t="str">
        <f>'Vessel BQS Report'!Q77</f>
        <v/>
      </c>
      <c r="Q80" s="1044"/>
    </row>
    <row r="81" spans="1:17" hidden="1">
      <c r="A81" s="881" t="str">
        <f>'Vessel BQS Report'!A78</f>
        <v>N</v>
      </c>
      <c r="C81" s="1057" t="str">
        <f>'Vessel BQS Report'!C78</f>
        <v/>
      </c>
      <c r="D81" s="1058" t="str">
        <f>'Vessel BQS Report'!D78</f>
        <v/>
      </c>
      <c r="E81" s="1059" t="str">
        <f>'Vessel BQS Report'!N78</f>
        <v/>
      </c>
      <c r="F81" s="1060" t="str">
        <f>'Vessel BQS Report'!F78</f>
        <v/>
      </c>
      <c r="G81" s="1061" t="str">
        <f>'Vessel BQS Report'!E78</f>
        <v/>
      </c>
      <c r="H81" s="1060" t="str">
        <f>'Vessel BQS Report'!G78</f>
        <v/>
      </c>
      <c r="I81" s="1159" t="str">
        <f>'Vessel BQS Report'!H78</f>
        <v/>
      </c>
      <c r="J81" s="1062" t="str">
        <f>'Vessel BQS Report'!I78</f>
        <v/>
      </c>
      <c r="K81" s="1063" t="str">
        <f>'Vessel BQS Report'!J78</f>
        <v/>
      </c>
      <c r="L81" s="1064" t="str">
        <f>'Vessel BQS Report'!L78</f>
        <v/>
      </c>
      <c r="M81" s="1064" t="str">
        <f>'Vessel BQS Report'!O78</f>
        <v/>
      </c>
      <c r="N81" s="1065" t="str">
        <f>'Vessel BQS Report'!M78</f>
        <v/>
      </c>
      <c r="O81" s="1065" t="str">
        <f>'Vessel BQS Report'!P78</f>
        <v/>
      </c>
      <c r="P81" s="1064" t="str">
        <f>'Vessel BQS Report'!Q78</f>
        <v/>
      </c>
      <c r="Q81" s="1044"/>
    </row>
    <row r="82" spans="1:17" hidden="1">
      <c r="A82" s="881" t="str">
        <f>'Vessel BQS Report'!A79</f>
        <v>N</v>
      </c>
      <c r="C82" s="1057" t="str">
        <f>'Vessel BQS Report'!C79</f>
        <v/>
      </c>
      <c r="D82" s="1058" t="str">
        <f>'Vessel BQS Report'!D79</f>
        <v/>
      </c>
      <c r="E82" s="1059" t="str">
        <f>'Vessel BQS Report'!N79</f>
        <v/>
      </c>
      <c r="F82" s="1060" t="str">
        <f>'Vessel BQS Report'!F79</f>
        <v/>
      </c>
      <c r="G82" s="1061" t="str">
        <f>'Vessel BQS Report'!E79</f>
        <v/>
      </c>
      <c r="H82" s="1060" t="str">
        <f>'Vessel BQS Report'!G79</f>
        <v/>
      </c>
      <c r="I82" s="1159" t="str">
        <f>'Vessel BQS Report'!H79</f>
        <v/>
      </c>
      <c r="J82" s="1062" t="str">
        <f>'Vessel BQS Report'!I79</f>
        <v/>
      </c>
      <c r="K82" s="1063" t="str">
        <f>'Vessel BQS Report'!J79</f>
        <v/>
      </c>
      <c r="L82" s="1064" t="str">
        <f>'Vessel BQS Report'!L79</f>
        <v/>
      </c>
      <c r="M82" s="1064" t="str">
        <f>'Vessel BQS Report'!O79</f>
        <v/>
      </c>
      <c r="N82" s="1065" t="str">
        <f>'Vessel BQS Report'!M79</f>
        <v/>
      </c>
      <c r="O82" s="1065" t="str">
        <f>'Vessel BQS Report'!P79</f>
        <v/>
      </c>
      <c r="P82" s="1064" t="str">
        <f>'Vessel BQS Report'!Q79</f>
        <v/>
      </c>
      <c r="Q82" s="1044"/>
    </row>
    <row r="83" spans="1:17" hidden="1">
      <c r="A83" s="881" t="str">
        <f>'Vessel BQS Report'!A80</f>
        <v>N</v>
      </c>
      <c r="C83" s="1057" t="str">
        <f>'Vessel BQS Report'!C80</f>
        <v/>
      </c>
      <c r="D83" s="1058" t="str">
        <f>'Vessel BQS Report'!D80</f>
        <v/>
      </c>
      <c r="E83" s="1059" t="str">
        <f>'Vessel BQS Report'!N80</f>
        <v/>
      </c>
      <c r="F83" s="1060" t="str">
        <f>'Vessel BQS Report'!F80</f>
        <v/>
      </c>
      <c r="G83" s="1061" t="str">
        <f>'Vessel BQS Report'!E80</f>
        <v/>
      </c>
      <c r="H83" s="1060" t="str">
        <f>'Vessel BQS Report'!G80</f>
        <v/>
      </c>
      <c r="I83" s="1159" t="str">
        <f>'Vessel BQS Report'!H80</f>
        <v/>
      </c>
      <c r="J83" s="1062" t="str">
        <f>'Vessel BQS Report'!I80</f>
        <v/>
      </c>
      <c r="K83" s="1063" t="str">
        <f>'Vessel BQS Report'!J80</f>
        <v/>
      </c>
      <c r="L83" s="1064" t="str">
        <f>'Vessel BQS Report'!L80</f>
        <v/>
      </c>
      <c r="M83" s="1064" t="str">
        <f>'Vessel BQS Report'!O80</f>
        <v/>
      </c>
      <c r="N83" s="1065" t="str">
        <f>'Vessel BQS Report'!M80</f>
        <v/>
      </c>
      <c r="O83" s="1065" t="str">
        <f>'Vessel BQS Report'!P80</f>
        <v/>
      </c>
      <c r="P83" s="1064" t="str">
        <f>'Vessel BQS Report'!Q80</f>
        <v/>
      </c>
      <c r="Q83" s="1044"/>
    </row>
    <row r="84" spans="1:17" hidden="1">
      <c r="A84" s="881" t="str">
        <f>'Vessel BQS Report'!A81</f>
        <v>N</v>
      </c>
      <c r="C84" s="1057" t="str">
        <f>'Vessel BQS Report'!C81</f>
        <v/>
      </c>
      <c r="D84" s="1058" t="str">
        <f>'Vessel BQS Report'!D81</f>
        <v/>
      </c>
      <c r="E84" s="1059" t="str">
        <f>'Vessel BQS Report'!N81</f>
        <v/>
      </c>
      <c r="F84" s="1060" t="str">
        <f>'Vessel BQS Report'!F81</f>
        <v/>
      </c>
      <c r="G84" s="1061" t="str">
        <f>'Vessel BQS Report'!E81</f>
        <v/>
      </c>
      <c r="H84" s="1060" t="str">
        <f>'Vessel BQS Report'!G81</f>
        <v/>
      </c>
      <c r="I84" s="1159" t="str">
        <f>'Vessel BQS Report'!H81</f>
        <v/>
      </c>
      <c r="J84" s="1062" t="str">
        <f>'Vessel BQS Report'!I81</f>
        <v/>
      </c>
      <c r="K84" s="1063" t="str">
        <f>'Vessel BQS Report'!J81</f>
        <v/>
      </c>
      <c r="L84" s="1064" t="str">
        <f>'Vessel BQS Report'!L81</f>
        <v/>
      </c>
      <c r="M84" s="1064" t="str">
        <f>'Vessel BQS Report'!O81</f>
        <v/>
      </c>
      <c r="N84" s="1065" t="str">
        <f>'Vessel BQS Report'!M81</f>
        <v/>
      </c>
      <c r="O84" s="1065" t="str">
        <f>'Vessel BQS Report'!P81</f>
        <v/>
      </c>
      <c r="P84" s="1064" t="str">
        <f>'Vessel BQS Report'!Q81</f>
        <v/>
      </c>
      <c r="Q84" s="1044"/>
    </row>
    <row r="85" spans="1:17" hidden="1">
      <c r="A85" s="881" t="str">
        <f>'Vessel BQS Report'!A82</f>
        <v>N</v>
      </c>
      <c r="C85" s="1057" t="str">
        <f>'Vessel BQS Report'!C82</f>
        <v/>
      </c>
      <c r="D85" s="1058" t="str">
        <f>'Vessel BQS Report'!D82</f>
        <v/>
      </c>
      <c r="E85" s="1059" t="str">
        <f>'Vessel BQS Report'!N82</f>
        <v/>
      </c>
      <c r="F85" s="1060" t="str">
        <f>'Vessel BQS Report'!F82</f>
        <v/>
      </c>
      <c r="G85" s="1061" t="str">
        <f>'Vessel BQS Report'!E82</f>
        <v/>
      </c>
      <c r="H85" s="1060" t="str">
        <f>'Vessel BQS Report'!G82</f>
        <v/>
      </c>
      <c r="I85" s="1159" t="str">
        <f>'Vessel BQS Report'!H82</f>
        <v/>
      </c>
      <c r="J85" s="1062" t="str">
        <f>'Vessel BQS Report'!I82</f>
        <v/>
      </c>
      <c r="K85" s="1063" t="str">
        <f>'Vessel BQS Report'!J82</f>
        <v/>
      </c>
      <c r="L85" s="1064" t="str">
        <f>'Vessel BQS Report'!L82</f>
        <v/>
      </c>
      <c r="M85" s="1064" t="str">
        <f>'Vessel BQS Report'!O82</f>
        <v/>
      </c>
      <c r="N85" s="1065" t="str">
        <f>'Vessel BQS Report'!M82</f>
        <v/>
      </c>
      <c r="O85" s="1065" t="str">
        <f>'Vessel BQS Report'!P82</f>
        <v/>
      </c>
      <c r="P85" s="1064" t="str">
        <f>'Vessel BQS Report'!Q82</f>
        <v/>
      </c>
      <c r="Q85" s="1044"/>
    </row>
    <row r="86" spans="1:17" hidden="1">
      <c r="A86" s="881" t="str">
        <f>'Vessel BQS Report'!A83</f>
        <v>N</v>
      </c>
      <c r="C86" s="1057" t="str">
        <f>'Vessel BQS Report'!C83</f>
        <v/>
      </c>
      <c r="D86" s="1058" t="str">
        <f>'Vessel BQS Report'!D83</f>
        <v/>
      </c>
      <c r="E86" s="1059" t="str">
        <f>'Vessel BQS Report'!N83</f>
        <v/>
      </c>
      <c r="F86" s="1060" t="str">
        <f>'Vessel BQS Report'!F83</f>
        <v/>
      </c>
      <c r="G86" s="1061" t="str">
        <f>'Vessel BQS Report'!E83</f>
        <v/>
      </c>
      <c r="H86" s="1060" t="str">
        <f>'Vessel BQS Report'!G83</f>
        <v/>
      </c>
      <c r="I86" s="1159" t="str">
        <f>'Vessel BQS Report'!H83</f>
        <v/>
      </c>
      <c r="J86" s="1062" t="str">
        <f>'Vessel BQS Report'!I83</f>
        <v/>
      </c>
      <c r="K86" s="1063" t="str">
        <f>'Vessel BQS Report'!J83</f>
        <v/>
      </c>
      <c r="L86" s="1064" t="str">
        <f>'Vessel BQS Report'!L83</f>
        <v/>
      </c>
      <c r="M86" s="1064" t="str">
        <f>'Vessel BQS Report'!O83</f>
        <v/>
      </c>
      <c r="N86" s="1065" t="str">
        <f>'Vessel BQS Report'!M83</f>
        <v/>
      </c>
      <c r="O86" s="1065" t="str">
        <f>'Vessel BQS Report'!P83</f>
        <v/>
      </c>
      <c r="P86" s="1064" t="str">
        <f>'Vessel BQS Report'!Q83</f>
        <v/>
      </c>
      <c r="Q86" s="1044"/>
    </row>
    <row r="87" spans="1:17" hidden="1">
      <c r="A87" s="881" t="str">
        <f>'Vessel BQS Report'!A84</f>
        <v>N</v>
      </c>
      <c r="C87" s="1057" t="str">
        <f>'Vessel BQS Report'!C84</f>
        <v/>
      </c>
      <c r="D87" s="1058" t="str">
        <f>'Vessel BQS Report'!D84</f>
        <v/>
      </c>
      <c r="E87" s="1059" t="str">
        <f>'Vessel BQS Report'!N84</f>
        <v/>
      </c>
      <c r="F87" s="1060" t="str">
        <f>'Vessel BQS Report'!F84</f>
        <v/>
      </c>
      <c r="G87" s="1061" t="str">
        <f>'Vessel BQS Report'!E84</f>
        <v/>
      </c>
      <c r="H87" s="1060" t="str">
        <f>'Vessel BQS Report'!G84</f>
        <v/>
      </c>
      <c r="I87" s="1159" t="str">
        <f>'Vessel BQS Report'!H84</f>
        <v/>
      </c>
      <c r="J87" s="1062" t="str">
        <f>'Vessel BQS Report'!I84</f>
        <v/>
      </c>
      <c r="K87" s="1063" t="str">
        <f>'Vessel BQS Report'!J84</f>
        <v/>
      </c>
      <c r="L87" s="1064" t="str">
        <f>'Vessel BQS Report'!L84</f>
        <v/>
      </c>
      <c r="M87" s="1064" t="str">
        <f>'Vessel BQS Report'!O84</f>
        <v/>
      </c>
      <c r="N87" s="1065" t="str">
        <f>'Vessel BQS Report'!M84</f>
        <v/>
      </c>
      <c r="O87" s="1065" t="str">
        <f>'Vessel BQS Report'!P84</f>
        <v/>
      </c>
      <c r="P87" s="1064" t="str">
        <f>'Vessel BQS Report'!Q84</f>
        <v/>
      </c>
      <c r="Q87" s="1044"/>
    </row>
    <row r="88" spans="1:17" hidden="1">
      <c r="A88" s="881" t="str">
        <f>'Vessel BQS Report'!A85</f>
        <v>N</v>
      </c>
      <c r="C88" s="1057" t="str">
        <f>'Vessel BQS Report'!C85</f>
        <v/>
      </c>
      <c r="D88" s="1058" t="str">
        <f>'Vessel BQS Report'!D85</f>
        <v/>
      </c>
      <c r="E88" s="1059" t="str">
        <f>'Vessel BQS Report'!N85</f>
        <v/>
      </c>
      <c r="F88" s="1060" t="str">
        <f>'Vessel BQS Report'!F85</f>
        <v/>
      </c>
      <c r="G88" s="1061" t="str">
        <f>'Vessel BQS Report'!E85</f>
        <v/>
      </c>
      <c r="H88" s="1060" t="str">
        <f>'Vessel BQS Report'!G85</f>
        <v/>
      </c>
      <c r="I88" s="1159" t="str">
        <f>'Vessel BQS Report'!H85</f>
        <v/>
      </c>
      <c r="J88" s="1062" t="str">
        <f>'Vessel BQS Report'!I85</f>
        <v/>
      </c>
      <c r="K88" s="1063" t="str">
        <f>'Vessel BQS Report'!J85</f>
        <v/>
      </c>
      <c r="L88" s="1064" t="str">
        <f>'Vessel BQS Report'!L85</f>
        <v/>
      </c>
      <c r="M88" s="1064" t="str">
        <f>'Vessel BQS Report'!O85</f>
        <v/>
      </c>
      <c r="N88" s="1065" t="str">
        <f>'Vessel BQS Report'!M85</f>
        <v/>
      </c>
      <c r="O88" s="1065" t="str">
        <f>'Vessel BQS Report'!P85</f>
        <v/>
      </c>
      <c r="P88" s="1064" t="str">
        <f>'Vessel BQS Report'!Q85</f>
        <v/>
      </c>
      <c r="Q88" s="1044"/>
    </row>
    <row r="89" spans="1:17" hidden="1">
      <c r="A89" s="881" t="str">
        <f>'Vessel BQS Report'!A86</f>
        <v>N</v>
      </c>
      <c r="C89" s="1057" t="str">
        <f>'Vessel BQS Report'!C86</f>
        <v/>
      </c>
      <c r="D89" s="1058" t="str">
        <f>'Vessel BQS Report'!D86</f>
        <v/>
      </c>
      <c r="E89" s="1059" t="str">
        <f>'Vessel BQS Report'!N86</f>
        <v/>
      </c>
      <c r="F89" s="1060" t="str">
        <f>'Vessel BQS Report'!F86</f>
        <v/>
      </c>
      <c r="G89" s="1061" t="str">
        <f>'Vessel BQS Report'!E86</f>
        <v/>
      </c>
      <c r="H89" s="1060" t="str">
        <f>'Vessel BQS Report'!G86</f>
        <v/>
      </c>
      <c r="I89" s="1159" t="str">
        <f>'Vessel BQS Report'!H86</f>
        <v/>
      </c>
      <c r="J89" s="1062" t="str">
        <f>'Vessel BQS Report'!I86</f>
        <v/>
      </c>
      <c r="K89" s="1063" t="str">
        <f>'Vessel BQS Report'!J86</f>
        <v/>
      </c>
      <c r="L89" s="1064" t="str">
        <f>'Vessel BQS Report'!L86</f>
        <v/>
      </c>
      <c r="M89" s="1064" t="str">
        <f>'Vessel BQS Report'!O86</f>
        <v/>
      </c>
      <c r="N89" s="1065" t="str">
        <f>'Vessel BQS Report'!M86</f>
        <v/>
      </c>
      <c r="O89" s="1065" t="str">
        <f>'Vessel BQS Report'!P86</f>
        <v/>
      </c>
      <c r="P89" s="1064" t="str">
        <f>'Vessel BQS Report'!Q86</f>
        <v/>
      </c>
      <c r="Q89" s="1044"/>
    </row>
    <row r="90" spans="1:17" hidden="1">
      <c r="A90" s="881" t="str">
        <f>'Vessel BQS Report'!A87</f>
        <v>N</v>
      </c>
      <c r="C90" s="1066" t="str">
        <f>'Vessel BQS Report'!C87</f>
        <v/>
      </c>
      <c r="D90" s="1067" t="str">
        <f>'Vessel BQS Report'!D87</f>
        <v/>
      </c>
      <c r="E90" s="1068" t="str">
        <f>'Vessel BQS Report'!N87</f>
        <v/>
      </c>
      <c r="F90" s="1069" t="str">
        <f>'Vessel BQS Report'!F87</f>
        <v/>
      </c>
      <c r="G90" s="1070" t="str">
        <f>'Vessel BQS Report'!E87</f>
        <v/>
      </c>
      <c r="H90" s="1069" t="str">
        <f>'Vessel BQS Report'!G87</f>
        <v/>
      </c>
      <c r="I90" s="1160" t="str">
        <f>'Vessel BQS Report'!H87</f>
        <v/>
      </c>
      <c r="J90" s="1071" t="str">
        <f>'Vessel BQS Report'!I87</f>
        <v/>
      </c>
      <c r="K90" s="1072" t="str">
        <f>'Vessel BQS Report'!J87</f>
        <v/>
      </c>
      <c r="L90" s="1073" t="str">
        <f>'Vessel BQS Report'!L87</f>
        <v/>
      </c>
      <c r="M90" s="1073" t="str">
        <f>'Vessel BQS Report'!O87</f>
        <v/>
      </c>
      <c r="N90" s="1074" t="str">
        <f>'Vessel BQS Report'!M87</f>
        <v/>
      </c>
      <c r="O90" s="1074" t="str">
        <f>'Vessel BQS Report'!P87</f>
        <v/>
      </c>
      <c r="P90" s="1073" t="str">
        <f>'Vessel BQS Report'!Q87</f>
        <v/>
      </c>
      <c r="Q90" s="1044"/>
    </row>
    <row r="91" spans="1:17" hidden="1">
      <c r="A91" s="881" t="s">
        <v>270</v>
      </c>
      <c r="C91" s="1118"/>
      <c r="D91" s="1075"/>
      <c r="E91" s="1076"/>
      <c r="F91" s="1077"/>
      <c r="G91" s="1077"/>
      <c r="H91" s="1078"/>
      <c r="I91" s="1078"/>
      <c r="J91" s="1078"/>
      <c r="K91" s="1077"/>
      <c r="L91" s="1079"/>
      <c r="M91" s="2957" t="s">
        <v>801</v>
      </c>
      <c r="N91" s="2957"/>
      <c r="O91" s="2958">
        <f>SUM(P71:P90)</f>
        <v>0</v>
      </c>
      <c r="P91" s="2958"/>
      <c r="Q91" s="1044"/>
    </row>
    <row r="92" spans="1:17" s="1046" customFormat="1" ht="5.25" hidden="1">
      <c r="A92" s="1046" t="s">
        <v>270</v>
      </c>
      <c r="C92" s="1108"/>
      <c r="D92" s="1109"/>
      <c r="E92" s="1110"/>
      <c r="F92" s="1111"/>
      <c r="G92" s="1111"/>
      <c r="H92" s="1112"/>
      <c r="I92" s="1113"/>
      <c r="J92" s="1113"/>
      <c r="K92" s="1114"/>
      <c r="L92" s="1115"/>
      <c r="M92" s="1115"/>
      <c r="N92" s="1116"/>
      <c r="O92" s="1117"/>
      <c r="P92" s="1115"/>
      <c r="Q92" s="1045"/>
    </row>
    <row r="93" spans="1:17" hidden="1">
      <c r="A93" s="881" t="s">
        <v>270</v>
      </c>
      <c r="B93" s="881">
        <v>4</v>
      </c>
      <c r="C93" s="2959" t="str">
        <f>'Vessel BQS Report'!C90</f>
        <v>NOMINATED TANKS</v>
      </c>
      <c r="D93" s="2960"/>
      <c r="E93" s="2960"/>
      <c r="F93" s="2961"/>
      <c r="G93" s="2962" t="str">
        <f>'Vessel BQS Report'!E90</f>
        <v>LSMDO</v>
      </c>
      <c r="H93" s="2963"/>
      <c r="I93" s="1051"/>
      <c r="J93" s="1052"/>
      <c r="K93" s="1053"/>
      <c r="L93" s="1054"/>
      <c r="M93" s="1054"/>
      <c r="N93" s="1055"/>
      <c r="O93" s="1056"/>
      <c r="P93" s="1054"/>
      <c r="Q93" s="1044"/>
    </row>
    <row r="94" spans="1:17" hidden="1">
      <c r="A94" s="881" t="str">
        <f>'Vessel BQS Report'!A91</f>
        <v>N</v>
      </c>
      <c r="C94" s="1057" t="str">
        <f>'Vessel BQS Report'!C91</f>
        <v/>
      </c>
      <c r="D94" s="1058" t="str">
        <f>'Vessel BQS Report'!D91</f>
        <v/>
      </c>
      <c r="E94" s="1059" t="str">
        <f>'Vessel BQS Report'!N91</f>
        <v/>
      </c>
      <c r="F94" s="1060" t="str">
        <f>'Vessel BQS Report'!F91</f>
        <v/>
      </c>
      <c r="G94" s="1061" t="str">
        <f>'Vessel BQS Report'!E91</f>
        <v/>
      </c>
      <c r="H94" s="1060" t="str">
        <f>'Vessel BQS Report'!G91</f>
        <v/>
      </c>
      <c r="I94" s="1159" t="str">
        <f>'Vessel BQS Report'!H91</f>
        <v/>
      </c>
      <c r="J94" s="1062" t="str">
        <f>'Vessel BQS Report'!I91</f>
        <v/>
      </c>
      <c r="K94" s="1063" t="str">
        <f>'Vessel BQS Report'!J91</f>
        <v/>
      </c>
      <c r="L94" s="1064" t="str">
        <f>'Vessel BQS Report'!L91</f>
        <v/>
      </c>
      <c r="M94" s="1064" t="str">
        <f>'Vessel BQS Report'!O91</f>
        <v/>
      </c>
      <c r="N94" s="1065" t="str">
        <f>'Vessel BQS Report'!M91</f>
        <v/>
      </c>
      <c r="O94" s="1065" t="str">
        <f>'Vessel BQS Report'!P91</f>
        <v/>
      </c>
      <c r="P94" s="1064" t="str">
        <f>'Vessel BQS Report'!Q91</f>
        <v/>
      </c>
      <c r="Q94" s="1044"/>
    </row>
    <row r="95" spans="1:17" hidden="1">
      <c r="A95" s="881" t="str">
        <f>'Vessel BQS Report'!A92</f>
        <v>N</v>
      </c>
      <c r="C95" s="1057" t="str">
        <f>'Vessel BQS Report'!C92</f>
        <v/>
      </c>
      <c r="D95" s="1058" t="str">
        <f>'Vessel BQS Report'!D92</f>
        <v/>
      </c>
      <c r="E95" s="1059" t="str">
        <f>'Vessel BQS Report'!N92</f>
        <v/>
      </c>
      <c r="F95" s="1060" t="str">
        <f>'Vessel BQS Report'!F92</f>
        <v/>
      </c>
      <c r="G95" s="1061" t="str">
        <f>'Vessel BQS Report'!E92</f>
        <v/>
      </c>
      <c r="H95" s="1060" t="str">
        <f>'Vessel BQS Report'!G92</f>
        <v/>
      </c>
      <c r="I95" s="1159" t="str">
        <f>'Vessel BQS Report'!H92</f>
        <v/>
      </c>
      <c r="J95" s="1062" t="str">
        <f>'Vessel BQS Report'!I92</f>
        <v/>
      </c>
      <c r="K95" s="1063" t="str">
        <f>'Vessel BQS Report'!J92</f>
        <v/>
      </c>
      <c r="L95" s="1064" t="str">
        <f>'Vessel BQS Report'!L92</f>
        <v/>
      </c>
      <c r="M95" s="1064" t="str">
        <f>'Vessel BQS Report'!O92</f>
        <v/>
      </c>
      <c r="N95" s="1065" t="str">
        <f>'Vessel BQS Report'!M92</f>
        <v/>
      </c>
      <c r="O95" s="1065" t="str">
        <f>'Vessel BQS Report'!P92</f>
        <v/>
      </c>
      <c r="P95" s="1064" t="str">
        <f>'Vessel BQS Report'!Q92</f>
        <v/>
      </c>
      <c r="Q95" s="1044"/>
    </row>
    <row r="96" spans="1:17" hidden="1">
      <c r="A96" s="881" t="str">
        <f>'Vessel BQS Report'!A93</f>
        <v>N</v>
      </c>
      <c r="C96" s="1057" t="str">
        <f>'Vessel BQS Report'!C93</f>
        <v/>
      </c>
      <c r="D96" s="1058" t="str">
        <f>'Vessel BQS Report'!D93</f>
        <v/>
      </c>
      <c r="E96" s="1059" t="str">
        <f>'Vessel BQS Report'!N93</f>
        <v/>
      </c>
      <c r="F96" s="1060" t="str">
        <f>'Vessel BQS Report'!F93</f>
        <v/>
      </c>
      <c r="G96" s="1061" t="str">
        <f>'Vessel BQS Report'!E93</f>
        <v/>
      </c>
      <c r="H96" s="1060" t="str">
        <f>'Vessel BQS Report'!G93</f>
        <v/>
      </c>
      <c r="I96" s="1159" t="str">
        <f>'Vessel BQS Report'!H93</f>
        <v/>
      </c>
      <c r="J96" s="1062" t="str">
        <f>'Vessel BQS Report'!I93</f>
        <v/>
      </c>
      <c r="K96" s="1063" t="str">
        <f>'Vessel BQS Report'!J93</f>
        <v/>
      </c>
      <c r="L96" s="1064" t="str">
        <f>'Vessel BQS Report'!L93</f>
        <v/>
      </c>
      <c r="M96" s="1064" t="str">
        <f>'Vessel BQS Report'!O93</f>
        <v/>
      </c>
      <c r="N96" s="1065" t="str">
        <f>'Vessel BQS Report'!M93</f>
        <v/>
      </c>
      <c r="O96" s="1065" t="str">
        <f>'Vessel BQS Report'!P93</f>
        <v/>
      </c>
      <c r="P96" s="1064" t="str">
        <f>'Vessel BQS Report'!Q93</f>
        <v/>
      </c>
      <c r="Q96" s="1044"/>
    </row>
    <row r="97" spans="1:17" hidden="1">
      <c r="A97" s="881" t="str">
        <f>'Vessel BQS Report'!A94</f>
        <v>N</v>
      </c>
      <c r="C97" s="1057" t="str">
        <f>'Vessel BQS Report'!C94</f>
        <v/>
      </c>
      <c r="D97" s="1058" t="str">
        <f>'Vessel BQS Report'!D94</f>
        <v/>
      </c>
      <c r="E97" s="1059" t="str">
        <f>'Vessel BQS Report'!N94</f>
        <v/>
      </c>
      <c r="F97" s="1060" t="str">
        <f>'Vessel BQS Report'!F94</f>
        <v/>
      </c>
      <c r="G97" s="1061" t="str">
        <f>'Vessel BQS Report'!E94</f>
        <v/>
      </c>
      <c r="H97" s="1060" t="str">
        <f>'Vessel BQS Report'!G94</f>
        <v/>
      </c>
      <c r="I97" s="1159" t="str">
        <f>'Vessel BQS Report'!H94</f>
        <v/>
      </c>
      <c r="J97" s="1062" t="str">
        <f>'Vessel BQS Report'!I94</f>
        <v/>
      </c>
      <c r="K97" s="1063" t="str">
        <f>'Vessel BQS Report'!J94</f>
        <v/>
      </c>
      <c r="L97" s="1064" t="str">
        <f>'Vessel BQS Report'!L94</f>
        <v/>
      </c>
      <c r="M97" s="1064" t="str">
        <f>'Vessel BQS Report'!O94</f>
        <v/>
      </c>
      <c r="N97" s="1065" t="str">
        <f>'Vessel BQS Report'!M94</f>
        <v/>
      </c>
      <c r="O97" s="1065" t="str">
        <f>'Vessel BQS Report'!P94</f>
        <v/>
      </c>
      <c r="P97" s="1064" t="str">
        <f>'Vessel BQS Report'!Q94</f>
        <v/>
      </c>
      <c r="Q97" s="1044"/>
    </row>
    <row r="98" spans="1:17" hidden="1">
      <c r="A98" s="881" t="str">
        <f>'Vessel BQS Report'!A95</f>
        <v>N</v>
      </c>
      <c r="C98" s="1057" t="str">
        <f>'Vessel BQS Report'!C95</f>
        <v/>
      </c>
      <c r="D98" s="1058" t="str">
        <f>'Vessel BQS Report'!D95</f>
        <v/>
      </c>
      <c r="E98" s="1059" t="str">
        <f>'Vessel BQS Report'!N95</f>
        <v/>
      </c>
      <c r="F98" s="1060" t="str">
        <f>'Vessel BQS Report'!F95</f>
        <v/>
      </c>
      <c r="G98" s="1061" t="str">
        <f>'Vessel BQS Report'!E95</f>
        <v/>
      </c>
      <c r="H98" s="1060" t="str">
        <f>'Vessel BQS Report'!G95</f>
        <v/>
      </c>
      <c r="I98" s="1159" t="str">
        <f>'Vessel BQS Report'!H95</f>
        <v/>
      </c>
      <c r="J98" s="1062" t="str">
        <f>'Vessel BQS Report'!I95</f>
        <v/>
      </c>
      <c r="K98" s="1063" t="str">
        <f>'Vessel BQS Report'!J95</f>
        <v/>
      </c>
      <c r="L98" s="1064" t="str">
        <f>'Vessel BQS Report'!L95</f>
        <v/>
      </c>
      <c r="M98" s="1064" t="str">
        <f>'Vessel BQS Report'!O95</f>
        <v/>
      </c>
      <c r="N98" s="1065" t="str">
        <f>'Vessel BQS Report'!M95</f>
        <v/>
      </c>
      <c r="O98" s="1065" t="str">
        <f>'Vessel BQS Report'!P95</f>
        <v/>
      </c>
      <c r="P98" s="1064" t="str">
        <f>'Vessel BQS Report'!Q95</f>
        <v/>
      </c>
      <c r="Q98" s="1044"/>
    </row>
    <row r="99" spans="1:17" hidden="1">
      <c r="A99" s="881" t="str">
        <f>'Vessel BQS Report'!A96</f>
        <v>N</v>
      </c>
      <c r="C99" s="1057" t="str">
        <f>'Vessel BQS Report'!C96</f>
        <v/>
      </c>
      <c r="D99" s="1058" t="str">
        <f>'Vessel BQS Report'!D96</f>
        <v/>
      </c>
      <c r="E99" s="1059" t="str">
        <f>'Vessel BQS Report'!N96</f>
        <v/>
      </c>
      <c r="F99" s="1060" t="str">
        <f>'Vessel BQS Report'!F96</f>
        <v/>
      </c>
      <c r="G99" s="1061" t="str">
        <f>'Vessel BQS Report'!E96</f>
        <v/>
      </c>
      <c r="H99" s="1060" t="str">
        <f>'Vessel BQS Report'!G96</f>
        <v/>
      </c>
      <c r="I99" s="1159" t="str">
        <f>'Vessel BQS Report'!H96</f>
        <v/>
      </c>
      <c r="J99" s="1062" t="str">
        <f>'Vessel BQS Report'!I96</f>
        <v/>
      </c>
      <c r="K99" s="1063" t="str">
        <f>'Vessel BQS Report'!J96</f>
        <v/>
      </c>
      <c r="L99" s="1064" t="str">
        <f>'Vessel BQS Report'!L96</f>
        <v/>
      </c>
      <c r="M99" s="1064" t="str">
        <f>'Vessel BQS Report'!O96</f>
        <v/>
      </c>
      <c r="N99" s="1065" t="str">
        <f>'Vessel BQS Report'!M96</f>
        <v/>
      </c>
      <c r="O99" s="1065" t="str">
        <f>'Vessel BQS Report'!P96</f>
        <v/>
      </c>
      <c r="P99" s="1064" t="str">
        <f>'Vessel BQS Report'!Q96</f>
        <v/>
      </c>
      <c r="Q99" s="1044"/>
    </row>
    <row r="100" spans="1:17" hidden="1">
      <c r="A100" s="881" t="str">
        <f>'Vessel BQS Report'!A97</f>
        <v>N</v>
      </c>
      <c r="C100" s="1057" t="str">
        <f>'Vessel BQS Report'!C97</f>
        <v/>
      </c>
      <c r="D100" s="1058" t="str">
        <f>'Vessel BQS Report'!D97</f>
        <v/>
      </c>
      <c r="E100" s="1059" t="str">
        <f>'Vessel BQS Report'!N97</f>
        <v/>
      </c>
      <c r="F100" s="1060" t="str">
        <f>'Vessel BQS Report'!F97</f>
        <v/>
      </c>
      <c r="G100" s="1061" t="str">
        <f>'Vessel BQS Report'!E97</f>
        <v/>
      </c>
      <c r="H100" s="1060" t="str">
        <f>'Vessel BQS Report'!G97</f>
        <v/>
      </c>
      <c r="I100" s="1159" t="str">
        <f>'Vessel BQS Report'!H97</f>
        <v/>
      </c>
      <c r="J100" s="1062" t="str">
        <f>'Vessel BQS Report'!I97</f>
        <v/>
      </c>
      <c r="K100" s="1063" t="str">
        <f>'Vessel BQS Report'!J97</f>
        <v/>
      </c>
      <c r="L100" s="1064" t="str">
        <f>'Vessel BQS Report'!L97</f>
        <v/>
      </c>
      <c r="M100" s="1064" t="str">
        <f>'Vessel BQS Report'!O97</f>
        <v/>
      </c>
      <c r="N100" s="1065" t="str">
        <f>'Vessel BQS Report'!M97</f>
        <v/>
      </c>
      <c r="O100" s="1065" t="str">
        <f>'Vessel BQS Report'!P97</f>
        <v/>
      </c>
      <c r="P100" s="1064" t="str">
        <f>'Vessel BQS Report'!Q97</f>
        <v/>
      </c>
      <c r="Q100" s="1044"/>
    </row>
    <row r="101" spans="1:17" hidden="1">
      <c r="A101" s="881" t="str">
        <f>'Vessel BQS Report'!A98</f>
        <v>N</v>
      </c>
      <c r="C101" s="1057" t="str">
        <f>'Vessel BQS Report'!C98</f>
        <v/>
      </c>
      <c r="D101" s="1058" t="str">
        <f>'Vessel BQS Report'!D98</f>
        <v/>
      </c>
      <c r="E101" s="1059" t="str">
        <f>'Vessel BQS Report'!N98</f>
        <v/>
      </c>
      <c r="F101" s="1060" t="str">
        <f>'Vessel BQS Report'!F98</f>
        <v/>
      </c>
      <c r="G101" s="1061" t="str">
        <f>'Vessel BQS Report'!E98</f>
        <v/>
      </c>
      <c r="H101" s="1060" t="str">
        <f>'Vessel BQS Report'!G98</f>
        <v/>
      </c>
      <c r="I101" s="1159" t="str">
        <f>'Vessel BQS Report'!H98</f>
        <v/>
      </c>
      <c r="J101" s="1062" t="str">
        <f>'Vessel BQS Report'!I98</f>
        <v/>
      </c>
      <c r="K101" s="1063" t="str">
        <f>'Vessel BQS Report'!J98</f>
        <v/>
      </c>
      <c r="L101" s="1064" t="str">
        <f>'Vessel BQS Report'!L98</f>
        <v/>
      </c>
      <c r="M101" s="1064" t="str">
        <f>'Vessel BQS Report'!O98</f>
        <v/>
      </c>
      <c r="N101" s="1065" t="str">
        <f>'Vessel BQS Report'!M98</f>
        <v/>
      </c>
      <c r="O101" s="1065" t="str">
        <f>'Vessel BQS Report'!P98</f>
        <v/>
      </c>
      <c r="P101" s="1064" t="str">
        <f>'Vessel BQS Report'!Q98</f>
        <v/>
      </c>
      <c r="Q101" s="1044"/>
    </row>
    <row r="102" spans="1:17" hidden="1">
      <c r="A102" s="881" t="str">
        <f>'Vessel BQS Report'!A99</f>
        <v>N</v>
      </c>
      <c r="C102" s="1057" t="str">
        <f>'Vessel BQS Report'!C99</f>
        <v/>
      </c>
      <c r="D102" s="1058" t="str">
        <f>'Vessel BQS Report'!D99</f>
        <v/>
      </c>
      <c r="E102" s="1059" t="str">
        <f>'Vessel BQS Report'!N99</f>
        <v/>
      </c>
      <c r="F102" s="1060" t="str">
        <f>'Vessel BQS Report'!F99</f>
        <v/>
      </c>
      <c r="G102" s="1061" t="str">
        <f>'Vessel BQS Report'!E99</f>
        <v/>
      </c>
      <c r="H102" s="1060" t="str">
        <f>'Vessel BQS Report'!G99</f>
        <v/>
      </c>
      <c r="I102" s="1159" t="str">
        <f>'Vessel BQS Report'!H99</f>
        <v/>
      </c>
      <c r="J102" s="1062" t="str">
        <f>'Vessel BQS Report'!I99</f>
        <v/>
      </c>
      <c r="K102" s="1063" t="str">
        <f>'Vessel BQS Report'!J99</f>
        <v/>
      </c>
      <c r="L102" s="1064" t="str">
        <f>'Vessel BQS Report'!L99</f>
        <v/>
      </c>
      <c r="M102" s="1064" t="str">
        <f>'Vessel BQS Report'!O99</f>
        <v/>
      </c>
      <c r="N102" s="1065" t="str">
        <f>'Vessel BQS Report'!M99</f>
        <v/>
      </c>
      <c r="O102" s="1065" t="str">
        <f>'Vessel BQS Report'!P99</f>
        <v/>
      </c>
      <c r="P102" s="1064" t="str">
        <f>'Vessel BQS Report'!Q99</f>
        <v/>
      </c>
      <c r="Q102" s="1044"/>
    </row>
    <row r="103" spans="1:17" hidden="1">
      <c r="A103" s="881" t="str">
        <f>'Vessel BQS Report'!A100</f>
        <v>N</v>
      </c>
      <c r="C103" s="1057" t="str">
        <f>'Vessel BQS Report'!C100</f>
        <v/>
      </c>
      <c r="D103" s="1058" t="str">
        <f>'Vessel BQS Report'!D100</f>
        <v/>
      </c>
      <c r="E103" s="1059" t="str">
        <f>'Vessel BQS Report'!N100</f>
        <v/>
      </c>
      <c r="F103" s="1060" t="str">
        <f>'Vessel BQS Report'!F100</f>
        <v/>
      </c>
      <c r="G103" s="1061" t="str">
        <f>'Vessel BQS Report'!E100</f>
        <v/>
      </c>
      <c r="H103" s="1060" t="str">
        <f>'Vessel BQS Report'!G100</f>
        <v/>
      </c>
      <c r="I103" s="1159" t="str">
        <f>'Vessel BQS Report'!H100</f>
        <v/>
      </c>
      <c r="J103" s="1062" t="str">
        <f>'Vessel BQS Report'!I100</f>
        <v/>
      </c>
      <c r="K103" s="1063" t="str">
        <f>'Vessel BQS Report'!J100</f>
        <v/>
      </c>
      <c r="L103" s="1064" t="str">
        <f>'Vessel BQS Report'!L100</f>
        <v/>
      </c>
      <c r="M103" s="1064" t="str">
        <f>'Vessel BQS Report'!O100</f>
        <v/>
      </c>
      <c r="N103" s="1065" t="str">
        <f>'Vessel BQS Report'!M100</f>
        <v/>
      </c>
      <c r="O103" s="1065" t="str">
        <f>'Vessel BQS Report'!P100</f>
        <v/>
      </c>
      <c r="P103" s="1064" t="str">
        <f>'Vessel BQS Report'!Q100</f>
        <v/>
      </c>
      <c r="Q103" s="1044"/>
    </row>
    <row r="104" spans="1:17" hidden="1">
      <c r="A104" s="881" t="str">
        <f>'Vessel BQS Report'!A101</f>
        <v>N</v>
      </c>
      <c r="C104" s="1057" t="str">
        <f>'Vessel BQS Report'!C101</f>
        <v/>
      </c>
      <c r="D104" s="1058" t="str">
        <f>'Vessel BQS Report'!D101</f>
        <v/>
      </c>
      <c r="E104" s="1059" t="str">
        <f>'Vessel BQS Report'!N101</f>
        <v/>
      </c>
      <c r="F104" s="1060" t="str">
        <f>'Vessel BQS Report'!F101</f>
        <v/>
      </c>
      <c r="G104" s="1061" t="str">
        <f>'Vessel BQS Report'!E101</f>
        <v/>
      </c>
      <c r="H104" s="1060" t="str">
        <f>'Vessel BQS Report'!G101</f>
        <v/>
      </c>
      <c r="I104" s="1159" t="str">
        <f>'Vessel BQS Report'!H101</f>
        <v/>
      </c>
      <c r="J104" s="1062" t="str">
        <f>'Vessel BQS Report'!I101</f>
        <v/>
      </c>
      <c r="K104" s="1063" t="str">
        <f>'Vessel BQS Report'!J101</f>
        <v/>
      </c>
      <c r="L104" s="1064" t="str">
        <f>'Vessel BQS Report'!L101</f>
        <v/>
      </c>
      <c r="M104" s="1064" t="str">
        <f>'Vessel BQS Report'!O101</f>
        <v/>
      </c>
      <c r="N104" s="1065" t="str">
        <f>'Vessel BQS Report'!M101</f>
        <v/>
      </c>
      <c r="O104" s="1065" t="str">
        <f>'Vessel BQS Report'!P101</f>
        <v/>
      </c>
      <c r="P104" s="1064" t="str">
        <f>'Vessel BQS Report'!Q101</f>
        <v/>
      </c>
      <c r="Q104" s="1044"/>
    </row>
    <row r="105" spans="1:17" hidden="1">
      <c r="A105" s="881" t="str">
        <f>'Vessel BQS Report'!A102</f>
        <v>N</v>
      </c>
      <c r="C105" s="1057" t="str">
        <f>'Vessel BQS Report'!C102</f>
        <v/>
      </c>
      <c r="D105" s="1058" t="str">
        <f>'Vessel BQS Report'!D102</f>
        <v/>
      </c>
      <c r="E105" s="1059" t="str">
        <f>'Vessel BQS Report'!N102</f>
        <v/>
      </c>
      <c r="F105" s="1060" t="str">
        <f>'Vessel BQS Report'!F102</f>
        <v/>
      </c>
      <c r="G105" s="1061" t="str">
        <f>'Vessel BQS Report'!E102</f>
        <v/>
      </c>
      <c r="H105" s="1060" t="str">
        <f>'Vessel BQS Report'!G102</f>
        <v/>
      </c>
      <c r="I105" s="1159" t="str">
        <f>'Vessel BQS Report'!H102</f>
        <v/>
      </c>
      <c r="J105" s="1062" t="str">
        <f>'Vessel BQS Report'!I102</f>
        <v/>
      </c>
      <c r="K105" s="1063" t="str">
        <f>'Vessel BQS Report'!J102</f>
        <v/>
      </c>
      <c r="L105" s="1064" t="str">
        <f>'Vessel BQS Report'!L102</f>
        <v/>
      </c>
      <c r="M105" s="1064" t="str">
        <f>'Vessel BQS Report'!O102</f>
        <v/>
      </c>
      <c r="N105" s="1065" t="str">
        <f>'Vessel BQS Report'!M102</f>
        <v/>
      </c>
      <c r="O105" s="1065" t="str">
        <f>'Vessel BQS Report'!P102</f>
        <v/>
      </c>
      <c r="P105" s="1064" t="str">
        <f>'Vessel BQS Report'!Q102</f>
        <v/>
      </c>
      <c r="Q105" s="1044"/>
    </row>
    <row r="106" spans="1:17" hidden="1">
      <c r="A106" s="881" t="str">
        <f>'Vessel BQS Report'!A103</f>
        <v>N</v>
      </c>
      <c r="C106" s="1057" t="str">
        <f>'Vessel BQS Report'!C103</f>
        <v/>
      </c>
      <c r="D106" s="1058" t="str">
        <f>'Vessel BQS Report'!D103</f>
        <v/>
      </c>
      <c r="E106" s="1059" t="str">
        <f>'Vessel BQS Report'!N103</f>
        <v/>
      </c>
      <c r="F106" s="1060" t="str">
        <f>'Vessel BQS Report'!F103</f>
        <v/>
      </c>
      <c r="G106" s="1061" t="str">
        <f>'Vessel BQS Report'!E103</f>
        <v/>
      </c>
      <c r="H106" s="1060" t="str">
        <f>'Vessel BQS Report'!G103</f>
        <v/>
      </c>
      <c r="I106" s="1159" t="str">
        <f>'Vessel BQS Report'!H103</f>
        <v/>
      </c>
      <c r="J106" s="1062" t="str">
        <f>'Vessel BQS Report'!I103</f>
        <v/>
      </c>
      <c r="K106" s="1063" t="str">
        <f>'Vessel BQS Report'!J103</f>
        <v/>
      </c>
      <c r="L106" s="1064" t="str">
        <f>'Vessel BQS Report'!L103</f>
        <v/>
      </c>
      <c r="M106" s="1064" t="str">
        <f>'Vessel BQS Report'!O103</f>
        <v/>
      </c>
      <c r="N106" s="1065" t="str">
        <f>'Vessel BQS Report'!M103</f>
        <v/>
      </c>
      <c r="O106" s="1065" t="str">
        <f>'Vessel BQS Report'!P103</f>
        <v/>
      </c>
      <c r="P106" s="1064" t="str">
        <f>'Vessel BQS Report'!Q103</f>
        <v/>
      </c>
      <c r="Q106" s="1044"/>
    </row>
    <row r="107" spans="1:17" hidden="1">
      <c r="A107" s="881" t="str">
        <f>'Vessel BQS Report'!A104</f>
        <v>N</v>
      </c>
      <c r="C107" s="1057" t="str">
        <f>'Vessel BQS Report'!C104</f>
        <v/>
      </c>
      <c r="D107" s="1058" t="str">
        <f>'Vessel BQS Report'!D104</f>
        <v/>
      </c>
      <c r="E107" s="1059" t="str">
        <f>'Vessel BQS Report'!N104</f>
        <v/>
      </c>
      <c r="F107" s="1060" t="str">
        <f>'Vessel BQS Report'!F104</f>
        <v/>
      </c>
      <c r="G107" s="1061" t="str">
        <f>'Vessel BQS Report'!E104</f>
        <v/>
      </c>
      <c r="H107" s="1060" t="str">
        <f>'Vessel BQS Report'!G104</f>
        <v/>
      </c>
      <c r="I107" s="1159" t="str">
        <f>'Vessel BQS Report'!H104</f>
        <v/>
      </c>
      <c r="J107" s="1062" t="str">
        <f>'Vessel BQS Report'!I104</f>
        <v/>
      </c>
      <c r="K107" s="1063" t="str">
        <f>'Vessel BQS Report'!J104</f>
        <v/>
      </c>
      <c r="L107" s="1064" t="str">
        <f>'Vessel BQS Report'!L104</f>
        <v/>
      </c>
      <c r="M107" s="1064" t="str">
        <f>'Vessel BQS Report'!O104</f>
        <v/>
      </c>
      <c r="N107" s="1065" t="str">
        <f>'Vessel BQS Report'!M104</f>
        <v/>
      </c>
      <c r="O107" s="1065" t="str">
        <f>'Vessel BQS Report'!P104</f>
        <v/>
      </c>
      <c r="P107" s="1064" t="str">
        <f>'Vessel BQS Report'!Q104</f>
        <v/>
      </c>
      <c r="Q107" s="1044"/>
    </row>
    <row r="108" spans="1:17" hidden="1">
      <c r="A108" s="881" t="str">
        <f>'Vessel BQS Report'!A105</f>
        <v>N</v>
      </c>
      <c r="C108" s="1057" t="str">
        <f>'Vessel BQS Report'!C105</f>
        <v/>
      </c>
      <c r="D108" s="1058" t="str">
        <f>'Vessel BQS Report'!D105</f>
        <v/>
      </c>
      <c r="E108" s="1059" t="str">
        <f>'Vessel BQS Report'!N105</f>
        <v/>
      </c>
      <c r="F108" s="1060" t="str">
        <f>'Vessel BQS Report'!F105</f>
        <v/>
      </c>
      <c r="G108" s="1061" t="str">
        <f>'Vessel BQS Report'!E105</f>
        <v/>
      </c>
      <c r="H108" s="1060" t="str">
        <f>'Vessel BQS Report'!G105</f>
        <v/>
      </c>
      <c r="I108" s="1159" t="str">
        <f>'Vessel BQS Report'!H105</f>
        <v/>
      </c>
      <c r="J108" s="1062" t="str">
        <f>'Vessel BQS Report'!I105</f>
        <v/>
      </c>
      <c r="K108" s="1063" t="str">
        <f>'Vessel BQS Report'!J105</f>
        <v/>
      </c>
      <c r="L108" s="1064" t="str">
        <f>'Vessel BQS Report'!L105</f>
        <v/>
      </c>
      <c r="M108" s="1064" t="str">
        <f>'Vessel BQS Report'!O105</f>
        <v/>
      </c>
      <c r="N108" s="1065" t="str">
        <f>'Vessel BQS Report'!M105</f>
        <v/>
      </c>
      <c r="O108" s="1065" t="str">
        <f>'Vessel BQS Report'!P105</f>
        <v/>
      </c>
      <c r="P108" s="1064" t="str">
        <f>'Vessel BQS Report'!Q105</f>
        <v/>
      </c>
      <c r="Q108" s="1044"/>
    </row>
    <row r="109" spans="1:17" hidden="1">
      <c r="A109" s="881" t="str">
        <f>'Vessel BQS Report'!A106</f>
        <v>N</v>
      </c>
      <c r="C109" s="1057" t="str">
        <f>'Vessel BQS Report'!C106</f>
        <v/>
      </c>
      <c r="D109" s="1058" t="str">
        <f>'Vessel BQS Report'!D106</f>
        <v/>
      </c>
      <c r="E109" s="1059" t="str">
        <f>'Vessel BQS Report'!N106</f>
        <v/>
      </c>
      <c r="F109" s="1060" t="str">
        <f>'Vessel BQS Report'!F106</f>
        <v/>
      </c>
      <c r="G109" s="1061" t="str">
        <f>'Vessel BQS Report'!E106</f>
        <v/>
      </c>
      <c r="H109" s="1060" t="str">
        <f>'Vessel BQS Report'!G106</f>
        <v/>
      </c>
      <c r="I109" s="1159" t="str">
        <f>'Vessel BQS Report'!H106</f>
        <v/>
      </c>
      <c r="J109" s="1062" t="str">
        <f>'Vessel BQS Report'!I106</f>
        <v/>
      </c>
      <c r="K109" s="1063" t="str">
        <f>'Vessel BQS Report'!J106</f>
        <v/>
      </c>
      <c r="L109" s="1064" t="str">
        <f>'Vessel BQS Report'!L106</f>
        <v/>
      </c>
      <c r="M109" s="1064" t="str">
        <f>'Vessel BQS Report'!O106</f>
        <v/>
      </c>
      <c r="N109" s="1065" t="str">
        <f>'Vessel BQS Report'!M106</f>
        <v/>
      </c>
      <c r="O109" s="1065" t="str">
        <f>'Vessel BQS Report'!P106</f>
        <v/>
      </c>
      <c r="P109" s="1064" t="str">
        <f>'Vessel BQS Report'!Q106</f>
        <v/>
      </c>
      <c r="Q109" s="1044"/>
    </row>
    <row r="110" spans="1:17" hidden="1">
      <c r="A110" s="881" t="str">
        <f>'Vessel BQS Report'!A107</f>
        <v>N</v>
      </c>
      <c r="C110" s="1057" t="str">
        <f>'Vessel BQS Report'!C107</f>
        <v/>
      </c>
      <c r="D110" s="1058" t="str">
        <f>'Vessel BQS Report'!D107</f>
        <v/>
      </c>
      <c r="E110" s="1059" t="str">
        <f>'Vessel BQS Report'!N107</f>
        <v/>
      </c>
      <c r="F110" s="1060" t="str">
        <f>'Vessel BQS Report'!F107</f>
        <v/>
      </c>
      <c r="G110" s="1061" t="str">
        <f>'Vessel BQS Report'!E107</f>
        <v/>
      </c>
      <c r="H110" s="1060" t="str">
        <f>'Vessel BQS Report'!G107</f>
        <v/>
      </c>
      <c r="I110" s="1159" t="str">
        <f>'Vessel BQS Report'!H107</f>
        <v/>
      </c>
      <c r="J110" s="1062" t="str">
        <f>'Vessel BQS Report'!I107</f>
        <v/>
      </c>
      <c r="K110" s="1063" t="str">
        <f>'Vessel BQS Report'!J107</f>
        <v/>
      </c>
      <c r="L110" s="1064" t="str">
        <f>'Vessel BQS Report'!L107</f>
        <v/>
      </c>
      <c r="M110" s="1064" t="str">
        <f>'Vessel BQS Report'!O107</f>
        <v/>
      </c>
      <c r="N110" s="1065" t="str">
        <f>'Vessel BQS Report'!M107</f>
        <v/>
      </c>
      <c r="O110" s="1065" t="str">
        <f>'Vessel BQS Report'!P107</f>
        <v/>
      </c>
      <c r="P110" s="1064" t="str">
        <f>'Vessel BQS Report'!Q107</f>
        <v/>
      </c>
      <c r="Q110" s="1044"/>
    </row>
    <row r="111" spans="1:17" hidden="1">
      <c r="A111" s="881" t="str">
        <f>'Vessel BQS Report'!A108</f>
        <v>N</v>
      </c>
      <c r="C111" s="1057" t="str">
        <f>'Vessel BQS Report'!C108</f>
        <v/>
      </c>
      <c r="D111" s="1058" t="str">
        <f>'Vessel BQS Report'!D108</f>
        <v/>
      </c>
      <c r="E111" s="1059" t="str">
        <f>'Vessel BQS Report'!N108</f>
        <v/>
      </c>
      <c r="F111" s="1060" t="str">
        <f>'Vessel BQS Report'!F108</f>
        <v/>
      </c>
      <c r="G111" s="1061" t="str">
        <f>'Vessel BQS Report'!E108</f>
        <v/>
      </c>
      <c r="H111" s="1060" t="str">
        <f>'Vessel BQS Report'!G108</f>
        <v/>
      </c>
      <c r="I111" s="1159" t="str">
        <f>'Vessel BQS Report'!H108</f>
        <v/>
      </c>
      <c r="J111" s="1062" t="str">
        <f>'Vessel BQS Report'!I108</f>
        <v/>
      </c>
      <c r="K111" s="1063" t="str">
        <f>'Vessel BQS Report'!J108</f>
        <v/>
      </c>
      <c r="L111" s="1064" t="str">
        <f>'Vessel BQS Report'!L108</f>
        <v/>
      </c>
      <c r="M111" s="1064" t="str">
        <f>'Vessel BQS Report'!O108</f>
        <v/>
      </c>
      <c r="N111" s="1065" t="str">
        <f>'Vessel BQS Report'!M108</f>
        <v/>
      </c>
      <c r="O111" s="1065" t="str">
        <f>'Vessel BQS Report'!P108</f>
        <v/>
      </c>
      <c r="P111" s="1064" t="str">
        <f>'Vessel BQS Report'!Q108</f>
        <v/>
      </c>
      <c r="Q111" s="1044"/>
    </row>
    <row r="112" spans="1:17" hidden="1">
      <c r="A112" s="881" t="str">
        <f>'Vessel BQS Report'!A109</f>
        <v>N</v>
      </c>
      <c r="C112" s="1057" t="str">
        <f>'Vessel BQS Report'!C109</f>
        <v/>
      </c>
      <c r="D112" s="1058" t="str">
        <f>'Vessel BQS Report'!D109</f>
        <v/>
      </c>
      <c r="E112" s="1059" t="str">
        <f>'Vessel BQS Report'!N109</f>
        <v/>
      </c>
      <c r="F112" s="1060" t="str">
        <f>'Vessel BQS Report'!F109</f>
        <v/>
      </c>
      <c r="G112" s="1061" t="str">
        <f>'Vessel BQS Report'!E109</f>
        <v/>
      </c>
      <c r="H112" s="1060" t="str">
        <f>'Vessel BQS Report'!G109</f>
        <v/>
      </c>
      <c r="I112" s="1159" t="str">
        <f>'Vessel BQS Report'!H109</f>
        <v/>
      </c>
      <c r="J112" s="1062" t="str">
        <f>'Vessel BQS Report'!I109</f>
        <v/>
      </c>
      <c r="K112" s="1063" t="str">
        <f>'Vessel BQS Report'!J109</f>
        <v/>
      </c>
      <c r="L112" s="1064" t="str">
        <f>'Vessel BQS Report'!L109</f>
        <v/>
      </c>
      <c r="M112" s="1064" t="str">
        <f>'Vessel BQS Report'!O109</f>
        <v/>
      </c>
      <c r="N112" s="1065" t="str">
        <f>'Vessel BQS Report'!M109</f>
        <v/>
      </c>
      <c r="O112" s="1065" t="str">
        <f>'Vessel BQS Report'!P109</f>
        <v/>
      </c>
      <c r="P112" s="1064" t="str">
        <f>'Vessel BQS Report'!Q109</f>
        <v/>
      </c>
      <c r="Q112" s="1044"/>
    </row>
    <row r="113" spans="1:17" hidden="1">
      <c r="A113" s="881" t="str">
        <f>'Vessel BQS Report'!A110</f>
        <v>N</v>
      </c>
      <c r="C113" s="1066" t="str">
        <f>'Vessel BQS Report'!C110</f>
        <v/>
      </c>
      <c r="D113" s="1067" t="str">
        <f>'Vessel BQS Report'!D110</f>
        <v/>
      </c>
      <c r="E113" s="1068" t="str">
        <f>'Vessel BQS Report'!N110</f>
        <v/>
      </c>
      <c r="F113" s="1069" t="str">
        <f>'Vessel BQS Report'!F110</f>
        <v/>
      </c>
      <c r="G113" s="1070" t="str">
        <f>'Vessel BQS Report'!E110</f>
        <v/>
      </c>
      <c r="H113" s="1069" t="str">
        <f>'Vessel BQS Report'!G110</f>
        <v/>
      </c>
      <c r="I113" s="1160" t="str">
        <f>'Vessel BQS Report'!H110</f>
        <v/>
      </c>
      <c r="J113" s="1071" t="str">
        <f>'Vessel BQS Report'!I110</f>
        <v/>
      </c>
      <c r="K113" s="1072" t="str">
        <f>'Vessel BQS Report'!J110</f>
        <v/>
      </c>
      <c r="L113" s="1073" t="str">
        <f>'Vessel BQS Report'!L110</f>
        <v/>
      </c>
      <c r="M113" s="1073" t="str">
        <f>'Vessel BQS Report'!O110</f>
        <v/>
      </c>
      <c r="N113" s="1074" t="str">
        <f>'Vessel BQS Report'!M110</f>
        <v/>
      </c>
      <c r="O113" s="1074" t="str">
        <f>'Vessel BQS Report'!P110</f>
        <v/>
      </c>
      <c r="P113" s="1073" t="str">
        <f>'Vessel BQS Report'!Q110</f>
        <v/>
      </c>
      <c r="Q113" s="1044"/>
    </row>
    <row r="114" spans="1:17" hidden="1">
      <c r="A114" s="881" t="s">
        <v>270</v>
      </c>
      <c r="C114" s="1118"/>
      <c r="D114" s="1075"/>
      <c r="E114" s="1076"/>
      <c r="F114" s="1077"/>
      <c r="G114" s="1077"/>
      <c r="H114" s="1078"/>
      <c r="I114" s="1078"/>
      <c r="J114" s="1078"/>
      <c r="K114" s="1077"/>
      <c r="L114" s="1079"/>
      <c r="M114" s="2957" t="s">
        <v>801</v>
      </c>
      <c r="N114" s="2957"/>
      <c r="O114" s="2958">
        <f>SUM(P94:P113)</f>
        <v>0</v>
      </c>
      <c r="P114" s="2958"/>
      <c r="Q114" s="1044"/>
    </row>
    <row r="115" spans="1:17" s="1046" customFormat="1" ht="5.25" hidden="1">
      <c r="A115" s="1046" t="s">
        <v>270</v>
      </c>
      <c r="C115" s="1108"/>
      <c r="D115" s="1109"/>
      <c r="E115" s="1110"/>
      <c r="F115" s="1111"/>
      <c r="G115" s="1111"/>
      <c r="H115" s="1112"/>
      <c r="I115" s="1113"/>
      <c r="J115" s="1113"/>
      <c r="K115" s="1114"/>
      <c r="L115" s="1115"/>
      <c r="M115" s="1115"/>
      <c r="N115" s="1116"/>
      <c r="O115" s="1117"/>
      <c r="P115" s="1115"/>
      <c r="Q115" s="1045"/>
    </row>
    <row r="116" spans="1:17" hidden="1">
      <c r="A116" s="881" t="s">
        <v>270</v>
      </c>
      <c r="B116" s="881">
        <v>5</v>
      </c>
      <c r="C116" s="2959" t="str">
        <f>'Vessel BQS Report'!C113</f>
        <v>NOMINATED TANKS</v>
      </c>
      <c r="D116" s="2960"/>
      <c r="E116" s="2960"/>
      <c r="F116" s="2961"/>
      <c r="G116" s="2962" t="str">
        <f>'Vessel BQS Report'!E113</f>
        <v>MGO</v>
      </c>
      <c r="H116" s="2963"/>
      <c r="I116" s="1051"/>
      <c r="J116" s="1052"/>
      <c r="K116" s="1053"/>
      <c r="L116" s="1054"/>
      <c r="M116" s="1054"/>
      <c r="N116" s="1055"/>
      <c r="O116" s="1056"/>
      <c r="P116" s="1054"/>
      <c r="Q116" s="1044"/>
    </row>
    <row r="117" spans="1:17" hidden="1">
      <c r="A117" s="881" t="str">
        <f>'Vessel BQS Report'!A114</f>
        <v>N</v>
      </c>
      <c r="C117" s="1057" t="str">
        <f>'Vessel BQS Report'!C114</f>
        <v/>
      </c>
      <c r="D117" s="1058" t="str">
        <f>'Vessel BQS Report'!D114</f>
        <v/>
      </c>
      <c r="E117" s="1059" t="str">
        <f>'Vessel BQS Report'!N114</f>
        <v/>
      </c>
      <c r="F117" s="1060" t="str">
        <f>'Vessel BQS Report'!F114</f>
        <v/>
      </c>
      <c r="G117" s="1061" t="str">
        <f>'Vessel BQS Report'!E114</f>
        <v/>
      </c>
      <c r="H117" s="1060" t="str">
        <f>'Vessel BQS Report'!G114</f>
        <v/>
      </c>
      <c r="I117" s="1159" t="str">
        <f>'Vessel BQS Report'!H114</f>
        <v/>
      </c>
      <c r="J117" s="1062" t="str">
        <f>'Vessel BQS Report'!I114</f>
        <v/>
      </c>
      <c r="K117" s="1063" t="str">
        <f>'Vessel BQS Report'!J114</f>
        <v/>
      </c>
      <c r="L117" s="1064" t="str">
        <f>'Vessel BQS Report'!L114</f>
        <v/>
      </c>
      <c r="M117" s="1064" t="str">
        <f>'Vessel BQS Report'!O114</f>
        <v/>
      </c>
      <c r="N117" s="1065" t="str">
        <f>'Vessel BQS Report'!M114</f>
        <v/>
      </c>
      <c r="O117" s="1065" t="str">
        <f>'Vessel BQS Report'!P114</f>
        <v/>
      </c>
      <c r="P117" s="1064" t="str">
        <f>'Vessel BQS Report'!Q114</f>
        <v/>
      </c>
      <c r="Q117" s="1044"/>
    </row>
    <row r="118" spans="1:17" hidden="1">
      <c r="A118" s="881" t="str">
        <f>'Vessel BQS Report'!A115</f>
        <v>N</v>
      </c>
      <c r="C118" s="1057" t="str">
        <f>'Vessel BQS Report'!C115</f>
        <v/>
      </c>
      <c r="D118" s="1058" t="str">
        <f>'Vessel BQS Report'!D115</f>
        <v/>
      </c>
      <c r="E118" s="1059" t="str">
        <f>'Vessel BQS Report'!N115</f>
        <v/>
      </c>
      <c r="F118" s="1060" t="str">
        <f>'Vessel BQS Report'!F115</f>
        <v/>
      </c>
      <c r="G118" s="1061" t="str">
        <f>'Vessel BQS Report'!E115</f>
        <v/>
      </c>
      <c r="H118" s="1060" t="str">
        <f>'Vessel BQS Report'!G115</f>
        <v/>
      </c>
      <c r="I118" s="1159" t="str">
        <f>'Vessel BQS Report'!H115</f>
        <v/>
      </c>
      <c r="J118" s="1062" t="str">
        <f>'Vessel BQS Report'!I115</f>
        <v/>
      </c>
      <c r="K118" s="1063" t="str">
        <f>'Vessel BQS Report'!J115</f>
        <v/>
      </c>
      <c r="L118" s="1064" t="str">
        <f>'Vessel BQS Report'!L115</f>
        <v/>
      </c>
      <c r="M118" s="1064" t="str">
        <f>'Vessel BQS Report'!O115</f>
        <v/>
      </c>
      <c r="N118" s="1065" t="str">
        <f>'Vessel BQS Report'!M115</f>
        <v/>
      </c>
      <c r="O118" s="1065" t="str">
        <f>'Vessel BQS Report'!P115</f>
        <v/>
      </c>
      <c r="P118" s="1064" t="str">
        <f>'Vessel BQS Report'!Q115</f>
        <v/>
      </c>
      <c r="Q118" s="1044"/>
    </row>
    <row r="119" spans="1:17" hidden="1">
      <c r="A119" s="881" t="str">
        <f>'Vessel BQS Report'!A116</f>
        <v>N</v>
      </c>
      <c r="C119" s="1057" t="str">
        <f>'Vessel BQS Report'!C116</f>
        <v/>
      </c>
      <c r="D119" s="1058" t="str">
        <f>'Vessel BQS Report'!D116</f>
        <v/>
      </c>
      <c r="E119" s="1059" t="str">
        <f>'Vessel BQS Report'!N116</f>
        <v/>
      </c>
      <c r="F119" s="1060" t="str">
        <f>'Vessel BQS Report'!F116</f>
        <v/>
      </c>
      <c r="G119" s="1061" t="str">
        <f>'Vessel BQS Report'!E116</f>
        <v/>
      </c>
      <c r="H119" s="1060" t="str">
        <f>'Vessel BQS Report'!G116</f>
        <v/>
      </c>
      <c r="I119" s="1159" t="str">
        <f>'Vessel BQS Report'!H116</f>
        <v/>
      </c>
      <c r="J119" s="1062" t="str">
        <f>'Vessel BQS Report'!I116</f>
        <v/>
      </c>
      <c r="K119" s="1063" t="str">
        <f>'Vessel BQS Report'!J116</f>
        <v/>
      </c>
      <c r="L119" s="1064" t="str">
        <f>'Vessel BQS Report'!L116</f>
        <v/>
      </c>
      <c r="M119" s="1064" t="str">
        <f>'Vessel BQS Report'!O116</f>
        <v/>
      </c>
      <c r="N119" s="1065" t="str">
        <f>'Vessel BQS Report'!M116</f>
        <v/>
      </c>
      <c r="O119" s="1065" t="str">
        <f>'Vessel BQS Report'!P116</f>
        <v/>
      </c>
      <c r="P119" s="1064" t="str">
        <f>'Vessel BQS Report'!Q116</f>
        <v/>
      </c>
      <c r="Q119" s="1044"/>
    </row>
    <row r="120" spans="1:17" hidden="1">
      <c r="A120" s="881" t="str">
        <f>'Vessel BQS Report'!A117</f>
        <v>N</v>
      </c>
      <c r="C120" s="1057" t="str">
        <f>'Vessel BQS Report'!C117</f>
        <v/>
      </c>
      <c r="D120" s="1058" t="str">
        <f>'Vessel BQS Report'!D117</f>
        <v/>
      </c>
      <c r="E120" s="1059" t="str">
        <f>'Vessel BQS Report'!N117</f>
        <v/>
      </c>
      <c r="F120" s="1060" t="str">
        <f>'Vessel BQS Report'!F117</f>
        <v/>
      </c>
      <c r="G120" s="1061" t="str">
        <f>'Vessel BQS Report'!E117</f>
        <v/>
      </c>
      <c r="H120" s="1060" t="str">
        <f>'Vessel BQS Report'!G117</f>
        <v/>
      </c>
      <c r="I120" s="1159" t="str">
        <f>'Vessel BQS Report'!H117</f>
        <v/>
      </c>
      <c r="J120" s="1062" t="str">
        <f>'Vessel BQS Report'!I117</f>
        <v/>
      </c>
      <c r="K120" s="1063" t="str">
        <f>'Vessel BQS Report'!J117</f>
        <v/>
      </c>
      <c r="L120" s="1064" t="str">
        <f>'Vessel BQS Report'!L117</f>
        <v/>
      </c>
      <c r="M120" s="1064" t="str">
        <f>'Vessel BQS Report'!O117</f>
        <v/>
      </c>
      <c r="N120" s="1065" t="str">
        <f>'Vessel BQS Report'!M117</f>
        <v/>
      </c>
      <c r="O120" s="1065" t="str">
        <f>'Vessel BQS Report'!P117</f>
        <v/>
      </c>
      <c r="P120" s="1064" t="str">
        <f>'Vessel BQS Report'!Q117</f>
        <v/>
      </c>
      <c r="Q120" s="1044"/>
    </row>
    <row r="121" spans="1:17" hidden="1">
      <c r="A121" s="881" t="str">
        <f>'Vessel BQS Report'!A118</f>
        <v>N</v>
      </c>
      <c r="C121" s="1057" t="str">
        <f>'Vessel BQS Report'!C118</f>
        <v/>
      </c>
      <c r="D121" s="1058" t="str">
        <f>'Vessel BQS Report'!D118</f>
        <v/>
      </c>
      <c r="E121" s="1059" t="str">
        <f>'Vessel BQS Report'!N118</f>
        <v/>
      </c>
      <c r="F121" s="1060" t="str">
        <f>'Vessel BQS Report'!F118</f>
        <v/>
      </c>
      <c r="G121" s="1061" t="str">
        <f>'Vessel BQS Report'!E118</f>
        <v/>
      </c>
      <c r="H121" s="1060" t="str">
        <f>'Vessel BQS Report'!G118</f>
        <v/>
      </c>
      <c r="I121" s="1159" t="str">
        <f>'Vessel BQS Report'!H118</f>
        <v/>
      </c>
      <c r="J121" s="1062" t="str">
        <f>'Vessel BQS Report'!I118</f>
        <v/>
      </c>
      <c r="K121" s="1063" t="str">
        <f>'Vessel BQS Report'!J118</f>
        <v/>
      </c>
      <c r="L121" s="1064" t="str">
        <f>'Vessel BQS Report'!L118</f>
        <v/>
      </c>
      <c r="M121" s="1064" t="str">
        <f>'Vessel BQS Report'!O118</f>
        <v/>
      </c>
      <c r="N121" s="1065" t="str">
        <f>'Vessel BQS Report'!M118</f>
        <v/>
      </c>
      <c r="O121" s="1065" t="str">
        <f>'Vessel BQS Report'!P118</f>
        <v/>
      </c>
      <c r="P121" s="1064" t="str">
        <f>'Vessel BQS Report'!Q118</f>
        <v/>
      </c>
      <c r="Q121" s="1044"/>
    </row>
    <row r="122" spans="1:17" hidden="1">
      <c r="A122" s="881" t="str">
        <f>'Vessel BQS Report'!A119</f>
        <v>N</v>
      </c>
      <c r="C122" s="1057" t="str">
        <f>'Vessel BQS Report'!C119</f>
        <v/>
      </c>
      <c r="D122" s="1058" t="str">
        <f>'Vessel BQS Report'!D119</f>
        <v/>
      </c>
      <c r="E122" s="1059" t="str">
        <f>'Vessel BQS Report'!N119</f>
        <v/>
      </c>
      <c r="F122" s="1060" t="str">
        <f>'Vessel BQS Report'!F119</f>
        <v/>
      </c>
      <c r="G122" s="1061" t="str">
        <f>'Vessel BQS Report'!E119</f>
        <v/>
      </c>
      <c r="H122" s="1060" t="str">
        <f>'Vessel BQS Report'!G119</f>
        <v/>
      </c>
      <c r="I122" s="1159" t="str">
        <f>'Vessel BQS Report'!H119</f>
        <v/>
      </c>
      <c r="J122" s="1062" t="str">
        <f>'Vessel BQS Report'!I119</f>
        <v/>
      </c>
      <c r="K122" s="1063" t="str">
        <f>'Vessel BQS Report'!J119</f>
        <v/>
      </c>
      <c r="L122" s="1064" t="str">
        <f>'Vessel BQS Report'!L119</f>
        <v/>
      </c>
      <c r="M122" s="1064" t="str">
        <f>'Vessel BQS Report'!O119</f>
        <v/>
      </c>
      <c r="N122" s="1065" t="str">
        <f>'Vessel BQS Report'!M119</f>
        <v/>
      </c>
      <c r="O122" s="1065" t="str">
        <f>'Vessel BQS Report'!P119</f>
        <v/>
      </c>
      <c r="P122" s="1064" t="str">
        <f>'Vessel BQS Report'!Q119</f>
        <v/>
      </c>
      <c r="Q122" s="1044"/>
    </row>
    <row r="123" spans="1:17" hidden="1">
      <c r="A123" s="881" t="str">
        <f>'Vessel BQS Report'!A120</f>
        <v>N</v>
      </c>
      <c r="C123" s="1057" t="str">
        <f>'Vessel BQS Report'!C120</f>
        <v/>
      </c>
      <c r="D123" s="1058" t="str">
        <f>'Vessel BQS Report'!D120</f>
        <v/>
      </c>
      <c r="E123" s="1059" t="str">
        <f>'Vessel BQS Report'!N120</f>
        <v/>
      </c>
      <c r="F123" s="1060" t="str">
        <f>'Vessel BQS Report'!F120</f>
        <v/>
      </c>
      <c r="G123" s="1061" t="str">
        <f>'Vessel BQS Report'!E120</f>
        <v/>
      </c>
      <c r="H123" s="1060" t="str">
        <f>'Vessel BQS Report'!G120</f>
        <v/>
      </c>
      <c r="I123" s="1159" t="str">
        <f>'Vessel BQS Report'!H120</f>
        <v/>
      </c>
      <c r="J123" s="1062" t="str">
        <f>'Vessel BQS Report'!I120</f>
        <v/>
      </c>
      <c r="K123" s="1063" t="str">
        <f>'Vessel BQS Report'!J120</f>
        <v/>
      </c>
      <c r="L123" s="1064" t="str">
        <f>'Vessel BQS Report'!L120</f>
        <v/>
      </c>
      <c r="M123" s="1064" t="str">
        <f>'Vessel BQS Report'!O120</f>
        <v/>
      </c>
      <c r="N123" s="1065" t="str">
        <f>'Vessel BQS Report'!M120</f>
        <v/>
      </c>
      <c r="O123" s="1065" t="str">
        <f>'Vessel BQS Report'!P120</f>
        <v/>
      </c>
      <c r="P123" s="1064" t="str">
        <f>'Vessel BQS Report'!Q120</f>
        <v/>
      </c>
      <c r="Q123" s="1044"/>
    </row>
    <row r="124" spans="1:17" hidden="1">
      <c r="A124" s="881" t="str">
        <f>'Vessel BQS Report'!A121</f>
        <v>N</v>
      </c>
      <c r="C124" s="1057" t="str">
        <f>'Vessel BQS Report'!C121</f>
        <v/>
      </c>
      <c r="D124" s="1058" t="str">
        <f>'Vessel BQS Report'!D121</f>
        <v/>
      </c>
      <c r="E124" s="1059" t="str">
        <f>'Vessel BQS Report'!N121</f>
        <v/>
      </c>
      <c r="F124" s="1060" t="str">
        <f>'Vessel BQS Report'!F121</f>
        <v/>
      </c>
      <c r="G124" s="1061" t="str">
        <f>'Vessel BQS Report'!E121</f>
        <v/>
      </c>
      <c r="H124" s="1060" t="str">
        <f>'Vessel BQS Report'!G121</f>
        <v/>
      </c>
      <c r="I124" s="1159" t="str">
        <f>'Vessel BQS Report'!H121</f>
        <v/>
      </c>
      <c r="J124" s="1062" t="str">
        <f>'Vessel BQS Report'!I121</f>
        <v/>
      </c>
      <c r="K124" s="1063" t="str">
        <f>'Vessel BQS Report'!J121</f>
        <v/>
      </c>
      <c r="L124" s="1064" t="str">
        <f>'Vessel BQS Report'!L121</f>
        <v/>
      </c>
      <c r="M124" s="1064" t="str">
        <f>'Vessel BQS Report'!O121</f>
        <v/>
      </c>
      <c r="N124" s="1065" t="str">
        <f>'Vessel BQS Report'!M121</f>
        <v/>
      </c>
      <c r="O124" s="1065" t="str">
        <f>'Vessel BQS Report'!P121</f>
        <v/>
      </c>
      <c r="P124" s="1064" t="str">
        <f>'Vessel BQS Report'!Q121</f>
        <v/>
      </c>
      <c r="Q124" s="1044"/>
    </row>
    <row r="125" spans="1:17" hidden="1">
      <c r="A125" s="881" t="str">
        <f>'Vessel BQS Report'!A122</f>
        <v>N</v>
      </c>
      <c r="C125" s="1057" t="str">
        <f>'Vessel BQS Report'!C122</f>
        <v/>
      </c>
      <c r="D125" s="1058" t="str">
        <f>'Vessel BQS Report'!D122</f>
        <v/>
      </c>
      <c r="E125" s="1059" t="str">
        <f>'Vessel BQS Report'!N122</f>
        <v/>
      </c>
      <c r="F125" s="1060" t="str">
        <f>'Vessel BQS Report'!F122</f>
        <v/>
      </c>
      <c r="G125" s="1061" t="str">
        <f>'Vessel BQS Report'!E122</f>
        <v/>
      </c>
      <c r="H125" s="1060" t="str">
        <f>'Vessel BQS Report'!G122</f>
        <v/>
      </c>
      <c r="I125" s="1159" t="str">
        <f>'Vessel BQS Report'!H122</f>
        <v/>
      </c>
      <c r="J125" s="1062" t="str">
        <f>'Vessel BQS Report'!I122</f>
        <v/>
      </c>
      <c r="K125" s="1063" t="str">
        <f>'Vessel BQS Report'!J122</f>
        <v/>
      </c>
      <c r="L125" s="1064" t="str">
        <f>'Vessel BQS Report'!L122</f>
        <v/>
      </c>
      <c r="M125" s="1064" t="str">
        <f>'Vessel BQS Report'!O122</f>
        <v/>
      </c>
      <c r="N125" s="1065" t="str">
        <f>'Vessel BQS Report'!M122</f>
        <v/>
      </c>
      <c r="O125" s="1065" t="str">
        <f>'Vessel BQS Report'!P122</f>
        <v/>
      </c>
      <c r="P125" s="1064" t="str">
        <f>'Vessel BQS Report'!Q122</f>
        <v/>
      </c>
      <c r="Q125" s="1044"/>
    </row>
    <row r="126" spans="1:17" hidden="1">
      <c r="A126" s="881" t="str">
        <f>'Vessel BQS Report'!A123</f>
        <v>N</v>
      </c>
      <c r="C126" s="1057" t="str">
        <f>'Vessel BQS Report'!C123</f>
        <v/>
      </c>
      <c r="D126" s="1058" t="str">
        <f>'Vessel BQS Report'!D123</f>
        <v/>
      </c>
      <c r="E126" s="1059" t="str">
        <f>'Vessel BQS Report'!N123</f>
        <v/>
      </c>
      <c r="F126" s="1060" t="str">
        <f>'Vessel BQS Report'!F123</f>
        <v/>
      </c>
      <c r="G126" s="1061" t="str">
        <f>'Vessel BQS Report'!E123</f>
        <v/>
      </c>
      <c r="H126" s="1060" t="str">
        <f>'Vessel BQS Report'!G123</f>
        <v/>
      </c>
      <c r="I126" s="1159" t="str">
        <f>'Vessel BQS Report'!H123</f>
        <v/>
      </c>
      <c r="J126" s="1062" t="str">
        <f>'Vessel BQS Report'!I123</f>
        <v/>
      </c>
      <c r="K126" s="1063" t="str">
        <f>'Vessel BQS Report'!J123</f>
        <v/>
      </c>
      <c r="L126" s="1064" t="str">
        <f>'Vessel BQS Report'!L123</f>
        <v/>
      </c>
      <c r="M126" s="1064" t="str">
        <f>'Vessel BQS Report'!O123</f>
        <v/>
      </c>
      <c r="N126" s="1065" t="str">
        <f>'Vessel BQS Report'!M123</f>
        <v/>
      </c>
      <c r="O126" s="1065" t="str">
        <f>'Vessel BQS Report'!P123</f>
        <v/>
      </c>
      <c r="P126" s="1064" t="str">
        <f>'Vessel BQS Report'!Q123</f>
        <v/>
      </c>
      <c r="Q126" s="1044"/>
    </row>
    <row r="127" spans="1:17" hidden="1">
      <c r="A127" s="881" t="str">
        <f>'Vessel BQS Report'!A124</f>
        <v>N</v>
      </c>
      <c r="C127" s="1057" t="str">
        <f>'Vessel BQS Report'!C124</f>
        <v/>
      </c>
      <c r="D127" s="1058" t="str">
        <f>'Vessel BQS Report'!D124</f>
        <v/>
      </c>
      <c r="E127" s="1059" t="str">
        <f>'Vessel BQS Report'!N124</f>
        <v/>
      </c>
      <c r="F127" s="1060" t="str">
        <f>'Vessel BQS Report'!F124</f>
        <v/>
      </c>
      <c r="G127" s="1061" t="str">
        <f>'Vessel BQS Report'!E124</f>
        <v/>
      </c>
      <c r="H127" s="1060" t="str">
        <f>'Vessel BQS Report'!G124</f>
        <v/>
      </c>
      <c r="I127" s="1159" t="str">
        <f>'Vessel BQS Report'!H124</f>
        <v/>
      </c>
      <c r="J127" s="1062" t="str">
        <f>'Vessel BQS Report'!I124</f>
        <v/>
      </c>
      <c r="K127" s="1063" t="str">
        <f>'Vessel BQS Report'!J124</f>
        <v/>
      </c>
      <c r="L127" s="1064" t="str">
        <f>'Vessel BQS Report'!L124</f>
        <v/>
      </c>
      <c r="M127" s="1064" t="str">
        <f>'Vessel BQS Report'!O124</f>
        <v/>
      </c>
      <c r="N127" s="1065" t="str">
        <f>'Vessel BQS Report'!M124</f>
        <v/>
      </c>
      <c r="O127" s="1065" t="str">
        <f>'Vessel BQS Report'!P124</f>
        <v/>
      </c>
      <c r="P127" s="1064" t="str">
        <f>'Vessel BQS Report'!Q124</f>
        <v/>
      </c>
      <c r="Q127" s="1044"/>
    </row>
    <row r="128" spans="1:17" hidden="1">
      <c r="A128" s="881" t="str">
        <f>'Vessel BQS Report'!A125</f>
        <v>N</v>
      </c>
      <c r="C128" s="1057" t="str">
        <f>'Vessel BQS Report'!C125</f>
        <v/>
      </c>
      <c r="D128" s="1058" t="str">
        <f>'Vessel BQS Report'!D125</f>
        <v/>
      </c>
      <c r="E128" s="1059" t="str">
        <f>'Vessel BQS Report'!N125</f>
        <v/>
      </c>
      <c r="F128" s="1060" t="str">
        <f>'Vessel BQS Report'!F125</f>
        <v/>
      </c>
      <c r="G128" s="1061" t="str">
        <f>'Vessel BQS Report'!E125</f>
        <v/>
      </c>
      <c r="H128" s="1060" t="str">
        <f>'Vessel BQS Report'!G125</f>
        <v/>
      </c>
      <c r="I128" s="1159" t="str">
        <f>'Vessel BQS Report'!H125</f>
        <v/>
      </c>
      <c r="J128" s="1062" t="str">
        <f>'Vessel BQS Report'!I125</f>
        <v/>
      </c>
      <c r="K128" s="1063" t="str">
        <f>'Vessel BQS Report'!J125</f>
        <v/>
      </c>
      <c r="L128" s="1064" t="str">
        <f>'Vessel BQS Report'!L125</f>
        <v/>
      </c>
      <c r="M128" s="1064" t="str">
        <f>'Vessel BQS Report'!O125</f>
        <v/>
      </c>
      <c r="N128" s="1065" t="str">
        <f>'Vessel BQS Report'!M125</f>
        <v/>
      </c>
      <c r="O128" s="1065" t="str">
        <f>'Vessel BQS Report'!P125</f>
        <v/>
      </c>
      <c r="P128" s="1064" t="str">
        <f>'Vessel BQS Report'!Q125</f>
        <v/>
      </c>
      <c r="Q128" s="1044"/>
    </row>
    <row r="129" spans="1:17" hidden="1">
      <c r="A129" s="881" t="str">
        <f>'Vessel BQS Report'!A126</f>
        <v>N</v>
      </c>
      <c r="C129" s="1057" t="str">
        <f>'Vessel BQS Report'!C126</f>
        <v/>
      </c>
      <c r="D129" s="1058" t="str">
        <f>'Vessel BQS Report'!D126</f>
        <v/>
      </c>
      <c r="E129" s="1059" t="str">
        <f>'Vessel BQS Report'!N126</f>
        <v/>
      </c>
      <c r="F129" s="1060" t="str">
        <f>'Vessel BQS Report'!F126</f>
        <v/>
      </c>
      <c r="G129" s="1061" t="str">
        <f>'Vessel BQS Report'!E126</f>
        <v/>
      </c>
      <c r="H129" s="1060" t="str">
        <f>'Vessel BQS Report'!G126</f>
        <v/>
      </c>
      <c r="I129" s="1159" t="str">
        <f>'Vessel BQS Report'!H126</f>
        <v/>
      </c>
      <c r="J129" s="1062" t="str">
        <f>'Vessel BQS Report'!I126</f>
        <v/>
      </c>
      <c r="K129" s="1063" t="str">
        <f>'Vessel BQS Report'!J126</f>
        <v/>
      </c>
      <c r="L129" s="1064" t="str">
        <f>'Vessel BQS Report'!L126</f>
        <v/>
      </c>
      <c r="M129" s="1064" t="str">
        <f>'Vessel BQS Report'!O126</f>
        <v/>
      </c>
      <c r="N129" s="1065" t="str">
        <f>'Vessel BQS Report'!M126</f>
        <v/>
      </c>
      <c r="O129" s="1065" t="str">
        <f>'Vessel BQS Report'!P126</f>
        <v/>
      </c>
      <c r="P129" s="1064" t="str">
        <f>'Vessel BQS Report'!Q126</f>
        <v/>
      </c>
      <c r="Q129" s="1044"/>
    </row>
    <row r="130" spans="1:17" hidden="1">
      <c r="A130" s="881" t="str">
        <f>'Vessel BQS Report'!A127</f>
        <v>N</v>
      </c>
      <c r="C130" s="1057" t="str">
        <f>'Vessel BQS Report'!C127</f>
        <v/>
      </c>
      <c r="D130" s="1058" t="str">
        <f>'Vessel BQS Report'!D127</f>
        <v/>
      </c>
      <c r="E130" s="1059" t="str">
        <f>'Vessel BQS Report'!N127</f>
        <v/>
      </c>
      <c r="F130" s="1060" t="str">
        <f>'Vessel BQS Report'!F127</f>
        <v/>
      </c>
      <c r="G130" s="1061" t="str">
        <f>'Vessel BQS Report'!E127</f>
        <v/>
      </c>
      <c r="H130" s="1060" t="str">
        <f>'Vessel BQS Report'!G127</f>
        <v/>
      </c>
      <c r="I130" s="1159" t="str">
        <f>'Vessel BQS Report'!H127</f>
        <v/>
      </c>
      <c r="J130" s="1062" t="str">
        <f>'Vessel BQS Report'!I127</f>
        <v/>
      </c>
      <c r="K130" s="1063" t="str">
        <f>'Vessel BQS Report'!J127</f>
        <v/>
      </c>
      <c r="L130" s="1064" t="str">
        <f>'Vessel BQS Report'!L127</f>
        <v/>
      </c>
      <c r="M130" s="1064" t="str">
        <f>'Vessel BQS Report'!O127</f>
        <v/>
      </c>
      <c r="N130" s="1065" t="str">
        <f>'Vessel BQS Report'!M127</f>
        <v/>
      </c>
      <c r="O130" s="1065" t="str">
        <f>'Vessel BQS Report'!P127</f>
        <v/>
      </c>
      <c r="P130" s="1064" t="str">
        <f>'Vessel BQS Report'!Q127</f>
        <v/>
      </c>
      <c r="Q130" s="1044"/>
    </row>
    <row r="131" spans="1:17" hidden="1">
      <c r="A131" s="881" t="str">
        <f>'Vessel BQS Report'!A128</f>
        <v>N</v>
      </c>
      <c r="C131" s="1057" t="str">
        <f>'Vessel BQS Report'!C128</f>
        <v/>
      </c>
      <c r="D131" s="1058" t="str">
        <f>'Vessel BQS Report'!D128</f>
        <v/>
      </c>
      <c r="E131" s="1059" t="str">
        <f>'Vessel BQS Report'!N128</f>
        <v/>
      </c>
      <c r="F131" s="1060" t="str">
        <f>'Vessel BQS Report'!F128</f>
        <v/>
      </c>
      <c r="G131" s="1061" t="str">
        <f>'Vessel BQS Report'!E128</f>
        <v/>
      </c>
      <c r="H131" s="1060" t="str">
        <f>'Vessel BQS Report'!G128</f>
        <v/>
      </c>
      <c r="I131" s="1159" t="str">
        <f>'Vessel BQS Report'!H128</f>
        <v/>
      </c>
      <c r="J131" s="1062" t="str">
        <f>'Vessel BQS Report'!I128</f>
        <v/>
      </c>
      <c r="K131" s="1063" t="str">
        <f>'Vessel BQS Report'!J128</f>
        <v/>
      </c>
      <c r="L131" s="1064" t="str">
        <f>'Vessel BQS Report'!L128</f>
        <v/>
      </c>
      <c r="M131" s="1064" t="str">
        <f>'Vessel BQS Report'!O128</f>
        <v/>
      </c>
      <c r="N131" s="1065" t="str">
        <f>'Vessel BQS Report'!M128</f>
        <v/>
      </c>
      <c r="O131" s="1065" t="str">
        <f>'Vessel BQS Report'!P128</f>
        <v/>
      </c>
      <c r="P131" s="1064" t="str">
        <f>'Vessel BQS Report'!Q128</f>
        <v/>
      </c>
      <c r="Q131" s="1044"/>
    </row>
    <row r="132" spans="1:17" hidden="1">
      <c r="A132" s="881" t="str">
        <f>'Vessel BQS Report'!A129</f>
        <v>N</v>
      </c>
      <c r="C132" s="1057" t="str">
        <f>'Vessel BQS Report'!C129</f>
        <v/>
      </c>
      <c r="D132" s="1058" t="str">
        <f>'Vessel BQS Report'!D129</f>
        <v/>
      </c>
      <c r="E132" s="1059" t="str">
        <f>'Vessel BQS Report'!N129</f>
        <v/>
      </c>
      <c r="F132" s="1060" t="str">
        <f>'Vessel BQS Report'!F129</f>
        <v/>
      </c>
      <c r="G132" s="1061" t="str">
        <f>'Vessel BQS Report'!E129</f>
        <v/>
      </c>
      <c r="H132" s="1060" t="str">
        <f>'Vessel BQS Report'!G129</f>
        <v/>
      </c>
      <c r="I132" s="1159" t="str">
        <f>'Vessel BQS Report'!H129</f>
        <v/>
      </c>
      <c r="J132" s="1062" t="str">
        <f>'Vessel BQS Report'!I129</f>
        <v/>
      </c>
      <c r="K132" s="1063" t="str">
        <f>'Vessel BQS Report'!J129</f>
        <v/>
      </c>
      <c r="L132" s="1064" t="str">
        <f>'Vessel BQS Report'!L129</f>
        <v/>
      </c>
      <c r="M132" s="1064" t="str">
        <f>'Vessel BQS Report'!O129</f>
        <v/>
      </c>
      <c r="N132" s="1065" t="str">
        <f>'Vessel BQS Report'!M129</f>
        <v/>
      </c>
      <c r="O132" s="1065" t="str">
        <f>'Vessel BQS Report'!P129</f>
        <v/>
      </c>
      <c r="P132" s="1064" t="str">
        <f>'Vessel BQS Report'!Q129</f>
        <v/>
      </c>
      <c r="Q132" s="1044"/>
    </row>
    <row r="133" spans="1:17" hidden="1">
      <c r="A133" s="881" t="str">
        <f>'Vessel BQS Report'!A130</f>
        <v>N</v>
      </c>
      <c r="C133" s="1057" t="str">
        <f>'Vessel BQS Report'!C130</f>
        <v/>
      </c>
      <c r="D133" s="1058" t="str">
        <f>'Vessel BQS Report'!D130</f>
        <v/>
      </c>
      <c r="E133" s="1059" t="str">
        <f>'Vessel BQS Report'!N130</f>
        <v/>
      </c>
      <c r="F133" s="1060" t="str">
        <f>'Vessel BQS Report'!F130</f>
        <v/>
      </c>
      <c r="G133" s="1061" t="str">
        <f>'Vessel BQS Report'!E130</f>
        <v/>
      </c>
      <c r="H133" s="1060" t="str">
        <f>'Vessel BQS Report'!G130</f>
        <v/>
      </c>
      <c r="I133" s="1159" t="str">
        <f>'Vessel BQS Report'!H130</f>
        <v/>
      </c>
      <c r="J133" s="1062" t="str">
        <f>'Vessel BQS Report'!I130</f>
        <v/>
      </c>
      <c r="K133" s="1063" t="str">
        <f>'Vessel BQS Report'!J130</f>
        <v/>
      </c>
      <c r="L133" s="1064" t="str">
        <f>'Vessel BQS Report'!L130</f>
        <v/>
      </c>
      <c r="M133" s="1064" t="str">
        <f>'Vessel BQS Report'!O130</f>
        <v/>
      </c>
      <c r="N133" s="1065" t="str">
        <f>'Vessel BQS Report'!M130</f>
        <v/>
      </c>
      <c r="O133" s="1065" t="str">
        <f>'Vessel BQS Report'!P130</f>
        <v/>
      </c>
      <c r="P133" s="1064" t="str">
        <f>'Vessel BQS Report'!Q130</f>
        <v/>
      </c>
      <c r="Q133" s="1044"/>
    </row>
    <row r="134" spans="1:17" hidden="1">
      <c r="A134" s="881" t="str">
        <f>'Vessel BQS Report'!A131</f>
        <v>N</v>
      </c>
      <c r="C134" s="1057" t="str">
        <f>'Vessel BQS Report'!C131</f>
        <v/>
      </c>
      <c r="D134" s="1058" t="str">
        <f>'Vessel BQS Report'!D131</f>
        <v/>
      </c>
      <c r="E134" s="1059" t="str">
        <f>'Vessel BQS Report'!N131</f>
        <v/>
      </c>
      <c r="F134" s="1060" t="str">
        <f>'Vessel BQS Report'!F131</f>
        <v/>
      </c>
      <c r="G134" s="1061" t="str">
        <f>'Vessel BQS Report'!E131</f>
        <v/>
      </c>
      <c r="H134" s="1060" t="str">
        <f>'Vessel BQS Report'!G131</f>
        <v/>
      </c>
      <c r="I134" s="1159" t="str">
        <f>'Vessel BQS Report'!H131</f>
        <v/>
      </c>
      <c r="J134" s="1062" t="str">
        <f>'Vessel BQS Report'!I131</f>
        <v/>
      </c>
      <c r="K134" s="1063" t="str">
        <f>'Vessel BQS Report'!J131</f>
        <v/>
      </c>
      <c r="L134" s="1064" t="str">
        <f>'Vessel BQS Report'!L131</f>
        <v/>
      </c>
      <c r="M134" s="1064" t="str">
        <f>'Vessel BQS Report'!O131</f>
        <v/>
      </c>
      <c r="N134" s="1065" t="str">
        <f>'Vessel BQS Report'!M131</f>
        <v/>
      </c>
      <c r="O134" s="1065" t="str">
        <f>'Vessel BQS Report'!P131</f>
        <v/>
      </c>
      <c r="P134" s="1064" t="str">
        <f>'Vessel BQS Report'!Q131</f>
        <v/>
      </c>
      <c r="Q134" s="1044"/>
    </row>
    <row r="135" spans="1:17" hidden="1">
      <c r="A135" s="881" t="str">
        <f>'Vessel BQS Report'!A132</f>
        <v>N</v>
      </c>
      <c r="C135" s="1057" t="str">
        <f>'Vessel BQS Report'!C132</f>
        <v/>
      </c>
      <c r="D135" s="1058" t="str">
        <f>'Vessel BQS Report'!D132</f>
        <v/>
      </c>
      <c r="E135" s="1059" t="str">
        <f>'Vessel BQS Report'!N132</f>
        <v/>
      </c>
      <c r="F135" s="1060" t="str">
        <f>'Vessel BQS Report'!F132</f>
        <v/>
      </c>
      <c r="G135" s="1061" t="str">
        <f>'Vessel BQS Report'!E132</f>
        <v/>
      </c>
      <c r="H135" s="1060" t="str">
        <f>'Vessel BQS Report'!G132</f>
        <v/>
      </c>
      <c r="I135" s="1159" t="str">
        <f>'Vessel BQS Report'!H132</f>
        <v/>
      </c>
      <c r="J135" s="1062" t="str">
        <f>'Vessel BQS Report'!I132</f>
        <v/>
      </c>
      <c r="K135" s="1063" t="str">
        <f>'Vessel BQS Report'!J132</f>
        <v/>
      </c>
      <c r="L135" s="1064" t="str">
        <f>'Vessel BQS Report'!L132</f>
        <v/>
      </c>
      <c r="M135" s="1064" t="str">
        <f>'Vessel BQS Report'!O132</f>
        <v/>
      </c>
      <c r="N135" s="1065" t="str">
        <f>'Vessel BQS Report'!M132</f>
        <v/>
      </c>
      <c r="O135" s="1065" t="str">
        <f>'Vessel BQS Report'!P132</f>
        <v/>
      </c>
      <c r="P135" s="1064" t="str">
        <f>'Vessel BQS Report'!Q132</f>
        <v/>
      </c>
      <c r="Q135" s="1044"/>
    </row>
    <row r="136" spans="1:17" hidden="1">
      <c r="A136" s="881" t="str">
        <f>'Vessel BQS Report'!A133</f>
        <v>N</v>
      </c>
      <c r="C136" s="1066" t="str">
        <f>'Vessel BQS Report'!C133</f>
        <v/>
      </c>
      <c r="D136" s="1067" t="str">
        <f>'Vessel BQS Report'!D133</f>
        <v/>
      </c>
      <c r="E136" s="1068" t="str">
        <f>'Vessel BQS Report'!N133</f>
        <v/>
      </c>
      <c r="F136" s="1069" t="str">
        <f>'Vessel BQS Report'!F133</f>
        <v/>
      </c>
      <c r="G136" s="1070" t="str">
        <f>'Vessel BQS Report'!E133</f>
        <v/>
      </c>
      <c r="H136" s="1069" t="str">
        <f>'Vessel BQS Report'!G133</f>
        <v/>
      </c>
      <c r="I136" s="1160" t="str">
        <f>'Vessel BQS Report'!H133</f>
        <v/>
      </c>
      <c r="J136" s="1071" t="str">
        <f>'Vessel BQS Report'!I133</f>
        <v/>
      </c>
      <c r="K136" s="1072" t="str">
        <f>'Vessel BQS Report'!J133</f>
        <v/>
      </c>
      <c r="L136" s="1073" t="str">
        <f>'Vessel BQS Report'!L133</f>
        <v/>
      </c>
      <c r="M136" s="1073" t="str">
        <f>'Vessel BQS Report'!O133</f>
        <v/>
      </c>
      <c r="N136" s="1074" t="str">
        <f>'Vessel BQS Report'!M133</f>
        <v/>
      </c>
      <c r="O136" s="1074" t="str">
        <f>'Vessel BQS Report'!P133</f>
        <v/>
      </c>
      <c r="P136" s="1073" t="str">
        <f>'Vessel BQS Report'!Q133</f>
        <v/>
      </c>
      <c r="Q136" s="1044"/>
    </row>
    <row r="137" spans="1:17" hidden="1">
      <c r="A137" s="881" t="s">
        <v>270</v>
      </c>
      <c r="C137" s="1118"/>
      <c r="D137" s="1075"/>
      <c r="E137" s="1076"/>
      <c r="F137" s="1077"/>
      <c r="G137" s="1077"/>
      <c r="H137" s="1078"/>
      <c r="I137" s="1078"/>
      <c r="J137" s="1078"/>
      <c r="K137" s="1077"/>
      <c r="L137" s="1079"/>
      <c r="M137" s="2957" t="s">
        <v>801</v>
      </c>
      <c r="N137" s="2957"/>
      <c r="O137" s="2958">
        <f>SUM(P117:P136)</f>
        <v>0</v>
      </c>
      <c r="P137" s="2958"/>
      <c r="Q137" s="1044"/>
    </row>
    <row r="138" spans="1:17" s="1046" customFormat="1" ht="5.25" hidden="1">
      <c r="A138" s="1046" t="s">
        <v>270</v>
      </c>
      <c r="C138" s="1108"/>
      <c r="D138" s="1109"/>
      <c r="E138" s="1110"/>
      <c r="F138" s="1111"/>
      <c r="G138" s="1111"/>
      <c r="H138" s="1112"/>
      <c r="I138" s="1113"/>
      <c r="J138" s="1113"/>
      <c r="K138" s="1114"/>
      <c r="L138" s="1115"/>
      <c r="M138" s="1115"/>
      <c r="N138" s="1116"/>
      <c r="O138" s="1117"/>
      <c r="P138" s="1115"/>
      <c r="Q138" s="1045"/>
    </row>
    <row r="139" spans="1:17" hidden="1">
      <c r="A139" s="881" t="s">
        <v>270</v>
      </c>
      <c r="B139" s="881">
        <v>6</v>
      </c>
      <c r="C139" s="2959" t="str">
        <f>'Vessel BQS Report'!C136</f>
        <v>NOMINATED TANKS</v>
      </c>
      <c r="D139" s="2960"/>
      <c r="E139" s="2960"/>
      <c r="F139" s="2961"/>
      <c r="G139" s="2962" t="str">
        <f>'Vessel BQS Report'!E136</f>
        <v>LSMGO</v>
      </c>
      <c r="H139" s="2963"/>
      <c r="I139" s="1051"/>
      <c r="J139" s="1052"/>
      <c r="K139" s="1053"/>
      <c r="L139" s="1054"/>
      <c r="M139" s="1054"/>
      <c r="N139" s="1055"/>
      <c r="O139" s="1056"/>
      <c r="P139" s="1054"/>
      <c r="Q139" s="1044"/>
    </row>
    <row r="140" spans="1:17">
      <c r="A140" s="881" t="str">
        <f>'Vessel BQS Report'!A137</f>
        <v>Y</v>
      </c>
      <c r="C140" s="1615" t="str">
        <f>'Vessel BQS Report'!C137</f>
        <v>AFO S</v>
      </c>
      <c r="D140" s="1616" t="str">
        <f>'Vessel BQS Report'!D137</f>
        <v>LSMGO</v>
      </c>
      <c r="E140" s="1617">
        <f>'Vessel BQS Report'!N137</f>
        <v>39</v>
      </c>
      <c r="F140" s="1618">
        <f>'Vessel BQS Report'!F137</f>
        <v>17.43</v>
      </c>
      <c r="G140" s="1619">
        <f>'Vessel BQS Report'!E137</f>
        <v>17.43</v>
      </c>
      <c r="H140" s="1618">
        <f>'Vessel BQS Report'!G137</f>
        <v>0</v>
      </c>
      <c r="I140" s="1620">
        <f>'Vessel BQS Report'!H137</f>
        <v>0</v>
      </c>
      <c r="J140" s="1621" t="str">
        <f>'Vessel BQS Report'!I137</f>
        <v>S</v>
      </c>
      <c r="K140" s="1622">
        <f>'Vessel BQS Report'!J137</f>
        <v>0.1</v>
      </c>
      <c r="L140" s="1623">
        <f>'Vessel BQS Report'!L137</f>
        <v>0</v>
      </c>
      <c r="M140" s="1623">
        <f>'Vessel BQS Report'!O137</f>
        <v>0.1</v>
      </c>
      <c r="N140" s="1624">
        <f>'Vessel BQS Report'!M137</f>
        <v>0.83789999999999998</v>
      </c>
      <c r="O140" s="1624">
        <f>'Vessel BQS Report'!P137</f>
        <v>0.97957000000000005</v>
      </c>
      <c r="P140" s="1623">
        <f>'Vessel BQS Report'!Q137</f>
        <v>9.8000000000000004E-2</v>
      </c>
      <c r="Q140" s="1600"/>
    </row>
    <row r="141" spans="1:17" hidden="1">
      <c r="A141" s="881" t="str">
        <f>'Vessel BQS Report'!A138</f>
        <v>N</v>
      </c>
      <c r="C141" s="1057" t="str">
        <f>'Vessel BQS Report'!C138</f>
        <v/>
      </c>
      <c r="D141" s="1058" t="str">
        <f>'Vessel BQS Report'!D138</f>
        <v/>
      </c>
      <c r="E141" s="1059" t="str">
        <f>'Vessel BQS Report'!N138</f>
        <v/>
      </c>
      <c r="F141" s="1060" t="str">
        <f>'Vessel BQS Report'!F138</f>
        <v/>
      </c>
      <c r="G141" s="1061" t="str">
        <f>'Vessel BQS Report'!E138</f>
        <v/>
      </c>
      <c r="H141" s="1060" t="str">
        <f>'Vessel BQS Report'!G138</f>
        <v/>
      </c>
      <c r="I141" s="1159" t="str">
        <f>'Vessel BQS Report'!H138</f>
        <v/>
      </c>
      <c r="J141" s="1062" t="str">
        <f>'Vessel BQS Report'!I138</f>
        <v/>
      </c>
      <c r="K141" s="1063" t="str">
        <f>'Vessel BQS Report'!J138</f>
        <v/>
      </c>
      <c r="L141" s="1064" t="str">
        <f>'Vessel BQS Report'!L138</f>
        <v/>
      </c>
      <c r="M141" s="1064" t="str">
        <f>'Vessel BQS Report'!O138</f>
        <v/>
      </c>
      <c r="N141" s="1065" t="str">
        <f>'Vessel BQS Report'!M138</f>
        <v/>
      </c>
      <c r="O141" s="1065" t="str">
        <f>'Vessel BQS Report'!P138</f>
        <v/>
      </c>
      <c r="P141" s="1064" t="str">
        <f>'Vessel BQS Report'!Q138</f>
        <v/>
      </c>
      <c r="Q141" s="1044"/>
    </row>
    <row r="142" spans="1:17" hidden="1">
      <c r="A142" s="881" t="str">
        <f>'Vessel BQS Report'!A139</f>
        <v>N</v>
      </c>
      <c r="C142" s="1057" t="str">
        <f>'Vessel BQS Report'!C139</f>
        <v/>
      </c>
      <c r="D142" s="1058" t="str">
        <f>'Vessel BQS Report'!D139</f>
        <v/>
      </c>
      <c r="E142" s="1059" t="str">
        <f>'Vessel BQS Report'!N139</f>
        <v/>
      </c>
      <c r="F142" s="1060" t="str">
        <f>'Vessel BQS Report'!F139</f>
        <v/>
      </c>
      <c r="G142" s="1061" t="str">
        <f>'Vessel BQS Report'!E139</f>
        <v/>
      </c>
      <c r="H142" s="1060" t="str">
        <f>'Vessel BQS Report'!G139</f>
        <v/>
      </c>
      <c r="I142" s="1159" t="str">
        <f>'Vessel BQS Report'!H139</f>
        <v/>
      </c>
      <c r="J142" s="1062" t="str">
        <f>'Vessel BQS Report'!I139</f>
        <v/>
      </c>
      <c r="K142" s="1063" t="str">
        <f>'Vessel BQS Report'!J139</f>
        <v/>
      </c>
      <c r="L142" s="1064" t="str">
        <f>'Vessel BQS Report'!L139</f>
        <v/>
      </c>
      <c r="M142" s="1064" t="str">
        <f>'Vessel BQS Report'!O139</f>
        <v/>
      </c>
      <c r="N142" s="1065" t="str">
        <f>'Vessel BQS Report'!M139</f>
        <v/>
      </c>
      <c r="O142" s="1065" t="str">
        <f>'Vessel BQS Report'!P139</f>
        <v/>
      </c>
      <c r="P142" s="1064" t="str">
        <f>'Vessel BQS Report'!Q139</f>
        <v/>
      </c>
      <c r="Q142" s="1044"/>
    </row>
    <row r="143" spans="1:17" hidden="1">
      <c r="A143" s="881" t="str">
        <f>'Vessel BQS Report'!A140</f>
        <v>N</v>
      </c>
      <c r="C143" s="1057" t="str">
        <f>'Vessel BQS Report'!C140</f>
        <v/>
      </c>
      <c r="D143" s="1058" t="str">
        <f>'Vessel BQS Report'!D140</f>
        <v/>
      </c>
      <c r="E143" s="1059" t="str">
        <f>'Vessel BQS Report'!N140</f>
        <v/>
      </c>
      <c r="F143" s="1060" t="str">
        <f>'Vessel BQS Report'!F140</f>
        <v/>
      </c>
      <c r="G143" s="1061" t="str">
        <f>'Vessel BQS Report'!E140</f>
        <v/>
      </c>
      <c r="H143" s="1060" t="str">
        <f>'Vessel BQS Report'!G140</f>
        <v/>
      </c>
      <c r="I143" s="1159" t="str">
        <f>'Vessel BQS Report'!H140</f>
        <v/>
      </c>
      <c r="J143" s="1062" t="str">
        <f>'Vessel BQS Report'!I140</f>
        <v/>
      </c>
      <c r="K143" s="1063" t="str">
        <f>'Vessel BQS Report'!J140</f>
        <v/>
      </c>
      <c r="L143" s="1064" t="str">
        <f>'Vessel BQS Report'!L140</f>
        <v/>
      </c>
      <c r="M143" s="1064" t="str">
        <f>'Vessel BQS Report'!O140</f>
        <v/>
      </c>
      <c r="N143" s="1065" t="str">
        <f>'Vessel BQS Report'!M140</f>
        <v/>
      </c>
      <c r="O143" s="1065" t="str">
        <f>'Vessel BQS Report'!P140</f>
        <v/>
      </c>
      <c r="P143" s="1064" t="str">
        <f>'Vessel BQS Report'!Q140</f>
        <v/>
      </c>
      <c r="Q143" s="1044"/>
    </row>
    <row r="144" spans="1:17" hidden="1">
      <c r="A144" s="881" t="str">
        <f>'Vessel BQS Report'!A141</f>
        <v>N</v>
      </c>
      <c r="C144" s="1057" t="str">
        <f>'Vessel BQS Report'!C141</f>
        <v/>
      </c>
      <c r="D144" s="1058" t="str">
        <f>'Vessel BQS Report'!D141</f>
        <v/>
      </c>
      <c r="E144" s="1059" t="str">
        <f>'Vessel BQS Report'!N141</f>
        <v/>
      </c>
      <c r="F144" s="1060" t="str">
        <f>'Vessel BQS Report'!F141</f>
        <v/>
      </c>
      <c r="G144" s="1061" t="str">
        <f>'Vessel BQS Report'!E141</f>
        <v/>
      </c>
      <c r="H144" s="1060" t="str">
        <f>'Vessel BQS Report'!G141</f>
        <v/>
      </c>
      <c r="I144" s="1159" t="str">
        <f>'Vessel BQS Report'!H141</f>
        <v/>
      </c>
      <c r="J144" s="1062" t="str">
        <f>'Vessel BQS Report'!I141</f>
        <v/>
      </c>
      <c r="K144" s="1063" t="str">
        <f>'Vessel BQS Report'!J141</f>
        <v/>
      </c>
      <c r="L144" s="1064" t="str">
        <f>'Vessel BQS Report'!L141</f>
        <v/>
      </c>
      <c r="M144" s="1064" t="str">
        <f>'Vessel BQS Report'!O141</f>
        <v/>
      </c>
      <c r="N144" s="1065" t="str">
        <f>'Vessel BQS Report'!M141</f>
        <v/>
      </c>
      <c r="O144" s="1065" t="str">
        <f>'Vessel BQS Report'!P141</f>
        <v/>
      </c>
      <c r="P144" s="1064" t="str">
        <f>'Vessel BQS Report'!Q141</f>
        <v/>
      </c>
      <c r="Q144" s="1044"/>
    </row>
    <row r="145" spans="1:17" hidden="1">
      <c r="A145" s="881" t="str">
        <f>'Vessel BQS Report'!A142</f>
        <v>N</v>
      </c>
      <c r="C145" s="1057" t="str">
        <f>'Vessel BQS Report'!C142</f>
        <v/>
      </c>
      <c r="D145" s="1058" t="str">
        <f>'Vessel BQS Report'!D142</f>
        <v/>
      </c>
      <c r="E145" s="1059" t="str">
        <f>'Vessel BQS Report'!N142</f>
        <v/>
      </c>
      <c r="F145" s="1060" t="str">
        <f>'Vessel BQS Report'!F142</f>
        <v/>
      </c>
      <c r="G145" s="1061" t="str">
        <f>'Vessel BQS Report'!E142</f>
        <v/>
      </c>
      <c r="H145" s="1060" t="str">
        <f>'Vessel BQS Report'!G142</f>
        <v/>
      </c>
      <c r="I145" s="1159" t="str">
        <f>'Vessel BQS Report'!H142</f>
        <v/>
      </c>
      <c r="J145" s="1062" t="str">
        <f>'Vessel BQS Report'!I142</f>
        <v/>
      </c>
      <c r="K145" s="1063" t="str">
        <f>'Vessel BQS Report'!J142</f>
        <v/>
      </c>
      <c r="L145" s="1064" t="str">
        <f>'Vessel BQS Report'!L142</f>
        <v/>
      </c>
      <c r="M145" s="1064" t="str">
        <f>'Vessel BQS Report'!O142</f>
        <v/>
      </c>
      <c r="N145" s="1065" t="str">
        <f>'Vessel BQS Report'!M142</f>
        <v/>
      </c>
      <c r="O145" s="1065" t="str">
        <f>'Vessel BQS Report'!P142</f>
        <v/>
      </c>
      <c r="P145" s="1064" t="str">
        <f>'Vessel BQS Report'!Q142</f>
        <v/>
      </c>
      <c r="Q145" s="1044"/>
    </row>
    <row r="146" spans="1:17" hidden="1">
      <c r="A146" s="881" t="str">
        <f>'Vessel BQS Report'!A143</f>
        <v>N</v>
      </c>
      <c r="C146" s="1057" t="str">
        <f>'Vessel BQS Report'!C143</f>
        <v/>
      </c>
      <c r="D146" s="1058" t="str">
        <f>'Vessel BQS Report'!D143</f>
        <v/>
      </c>
      <c r="E146" s="1059" t="str">
        <f>'Vessel BQS Report'!N143</f>
        <v/>
      </c>
      <c r="F146" s="1060" t="str">
        <f>'Vessel BQS Report'!F143</f>
        <v/>
      </c>
      <c r="G146" s="1061" t="str">
        <f>'Vessel BQS Report'!E143</f>
        <v/>
      </c>
      <c r="H146" s="1060" t="str">
        <f>'Vessel BQS Report'!G143</f>
        <v/>
      </c>
      <c r="I146" s="1159" t="str">
        <f>'Vessel BQS Report'!H143</f>
        <v/>
      </c>
      <c r="J146" s="1062" t="str">
        <f>'Vessel BQS Report'!I143</f>
        <v/>
      </c>
      <c r="K146" s="1063" t="str">
        <f>'Vessel BQS Report'!J143</f>
        <v/>
      </c>
      <c r="L146" s="1064" t="str">
        <f>'Vessel BQS Report'!L143</f>
        <v/>
      </c>
      <c r="M146" s="1064" t="str">
        <f>'Vessel BQS Report'!O143</f>
        <v/>
      </c>
      <c r="N146" s="1065" t="str">
        <f>'Vessel BQS Report'!M143</f>
        <v/>
      </c>
      <c r="O146" s="1065" t="str">
        <f>'Vessel BQS Report'!P143</f>
        <v/>
      </c>
      <c r="P146" s="1064" t="str">
        <f>'Vessel BQS Report'!Q143</f>
        <v/>
      </c>
      <c r="Q146" s="1044"/>
    </row>
    <row r="147" spans="1:17" hidden="1">
      <c r="A147" s="881" t="str">
        <f>'Vessel BQS Report'!A144</f>
        <v>N</v>
      </c>
      <c r="C147" s="1057" t="str">
        <f>'Vessel BQS Report'!C144</f>
        <v/>
      </c>
      <c r="D147" s="1058" t="str">
        <f>'Vessel BQS Report'!D144</f>
        <v/>
      </c>
      <c r="E147" s="1059" t="str">
        <f>'Vessel BQS Report'!N144</f>
        <v/>
      </c>
      <c r="F147" s="1060" t="str">
        <f>'Vessel BQS Report'!F144</f>
        <v/>
      </c>
      <c r="G147" s="1061" t="str">
        <f>'Vessel BQS Report'!E144</f>
        <v/>
      </c>
      <c r="H147" s="1060" t="str">
        <f>'Vessel BQS Report'!G144</f>
        <v/>
      </c>
      <c r="I147" s="1159" t="str">
        <f>'Vessel BQS Report'!H144</f>
        <v/>
      </c>
      <c r="J147" s="1062" t="str">
        <f>'Vessel BQS Report'!I144</f>
        <v/>
      </c>
      <c r="K147" s="1063" t="str">
        <f>'Vessel BQS Report'!J144</f>
        <v/>
      </c>
      <c r="L147" s="1064" t="str">
        <f>'Vessel BQS Report'!L144</f>
        <v/>
      </c>
      <c r="M147" s="1064" t="str">
        <f>'Vessel BQS Report'!O144</f>
        <v/>
      </c>
      <c r="N147" s="1065" t="str">
        <f>'Vessel BQS Report'!M144</f>
        <v/>
      </c>
      <c r="O147" s="1065" t="str">
        <f>'Vessel BQS Report'!P144</f>
        <v/>
      </c>
      <c r="P147" s="1064" t="str">
        <f>'Vessel BQS Report'!Q144</f>
        <v/>
      </c>
      <c r="Q147" s="1044"/>
    </row>
    <row r="148" spans="1:17" hidden="1">
      <c r="A148" s="881" t="str">
        <f>'Vessel BQS Report'!A145</f>
        <v>N</v>
      </c>
      <c r="C148" s="1057" t="str">
        <f>'Vessel BQS Report'!C145</f>
        <v/>
      </c>
      <c r="D148" s="1058" t="str">
        <f>'Vessel BQS Report'!D145</f>
        <v/>
      </c>
      <c r="E148" s="1059" t="str">
        <f>'Vessel BQS Report'!N145</f>
        <v/>
      </c>
      <c r="F148" s="1060" t="str">
        <f>'Vessel BQS Report'!F145</f>
        <v/>
      </c>
      <c r="G148" s="1061" t="str">
        <f>'Vessel BQS Report'!E145</f>
        <v/>
      </c>
      <c r="H148" s="1060" t="str">
        <f>'Vessel BQS Report'!G145</f>
        <v/>
      </c>
      <c r="I148" s="1159" t="str">
        <f>'Vessel BQS Report'!H145</f>
        <v/>
      </c>
      <c r="J148" s="1062" t="str">
        <f>'Vessel BQS Report'!I145</f>
        <v/>
      </c>
      <c r="K148" s="1063" t="str">
        <f>'Vessel BQS Report'!J145</f>
        <v/>
      </c>
      <c r="L148" s="1064" t="str">
        <f>'Vessel BQS Report'!L145</f>
        <v/>
      </c>
      <c r="M148" s="1064" t="str">
        <f>'Vessel BQS Report'!O145</f>
        <v/>
      </c>
      <c r="N148" s="1065" t="str">
        <f>'Vessel BQS Report'!M145</f>
        <v/>
      </c>
      <c r="O148" s="1065" t="str">
        <f>'Vessel BQS Report'!P145</f>
        <v/>
      </c>
      <c r="P148" s="1064" t="str">
        <f>'Vessel BQS Report'!Q145</f>
        <v/>
      </c>
      <c r="Q148" s="1044"/>
    </row>
    <row r="149" spans="1:17" hidden="1">
      <c r="A149" s="881" t="str">
        <f>'Vessel BQS Report'!A146</f>
        <v>N</v>
      </c>
      <c r="C149" s="1057" t="str">
        <f>'Vessel BQS Report'!C146</f>
        <v/>
      </c>
      <c r="D149" s="1058" t="str">
        <f>'Vessel BQS Report'!D146</f>
        <v/>
      </c>
      <c r="E149" s="1059" t="str">
        <f>'Vessel BQS Report'!N146</f>
        <v/>
      </c>
      <c r="F149" s="1060" t="str">
        <f>'Vessel BQS Report'!F146</f>
        <v/>
      </c>
      <c r="G149" s="1061" t="str">
        <f>'Vessel BQS Report'!E146</f>
        <v/>
      </c>
      <c r="H149" s="1060" t="str">
        <f>'Vessel BQS Report'!G146</f>
        <v/>
      </c>
      <c r="I149" s="1159" t="str">
        <f>'Vessel BQS Report'!H146</f>
        <v/>
      </c>
      <c r="J149" s="1062" t="str">
        <f>'Vessel BQS Report'!I146</f>
        <v/>
      </c>
      <c r="K149" s="1063" t="str">
        <f>'Vessel BQS Report'!J146</f>
        <v/>
      </c>
      <c r="L149" s="1064" t="str">
        <f>'Vessel BQS Report'!L146</f>
        <v/>
      </c>
      <c r="M149" s="1064" t="str">
        <f>'Vessel BQS Report'!O146</f>
        <v/>
      </c>
      <c r="N149" s="1065" t="str">
        <f>'Vessel BQS Report'!M146</f>
        <v/>
      </c>
      <c r="O149" s="1065" t="str">
        <f>'Vessel BQS Report'!P146</f>
        <v/>
      </c>
      <c r="P149" s="1064" t="str">
        <f>'Vessel BQS Report'!Q146</f>
        <v/>
      </c>
      <c r="Q149" s="1044"/>
    </row>
    <row r="150" spans="1:17" hidden="1">
      <c r="A150" s="881" t="str">
        <f>'Vessel BQS Report'!A147</f>
        <v>N</v>
      </c>
      <c r="C150" s="1057" t="str">
        <f>'Vessel BQS Report'!C147</f>
        <v/>
      </c>
      <c r="D150" s="1058" t="str">
        <f>'Vessel BQS Report'!D147</f>
        <v/>
      </c>
      <c r="E150" s="1059" t="str">
        <f>'Vessel BQS Report'!N147</f>
        <v/>
      </c>
      <c r="F150" s="1060" t="str">
        <f>'Vessel BQS Report'!F147</f>
        <v/>
      </c>
      <c r="G150" s="1061" t="str">
        <f>'Vessel BQS Report'!E147</f>
        <v/>
      </c>
      <c r="H150" s="1060" t="str">
        <f>'Vessel BQS Report'!G147</f>
        <v/>
      </c>
      <c r="I150" s="1159" t="str">
        <f>'Vessel BQS Report'!H147</f>
        <v/>
      </c>
      <c r="J150" s="1062" t="str">
        <f>'Vessel BQS Report'!I147</f>
        <v/>
      </c>
      <c r="K150" s="1063" t="str">
        <f>'Vessel BQS Report'!J147</f>
        <v/>
      </c>
      <c r="L150" s="1064" t="str">
        <f>'Vessel BQS Report'!L147</f>
        <v/>
      </c>
      <c r="M150" s="1064" t="str">
        <f>'Vessel BQS Report'!O147</f>
        <v/>
      </c>
      <c r="N150" s="1065" t="str">
        <f>'Vessel BQS Report'!M147</f>
        <v/>
      </c>
      <c r="O150" s="1065" t="str">
        <f>'Vessel BQS Report'!P147</f>
        <v/>
      </c>
      <c r="P150" s="1064" t="str">
        <f>'Vessel BQS Report'!Q147</f>
        <v/>
      </c>
      <c r="Q150" s="1044"/>
    </row>
    <row r="151" spans="1:17" hidden="1">
      <c r="A151" s="881" t="str">
        <f>'Vessel BQS Report'!A148</f>
        <v>N</v>
      </c>
      <c r="C151" s="1057" t="str">
        <f>'Vessel BQS Report'!C148</f>
        <v/>
      </c>
      <c r="D151" s="1058" t="str">
        <f>'Vessel BQS Report'!D148</f>
        <v/>
      </c>
      <c r="E151" s="1059" t="str">
        <f>'Vessel BQS Report'!N148</f>
        <v/>
      </c>
      <c r="F151" s="1060" t="str">
        <f>'Vessel BQS Report'!F148</f>
        <v/>
      </c>
      <c r="G151" s="1061" t="str">
        <f>'Vessel BQS Report'!E148</f>
        <v/>
      </c>
      <c r="H151" s="1060" t="str">
        <f>'Vessel BQS Report'!G148</f>
        <v/>
      </c>
      <c r="I151" s="1159" t="str">
        <f>'Vessel BQS Report'!H148</f>
        <v/>
      </c>
      <c r="J151" s="1062" t="str">
        <f>'Vessel BQS Report'!I148</f>
        <v/>
      </c>
      <c r="K151" s="1063" t="str">
        <f>'Vessel BQS Report'!J148</f>
        <v/>
      </c>
      <c r="L151" s="1064" t="str">
        <f>'Vessel BQS Report'!L148</f>
        <v/>
      </c>
      <c r="M151" s="1064" t="str">
        <f>'Vessel BQS Report'!O148</f>
        <v/>
      </c>
      <c r="N151" s="1065" t="str">
        <f>'Vessel BQS Report'!M148</f>
        <v/>
      </c>
      <c r="O151" s="1065" t="str">
        <f>'Vessel BQS Report'!P148</f>
        <v/>
      </c>
      <c r="P151" s="1064" t="str">
        <f>'Vessel BQS Report'!Q148</f>
        <v/>
      </c>
      <c r="Q151" s="1044"/>
    </row>
    <row r="152" spans="1:17" hidden="1">
      <c r="A152" s="881" t="str">
        <f>'Vessel BQS Report'!A149</f>
        <v>N</v>
      </c>
      <c r="C152" s="1057" t="str">
        <f>'Vessel BQS Report'!C149</f>
        <v/>
      </c>
      <c r="D152" s="1058" t="str">
        <f>'Vessel BQS Report'!D149</f>
        <v/>
      </c>
      <c r="E152" s="1059" t="str">
        <f>'Vessel BQS Report'!N149</f>
        <v/>
      </c>
      <c r="F152" s="1060" t="str">
        <f>'Vessel BQS Report'!F149</f>
        <v/>
      </c>
      <c r="G152" s="1061" t="str">
        <f>'Vessel BQS Report'!E149</f>
        <v/>
      </c>
      <c r="H152" s="1060" t="str">
        <f>'Vessel BQS Report'!G149</f>
        <v/>
      </c>
      <c r="I152" s="1159" t="str">
        <f>'Vessel BQS Report'!H149</f>
        <v/>
      </c>
      <c r="J152" s="1062" t="str">
        <f>'Vessel BQS Report'!I149</f>
        <v/>
      </c>
      <c r="K152" s="1063" t="str">
        <f>'Vessel BQS Report'!J149</f>
        <v/>
      </c>
      <c r="L152" s="1064" t="str">
        <f>'Vessel BQS Report'!L149</f>
        <v/>
      </c>
      <c r="M152" s="1064" t="str">
        <f>'Vessel BQS Report'!O149</f>
        <v/>
      </c>
      <c r="N152" s="1065" t="str">
        <f>'Vessel BQS Report'!M149</f>
        <v/>
      </c>
      <c r="O152" s="1065" t="str">
        <f>'Vessel BQS Report'!P149</f>
        <v/>
      </c>
      <c r="P152" s="1064" t="str">
        <f>'Vessel BQS Report'!Q149</f>
        <v/>
      </c>
      <c r="Q152" s="1044"/>
    </row>
    <row r="153" spans="1:17" hidden="1">
      <c r="A153" s="881" t="str">
        <f>'Vessel BQS Report'!A150</f>
        <v>N</v>
      </c>
      <c r="C153" s="1057" t="str">
        <f>'Vessel BQS Report'!C150</f>
        <v/>
      </c>
      <c r="D153" s="1058" t="str">
        <f>'Vessel BQS Report'!D150</f>
        <v/>
      </c>
      <c r="E153" s="1059" t="str">
        <f>'Vessel BQS Report'!N150</f>
        <v/>
      </c>
      <c r="F153" s="1060" t="str">
        <f>'Vessel BQS Report'!F150</f>
        <v/>
      </c>
      <c r="G153" s="1061" t="str">
        <f>'Vessel BQS Report'!E150</f>
        <v/>
      </c>
      <c r="H153" s="1060" t="str">
        <f>'Vessel BQS Report'!G150</f>
        <v/>
      </c>
      <c r="I153" s="1159" t="str">
        <f>'Vessel BQS Report'!H150</f>
        <v/>
      </c>
      <c r="J153" s="1062" t="str">
        <f>'Vessel BQS Report'!I150</f>
        <v/>
      </c>
      <c r="K153" s="1063" t="str">
        <f>'Vessel BQS Report'!J150</f>
        <v/>
      </c>
      <c r="L153" s="1064" t="str">
        <f>'Vessel BQS Report'!L150</f>
        <v/>
      </c>
      <c r="M153" s="1064" t="str">
        <f>'Vessel BQS Report'!O150</f>
        <v/>
      </c>
      <c r="N153" s="1065" t="str">
        <f>'Vessel BQS Report'!M150</f>
        <v/>
      </c>
      <c r="O153" s="1065" t="str">
        <f>'Vessel BQS Report'!P150</f>
        <v/>
      </c>
      <c r="P153" s="1064" t="str">
        <f>'Vessel BQS Report'!Q150</f>
        <v/>
      </c>
      <c r="Q153" s="1044"/>
    </row>
    <row r="154" spans="1:17" hidden="1">
      <c r="A154" s="881" t="str">
        <f>'Vessel BQS Report'!A151</f>
        <v>N</v>
      </c>
      <c r="C154" s="1057" t="str">
        <f>'Vessel BQS Report'!C151</f>
        <v/>
      </c>
      <c r="D154" s="1058" t="str">
        <f>'Vessel BQS Report'!D151</f>
        <v/>
      </c>
      <c r="E154" s="1059" t="str">
        <f>'Vessel BQS Report'!N151</f>
        <v/>
      </c>
      <c r="F154" s="1060" t="str">
        <f>'Vessel BQS Report'!F151</f>
        <v/>
      </c>
      <c r="G154" s="1061" t="str">
        <f>'Vessel BQS Report'!E151</f>
        <v/>
      </c>
      <c r="H154" s="1060" t="str">
        <f>'Vessel BQS Report'!G151</f>
        <v/>
      </c>
      <c r="I154" s="1159" t="str">
        <f>'Vessel BQS Report'!H151</f>
        <v/>
      </c>
      <c r="J154" s="1062" t="str">
        <f>'Vessel BQS Report'!I151</f>
        <v/>
      </c>
      <c r="K154" s="1063" t="str">
        <f>'Vessel BQS Report'!J151</f>
        <v/>
      </c>
      <c r="L154" s="1064" t="str">
        <f>'Vessel BQS Report'!L151</f>
        <v/>
      </c>
      <c r="M154" s="1064" t="str">
        <f>'Vessel BQS Report'!O151</f>
        <v/>
      </c>
      <c r="N154" s="1065" t="str">
        <f>'Vessel BQS Report'!M151</f>
        <v/>
      </c>
      <c r="O154" s="1065" t="str">
        <f>'Vessel BQS Report'!P151</f>
        <v/>
      </c>
      <c r="P154" s="1064" t="str">
        <f>'Vessel BQS Report'!Q151</f>
        <v/>
      </c>
      <c r="Q154" s="1044"/>
    </row>
    <row r="155" spans="1:17" hidden="1">
      <c r="A155" s="881" t="str">
        <f>'Vessel BQS Report'!A152</f>
        <v>N</v>
      </c>
      <c r="C155" s="1057" t="str">
        <f>'Vessel BQS Report'!C152</f>
        <v/>
      </c>
      <c r="D155" s="1058" t="str">
        <f>'Vessel BQS Report'!D152</f>
        <v/>
      </c>
      <c r="E155" s="1059" t="str">
        <f>'Vessel BQS Report'!N152</f>
        <v/>
      </c>
      <c r="F155" s="1060" t="str">
        <f>'Vessel BQS Report'!F152</f>
        <v/>
      </c>
      <c r="G155" s="1061" t="str">
        <f>'Vessel BQS Report'!E152</f>
        <v/>
      </c>
      <c r="H155" s="1060" t="str">
        <f>'Vessel BQS Report'!G152</f>
        <v/>
      </c>
      <c r="I155" s="1159" t="str">
        <f>'Vessel BQS Report'!H152</f>
        <v/>
      </c>
      <c r="J155" s="1062" t="str">
        <f>'Vessel BQS Report'!I152</f>
        <v/>
      </c>
      <c r="K155" s="1063" t="str">
        <f>'Vessel BQS Report'!J152</f>
        <v/>
      </c>
      <c r="L155" s="1064" t="str">
        <f>'Vessel BQS Report'!L152</f>
        <v/>
      </c>
      <c r="M155" s="1064" t="str">
        <f>'Vessel BQS Report'!O152</f>
        <v/>
      </c>
      <c r="N155" s="1065" t="str">
        <f>'Vessel BQS Report'!M152</f>
        <v/>
      </c>
      <c r="O155" s="1065" t="str">
        <f>'Vessel BQS Report'!P152</f>
        <v/>
      </c>
      <c r="P155" s="1064" t="str">
        <f>'Vessel BQS Report'!Q152</f>
        <v/>
      </c>
      <c r="Q155" s="1044"/>
    </row>
    <row r="156" spans="1:17" hidden="1">
      <c r="A156" s="881" t="str">
        <f>'Vessel BQS Report'!A153</f>
        <v>N</v>
      </c>
      <c r="C156" s="1057" t="str">
        <f>'Vessel BQS Report'!C153</f>
        <v/>
      </c>
      <c r="D156" s="1058" t="str">
        <f>'Vessel BQS Report'!D153</f>
        <v/>
      </c>
      <c r="E156" s="1059" t="str">
        <f>'Vessel BQS Report'!N153</f>
        <v/>
      </c>
      <c r="F156" s="1060" t="str">
        <f>'Vessel BQS Report'!F153</f>
        <v/>
      </c>
      <c r="G156" s="1061" t="str">
        <f>'Vessel BQS Report'!E153</f>
        <v/>
      </c>
      <c r="H156" s="1060" t="str">
        <f>'Vessel BQS Report'!G153</f>
        <v/>
      </c>
      <c r="I156" s="1159" t="str">
        <f>'Vessel BQS Report'!H153</f>
        <v/>
      </c>
      <c r="J156" s="1062" t="str">
        <f>'Vessel BQS Report'!I153</f>
        <v/>
      </c>
      <c r="K156" s="1063" t="str">
        <f>'Vessel BQS Report'!J153</f>
        <v/>
      </c>
      <c r="L156" s="1064" t="str">
        <f>'Vessel BQS Report'!L153</f>
        <v/>
      </c>
      <c r="M156" s="1064" t="str">
        <f>'Vessel BQS Report'!O153</f>
        <v/>
      </c>
      <c r="N156" s="1065" t="str">
        <f>'Vessel BQS Report'!M153</f>
        <v/>
      </c>
      <c r="O156" s="1065" t="str">
        <f>'Vessel BQS Report'!P153</f>
        <v/>
      </c>
      <c r="P156" s="1064" t="str">
        <f>'Vessel BQS Report'!Q153</f>
        <v/>
      </c>
      <c r="Q156" s="1044"/>
    </row>
    <row r="157" spans="1:17" hidden="1">
      <c r="A157" s="881" t="str">
        <f>'Vessel BQS Report'!A154</f>
        <v>N</v>
      </c>
      <c r="C157" s="1057" t="str">
        <f>'Vessel BQS Report'!C154</f>
        <v/>
      </c>
      <c r="D157" s="1058" t="str">
        <f>'Vessel BQS Report'!D154</f>
        <v/>
      </c>
      <c r="E157" s="1059" t="str">
        <f>'Vessel BQS Report'!N154</f>
        <v/>
      </c>
      <c r="F157" s="1060" t="str">
        <f>'Vessel BQS Report'!F154</f>
        <v/>
      </c>
      <c r="G157" s="1061" t="str">
        <f>'Vessel BQS Report'!E154</f>
        <v/>
      </c>
      <c r="H157" s="1060" t="str">
        <f>'Vessel BQS Report'!G154</f>
        <v/>
      </c>
      <c r="I157" s="1159" t="str">
        <f>'Vessel BQS Report'!H154</f>
        <v/>
      </c>
      <c r="J157" s="1062" t="str">
        <f>'Vessel BQS Report'!I154</f>
        <v/>
      </c>
      <c r="K157" s="1063" t="str">
        <f>'Vessel BQS Report'!J154</f>
        <v/>
      </c>
      <c r="L157" s="1064" t="str">
        <f>'Vessel BQS Report'!L154</f>
        <v/>
      </c>
      <c r="M157" s="1064" t="str">
        <f>'Vessel BQS Report'!O154</f>
        <v/>
      </c>
      <c r="N157" s="1065" t="str">
        <f>'Vessel BQS Report'!M154</f>
        <v/>
      </c>
      <c r="O157" s="1065" t="str">
        <f>'Vessel BQS Report'!P154</f>
        <v/>
      </c>
      <c r="P157" s="1064" t="str">
        <f>'Vessel BQS Report'!Q154</f>
        <v/>
      </c>
      <c r="Q157" s="1044"/>
    </row>
    <row r="158" spans="1:17" hidden="1">
      <c r="A158" s="881" t="str">
        <f>'Vessel BQS Report'!A155</f>
        <v>N</v>
      </c>
      <c r="C158" s="1057" t="str">
        <f>'Vessel BQS Report'!C155</f>
        <v/>
      </c>
      <c r="D158" s="1058" t="str">
        <f>'Vessel BQS Report'!D155</f>
        <v/>
      </c>
      <c r="E158" s="1059" t="str">
        <f>'Vessel BQS Report'!N155</f>
        <v/>
      </c>
      <c r="F158" s="1060" t="str">
        <f>'Vessel BQS Report'!F155</f>
        <v/>
      </c>
      <c r="G158" s="1061" t="str">
        <f>'Vessel BQS Report'!E155</f>
        <v/>
      </c>
      <c r="H158" s="1060" t="str">
        <f>'Vessel BQS Report'!G155</f>
        <v/>
      </c>
      <c r="I158" s="1159" t="str">
        <f>'Vessel BQS Report'!H155</f>
        <v/>
      </c>
      <c r="J158" s="1062" t="str">
        <f>'Vessel BQS Report'!I155</f>
        <v/>
      </c>
      <c r="K158" s="1063" t="str">
        <f>'Vessel BQS Report'!J155</f>
        <v/>
      </c>
      <c r="L158" s="1064" t="str">
        <f>'Vessel BQS Report'!L155</f>
        <v/>
      </c>
      <c r="M158" s="1064" t="str">
        <f>'Vessel BQS Report'!O155</f>
        <v/>
      </c>
      <c r="N158" s="1065" t="str">
        <f>'Vessel BQS Report'!M155</f>
        <v/>
      </c>
      <c r="O158" s="1065" t="str">
        <f>'Vessel BQS Report'!P155</f>
        <v/>
      </c>
      <c r="P158" s="1064" t="str">
        <f>'Vessel BQS Report'!Q155</f>
        <v/>
      </c>
      <c r="Q158" s="1044"/>
    </row>
    <row r="159" spans="1:17" hidden="1">
      <c r="A159" s="881" t="str">
        <f>'Vessel BQS Report'!A156</f>
        <v>N</v>
      </c>
      <c r="C159" s="1066" t="str">
        <f>'Vessel BQS Report'!C156</f>
        <v/>
      </c>
      <c r="D159" s="1067" t="str">
        <f>'Vessel BQS Report'!D156</f>
        <v/>
      </c>
      <c r="E159" s="1068" t="str">
        <f>'Vessel BQS Report'!N156</f>
        <v/>
      </c>
      <c r="F159" s="1069" t="str">
        <f>'Vessel BQS Report'!F156</f>
        <v/>
      </c>
      <c r="G159" s="1070" t="str">
        <f>'Vessel BQS Report'!E156</f>
        <v/>
      </c>
      <c r="H159" s="1069" t="str">
        <f>'Vessel BQS Report'!G156</f>
        <v/>
      </c>
      <c r="I159" s="1160" t="str">
        <f>'Vessel BQS Report'!H156</f>
        <v/>
      </c>
      <c r="J159" s="1071" t="str">
        <f>'Vessel BQS Report'!I156</f>
        <v/>
      </c>
      <c r="K159" s="1072" t="str">
        <f>'Vessel BQS Report'!J156</f>
        <v/>
      </c>
      <c r="L159" s="1073" t="str">
        <f>'Vessel BQS Report'!L156</f>
        <v/>
      </c>
      <c r="M159" s="1073" t="str">
        <f>'Vessel BQS Report'!O156</f>
        <v/>
      </c>
      <c r="N159" s="1074" t="str">
        <f>'Vessel BQS Report'!M156</f>
        <v/>
      </c>
      <c r="O159" s="1074" t="str">
        <f>'Vessel BQS Report'!P156</f>
        <v/>
      </c>
      <c r="P159" s="1073" t="str">
        <f>'Vessel BQS Report'!Q156</f>
        <v/>
      </c>
      <c r="Q159" s="1044"/>
    </row>
    <row r="160" spans="1:17" hidden="1">
      <c r="A160" s="881" t="s">
        <v>270</v>
      </c>
      <c r="C160" s="1118"/>
      <c r="D160" s="1075"/>
      <c r="E160" s="1076"/>
      <c r="F160" s="1077"/>
      <c r="G160" s="1077"/>
      <c r="H160" s="1078"/>
      <c r="I160" s="1078"/>
      <c r="J160" s="1078"/>
      <c r="K160" s="1077"/>
      <c r="L160" s="1079"/>
      <c r="M160" s="2957" t="s">
        <v>801</v>
      </c>
      <c r="N160" s="2957"/>
      <c r="O160" s="2958">
        <f>SUM(P140:P159)</f>
        <v>9.8000000000000004E-2</v>
      </c>
      <c r="P160" s="2958"/>
      <c r="Q160" s="1044"/>
    </row>
    <row r="161" spans="1:17">
      <c r="A161" s="881" t="str">
        <f>IF(COUNTIF(A24:A160,"Y")=0,"N","Y")</f>
        <v>Y</v>
      </c>
      <c r="C161" s="1625"/>
      <c r="D161" s="1626"/>
      <c r="E161" s="1627"/>
      <c r="F161" s="1628"/>
      <c r="G161" s="1628"/>
      <c r="H161" s="1629"/>
      <c r="I161" s="1629"/>
      <c r="J161" s="1629"/>
      <c r="K161" s="1630"/>
      <c r="L161" s="1630"/>
      <c r="M161" s="2976" t="s">
        <v>403</v>
      </c>
      <c r="N161" s="2977"/>
      <c r="O161" s="2971">
        <f>SUM(P25:P159)</f>
        <v>0.19600000000000001</v>
      </c>
      <c r="P161" s="2972"/>
      <c r="Q161" s="1600"/>
    </row>
    <row r="162" spans="1:17" s="1046" customFormat="1" ht="5.25" hidden="1">
      <c r="A162" s="1046" t="s">
        <v>270</v>
      </c>
      <c r="C162" s="1083"/>
      <c r="D162" s="1084"/>
      <c r="E162" s="1085"/>
      <c r="F162" s="1081"/>
      <c r="G162" s="1081"/>
      <c r="H162" s="1080"/>
      <c r="I162" s="1080"/>
      <c r="J162" s="1080"/>
      <c r="M162" s="1086"/>
      <c r="N162" s="1086"/>
      <c r="O162" s="1087"/>
      <c r="P162" s="1087"/>
      <c r="Q162" s="1045"/>
    </row>
    <row r="163" spans="1:17">
      <c r="A163" s="881" t="str">
        <f>'Vessel BQS Report'!A159</f>
        <v>Y</v>
      </c>
      <c r="C163" s="3044" t="str">
        <f>'Vessel BQS Report'!C159</f>
        <v>NON-NOMINATED TANKS</v>
      </c>
      <c r="D163" s="3045"/>
      <c r="E163" s="3045"/>
      <c r="F163" s="3046"/>
      <c r="G163" s="3047" t="str">
        <f>'Vessel BQS Report'!E159</f>
        <v>(Distillates)</v>
      </c>
      <c r="H163" s="3048"/>
      <c r="I163" s="1631"/>
      <c r="J163" s="1632"/>
      <c r="K163" s="1633"/>
      <c r="L163" s="1634"/>
      <c r="M163" s="1634"/>
      <c r="N163" s="1635"/>
      <c r="O163" s="1636"/>
      <c r="P163" s="1634"/>
      <c r="Q163" s="1600"/>
    </row>
    <row r="164" spans="1:17">
      <c r="A164" s="881" t="str">
        <f>'Vessel BQS Report'!A160</f>
        <v>Y</v>
      </c>
      <c r="C164" s="1615" t="str">
        <f>'Vessel BQS Report'!C160</f>
        <v>DO P</v>
      </c>
      <c r="D164" s="1616" t="str">
        <f>'Vessel BQS Report'!D160</f>
        <v>LSMGO</v>
      </c>
      <c r="E164" s="1617">
        <f>'Vessel BQS Report'!N160</f>
        <v>38</v>
      </c>
      <c r="F164" s="1618">
        <f>'Vessel BQS Report'!F160</f>
        <v>2.46</v>
      </c>
      <c r="G164" s="1619">
        <f>'Vessel BQS Report'!E160</f>
        <v>2.46</v>
      </c>
      <c r="H164" s="1618">
        <f>'Vessel BQS Report'!G160</f>
        <v>2.02</v>
      </c>
      <c r="I164" s="1620">
        <f>'Vessel BQS Report'!H160</f>
        <v>2.02</v>
      </c>
      <c r="J164" s="1621" t="str">
        <f>'Vessel BQS Report'!I160</f>
        <v>S</v>
      </c>
      <c r="K164" s="1622">
        <f>'Vessel BQS Report'!J160</f>
        <v>85</v>
      </c>
      <c r="L164" s="1623">
        <f>'Vessel BQS Report'!L160</f>
        <v>0</v>
      </c>
      <c r="M164" s="1623">
        <f>'Vessel BQS Report'!O160</f>
        <v>85</v>
      </c>
      <c r="N164" s="1624">
        <f>'Vessel BQS Report'!M160</f>
        <v>0.83789999999999998</v>
      </c>
      <c r="O164" s="1624">
        <f>'Vessel BQS Report'!P160</f>
        <v>0.98041999999999996</v>
      </c>
      <c r="P164" s="1623">
        <f>'Vessel BQS Report'!Q160</f>
        <v>83.335999999999999</v>
      </c>
      <c r="Q164" s="1600"/>
    </row>
    <row r="165" spans="1:17">
      <c r="A165" s="881" t="str">
        <f>'Vessel BQS Report'!A161</f>
        <v>Y</v>
      </c>
      <c r="C165" s="1615" t="str">
        <f>'Vessel BQS Report'!C161</f>
        <v>DO S</v>
      </c>
      <c r="D165" s="1616" t="str">
        <f>'Vessel BQS Report'!D161</f>
        <v>LSMGO</v>
      </c>
      <c r="E165" s="1617">
        <f>'Vessel BQS Report'!N161</f>
        <v>38</v>
      </c>
      <c r="F165" s="1618">
        <f>'Vessel BQS Report'!F161</f>
        <v>2.46</v>
      </c>
      <c r="G165" s="1619">
        <f>'Vessel BQS Report'!E161</f>
        <v>2.46</v>
      </c>
      <c r="H165" s="1618">
        <f>'Vessel BQS Report'!G161</f>
        <v>0.97</v>
      </c>
      <c r="I165" s="1620">
        <f>'Vessel BQS Report'!H161</f>
        <v>0.97</v>
      </c>
      <c r="J165" s="1621" t="str">
        <f>'Vessel BQS Report'!I161</f>
        <v>S</v>
      </c>
      <c r="K165" s="1622">
        <f>'Vessel BQS Report'!J161</f>
        <v>34.700000000000003</v>
      </c>
      <c r="L165" s="1623">
        <f>'Vessel BQS Report'!L161</f>
        <v>0</v>
      </c>
      <c r="M165" s="1623">
        <f>'Vessel BQS Report'!O161</f>
        <v>34.700000000000003</v>
      </c>
      <c r="N165" s="1624">
        <f>'Vessel BQS Report'!M161</f>
        <v>0.83789999999999998</v>
      </c>
      <c r="O165" s="1624">
        <f>'Vessel BQS Report'!P161</f>
        <v>0.98041999999999996</v>
      </c>
      <c r="P165" s="1623">
        <f>'Vessel BQS Report'!Q161</f>
        <v>34.021000000000001</v>
      </c>
      <c r="Q165" s="1600"/>
    </row>
    <row r="166" spans="1:17">
      <c r="A166" s="881" t="str">
        <f>'Vessel BQS Report'!A162</f>
        <v>Y</v>
      </c>
      <c r="C166" s="1615" t="str">
        <f>'Vessel BQS Report'!C162</f>
        <v>DO SERV</v>
      </c>
      <c r="D166" s="1616" t="str">
        <f>'Vessel BQS Report'!D162</f>
        <v>LSMGO</v>
      </c>
      <c r="E166" s="1617">
        <f>'Vessel BQS Report'!N162</f>
        <v>38</v>
      </c>
      <c r="F166" s="1618" t="str">
        <f>'Vessel BQS Report'!F162</f>
        <v>GAUGE</v>
      </c>
      <c r="G166" s="1619" t="str">
        <f>'Vessel BQS Report'!E162</f>
        <v>GAUGE</v>
      </c>
      <c r="H166" s="1618" t="str">
        <f>'Vessel BQS Report'!G162</f>
        <v>GAUGE</v>
      </c>
      <c r="I166" s="1620" t="str">
        <f>'Vessel BQS Report'!H162</f>
        <v>GAUGE</v>
      </c>
      <c r="J166" s="1621" t="str">
        <f>'Vessel BQS Report'!I162</f>
        <v>G</v>
      </c>
      <c r="K166" s="1622">
        <f>'Vessel BQS Report'!J162</f>
        <v>14.5</v>
      </c>
      <c r="L166" s="1623">
        <f>'Vessel BQS Report'!L162</f>
        <v>0</v>
      </c>
      <c r="M166" s="1623">
        <f>'Vessel BQS Report'!O162</f>
        <v>14.5</v>
      </c>
      <c r="N166" s="1624">
        <f>'Vessel BQS Report'!M162</f>
        <v>0.83789999999999998</v>
      </c>
      <c r="O166" s="1624">
        <f>'Vessel BQS Report'!P162</f>
        <v>0.98041999999999996</v>
      </c>
      <c r="P166" s="1623">
        <f>'Vessel BQS Report'!Q162</f>
        <v>14.215999999999999</v>
      </c>
      <c r="Q166" s="1600"/>
    </row>
    <row r="167" spans="1:17">
      <c r="A167" s="881" t="str">
        <f>'Vessel BQS Report'!A163</f>
        <v>Y</v>
      </c>
      <c r="C167" s="1615" t="str">
        <f>'Vessel BQS Report'!C163</f>
        <v>DO SETT</v>
      </c>
      <c r="D167" s="1616" t="str">
        <f>'Vessel BQS Report'!D163</f>
        <v>LSMGO</v>
      </c>
      <c r="E167" s="1617">
        <f>'Vessel BQS Report'!N163</f>
        <v>38</v>
      </c>
      <c r="F167" s="1618" t="str">
        <f>'Vessel BQS Report'!F163</f>
        <v>GAUGE</v>
      </c>
      <c r="G167" s="1619" t="str">
        <f>'Vessel BQS Report'!E163</f>
        <v>GAUGE</v>
      </c>
      <c r="H167" s="1618" t="str">
        <f>'Vessel BQS Report'!G163</f>
        <v>GAUGE</v>
      </c>
      <c r="I167" s="1620" t="str">
        <f>'Vessel BQS Report'!H163</f>
        <v>GAUGE</v>
      </c>
      <c r="J167" s="1621" t="str">
        <f>'Vessel BQS Report'!I163</f>
        <v>G</v>
      </c>
      <c r="K167" s="1622">
        <f>'Vessel BQS Report'!J163</f>
        <v>6.5</v>
      </c>
      <c r="L167" s="1623">
        <f>'Vessel BQS Report'!L163</f>
        <v>0</v>
      </c>
      <c r="M167" s="1623">
        <f>'Vessel BQS Report'!O163</f>
        <v>6.5</v>
      </c>
      <c r="N167" s="1624">
        <f>'Vessel BQS Report'!M163</f>
        <v>0.83789999999999998</v>
      </c>
      <c r="O167" s="1624">
        <f>'Vessel BQS Report'!P163</f>
        <v>0.98041999999999996</v>
      </c>
      <c r="P167" s="1623">
        <f>'Vessel BQS Report'!Q163</f>
        <v>6.3730000000000002</v>
      </c>
      <c r="Q167" s="1600"/>
    </row>
    <row r="168" spans="1:17">
      <c r="A168" s="881" t="str">
        <f>'Vessel BQS Report'!A164</f>
        <v>N</v>
      </c>
      <c r="C168" s="1615" t="str">
        <f>'Vessel BQS Report'!C164</f>
        <v/>
      </c>
      <c r="D168" s="1616" t="str">
        <f>'Vessel BQS Report'!D164</f>
        <v/>
      </c>
      <c r="E168" s="1617" t="str">
        <f>'Vessel BQS Report'!N164</f>
        <v/>
      </c>
      <c r="F168" s="1618" t="str">
        <f>'Vessel BQS Report'!F164</f>
        <v/>
      </c>
      <c r="G168" s="1619" t="str">
        <f>'Vessel BQS Report'!E164</f>
        <v/>
      </c>
      <c r="H168" s="1618" t="str">
        <f>'Vessel BQS Report'!G164</f>
        <v/>
      </c>
      <c r="I168" s="1620" t="str">
        <f>'Vessel BQS Report'!H164</f>
        <v/>
      </c>
      <c r="J168" s="1621" t="str">
        <f>'Vessel BQS Report'!I164</f>
        <v/>
      </c>
      <c r="K168" s="1622" t="str">
        <f>'Vessel BQS Report'!J164</f>
        <v/>
      </c>
      <c r="L168" s="1623" t="str">
        <f>'Vessel BQS Report'!L164</f>
        <v/>
      </c>
      <c r="M168" s="1623" t="str">
        <f>'Vessel BQS Report'!O164</f>
        <v/>
      </c>
      <c r="N168" s="1624" t="str">
        <f>'Vessel BQS Report'!M164</f>
        <v/>
      </c>
      <c r="O168" s="1624" t="str">
        <f>'Vessel BQS Report'!P164</f>
        <v/>
      </c>
      <c r="P168" s="1623" t="str">
        <f>'Vessel BQS Report'!Q164</f>
        <v/>
      </c>
      <c r="Q168" s="1600"/>
    </row>
    <row r="169" spans="1:17">
      <c r="A169" s="881" t="str">
        <f>'Vessel BQS Report'!A165</f>
        <v>N</v>
      </c>
      <c r="C169" s="1615" t="str">
        <f>'Vessel BQS Report'!C165</f>
        <v/>
      </c>
      <c r="D169" s="1616" t="str">
        <f>'Vessel BQS Report'!D165</f>
        <v/>
      </c>
      <c r="E169" s="1617" t="str">
        <f>'Vessel BQS Report'!N165</f>
        <v/>
      </c>
      <c r="F169" s="1618" t="str">
        <f>'Vessel BQS Report'!F165</f>
        <v/>
      </c>
      <c r="G169" s="1619" t="str">
        <f>'Vessel BQS Report'!E165</f>
        <v/>
      </c>
      <c r="H169" s="1618" t="str">
        <f>'Vessel BQS Report'!G165</f>
        <v/>
      </c>
      <c r="I169" s="1620" t="str">
        <f>'Vessel BQS Report'!H165</f>
        <v/>
      </c>
      <c r="J169" s="1621" t="str">
        <f>'Vessel BQS Report'!I165</f>
        <v/>
      </c>
      <c r="K169" s="1622" t="str">
        <f>'Vessel BQS Report'!J165</f>
        <v/>
      </c>
      <c r="L169" s="1623" t="str">
        <f>'Vessel BQS Report'!L165</f>
        <v/>
      </c>
      <c r="M169" s="1623" t="str">
        <f>'Vessel BQS Report'!O165</f>
        <v/>
      </c>
      <c r="N169" s="1624" t="str">
        <f>'Vessel BQS Report'!M165</f>
        <v/>
      </c>
      <c r="O169" s="1624" t="str">
        <f>'Vessel BQS Report'!P165</f>
        <v/>
      </c>
      <c r="P169" s="1623" t="str">
        <f>'Vessel BQS Report'!Q165</f>
        <v/>
      </c>
      <c r="Q169" s="1600"/>
    </row>
    <row r="170" spans="1:17">
      <c r="A170" s="881" t="str">
        <f>'Vessel BQS Report'!A166</f>
        <v>N</v>
      </c>
      <c r="C170" s="1615" t="str">
        <f>'Vessel BQS Report'!C166</f>
        <v/>
      </c>
      <c r="D170" s="1616" t="str">
        <f>'Vessel BQS Report'!D166</f>
        <v/>
      </c>
      <c r="E170" s="1617" t="str">
        <f>'Vessel BQS Report'!N166</f>
        <v/>
      </c>
      <c r="F170" s="1618" t="str">
        <f>'Vessel BQS Report'!F166</f>
        <v/>
      </c>
      <c r="G170" s="1619" t="str">
        <f>'Vessel BQS Report'!E166</f>
        <v/>
      </c>
      <c r="H170" s="1618" t="str">
        <f>'Vessel BQS Report'!G166</f>
        <v/>
      </c>
      <c r="I170" s="1620" t="str">
        <f>'Vessel BQS Report'!H166</f>
        <v/>
      </c>
      <c r="J170" s="1621" t="str">
        <f>'Vessel BQS Report'!I166</f>
        <v/>
      </c>
      <c r="K170" s="1622" t="str">
        <f>'Vessel BQS Report'!J166</f>
        <v/>
      </c>
      <c r="L170" s="1623" t="str">
        <f>'Vessel BQS Report'!L166</f>
        <v/>
      </c>
      <c r="M170" s="1623" t="str">
        <f>'Vessel BQS Report'!O166</f>
        <v/>
      </c>
      <c r="N170" s="1624" t="str">
        <f>'Vessel BQS Report'!M166</f>
        <v/>
      </c>
      <c r="O170" s="1624" t="str">
        <f>'Vessel BQS Report'!P166</f>
        <v/>
      </c>
      <c r="P170" s="1623" t="str">
        <f>'Vessel BQS Report'!Q166</f>
        <v/>
      </c>
      <c r="Q170" s="1600"/>
    </row>
    <row r="171" spans="1:17">
      <c r="A171" s="881" t="str">
        <f>'Vessel BQS Report'!A167</f>
        <v>N</v>
      </c>
      <c r="C171" s="1615" t="str">
        <f>'Vessel BQS Report'!C167</f>
        <v/>
      </c>
      <c r="D171" s="1616" t="str">
        <f>'Vessel BQS Report'!D167</f>
        <v/>
      </c>
      <c r="E171" s="1617" t="str">
        <f>'Vessel BQS Report'!N167</f>
        <v/>
      </c>
      <c r="F171" s="1618" t="str">
        <f>'Vessel BQS Report'!F167</f>
        <v/>
      </c>
      <c r="G171" s="1619" t="str">
        <f>'Vessel BQS Report'!E167</f>
        <v/>
      </c>
      <c r="H171" s="1618" t="str">
        <f>'Vessel BQS Report'!G167</f>
        <v/>
      </c>
      <c r="I171" s="1620" t="str">
        <f>'Vessel BQS Report'!H167</f>
        <v/>
      </c>
      <c r="J171" s="1621" t="str">
        <f>'Vessel BQS Report'!I167</f>
        <v/>
      </c>
      <c r="K171" s="1622" t="str">
        <f>'Vessel BQS Report'!J167</f>
        <v/>
      </c>
      <c r="L171" s="1623" t="str">
        <f>'Vessel BQS Report'!L167</f>
        <v/>
      </c>
      <c r="M171" s="1623" t="str">
        <f>'Vessel BQS Report'!O167</f>
        <v/>
      </c>
      <c r="N171" s="1624" t="str">
        <f>'Vessel BQS Report'!M167</f>
        <v/>
      </c>
      <c r="O171" s="1624" t="str">
        <f>'Vessel BQS Report'!P167</f>
        <v/>
      </c>
      <c r="P171" s="1623" t="str">
        <f>'Vessel BQS Report'!Q167</f>
        <v/>
      </c>
      <c r="Q171" s="1600"/>
    </row>
    <row r="172" spans="1:17">
      <c r="A172" s="881" t="str">
        <f>'Vessel BQS Report'!A168</f>
        <v>N</v>
      </c>
      <c r="C172" s="1615" t="str">
        <f>'Vessel BQS Report'!C168</f>
        <v/>
      </c>
      <c r="D172" s="1616" t="str">
        <f>'Vessel BQS Report'!D168</f>
        <v/>
      </c>
      <c r="E172" s="1617" t="str">
        <f>'Vessel BQS Report'!N168</f>
        <v/>
      </c>
      <c r="F172" s="1618" t="str">
        <f>'Vessel BQS Report'!F168</f>
        <v/>
      </c>
      <c r="G172" s="1619" t="str">
        <f>'Vessel BQS Report'!E168</f>
        <v/>
      </c>
      <c r="H172" s="1618" t="str">
        <f>'Vessel BQS Report'!G168</f>
        <v/>
      </c>
      <c r="I172" s="1620" t="str">
        <f>'Vessel BQS Report'!H168</f>
        <v/>
      </c>
      <c r="J172" s="1621" t="str">
        <f>'Vessel BQS Report'!I168</f>
        <v/>
      </c>
      <c r="K172" s="1622" t="str">
        <f>'Vessel BQS Report'!J168</f>
        <v/>
      </c>
      <c r="L172" s="1623" t="str">
        <f>'Vessel BQS Report'!L168</f>
        <v/>
      </c>
      <c r="M172" s="1623" t="str">
        <f>'Vessel BQS Report'!O168</f>
        <v/>
      </c>
      <c r="N172" s="1624" t="str">
        <f>'Vessel BQS Report'!M168</f>
        <v/>
      </c>
      <c r="O172" s="1624" t="str">
        <f>'Vessel BQS Report'!P168</f>
        <v/>
      </c>
      <c r="P172" s="1623" t="str">
        <f>'Vessel BQS Report'!Q168</f>
        <v/>
      </c>
      <c r="Q172" s="1600"/>
    </row>
    <row r="173" spans="1:17">
      <c r="A173" s="881" t="str">
        <f>'Vessel BQS Report'!A169</f>
        <v>N</v>
      </c>
      <c r="C173" s="1615" t="str">
        <f>'Vessel BQS Report'!C169</f>
        <v/>
      </c>
      <c r="D173" s="1616" t="str">
        <f>'Vessel BQS Report'!D169</f>
        <v/>
      </c>
      <c r="E173" s="1617" t="str">
        <f>'Vessel BQS Report'!N169</f>
        <v/>
      </c>
      <c r="F173" s="1618" t="str">
        <f>'Vessel BQS Report'!F169</f>
        <v/>
      </c>
      <c r="G173" s="1619" t="str">
        <f>'Vessel BQS Report'!E169</f>
        <v/>
      </c>
      <c r="H173" s="1618" t="str">
        <f>'Vessel BQS Report'!G169</f>
        <v/>
      </c>
      <c r="I173" s="1620" t="str">
        <f>'Vessel BQS Report'!H169</f>
        <v/>
      </c>
      <c r="J173" s="1621" t="str">
        <f>'Vessel BQS Report'!I169</f>
        <v/>
      </c>
      <c r="K173" s="1622" t="str">
        <f>'Vessel BQS Report'!J169</f>
        <v/>
      </c>
      <c r="L173" s="1623" t="str">
        <f>'Vessel BQS Report'!L169</f>
        <v/>
      </c>
      <c r="M173" s="1623" t="str">
        <f>'Vessel BQS Report'!O169</f>
        <v/>
      </c>
      <c r="N173" s="1624" t="str">
        <f>'Vessel BQS Report'!M169</f>
        <v/>
      </c>
      <c r="O173" s="1624" t="str">
        <f>'Vessel BQS Report'!P169</f>
        <v/>
      </c>
      <c r="P173" s="1623" t="str">
        <f>'Vessel BQS Report'!Q169</f>
        <v/>
      </c>
      <c r="Q173" s="1600"/>
    </row>
    <row r="174" spans="1:17">
      <c r="A174" s="881" t="str">
        <f>'Vessel BQS Report'!A170</f>
        <v>N</v>
      </c>
      <c r="C174" s="1615" t="str">
        <f>'Vessel BQS Report'!C170</f>
        <v/>
      </c>
      <c r="D174" s="1616" t="str">
        <f>'Vessel BQS Report'!D170</f>
        <v/>
      </c>
      <c r="E174" s="1617" t="str">
        <f>'Vessel BQS Report'!N170</f>
        <v/>
      </c>
      <c r="F174" s="1618" t="str">
        <f>'Vessel BQS Report'!F170</f>
        <v/>
      </c>
      <c r="G174" s="1619" t="str">
        <f>'Vessel BQS Report'!E170</f>
        <v/>
      </c>
      <c r="H174" s="1618" t="str">
        <f>'Vessel BQS Report'!G170</f>
        <v/>
      </c>
      <c r="I174" s="1620" t="str">
        <f>'Vessel BQS Report'!H170</f>
        <v/>
      </c>
      <c r="J174" s="1621" t="str">
        <f>'Vessel BQS Report'!I170</f>
        <v/>
      </c>
      <c r="K174" s="1622" t="str">
        <f>'Vessel BQS Report'!J170</f>
        <v/>
      </c>
      <c r="L174" s="1623" t="str">
        <f>'Vessel BQS Report'!L170</f>
        <v/>
      </c>
      <c r="M174" s="1623" t="str">
        <f>'Vessel BQS Report'!O170</f>
        <v/>
      </c>
      <c r="N174" s="1624" t="str">
        <f>'Vessel BQS Report'!M170</f>
        <v/>
      </c>
      <c r="O174" s="1624" t="str">
        <f>'Vessel BQS Report'!P170</f>
        <v/>
      </c>
      <c r="P174" s="1623" t="str">
        <f>'Vessel BQS Report'!Q170</f>
        <v/>
      </c>
      <c r="Q174" s="1600"/>
    </row>
    <row r="175" spans="1:17">
      <c r="A175" s="881" t="str">
        <f>'Vessel BQS Report'!A171</f>
        <v>N</v>
      </c>
      <c r="C175" s="1615" t="str">
        <f>'Vessel BQS Report'!C171</f>
        <v/>
      </c>
      <c r="D175" s="1616" t="str">
        <f>'Vessel BQS Report'!D171</f>
        <v/>
      </c>
      <c r="E175" s="1617" t="str">
        <f>'Vessel BQS Report'!N171</f>
        <v/>
      </c>
      <c r="F175" s="1618" t="str">
        <f>'Vessel BQS Report'!F171</f>
        <v/>
      </c>
      <c r="G175" s="1619" t="str">
        <f>'Vessel BQS Report'!E171</f>
        <v/>
      </c>
      <c r="H175" s="1618" t="str">
        <f>'Vessel BQS Report'!G171</f>
        <v/>
      </c>
      <c r="I175" s="1620" t="str">
        <f>'Vessel BQS Report'!H171</f>
        <v/>
      </c>
      <c r="J175" s="1621" t="str">
        <f>'Vessel BQS Report'!I171</f>
        <v/>
      </c>
      <c r="K175" s="1622" t="str">
        <f>'Vessel BQS Report'!J171</f>
        <v/>
      </c>
      <c r="L175" s="1623" t="str">
        <f>'Vessel BQS Report'!L171</f>
        <v/>
      </c>
      <c r="M175" s="1623" t="str">
        <f>'Vessel BQS Report'!O171</f>
        <v/>
      </c>
      <c r="N175" s="1624" t="str">
        <f>'Vessel BQS Report'!M171</f>
        <v/>
      </c>
      <c r="O175" s="1624" t="str">
        <f>'Vessel BQS Report'!P171</f>
        <v/>
      </c>
      <c r="P175" s="1623" t="str">
        <f>'Vessel BQS Report'!Q171</f>
        <v/>
      </c>
      <c r="Q175" s="1600"/>
    </row>
    <row r="176" spans="1:17">
      <c r="A176" s="881" t="str">
        <f>'Vessel BQS Report'!A172</f>
        <v>N</v>
      </c>
      <c r="C176" s="1615" t="str">
        <f>'Vessel BQS Report'!C172</f>
        <v/>
      </c>
      <c r="D176" s="1616" t="str">
        <f>'Vessel BQS Report'!D172</f>
        <v/>
      </c>
      <c r="E176" s="1617" t="str">
        <f>'Vessel BQS Report'!N172</f>
        <v/>
      </c>
      <c r="F176" s="1618" t="str">
        <f>'Vessel BQS Report'!F172</f>
        <v/>
      </c>
      <c r="G176" s="1619" t="str">
        <f>'Vessel BQS Report'!E172</f>
        <v/>
      </c>
      <c r="H176" s="1618" t="str">
        <f>'Vessel BQS Report'!G172</f>
        <v/>
      </c>
      <c r="I176" s="1620" t="str">
        <f>'Vessel BQS Report'!H172</f>
        <v/>
      </c>
      <c r="J176" s="1621" t="str">
        <f>'Vessel BQS Report'!I172</f>
        <v/>
      </c>
      <c r="K176" s="1622" t="str">
        <f>'Vessel BQS Report'!J172</f>
        <v/>
      </c>
      <c r="L176" s="1623" t="str">
        <f>'Vessel BQS Report'!L172</f>
        <v/>
      </c>
      <c r="M176" s="1623" t="str">
        <f>'Vessel BQS Report'!O172</f>
        <v/>
      </c>
      <c r="N176" s="1624" t="str">
        <f>'Vessel BQS Report'!M172</f>
        <v/>
      </c>
      <c r="O176" s="1624" t="str">
        <f>'Vessel BQS Report'!P172</f>
        <v/>
      </c>
      <c r="P176" s="1623" t="str">
        <f>'Vessel BQS Report'!Q172</f>
        <v/>
      </c>
      <c r="Q176" s="1600"/>
    </row>
    <row r="177" spans="1:17">
      <c r="A177" s="881" t="str">
        <f>'Vessel BQS Report'!A173</f>
        <v>N</v>
      </c>
      <c r="C177" s="1615" t="str">
        <f>'Vessel BQS Report'!C173</f>
        <v/>
      </c>
      <c r="D177" s="1616" t="str">
        <f>'Vessel BQS Report'!D173</f>
        <v/>
      </c>
      <c r="E177" s="1617" t="str">
        <f>'Vessel BQS Report'!N173</f>
        <v/>
      </c>
      <c r="F177" s="1618" t="str">
        <f>'Vessel BQS Report'!F173</f>
        <v/>
      </c>
      <c r="G177" s="1619" t="str">
        <f>'Vessel BQS Report'!E173</f>
        <v/>
      </c>
      <c r="H177" s="1618" t="str">
        <f>'Vessel BQS Report'!G173</f>
        <v/>
      </c>
      <c r="I177" s="1620" t="str">
        <f>'Vessel BQS Report'!H173</f>
        <v/>
      </c>
      <c r="J177" s="1621" t="str">
        <f>'Vessel BQS Report'!I173</f>
        <v/>
      </c>
      <c r="K177" s="1622" t="str">
        <f>'Vessel BQS Report'!J173</f>
        <v/>
      </c>
      <c r="L177" s="1623" t="str">
        <f>'Vessel BQS Report'!L173</f>
        <v/>
      </c>
      <c r="M177" s="1623" t="str">
        <f>'Vessel BQS Report'!O173</f>
        <v/>
      </c>
      <c r="N177" s="1624" t="str">
        <f>'Vessel BQS Report'!M173</f>
        <v/>
      </c>
      <c r="O177" s="1624" t="str">
        <f>'Vessel BQS Report'!P173</f>
        <v/>
      </c>
      <c r="P177" s="1623" t="str">
        <f>'Vessel BQS Report'!Q173</f>
        <v/>
      </c>
      <c r="Q177" s="1600"/>
    </row>
    <row r="178" spans="1:17" hidden="1">
      <c r="A178" s="881" t="str">
        <f>'Vessel BQS Report'!A174</f>
        <v>N</v>
      </c>
      <c r="C178" s="1057" t="str">
        <f>'Vessel BQS Report'!C174</f>
        <v/>
      </c>
      <c r="D178" s="1058" t="str">
        <f>'Vessel BQS Report'!D174</f>
        <v/>
      </c>
      <c r="E178" s="1059" t="str">
        <f>'Vessel BQS Report'!N174</f>
        <v/>
      </c>
      <c r="F178" s="1060" t="str">
        <f>'Vessel BQS Report'!F174</f>
        <v/>
      </c>
      <c r="G178" s="1061" t="str">
        <f>'Vessel BQS Report'!E174</f>
        <v/>
      </c>
      <c r="H178" s="1060" t="str">
        <f>'Vessel BQS Report'!G174</f>
        <v/>
      </c>
      <c r="I178" s="1159" t="str">
        <f>'Vessel BQS Report'!H174</f>
        <v/>
      </c>
      <c r="J178" s="1062" t="str">
        <f>'Vessel BQS Report'!I174</f>
        <v/>
      </c>
      <c r="K178" s="1063" t="str">
        <f>'Vessel BQS Report'!J174</f>
        <v/>
      </c>
      <c r="L178" s="1064" t="str">
        <f>'Vessel BQS Report'!L174</f>
        <v/>
      </c>
      <c r="M178" s="1064" t="str">
        <f>'Vessel BQS Report'!O174</f>
        <v/>
      </c>
      <c r="N178" s="1065" t="str">
        <f>'Vessel BQS Report'!M174</f>
        <v/>
      </c>
      <c r="O178" s="1065" t="str">
        <f>'Vessel BQS Report'!P174</f>
        <v/>
      </c>
      <c r="P178" s="1064" t="str">
        <f>'Vessel BQS Report'!Q174</f>
        <v/>
      </c>
      <c r="Q178" s="1044"/>
    </row>
    <row r="179" spans="1:17" hidden="1">
      <c r="A179" s="881" t="str">
        <f>'Vessel BQS Report'!A175</f>
        <v>N</v>
      </c>
      <c r="C179" s="1057" t="str">
        <f>'Vessel BQS Report'!C175</f>
        <v/>
      </c>
      <c r="D179" s="1058" t="str">
        <f>'Vessel BQS Report'!D175</f>
        <v/>
      </c>
      <c r="E179" s="1059" t="str">
        <f>'Vessel BQS Report'!N175</f>
        <v/>
      </c>
      <c r="F179" s="1060" t="str">
        <f>'Vessel BQS Report'!F175</f>
        <v/>
      </c>
      <c r="G179" s="1061" t="str">
        <f>'Vessel BQS Report'!E175</f>
        <v/>
      </c>
      <c r="H179" s="1060" t="str">
        <f>'Vessel BQS Report'!G175</f>
        <v/>
      </c>
      <c r="I179" s="1159" t="str">
        <f>'Vessel BQS Report'!H175</f>
        <v/>
      </c>
      <c r="J179" s="1062" t="str">
        <f>'Vessel BQS Report'!I175</f>
        <v/>
      </c>
      <c r="K179" s="1063" t="str">
        <f>'Vessel BQS Report'!J175</f>
        <v/>
      </c>
      <c r="L179" s="1064" t="str">
        <f>'Vessel BQS Report'!L175</f>
        <v/>
      </c>
      <c r="M179" s="1064" t="str">
        <f>'Vessel BQS Report'!O175</f>
        <v/>
      </c>
      <c r="N179" s="1065" t="str">
        <f>'Vessel BQS Report'!M175</f>
        <v/>
      </c>
      <c r="O179" s="1065" t="str">
        <f>'Vessel BQS Report'!P175</f>
        <v/>
      </c>
      <c r="P179" s="1064" t="str">
        <f>'Vessel BQS Report'!Q175</f>
        <v/>
      </c>
      <c r="Q179" s="1044"/>
    </row>
    <row r="180" spans="1:17" hidden="1">
      <c r="A180" s="881" t="str">
        <f>'Vessel BQS Report'!A176</f>
        <v>N</v>
      </c>
      <c r="C180" s="1057" t="str">
        <f>'Vessel BQS Report'!C176</f>
        <v/>
      </c>
      <c r="D180" s="1058" t="str">
        <f>'Vessel BQS Report'!D176</f>
        <v/>
      </c>
      <c r="E180" s="1059" t="str">
        <f>'Vessel BQS Report'!N176</f>
        <v/>
      </c>
      <c r="F180" s="1060" t="str">
        <f>'Vessel BQS Report'!F176</f>
        <v/>
      </c>
      <c r="G180" s="1061" t="str">
        <f>'Vessel BQS Report'!E176</f>
        <v/>
      </c>
      <c r="H180" s="1060" t="str">
        <f>'Vessel BQS Report'!G176</f>
        <v/>
      </c>
      <c r="I180" s="1159" t="str">
        <f>'Vessel BQS Report'!H176</f>
        <v/>
      </c>
      <c r="J180" s="1062" t="str">
        <f>'Vessel BQS Report'!I176</f>
        <v/>
      </c>
      <c r="K180" s="1063" t="str">
        <f>'Vessel BQS Report'!J176</f>
        <v/>
      </c>
      <c r="L180" s="1064" t="str">
        <f>'Vessel BQS Report'!L176</f>
        <v/>
      </c>
      <c r="M180" s="1064" t="str">
        <f>'Vessel BQS Report'!O176</f>
        <v/>
      </c>
      <c r="N180" s="1065" t="str">
        <f>'Vessel BQS Report'!M176</f>
        <v/>
      </c>
      <c r="O180" s="1065" t="str">
        <f>'Vessel BQS Report'!P176</f>
        <v/>
      </c>
      <c r="P180" s="1064" t="str">
        <f>'Vessel BQS Report'!Q176</f>
        <v/>
      </c>
      <c r="Q180" s="1044"/>
    </row>
    <row r="181" spans="1:17" hidden="1">
      <c r="A181" s="881" t="str">
        <f>'Vessel BQS Report'!A177</f>
        <v>N</v>
      </c>
      <c r="C181" s="1309" t="str">
        <f>'Vessel BQS Report'!C177</f>
        <v/>
      </c>
      <c r="D181" s="1310" t="str">
        <f>'Vessel BQS Report'!D177</f>
        <v/>
      </c>
      <c r="E181" s="1311" t="str">
        <f>'Vessel BQS Report'!N177</f>
        <v/>
      </c>
      <c r="F181" s="1312" t="str">
        <f>'Vessel BQS Report'!F177</f>
        <v/>
      </c>
      <c r="G181" s="1313" t="str">
        <f>'Vessel BQS Report'!E177</f>
        <v/>
      </c>
      <c r="H181" s="1312" t="str">
        <f>'Vessel BQS Report'!G177</f>
        <v/>
      </c>
      <c r="I181" s="1159" t="str">
        <f>'Vessel BQS Report'!H177</f>
        <v/>
      </c>
      <c r="J181" s="1062" t="str">
        <f>'Vessel BQS Report'!I177</f>
        <v/>
      </c>
      <c r="K181" s="1314" t="str">
        <f>'Vessel BQS Report'!J177</f>
        <v/>
      </c>
      <c r="L181" s="1315" t="str">
        <f>'Vessel BQS Report'!L177</f>
        <v/>
      </c>
      <c r="M181" s="1315" t="str">
        <f>'Vessel BQS Report'!O177</f>
        <v/>
      </c>
      <c r="N181" s="1316" t="str">
        <f>'Vessel BQS Report'!M177</f>
        <v/>
      </c>
      <c r="O181" s="1316" t="str">
        <f>'Vessel BQS Report'!P177</f>
        <v/>
      </c>
      <c r="P181" s="1315" t="str">
        <f>'Vessel BQS Report'!Q177</f>
        <v/>
      </c>
      <c r="Q181" s="1044"/>
    </row>
    <row r="182" spans="1:17" hidden="1">
      <c r="A182" s="881" t="str">
        <f>'Vessel BQS Report'!A178</f>
        <v>N</v>
      </c>
      <c r="C182" s="1309" t="str">
        <f>'Vessel BQS Report'!C178</f>
        <v/>
      </c>
      <c r="D182" s="1310" t="str">
        <f>'Vessel BQS Report'!D178</f>
        <v/>
      </c>
      <c r="E182" s="1311" t="str">
        <f>'Vessel BQS Report'!N178</f>
        <v/>
      </c>
      <c r="F182" s="1312" t="str">
        <f>'Vessel BQS Report'!F178</f>
        <v/>
      </c>
      <c r="G182" s="1313" t="str">
        <f>'Vessel BQS Report'!E178</f>
        <v/>
      </c>
      <c r="H182" s="1312" t="str">
        <f>'Vessel BQS Report'!G178</f>
        <v/>
      </c>
      <c r="I182" s="1159" t="str">
        <f>'Vessel BQS Report'!H178</f>
        <v/>
      </c>
      <c r="J182" s="1062" t="str">
        <f>'Vessel BQS Report'!I178</f>
        <v/>
      </c>
      <c r="K182" s="1314" t="str">
        <f>'Vessel BQS Report'!J178</f>
        <v/>
      </c>
      <c r="L182" s="1315" t="str">
        <f>'Vessel BQS Report'!L178</f>
        <v/>
      </c>
      <c r="M182" s="1315" t="str">
        <f>'Vessel BQS Report'!O178</f>
        <v/>
      </c>
      <c r="N182" s="1316" t="str">
        <f>'Vessel BQS Report'!M178</f>
        <v/>
      </c>
      <c r="O182" s="1316" t="str">
        <f>'Vessel BQS Report'!P178</f>
        <v/>
      </c>
      <c r="P182" s="1315" t="str">
        <f>'Vessel BQS Report'!Q178</f>
        <v/>
      </c>
      <c r="Q182" s="1044"/>
    </row>
    <row r="183" spans="1:17" hidden="1">
      <c r="A183" s="881" t="str">
        <f>'Vessel BQS Report'!A179</f>
        <v>N</v>
      </c>
      <c r="C183" s="1309" t="str">
        <f>'Vessel BQS Report'!C179</f>
        <v/>
      </c>
      <c r="D183" s="1310" t="str">
        <f>'Vessel BQS Report'!D179</f>
        <v/>
      </c>
      <c r="E183" s="1311" t="str">
        <f>'Vessel BQS Report'!N179</f>
        <v/>
      </c>
      <c r="F183" s="1312" t="str">
        <f>'Vessel BQS Report'!F179</f>
        <v/>
      </c>
      <c r="G183" s="1313" t="str">
        <f>'Vessel BQS Report'!E179</f>
        <v/>
      </c>
      <c r="H183" s="1312" t="str">
        <f>'Vessel BQS Report'!G179</f>
        <v/>
      </c>
      <c r="I183" s="1159" t="str">
        <f>'Vessel BQS Report'!H179</f>
        <v/>
      </c>
      <c r="J183" s="1062" t="str">
        <f>'Vessel BQS Report'!I179</f>
        <v/>
      </c>
      <c r="K183" s="1314" t="str">
        <f>'Vessel BQS Report'!J179</f>
        <v/>
      </c>
      <c r="L183" s="1315" t="str">
        <f>'Vessel BQS Report'!L179</f>
        <v/>
      </c>
      <c r="M183" s="1315" t="str">
        <f>'Vessel BQS Report'!O179</f>
        <v/>
      </c>
      <c r="N183" s="1316" t="str">
        <f>'Vessel BQS Report'!M179</f>
        <v/>
      </c>
      <c r="O183" s="1316" t="str">
        <f>'Vessel BQS Report'!P179</f>
        <v/>
      </c>
      <c r="P183" s="1315" t="str">
        <f>'Vessel BQS Report'!Q179</f>
        <v/>
      </c>
      <c r="Q183" s="1044"/>
    </row>
    <row r="184" spans="1:17" hidden="1">
      <c r="A184" s="881" t="str">
        <f>'Vessel BQS Report'!A180</f>
        <v>N</v>
      </c>
      <c r="C184" s="1309" t="str">
        <f>'Vessel BQS Report'!C180</f>
        <v/>
      </c>
      <c r="D184" s="1310" t="str">
        <f>'Vessel BQS Report'!D180</f>
        <v/>
      </c>
      <c r="E184" s="1311" t="str">
        <f>'Vessel BQS Report'!N180</f>
        <v/>
      </c>
      <c r="F184" s="1312" t="str">
        <f>'Vessel BQS Report'!F180</f>
        <v/>
      </c>
      <c r="G184" s="1313" t="str">
        <f>'Vessel BQS Report'!E180</f>
        <v/>
      </c>
      <c r="H184" s="1312" t="str">
        <f>'Vessel BQS Report'!G180</f>
        <v/>
      </c>
      <c r="I184" s="1159" t="str">
        <f>'Vessel BQS Report'!H180</f>
        <v/>
      </c>
      <c r="J184" s="1062" t="str">
        <f>'Vessel BQS Report'!I180</f>
        <v/>
      </c>
      <c r="K184" s="1314" t="str">
        <f>'Vessel BQS Report'!J180</f>
        <v/>
      </c>
      <c r="L184" s="1315" t="str">
        <f>'Vessel BQS Report'!L180</f>
        <v/>
      </c>
      <c r="M184" s="1315" t="str">
        <f>'Vessel BQS Report'!O180</f>
        <v/>
      </c>
      <c r="N184" s="1316" t="str">
        <f>'Vessel BQS Report'!M180</f>
        <v/>
      </c>
      <c r="O184" s="1316" t="str">
        <f>'Vessel BQS Report'!P180</f>
        <v/>
      </c>
      <c r="P184" s="1315" t="str">
        <f>'Vessel BQS Report'!Q180</f>
        <v/>
      </c>
      <c r="Q184" s="1044"/>
    </row>
    <row r="185" spans="1:17" hidden="1">
      <c r="A185" s="881" t="str">
        <f>'Vessel BQS Report'!A181</f>
        <v>N</v>
      </c>
      <c r="C185" s="1309" t="str">
        <f>'Vessel BQS Report'!C181</f>
        <v/>
      </c>
      <c r="D185" s="1310" t="str">
        <f>'Vessel BQS Report'!D181</f>
        <v/>
      </c>
      <c r="E185" s="1311" t="str">
        <f>'Vessel BQS Report'!N181</f>
        <v/>
      </c>
      <c r="F185" s="1312" t="str">
        <f>'Vessel BQS Report'!F181</f>
        <v/>
      </c>
      <c r="G185" s="1313" t="str">
        <f>'Vessel BQS Report'!E181</f>
        <v/>
      </c>
      <c r="H185" s="1312" t="str">
        <f>'Vessel BQS Report'!G181</f>
        <v/>
      </c>
      <c r="I185" s="1159" t="str">
        <f>'Vessel BQS Report'!H181</f>
        <v/>
      </c>
      <c r="J185" s="1062" t="str">
        <f>'Vessel BQS Report'!I181</f>
        <v/>
      </c>
      <c r="K185" s="1314" t="str">
        <f>'Vessel BQS Report'!J181</f>
        <v/>
      </c>
      <c r="L185" s="1315" t="str">
        <f>'Vessel BQS Report'!L181</f>
        <v/>
      </c>
      <c r="M185" s="1315" t="str">
        <f>'Vessel BQS Report'!O181</f>
        <v/>
      </c>
      <c r="N185" s="1316" t="str">
        <f>'Vessel BQS Report'!M181</f>
        <v/>
      </c>
      <c r="O185" s="1316" t="str">
        <f>'Vessel BQS Report'!P181</f>
        <v/>
      </c>
      <c r="P185" s="1315" t="str">
        <f>'Vessel BQS Report'!Q181</f>
        <v/>
      </c>
      <c r="Q185" s="1044"/>
    </row>
    <row r="186" spans="1:17" hidden="1">
      <c r="A186" s="881" t="str">
        <f>'Vessel BQS Report'!A182</f>
        <v>N</v>
      </c>
      <c r="C186" s="1309" t="str">
        <f>'Vessel BQS Report'!C182</f>
        <v/>
      </c>
      <c r="D186" s="1310" t="str">
        <f>'Vessel BQS Report'!D182</f>
        <v/>
      </c>
      <c r="E186" s="1311" t="str">
        <f>'Vessel BQS Report'!N182</f>
        <v/>
      </c>
      <c r="F186" s="1312" t="str">
        <f>'Vessel BQS Report'!F182</f>
        <v/>
      </c>
      <c r="G186" s="1313" t="str">
        <f>'Vessel BQS Report'!E182</f>
        <v/>
      </c>
      <c r="H186" s="1312" t="str">
        <f>'Vessel BQS Report'!G182</f>
        <v/>
      </c>
      <c r="I186" s="1159" t="str">
        <f>'Vessel BQS Report'!H182</f>
        <v/>
      </c>
      <c r="J186" s="1062" t="str">
        <f>'Vessel BQS Report'!I182</f>
        <v/>
      </c>
      <c r="K186" s="1314" t="str">
        <f>'Vessel BQS Report'!J182</f>
        <v/>
      </c>
      <c r="L186" s="1315" t="str">
        <f>'Vessel BQS Report'!L182</f>
        <v/>
      </c>
      <c r="M186" s="1315" t="str">
        <f>'Vessel BQS Report'!O182</f>
        <v/>
      </c>
      <c r="N186" s="1316" t="str">
        <f>'Vessel BQS Report'!M182</f>
        <v/>
      </c>
      <c r="O186" s="1316" t="str">
        <f>'Vessel BQS Report'!P182</f>
        <v/>
      </c>
      <c r="P186" s="1315" t="str">
        <f>'Vessel BQS Report'!Q182</f>
        <v/>
      </c>
      <c r="Q186" s="1044"/>
    </row>
    <row r="187" spans="1:17" hidden="1">
      <c r="A187" s="881" t="str">
        <f>'Vessel BQS Report'!A183</f>
        <v>N</v>
      </c>
      <c r="C187" s="1309" t="str">
        <f>'Vessel BQS Report'!C183</f>
        <v/>
      </c>
      <c r="D187" s="1310" t="str">
        <f>'Vessel BQS Report'!D183</f>
        <v/>
      </c>
      <c r="E187" s="1311" t="str">
        <f>'Vessel BQS Report'!N183</f>
        <v/>
      </c>
      <c r="F187" s="1312" t="str">
        <f>'Vessel BQS Report'!F183</f>
        <v/>
      </c>
      <c r="G187" s="1313" t="str">
        <f>'Vessel BQS Report'!E183</f>
        <v/>
      </c>
      <c r="H187" s="1312" t="str">
        <f>'Vessel BQS Report'!G183</f>
        <v/>
      </c>
      <c r="I187" s="1159" t="str">
        <f>'Vessel BQS Report'!H183</f>
        <v/>
      </c>
      <c r="J187" s="1062" t="str">
        <f>'Vessel BQS Report'!I183</f>
        <v/>
      </c>
      <c r="K187" s="1314" t="str">
        <f>'Vessel BQS Report'!J183</f>
        <v/>
      </c>
      <c r="L187" s="1315" t="str">
        <f>'Vessel BQS Report'!L183</f>
        <v/>
      </c>
      <c r="M187" s="1315" t="str">
        <f>'Vessel BQS Report'!O183</f>
        <v/>
      </c>
      <c r="N187" s="1316" t="str">
        <f>'Vessel BQS Report'!M183</f>
        <v/>
      </c>
      <c r="O187" s="1316" t="str">
        <f>'Vessel BQS Report'!P183</f>
        <v/>
      </c>
      <c r="P187" s="1315" t="str">
        <f>'Vessel BQS Report'!Q183</f>
        <v/>
      </c>
      <c r="Q187" s="1044"/>
    </row>
    <row r="188" spans="1:17" hidden="1">
      <c r="A188" s="881" t="str">
        <f>'Vessel BQS Report'!A184</f>
        <v>N</v>
      </c>
      <c r="C188" s="1309" t="str">
        <f>'Vessel BQS Report'!C184</f>
        <v/>
      </c>
      <c r="D188" s="1310" t="str">
        <f>'Vessel BQS Report'!D184</f>
        <v/>
      </c>
      <c r="E188" s="1311" t="str">
        <f>'Vessel BQS Report'!N184</f>
        <v/>
      </c>
      <c r="F188" s="1312" t="str">
        <f>'Vessel BQS Report'!F184</f>
        <v/>
      </c>
      <c r="G188" s="1313" t="str">
        <f>'Vessel BQS Report'!E184</f>
        <v/>
      </c>
      <c r="H188" s="1312" t="str">
        <f>'Vessel BQS Report'!G184</f>
        <v/>
      </c>
      <c r="I188" s="1159" t="str">
        <f>'Vessel BQS Report'!H184</f>
        <v/>
      </c>
      <c r="J188" s="1062" t="str">
        <f>'Vessel BQS Report'!I184</f>
        <v/>
      </c>
      <c r="K188" s="1314" t="str">
        <f>'Vessel BQS Report'!J184</f>
        <v/>
      </c>
      <c r="L188" s="1315" t="str">
        <f>'Vessel BQS Report'!L184</f>
        <v/>
      </c>
      <c r="M188" s="1315" t="str">
        <f>'Vessel BQS Report'!O184</f>
        <v/>
      </c>
      <c r="N188" s="1316" t="str">
        <f>'Vessel BQS Report'!M184</f>
        <v/>
      </c>
      <c r="O188" s="1316" t="str">
        <f>'Vessel BQS Report'!P184</f>
        <v/>
      </c>
      <c r="P188" s="1315" t="str">
        <f>'Vessel BQS Report'!Q184</f>
        <v/>
      </c>
      <c r="Q188" s="1044"/>
    </row>
    <row r="189" spans="1:17" hidden="1">
      <c r="A189" s="881" t="str">
        <f>'Vessel BQS Report'!A185</f>
        <v>N</v>
      </c>
      <c r="C189" s="1309" t="str">
        <f>'Vessel BQS Report'!C185</f>
        <v/>
      </c>
      <c r="D189" s="1310" t="str">
        <f>'Vessel BQS Report'!D185</f>
        <v/>
      </c>
      <c r="E189" s="1311" t="str">
        <f>'Vessel BQS Report'!N185</f>
        <v/>
      </c>
      <c r="F189" s="1312" t="str">
        <f>'Vessel BQS Report'!F185</f>
        <v/>
      </c>
      <c r="G189" s="1313" t="str">
        <f>'Vessel BQS Report'!E185</f>
        <v/>
      </c>
      <c r="H189" s="1312" t="str">
        <f>'Vessel BQS Report'!G185</f>
        <v/>
      </c>
      <c r="I189" s="1159" t="str">
        <f>'Vessel BQS Report'!H185</f>
        <v/>
      </c>
      <c r="J189" s="1062" t="str">
        <f>'Vessel BQS Report'!I185</f>
        <v/>
      </c>
      <c r="K189" s="1314" t="str">
        <f>'Vessel BQS Report'!J185</f>
        <v/>
      </c>
      <c r="L189" s="1315" t="str">
        <f>'Vessel BQS Report'!L185</f>
        <v/>
      </c>
      <c r="M189" s="1315" t="str">
        <f>'Vessel BQS Report'!O185</f>
        <v/>
      </c>
      <c r="N189" s="1316" t="str">
        <f>'Vessel BQS Report'!M185</f>
        <v/>
      </c>
      <c r="O189" s="1316" t="str">
        <f>'Vessel BQS Report'!P185</f>
        <v/>
      </c>
      <c r="P189" s="1315" t="str">
        <f>'Vessel BQS Report'!Q185</f>
        <v/>
      </c>
      <c r="Q189" s="1044"/>
    </row>
    <row r="190" spans="1:17" hidden="1">
      <c r="A190" s="881" t="str">
        <f>'Vessel BQS Report'!A186</f>
        <v>N</v>
      </c>
      <c r="C190" s="1309" t="str">
        <f>'Vessel BQS Report'!C186</f>
        <v/>
      </c>
      <c r="D190" s="1310" t="str">
        <f>'Vessel BQS Report'!D186</f>
        <v/>
      </c>
      <c r="E190" s="1311" t="str">
        <f>'Vessel BQS Report'!N186</f>
        <v/>
      </c>
      <c r="F190" s="1312" t="str">
        <f>'Vessel BQS Report'!F186</f>
        <v/>
      </c>
      <c r="G190" s="1313" t="str">
        <f>'Vessel BQS Report'!E186</f>
        <v/>
      </c>
      <c r="H190" s="1312" t="str">
        <f>'Vessel BQS Report'!G186</f>
        <v/>
      </c>
      <c r="I190" s="1159" t="str">
        <f>'Vessel BQS Report'!H186</f>
        <v/>
      </c>
      <c r="J190" s="1062" t="str">
        <f>'Vessel BQS Report'!I186</f>
        <v/>
      </c>
      <c r="K190" s="1314" t="str">
        <f>'Vessel BQS Report'!J186</f>
        <v/>
      </c>
      <c r="L190" s="1315" t="str">
        <f>'Vessel BQS Report'!L186</f>
        <v/>
      </c>
      <c r="M190" s="1315" t="str">
        <f>'Vessel BQS Report'!O186</f>
        <v/>
      </c>
      <c r="N190" s="1316" t="str">
        <f>'Vessel BQS Report'!M186</f>
        <v/>
      </c>
      <c r="O190" s="1316" t="str">
        <f>'Vessel BQS Report'!P186</f>
        <v/>
      </c>
      <c r="P190" s="1315" t="str">
        <f>'Vessel BQS Report'!Q186</f>
        <v/>
      </c>
      <c r="Q190" s="1044"/>
    </row>
    <row r="191" spans="1:17" hidden="1">
      <c r="A191" s="881" t="str">
        <f>'Vessel BQS Report'!A187</f>
        <v>N</v>
      </c>
      <c r="C191" s="1309" t="str">
        <f>'Vessel BQS Report'!C187</f>
        <v/>
      </c>
      <c r="D191" s="1310" t="str">
        <f>'Vessel BQS Report'!D187</f>
        <v/>
      </c>
      <c r="E191" s="1311" t="str">
        <f>'Vessel BQS Report'!N187</f>
        <v/>
      </c>
      <c r="F191" s="1312" t="str">
        <f>'Vessel BQS Report'!F187</f>
        <v/>
      </c>
      <c r="G191" s="1313" t="str">
        <f>'Vessel BQS Report'!E187</f>
        <v/>
      </c>
      <c r="H191" s="1312" t="str">
        <f>'Vessel BQS Report'!G187</f>
        <v/>
      </c>
      <c r="I191" s="1159" t="str">
        <f>'Vessel BQS Report'!H187</f>
        <v/>
      </c>
      <c r="J191" s="1062" t="str">
        <f>'Vessel BQS Report'!I187</f>
        <v/>
      </c>
      <c r="K191" s="1314" t="str">
        <f>'Vessel BQS Report'!J187</f>
        <v/>
      </c>
      <c r="L191" s="1315" t="str">
        <f>'Vessel BQS Report'!L187</f>
        <v/>
      </c>
      <c r="M191" s="1315" t="str">
        <f>'Vessel BQS Report'!O187</f>
        <v/>
      </c>
      <c r="N191" s="1316" t="str">
        <f>'Vessel BQS Report'!M187</f>
        <v/>
      </c>
      <c r="O191" s="1316" t="str">
        <f>'Vessel BQS Report'!P187</f>
        <v/>
      </c>
      <c r="P191" s="1315" t="str">
        <f>'Vessel BQS Report'!Q187</f>
        <v/>
      </c>
      <c r="Q191" s="1044"/>
    </row>
    <row r="192" spans="1:17" hidden="1">
      <c r="A192" s="881" t="str">
        <f>'Vessel BQS Report'!A188</f>
        <v>N</v>
      </c>
      <c r="C192" s="1309" t="str">
        <f>'Vessel BQS Report'!C188</f>
        <v/>
      </c>
      <c r="D192" s="1310" t="str">
        <f>'Vessel BQS Report'!D188</f>
        <v/>
      </c>
      <c r="E192" s="1311" t="str">
        <f>'Vessel BQS Report'!N188</f>
        <v/>
      </c>
      <c r="F192" s="1312" t="str">
        <f>'Vessel BQS Report'!F188</f>
        <v/>
      </c>
      <c r="G192" s="1313" t="str">
        <f>'Vessel BQS Report'!E188</f>
        <v/>
      </c>
      <c r="H192" s="1312" t="str">
        <f>'Vessel BQS Report'!G188</f>
        <v/>
      </c>
      <c r="I192" s="1159" t="str">
        <f>'Vessel BQS Report'!H188</f>
        <v/>
      </c>
      <c r="J192" s="1062" t="str">
        <f>'Vessel BQS Report'!I188</f>
        <v/>
      </c>
      <c r="K192" s="1314" t="str">
        <f>'Vessel BQS Report'!J188</f>
        <v/>
      </c>
      <c r="L192" s="1315" t="str">
        <f>'Vessel BQS Report'!L188</f>
        <v/>
      </c>
      <c r="M192" s="1315" t="str">
        <f>'Vessel BQS Report'!O188</f>
        <v/>
      </c>
      <c r="N192" s="1316" t="str">
        <f>'Vessel BQS Report'!M188</f>
        <v/>
      </c>
      <c r="O192" s="1316" t="str">
        <f>'Vessel BQS Report'!P188</f>
        <v/>
      </c>
      <c r="P192" s="1315" t="str">
        <f>'Vessel BQS Report'!Q188</f>
        <v/>
      </c>
      <c r="Q192" s="1044"/>
    </row>
    <row r="193" spans="1:17" hidden="1">
      <c r="A193" s="881" t="str">
        <f>'Vessel BQS Report'!A189</f>
        <v>N</v>
      </c>
      <c r="C193" s="1317" t="str">
        <f>'Vessel BQS Report'!C189</f>
        <v/>
      </c>
      <c r="D193" s="1318" t="str">
        <f>'Vessel BQS Report'!D189</f>
        <v/>
      </c>
      <c r="E193" s="1319" t="str">
        <f>'Vessel BQS Report'!N189</f>
        <v/>
      </c>
      <c r="F193" s="1162" t="str">
        <f>'Vessel BQS Report'!F189</f>
        <v/>
      </c>
      <c r="G193" s="1320" t="str">
        <f>'Vessel BQS Report'!E189</f>
        <v/>
      </c>
      <c r="H193" s="1162" t="str">
        <f>'Vessel BQS Report'!G189</f>
        <v/>
      </c>
      <c r="I193" s="1160" t="str">
        <f>'Vessel BQS Report'!H189</f>
        <v/>
      </c>
      <c r="J193" s="1062" t="str">
        <f>'Vessel BQS Report'!I189</f>
        <v/>
      </c>
      <c r="K193" s="1321" t="str">
        <f>'Vessel BQS Report'!J189</f>
        <v/>
      </c>
      <c r="L193" s="1322" t="str">
        <f>'Vessel BQS Report'!L189</f>
        <v/>
      </c>
      <c r="M193" s="1322" t="str">
        <f>'Vessel BQS Report'!O189</f>
        <v/>
      </c>
      <c r="N193" s="1323" t="str">
        <f>'Vessel BQS Report'!M189</f>
        <v/>
      </c>
      <c r="O193" s="1323" t="str">
        <f>'Vessel BQS Report'!P189</f>
        <v/>
      </c>
      <c r="P193" s="1322" t="str">
        <f>'Vessel BQS Report'!Q189</f>
        <v/>
      </c>
      <c r="Q193" s="1044"/>
    </row>
    <row r="194" spans="1:17">
      <c r="A194" s="881" t="s">
        <v>284</v>
      </c>
      <c r="C194" s="1637"/>
      <c r="D194" s="1637"/>
      <c r="E194" s="1638"/>
      <c r="F194" s="1638"/>
      <c r="G194" s="1638"/>
      <c r="H194" s="1638"/>
      <c r="I194" s="1637"/>
      <c r="J194" s="1637"/>
      <c r="K194" s="1637"/>
      <c r="L194" s="1639"/>
      <c r="M194" s="2973" t="s">
        <v>916</v>
      </c>
      <c r="N194" s="2973"/>
      <c r="O194" s="2974">
        <f>SUM(P164:P193)</f>
        <v>137.946</v>
      </c>
      <c r="P194" s="2975"/>
      <c r="Q194" s="1600"/>
    </row>
    <row r="195" spans="1:17" s="1046" customFormat="1" ht="5.25" hidden="1">
      <c r="A195" s="1046" t="s">
        <v>270</v>
      </c>
      <c r="C195" s="1045"/>
      <c r="D195" s="1045"/>
      <c r="E195" s="1045"/>
      <c r="F195" s="1045"/>
      <c r="G195" s="1045"/>
      <c r="H195" s="1045"/>
      <c r="I195" s="1045"/>
      <c r="J195" s="1045"/>
      <c r="K195" s="1045"/>
      <c r="L195" s="1045"/>
      <c r="M195" s="1045"/>
      <c r="N195" s="1045"/>
      <c r="O195" s="1045"/>
      <c r="P195" s="1045"/>
      <c r="Q195" s="1045"/>
    </row>
    <row r="196" spans="1:17" ht="15">
      <c r="A196" s="881" t="s">
        <v>284</v>
      </c>
      <c r="C196" s="1604" t="s">
        <v>802</v>
      </c>
      <c r="D196" s="1640"/>
      <c r="E196" s="1640"/>
      <c r="F196" s="1641"/>
      <c r="G196" s="1641"/>
      <c r="H196" s="1641"/>
      <c r="I196" s="1641"/>
      <c r="J196" s="1641"/>
      <c r="K196" s="1641"/>
      <c r="L196" s="1641"/>
      <c r="M196" s="1641"/>
      <c r="N196" s="1641"/>
      <c r="O196" s="1641"/>
      <c r="P196" s="1641"/>
      <c r="Q196" s="1600"/>
    </row>
    <row r="197" spans="1:17">
      <c r="A197" s="881" t="s">
        <v>284</v>
      </c>
      <c r="C197" s="2998" t="s">
        <v>1234</v>
      </c>
      <c r="D197" s="2999"/>
      <c r="E197" s="3000">
        <f>'Vessel Gauging Data'!O18</f>
        <v>12.1</v>
      </c>
      <c r="F197" s="3001"/>
      <c r="G197" s="3001"/>
      <c r="H197" s="1642" t="s">
        <v>793</v>
      </c>
      <c r="I197" s="3002">
        <f>'Vessel Gauging Data'!O20</f>
        <v>0</v>
      </c>
      <c r="J197" s="3003"/>
      <c r="K197" s="3003"/>
      <c r="L197" s="2986" t="s">
        <v>794</v>
      </c>
      <c r="M197" s="2987"/>
      <c r="N197" s="1607" t="s">
        <v>772</v>
      </c>
      <c r="O197" s="2988" t="s">
        <v>795</v>
      </c>
      <c r="P197" s="2983" t="s">
        <v>796</v>
      </c>
      <c r="Q197" s="1600"/>
    </row>
    <row r="198" spans="1:17">
      <c r="A198" s="881" t="s">
        <v>284</v>
      </c>
      <c r="C198" s="3004" t="s">
        <v>1235</v>
      </c>
      <c r="D198" s="3005"/>
      <c r="E198" s="3006">
        <f>'Vessel Gauging Data'!O19</f>
        <v>12.1</v>
      </c>
      <c r="F198" s="3007"/>
      <c r="G198" s="3007"/>
      <c r="H198" s="1643" t="s">
        <v>798</v>
      </c>
      <c r="I198" s="3008">
        <f>'Vessel Gauging Data'!O21</f>
        <v>1</v>
      </c>
      <c r="J198" s="3009"/>
      <c r="K198" s="3009"/>
      <c r="L198" s="2984" t="s">
        <v>799</v>
      </c>
      <c r="M198" s="2985"/>
      <c r="N198" s="1609" t="s">
        <v>621</v>
      </c>
      <c r="O198" s="2989"/>
      <c r="P198" s="2983"/>
      <c r="Q198" s="1600"/>
    </row>
    <row r="199" spans="1:17" ht="24.95" customHeight="1">
      <c r="A199" s="881" t="s">
        <v>284</v>
      </c>
      <c r="C199" s="2994" t="s">
        <v>800</v>
      </c>
      <c r="D199" s="2978" t="s">
        <v>764</v>
      </c>
      <c r="E199" s="2969" t="s">
        <v>36</v>
      </c>
      <c r="F199" s="2994" t="str">
        <f>F20</f>
        <v>Actual Height as Measured</v>
      </c>
      <c r="G199" s="2978" t="str">
        <f>G20</f>
        <v>Reference Height from Table</v>
      </c>
      <c r="H199" s="2990" t="str">
        <f>H20</f>
        <v>Observed Ullage Sounding Gauge</v>
      </c>
      <c r="I199" s="2992" t="str">
        <f>I20</f>
        <v>Corrected Ullage Sounding Gauge</v>
      </c>
      <c r="J199" s="2980" t="str">
        <f>J20</f>
        <v>U-S-G-E</v>
      </c>
      <c r="K199" s="2969" t="s">
        <v>913</v>
      </c>
      <c r="L199" s="2969" t="s">
        <v>912</v>
      </c>
      <c r="M199" s="2969" t="s">
        <v>914</v>
      </c>
      <c r="N199" s="2969" t="str">
        <f>N20</f>
        <v>Density
 @ 15°C</v>
      </c>
      <c r="O199" s="2969" t="s">
        <v>168</v>
      </c>
      <c r="P199" s="2969" t="str">
        <f>P20</f>
        <v>G.S.V.
 @ 15° C</v>
      </c>
      <c r="Q199" s="1600"/>
    </row>
    <row r="200" spans="1:17" ht="24.95" customHeight="1">
      <c r="A200" s="881" t="s">
        <v>284</v>
      </c>
      <c r="C200" s="2995"/>
      <c r="D200" s="2979"/>
      <c r="E200" s="2970"/>
      <c r="F200" s="2995"/>
      <c r="G200" s="2979"/>
      <c r="H200" s="2991"/>
      <c r="I200" s="2993"/>
      <c r="J200" s="2981"/>
      <c r="K200" s="2970"/>
      <c r="L200" s="2970"/>
      <c r="M200" s="2970"/>
      <c r="N200" s="2970"/>
      <c r="O200" s="2970"/>
      <c r="P200" s="2970"/>
      <c r="Q200" s="1600"/>
    </row>
    <row r="201" spans="1:17" ht="24">
      <c r="A201" s="881" t="s">
        <v>284</v>
      </c>
      <c r="C201" s="2996"/>
      <c r="D201" s="2997"/>
      <c r="E201" s="1610" t="str">
        <f>E22</f>
        <v>° C</v>
      </c>
      <c r="F201" s="1611" t="str">
        <f>F22</f>
        <v>m</v>
      </c>
      <c r="G201" s="1612" t="str">
        <f>G22</f>
        <v>m</v>
      </c>
      <c r="H201" s="1613" t="str">
        <f>H22</f>
        <v>m</v>
      </c>
      <c r="I201" s="1614" t="str">
        <f>I22</f>
        <v>m</v>
      </c>
      <c r="J201" s="2982"/>
      <c r="K201" s="1610" t="str">
        <f t="shared" ref="K201:P201" si="0">K22</f>
        <v>m3</v>
      </c>
      <c r="L201" s="1610" t="str">
        <f t="shared" si="0"/>
        <v>m3</v>
      </c>
      <c r="M201" s="1610" t="str">
        <f t="shared" si="0"/>
        <v>m3</v>
      </c>
      <c r="N201" s="1610" t="str">
        <f t="shared" si="0"/>
        <v>kg/L</v>
      </c>
      <c r="O201" s="1610" t="str">
        <f t="shared" si="0"/>
        <v>Table 54B</v>
      </c>
      <c r="P201" s="1610" t="str">
        <f t="shared" si="0"/>
        <v>m3</v>
      </c>
      <c r="Q201" s="1600"/>
    </row>
    <row r="202" spans="1:17" s="1046" customFormat="1" ht="5.25" hidden="1">
      <c r="A202" s="1046" t="s">
        <v>270</v>
      </c>
      <c r="C202" s="1049"/>
      <c r="D202" s="1049"/>
      <c r="E202" s="1049"/>
      <c r="F202" s="1050"/>
      <c r="G202" s="1050"/>
      <c r="H202" s="1049"/>
      <c r="I202" s="1049"/>
      <c r="J202" s="1049"/>
      <c r="K202" s="1049"/>
      <c r="L202" s="1049"/>
      <c r="M202" s="1049"/>
      <c r="N202" s="1049"/>
      <c r="O202" s="1049"/>
      <c r="P202" s="1049"/>
      <c r="Q202" s="1045"/>
    </row>
    <row r="203" spans="1:17" hidden="1">
      <c r="A203" s="881" t="s">
        <v>270</v>
      </c>
      <c r="B203" s="881">
        <v>1</v>
      </c>
      <c r="C203" s="2959" t="str">
        <f>'Vessel BQS Report'!C198</f>
        <v>NOMINATED TANKS</v>
      </c>
      <c r="D203" s="2960">
        <f>'Vessel BQS Report'!D198</f>
        <v>0</v>
      </c>
      <c r="E203" s="2960">
        <f>'Vessel BQS Report'!N198</f>
        <v>0</v>
      </c>
      <c r="F203" s="2961">
        <f>'Vessel BQS Report'!F198</f>
        <v>0</v>
      </c>
      <c r="G203" s="2962" t="str">
        <f>'Vessel BQS Report'!E198</f>
        <v>HSFO</v>
      </c>
      <c r="H203" s="2963">
        <f>'Vessel BQS Report'!G198</f>
        <v>0</v>
      </c>
      <c r="I203" s="1051"/>
      <c r="J203" s="1052"/>
      <c r="K203" s="1053"/>
      <c r="L203" s="1054"/>
      <c r="M203" s="1054"/>
      <c r="N203" s="1055"/>
      <c r="O203" s="1056"/>
      <c r="P203" s="1054"/>
      <c r="Q203" s="1044"/>
    </row>
    <row r="204" spans="1:17" hidden="1">
      <c r="A204" s="881" t="str">
        <f>'Vessel BQS Report'!A199</f>
        <v>N</v>
      </c>
      <c r="C204" s="1057" t="str">
        <f>'Vessel BQS Report'!C199</f>
        <v/>
      </c>
      <c r="D204" s="1058" t="str">
        <f>'Vessel BQS Report'!D199</f>
        <v/>
      </c>
      <c r="E204" s="1059" t="str">
        <f>'Vessel BQS Report'!N199</f>
        <v/>
      </c>
      <c r="F204" s="1060" t="str">
        <f>'Vessel BQS Report'!F199</f>
        <v/>
      </c>
      <c r="G204" s="1061" t="str">
        <f>'Vessel BQS Report'!E199</f>
        <v/>
      </c>
      <c r="H204" s="1060" t="str">
        <f>'Vessel BQS Report'!G199</f>
        <v/>
      </c>
      <c r="I204" s="1159" t="str">
        <f>'Vessel BQS Report'!H199</f>
        <v/>
      </c>
      <c r="J204" s="1062" t="str">
        <f>'Vessel BQS Report'!I199</f>
        <v/>
      </c>
      <c r="K204" s="1063" t="str">
        <f>'Vessel BQS Report'!J199</f>
        <v/>
      </c>
      <c r="L204" s="1064" t="str">
        <f>'Vessel BQS Report'!L199</f>
        <v/>
      </c>
      <c r="M204" s="1064" t="str">
        <f>'Vessel BQS Report'!O199</f>
        <v/>
      </c>
      <c r="N204" s="1065" t="str">
        <f>'Vessel BQS Report'!M199</f>
        <v/>
      </c>
      <c r="O204" s="1065" t="str">
        <f>'Vessel BQS Report'!P199</f>
        <v/>
      </c>
      <c r="P204" s="1064" t="str">
        <f>'Vessel BQS Report'!Q199</f>
        <v/>
      </c>
      <c r="Q204" s="1044"/>
    </row>
    <row r="205" spans="1:17" hidden="1">
      <c r="A205" s="881" t="str">
        <f>'Vessel BQS Report'!A200</f>
        <v>N</v>
      </c>
      <c r="C205" s="1057" t="str">
        <f>'Vessel BQS Report'!C200</f>
        <v/>
      </c>
      <c r="D205" s="1058" t="str">
        <f>'Vessel BQS Report'!D200</f>
        <v/>
      </c>
      <c r="E205" s="1059" t="str">
        <f>'Vessel BQS Report'!N200</f>
        <v/>
      </c>
      <c r="F205" s="1060" t="str">
        <f>'Vessel BQS Report'!F200</f>
        <v/>
      </c>
      <c r="G205" s="1061" t="str">
        <f>'Vessel BQS Report'!E200</f>
        <v/>
      </c>
      <c r="H205" s="1060" t="str">
        <f>'Vessel BQS Report'!G200</f>
        <v/>
      </c>
      <c r="I205" s="1159" t="str">
        <f>'Vessel BQS Report'!H200</f>
        <v/>
      </c>
      <c r="J205" s="1062" t="str">
        <f>'Vessel BQS Report'!I200</f>
        <v/>
      </c>
      <c r="K205" s="1063" t="str">
        <f>'Vessel BQS Report'!J200</f>
        <v/>
      </c>
      <c r="L205" s="1064" t="str">
        <f>'Vessel BQS Report'!L200</f>
        <v/>
      </c>
      <c r="M205" s="1064" t="str">
        <f>'Vessel BQS Report'!O200</f>
        <v/>
      </c>
      <c r="N205" s="1065" t="str">
        <f>'Vessel BQS Report'!M200</f>
        <v/>
      </c>
      <c r="O205" s="1065" t="str">
        <f>'Vessel BQS Report'!P200</f>
        <v/>
      </c>
      <c r="P205" s="1064" t="str">
        <f>'Vessel BQS Report'!Q200</f>
        <v/>
      </c>
      <c r="Q205" s="1044"/>
    </row>
    <row r="206" spans="1:17" hidden="1">
      <c r="A206" s="881" t="str">
        <f>'Vessel BQS Report'!A201</f>
        <v>N</v>
      </c>
      <c r="C206" s="1057" t="str">
        <f>'Vessel BQS Report'!C201</f>
        <v/>
      </c>
      <c r="D206" s="1058" t="str">
        <f>'Vessel BQS Report'!D201</f>
        <v/>
      </c>
      <c r="E206" s="1059" t="str">
        <f>'Vessel BQS Report'!N201</f>
        <v/>
      </c>
      <c r="F206" s="1060" t="str">
        <f>'Vessel BQS Report'!F201</f>
        <v/>
      </c>
      <c r="G206" s="1061" t="str">
        <f>'Vessel BQS Report'!E201</f>
        <v/>
      </c>
      <c r="H206" s="1060" t="str">
        <f>'Vessel BQS Report'!G201</f>
        <v/>
      </c>
      <c r="I206" s="1159" t="str">
        <f>'Vessel BQS Report'!H201</f>
        <v/>
      </c>
      <c r="J206" s="1062" t="str">
        <f>'Vessel BQS Report'!I201</f>
        <v/>
      </c>
      <c r="K206" s="1063" t="str">
        <f>'Vessel BQS Report'!J201</f>
        <v/>
      </c>
      <c r="L206" s="1064" t="str">
        <f>'Vessel BQS Report'!L201</f>
        <v/>
      </c>
      <c r="M206" s="1064" t="str">
        <f>'Vessel BQS Report'!O201</f>
        <v/>
      </c>
      <c r="N206" s="1065" t="str">
        <f>'Vessel BQS Report'!M201</f>
        <v/>
      </c>
      <c r="O206" s="1065" t="str">
        <f>'Vessel BQS Report'!P201</f>
        <v/>
      </c>
      <c r="P206" s="1064" t="str">
        <f>'Vessel BQS Report'!Q201</f>
        <v/>
      </c>
      <c r="Q206" s="1044"/>
    </row>
    <row r="207" spans="1:17" hidden="1">
      <c r="A207" s="881" t="str">
        <f>'Vessel BQS Report'!A202</f>
        <v>N</v>
      </c>
      <c r="C207" s="1057" t="str">
        <f>'Vessel BQS Report'!C202</f>
        <v/>
      </c>
      <c r="D207" s="1058" t="str">
        <f>'Vessel BQS Report'!D202</f>
        <v/>
      </c>
      <c r="E207" s="1059" t="str">
        <f>'Vessel BQS Report'!N202</f>
        <v/>
      </c>
      <c r="F207" s="1060" t="str">
        <f>'Vessel BQS Report'!F202</f>
        <v/>
      </c>
      <c r="G207" s="1061" t="str">
        <f>'Vessel BQS Report'!E202</f>
        <v/>
      </c>
      <c r="H207" s="1060" t="str">
        <f>'Vessel BQS Report'!G202</f>
        <v/>
      </c>
      <c r="I207" s="1159" t="str">
        <f>'Vessel BQS Report'!H202</f>
        <v/>
      </c>
      <c r="J207" s="1062" t="str">
        <f>'Vessel BQS Report'!I202</f>
        <v/>
      </c>
      <c r="K207" s="1063" t="str">
        <f>'Vessel BQS Report'!J202</f>
        <v/>
      </c>
      <c r="L207" s="1064" t="str">
        <f>'Vessel BQS Report'!L202</f>
        <v/>
      </c>
      <c r="M207" s="1064" t="str">
        <f>'Vessel BQS Report'!O202</f>
        <v/>
      </c>
      <c r="N207" s="1065" t="str">
        <f>'Vessel BQS Report'!M202</f>
        <v/>
      </c>
      <c r="O207" s="1065" t="str">
        <f>'Vessel BQS Report'!P202</f>
        <v/>
      </c>
      <c r="P207" s="1064" t="str">
        <f>'Vessel BQS Report'!Q202</f>
        <v/>
      </c>
      <c r="Q207" s="1044"/>
    </row>
    <row r="208" spans="1:17" hidden="1">
      <c r="A208" s="881" t="str">
        <f>'Vessel BQS Report'!A203</f>
        <v>N</v>
      </c>
      <c r="C208" s="1057" t="str">
        <f>'Vessel BQS Report'!C203</f>
        <v/>
      </c>
      <c r="D208" s="1058" t="str">
        <f>'Vessel BQS Report'!D203</f>
        <v/>
      </c>
      <c r="E208" s="1059" t="str">
        <f>'Vessel BQS Report'!N203</f>
        <v/>
      </c>
      <c r="F208" s="1060" t="str">
        <f>'Vessel BQS Report'!F203</f>
        <v/>
      </c>
      <c r="G208" s="1061" t="str">
        <f>'Vessel BQS Report'!E203</f>
        <v/>
      </c>
      <c r="H208" s="1060" t="str">
        <f>'Vessel BQS Report'!G203</f>
        <v/>
      </c>
      <c r="I208" s="1159" t="str">
        <f>'Vessel BQS Report'!H203</f>
        <v/>
      </c>
      <c r="J208" s="1062" t="str">
        <f>'Vessel BQS Report'!I203</f>
        <v/>
      </c>
      <c r="K208" s="1063" t="str">
        <f>'Vessel BQS Report'!J203</f>
        <v/>
      </c>
      <c r="L208" s="1064" t="str">
        <f>'Vessel BQS Report'!L203</f>
        <v/>
      </c>
      <c r="M208" s="1064" t="str">
        <f>'Vessel BQS Report'!O203</f>
        <v/>
      </c>
      <c r="N208" s="1065" t="str">
        <f>'Vessel BQS Report'!M203</f>
        <v/>
      </c>
      <c r="O208" s="1065" t="str">
        <f>'Vessel BQS Report'!P203</f>
        <v/>
      </c>
      <c r="P208" s="1064" t="str">
        <f>'Vessel BQS Report'!Q203</f>
        <v/>
      </c>
      <c r="Q208" s="1044"/>
    </row>
    <row r="209" spans="1:17" hidden="1">
      <c r="A209" s="881" t="str">
        <f>'Vessel BQS Report'!A204</f>
        <v>N</v>
      </c>
      <c r="C209" s="1057" t="str">
        <f>'Vessel BQS Report'!C204</f>
        <v/>
      </c>
      <c r="D209" s="1058" t="str">
        <f>'Vessel BQS Report'!D204</f>
        <v/>
      </c>
      <c r="E209" s="1059" t="str">
        <f>'Vessel BQS Report'!N204</f>
        <v/>
      </c>
      <c r="F209" s="1060" t="str">
        <f>'Vessel BQS Report'!F204</f>
        <v/>
      </c>
      <c r="G209" s="1061" t="str">
        <f>'Vessel BQS Report'!E204</f>
        <v/>
      </c>
      <c r="H209" s="1060" t="str">
        <f>'Vessel BQS Report'!G204</f>
        <v/>
      </c>
      <c r="I209" s="1159" t="str">
        <f>'Vessel BQS Report'!H204</f>
        <v/>
      </c>
      <c r="J209" s="1062" t="str">
        <f>'Vessel BQS Report'!I204</f>
        <v/>
      </c>
      <c r="K209" s="1063" t="str">
        <f>'Vessel BQS Report'!J204</f>
        <v/>
      </c>
      <c r="L209" s="1064" t="str">
        <f>'Vessel BQS Report'!L204</f>
        <v/>
      </c>
      <c r="M209" s="1064" t="str">
        <f>'Vessel BQS Report'!O204</f>
        <v/>
      </c>
      <c r="N209" s="1065" t="str">
        <f>'Vessel BQS Report'!M204</f>
        <v/>
      </c>
      <c r="O209" s="1065" t="str">
        <f>'Vessel BQS Report'!P204</f>
        <v/>
      </c>
      <c r="P209" s="1064" t="str">
        <f>'Vessel BQS Report'!Q204</f>
        <v/>
      </c>
      <c r="Q209" s="1044"/>
    </row>
    <row r="210" spans="1:17" hidden="1">
      <c r="A210" s="881" t="str">
        <f>'Vessel BQS Report'!A205</f>
        <v>N</v>
      </c>
      <c r="C210" s="1057" t="str">
        <f>'Vessel BQS Report'!C205</f>
        <v/>
      </c>
      <c r="D210" s="1058" t="str">
        <f>'Vessel BQS Report'!D205</f>
        <v/>
      </c>
      <c r="E210" s="1059" t="str">
        <f>'Vessel BQS Report'!N205</f>
        <v/>
      </c>
      <c r="F210" s="1060" t="str">
        <f>'Vessel BQS Report'!F205</f>
        <v/>
      </c>
      <c r="G210" s="1061" t="str">
        <f>'Vessel BQS Report'!E205</f>
        <v/>
      </c>
      <c r="H210" s="1060" t="str">
        <f>'Vessel BQS Report'!G205</f>
        <v/>
      </c>
      <c r="I210" s="1159" t="str">
        <f>'Vessel BQS Report'!H205</f>
        <v/>
      </c>
      <c r="J210" s="1062" t="str">
        <f>'Vessel BQS Report'!I205</f>
        <v/>
      </c>
      <c r="K210" s="1063" t="str">
        <f>'Vessel BQS Report'!J205</f>
        <v/>
      </c>
      <c r="L210" s="1064" t="str">
        <f>'Vessel BQS Report'!L205</f>
        <v/>
      </c>
      <c r="M210" s="1064" t="str">
        <f>'Vessel BQS Report'!O205</f>
        <v/>
      </c>
      <c r="N210" s="1065" t="str">
        <f>'Vessel BQS Report'!M205</f>
        <v/>
      </c>
      <c r="O210" s="1065" t="str">
        <f>'Vessel BQS Report'!P205</f>
        <v/>
      </c>
      <c r="P210" s="1064" t="str">
        <f>'Vessel BQS Report'!Q205</f>
        <v/>
      </c>
      <c r="Q210" s="1044"/>
    </row>
    <row r="211" spans="1:17" hidden="1">
      <c r="A211" s="881" t="str">
        <f>'Vessel BQS Report'!A206</f>
        <v>N</v>
      </c>
      <c r="C211" s="1057" t="str">
        <f>'Vessel BQS Report'!C206</f>
        <v/>
      </c>
      <c r="D211" s="1058" t="str">
        <f>'Vessel BQS Report'!D206</f>
        <v/>
      </c>
      <c r="E211" s="1059" t="str">
        <f>'Vessel BQS Report'!N206</f>
        <v/>
      </c>
      <c r="F211" s="1060" t="str">
        <f>'Vessel BQS Report'!F206</f>
        <v/>
      </c>
      <c r="G211" s="1061" t="str">
        <f>'Vessel BQS Report'!E206</f>
        <v/>
      </c>
      <c r="H211" s="1060" t="str">
        <f>'Vessel BQS Report'!G206</f>
        <v/>
      </c>
      <c r="I211" s="1159" t="str">
        <f>'Vessel BQS Report'!H206</f>
        <v/>
      </c>
      <c r="J211" s="1062" t="str">
        <f>'Vessel BQS Report'!I206</f>
        <v/>
      </c>
      <c r="K211" s="1063" t="str">
        <f>'Vessel BQS Report'!J206</f>
        <v/>
      </c>
      <c r="L211" s="1064" t="str">
        <f>'Vessel BQS Report'!L206</f>
        <v/>
      </c>
      <c r="M211" s="1064" t="str">
        <f>'Vessel BQS Report'!O206</f>
        <v/>
      </c>
      <c r="N211" s="1065" t="str">
        <f>'Vessel BQS Report'!M206</f>
        <v/>
      </c>
      <c r="O211" s="1065" t="str">
        <f>'Vessel BQS Report'!P206</f>
        <v/>
      </c>
      <c r="P211" s="1064" t="str">
        <f>'Vessel BQS Report'!Q206</f>
        <v/>
      </c>
      <c r="Q211" s="1044"/>
    </row>
    <row r="212" spans="1:17" hidden="1">
      <c r="A212" s="881" t="str">
        <f>'Vessel BQS Report'!A207</f>
        <v>N</v>
      </c>
      <c r="C212" s="1057" t="str">
        <f>'Vessel BQS Report'!C207</f>
        <v/>
      </c>
      <c r="D212" s="1058" t="str">
        <f>'Vessel BQS Report'!D207</f>
        <v/>
      </c>
      <c r="E212" s="1059" t="str">
        <f>'Vessel BQS Report'!N207</f>
        <v/>
      </c>
      <c r="F212" s="1060" t="str">
        <f>'Vessel BQS Report'!F207</f>
        <v/>
      </c>
      <c r="G212" s="1061" t="str">
        <f>'Vessel BQS Report'!E207</f>
        <v/>
      </c>
      <c r="H212" s="1060" t="str">
        <f>'Vessel BQS Report'!G207</f>
        <v/>
      </c>
      <c r="I212" s="1159" t="str">
        <f>'Vessel BQS Report'!H207</f>
        <v/>
      </c>
      <c r="J212" s="1062" t="str">
        <f>'Vessel BQS Report'!I207</f>
        <v/>
      </c>
      <c r="K212" s="1063" t="str">
        <f>'Vessel BQS Report'!J207</f>
        <v/>
      </c>
      <c r="L212" s="1064" t="str">
        <f>'Vessel BQS Report'!L207</f>
        <v/>
      </c>
      <c r="M212" s="1064" t="str">
        <f>'Vessel BQS Report'!O207</f>
        <v/>
      </c>
      <c r="N212" s="1065" t="str">
        <f>'Vessel BQS Report'!M207</f>
        <v/>
      </c>
      <c r="O212" s="1065" t="str">
        <f>'Vessel BQS Report'!P207</f>
        <v/>
      </c>
      <c r="P212" s="1064" t="str">
        <f>'Vessel BQS Report'!Q207</f>
        <v/>
      </c>
      <c r="Q212" s="1044"/>
    </row>
    <row r="213" spans="1:17" hidden="1">
      <c r="A213" s="881" t="str">
        <f>'Vessel BQS Report'!A208</f>
        <v>N</v>
      </c>
      <c r="C213" s="1057" t="str">
        <f>'Vessel BQS Report'!C208</f>
        <v/>
      </c>
      <c r="D213" s="1058" t="str">
        <f>'Vessel BQS Report'!D208</f>
        <v/>
      </c>
      <c r="E213" s="1059" t="str">
        <f>'Vessel BQS Report'!N208</f>
        <v/>
      </c>
      <c r="F213" s="1060" t="str">
        <f>'Vessel BQS Report'!F208</f>
        <v/>
      </c>
      <c r="G213" s="1061" t="str">
        <f>'Vessel BQS Report'!E208</f>
        <v/>
      </c>
      <c r="H213" s="1060" t="str">
        <f>'Vessel BQS Report'!G208</f>
        <v/>
      </c>
      <c r="I213" s="1159" t="str">
        <f>'Vessel BQS Report'!H208</f>
        <v/>
      </c>
      <c r="J213" s="1062" t="str">
        <f>'Vessel BQS Report'!I208</f>
        <v/>
      </c>
      <c r="K213" s="1063" t="str">
        <f>'Vessel BQS Report'!J208</f>
        <v/>
      </c>
      <c r="L213" s="1064" t="str">
        <f>'Vessel BQS Report'!L208</f>
        <v/>
      </c>
      <c r="M213" s="1064" t="str">
        <f>'Vessel BQS Report'!O208</f>
        <v/>
      </c>
      <c r="N213" s="1065" t="str">
        <f>'Vessel BQS Report'!M208</f>
        <v/>
      </c>
      <c r="O213" s="1065" t="str">
        <f>'Vessel BQS Report'!P208</f>
        <v/>
      </c>
      <c r="P213" s="1064" t="str">
        <f>'Vessel BQS Report'!Q208</f>
        <v/>
      </c>
      <c r="Q213" s="1044"/>
    </row>
    <row r="214" spans="1:17" hidden="1">
      <c r="A214" s="881" t="str">
        <f>'Vessel BQS Report'!A209</f>
        <v>N</v>
      </c>
      <c r="C214" s="1057" t="str">
        <f>'Vessel BQS Report'!C209</f>
        <v/>
      </c>
      <c r="D214" s="1058" t="str">
        <f>'Vessel BQS Report'!D209</f>
        <v/>
      </c>
      <c r="E214" s="1059" t="str">
        <f>'Vessel BQS Report'!N209</f>
        <v/>
      </c>
      <c r="F214" s="1060" t="str">
        <f>'Vessel BQS Report'!F209</f>
        <v/>
      </c>
      <c r="G214" s="1061" t="str">
        <f>'Vessel BQS Report'!E209</f>
        <v/>
      </c>
      <c r="H214" s="1060" t="str">
        <f>'Vessel BQS Report'!G209</f>
        <v/>
      </c>
      <c r="I214" s="1159" t="str">
        <f>'Vessel BQS Report'!H209</f>
        <v/>
      </c>
      <c r="J214" s="1062" t="str">
        <f>'Vessel BQS Report'!I209</f>
        <v/>
      </c>
      <c r="K214" s="1063" t="str">
        <f>'Vessel BQS Report'!J209</f>
        <v/>
      </c>
      <c r="L214" s="1064" t="str">
        <f>'Vessel BQS Report'!L209</f>
        <v/>
      </c>
      <c r="M214" s="1064" t="str">
        <f>'Vessel BQS Report'!O209</f>
        <v/>
      </c>
      <c r="N214" s="1065" t="str">
        <f>'Vessel BQS Report'!M209</f>
        <v/>
      </c>
      <c r="O214" s="1065" t="str">
        <f>'Vessel BQS Report'!P209</f>
        <v/>
      </c>
      <c r="P214" s="1064" t="str">
        <f>'Vessel BQS Report'!Q209</f>
        <v/>
      </c>
      <c r="Q214" s="1044"/>
    </row>
    <row r="215" spans="1:17" hidden="1">
      <c r="A215" s="881" t="str">
        <f>'Vessel BQS Report'!A210</f>
        <v>N</v>
      </c>
      <c r="C215" s="1057" t="str">
        <f>'Vessel BQS Report'!C210</f>
        <v/>
      </c>
      <c r="D215" s="1058" t="str">
        <f>'Vessel BQS Report'!D210</f>
        <v/>
      </c>
      <c r="E215" s="1059" t="str">
        <f>'Vessel BQS Report'!N210</f>
        <v/>
      </c>
      <c r="F215" s="1060" t="str">
        <f>'Vessel BQS Report'!F210</f>
        <v/>
      </c>
      <c r="G215" s="1061" t="str">
        <f>'Vessel BQS Report'!E210</f>
        <v/>
      </c>
      <c r="H215" s="1060" t="str">
        <f>'Vessel BQS Report'!G210</f>
        <v/>
      </c>
      <c r="I215" s="1159" t="str">
        <f>'Vessel BQS Report'!H210</f>
        <v/>
      </c>
      <c r="J215" s="1062" t="str">
        <f>'Vessel BQS Report'!I210</f>
        <v/>
      </c>
      <c r="K215" s="1063" t="str">
        <f>'Vessel BQS Report'!J210</f>
        <v/>
      </c>
      <c r="L215" s="1064" t="str">
        <f>'Vessel BQS Report'!L210</f>
        <v/>
      </c>
      <c r="M215" s="1064" t="str">
        <f>'Vessel BQS Report'!O210</f>
        <v/>
      </c>
      <c r="N215" s="1065" t="str">
        <f>'Vessel BQS Report'!M210</f>
        <v/>
      </c>
      <c r="O215" s="1065" t="str">
        <f>'Vessel BQS Report'!P210</f>
        <v/>
      </c>
      <c r="P215" s="1064" t="str">
        <f>'Vessel BQS Report'!Q210</f>
        <v/>
      </c>
      <c r="Q215" s="1044"/>
    </row>
    <row r="216" spans="1:17" hidden="1">
      <c r="A216" s="881" t="str">
        <f>'Vessel BQS Report'!A211</f>
        <v>N</v>
      </c>
      <c r="C216" s="1057" t="str">
        <f>'Vessel BQS Report'!C211</f>
        <v/>
      </c>
      <c r="D216" s="1058" t="str">
        <f>'Vessel BQS Report'!D211</f>
        <v/>
      </c>
      <c r="E216" s="1059" t="str">
        <f>'Vessel BQS Report'!N211</f>
        <v/>
      </c>
      <c r="F216" s="1060" t="str">
        <f>'Vessel BQS Report'!F211</f>
        <v/>
      </c>
      <c r="G216" s="1061" t="str">
        <f>'Vessel BQS Report'!E211</f>
        <v/>
      </c>
      <c r="H216" s="1060" t="str">
        <f>'Vessel BQS Report'!G211</f>
        <v/>
      </c>
      <c r="I216" s="1159" t="str">
        <f>'Vessel BQS Report'!H211</f>
        <v/>
      </c>
      <c r="J216" s="1062" t="str">
        <f>'Vessel BQS Report'!I211</f>
        <v/>
      </c>
      <c r="K216" s="1063" t="str">
        <f>'Vessel BQS Report'!J211</f>
        <v/>
      </c>
      <c r="L216" s="1064" t="str">
        <f>'Vessel BQS Report'!L211</f>
        <v/>
      </c>
      <c r="M216" s="1064" t="str">
        <f>'Vessel BQS Report'!O211</f>
        <v/>
      </c>
      <c r="N216" s="1065" t="str">
        <f>'Vessel BQS Report'!M211</f>
        <v/>
      </c>
      <c r="O216" s="1065" t="str">
        <f>'Vessel BQS Report'!P211</f>
        <v/>
      </c>
      <c r="P216" s="1064" t="str">
        <f>'Vessel BQS Report'!Q211</f>
        <v/>
      </c>
      <c r="Q216" s="1044"/>
    </row>
    <row r="217" spans="1:17" hidden="1">
      <c r="A217" s="881" t="str">
        <f>'Vessel BQS Report'!A212</f>
        <v>N</v>
      </c>
      <c r="C217" s="1057" t="str">
        <f>'Vessel BQS Report'!C212</f>
        <v/>
      </c>
      <c r="D217" s="1058" t="str">
        <f>'Vessel BQS Report'!D212</f>
        <v/>
      </c>
      <c r="E217" s="1059" t="str">
        <f>'Vessel BQS Report'!N212</f>
        <v/>
      </c>
      <c r="F217" s="1060" t="str">
        <f>'Vessel BQS Report'!F212</f>
        <v/>
      </c>
      <c r="G217" s="1061" t="str">
        <f>'Vessel BQS Report'!E212</f>
        <v/>
      </c>
      <c r="H217" s="1060" t="str">
        <f>'Vessel BQS Report'!G212</f>
        <v/>
      </c>
      <c r="I217" s="1159" t="str">
        <f>'Vessel BQS Report'!H212</f>
        <v/>
      </c>
      <c r="J217" s="1062" t="str">
        <f>'Vessel BQS Report'!I212</f>
        <v/>
      </c>
      <c r="K217" s="1063" t="str">
        <f>'Vessel BQS Report'!J212</f>
        <v/>
      </c>
      <c r="L217" s="1064" t="str">
        <f>'Vessel BQS Report'!L212</f>
        <v/>
      </c>
      <c r="M217" s="1064" t="str">
        <f>'Vessel BQS Report'!O212</f>
        <v/>
      </c>
      <c r="N217" s="1065" t="str">
        <f>'Vessel BQS Report'!M212</f>
        <v/>
      </c>
      <c r="O217" s="1065" t="str">
        <f>'Vessel BQS Report'!P212</f>
        <v/>
      </c>
      <c r="P217" s="1064" t="str">
        <f>'Vessel BQS Report'!Q212</f>
        <v/>
      </c>
      <c r="Q217" s="1044"/>
    </row>
    <row r="218" spans="1:17" hidden="1">
      <c r="A218" s="881" t="str">
        <f>'Vessel BQS Report'!A213</f>
        <v>N</v>
      </c>
      <c r="C218" s="1057" t="str">
        <f>'Vessel BQS Report'!C213</f>
        <v/>
      </c>
      <c r="D218" s="1058" t="str">
        <f>'Vessel BQS Report'!D213</f>
        <v/>
      </c>
      <c r="E218" s="1059" t="str">
        <f>'Vessel BQS Report'!N213</f>
        <v/>
      </c>
      <c r="F218" s="1060" t="str">
        <f>'Vessel BQS Report'!F213</f>
        <v/>
      </c>
      <c r="G218" s="1061" t="str">
        <f>'Vessel BQS Report'!E213</f>
        <v/>
      </c>
      <c r="H218" s="1060" t="str">
        <f>'Vessel BQS Report'!G213</f>
        <v/>
      </c>
      <c r="I218" s="1159" t="str">
        <f>'Vessel BQS Report'!H213</f>
        <v/>
      </c>
      <c r="J218" s="1062" t="str">
        <f>'Vessel BQS Report'!I213</f>
        <v/>
      </c>
      <c r="K218" s="1063" t="str">
        <f>'Vessel BQS Report'!J213</f>
        <v/>
      </c>
      <c r="L218" s="1064" t="str">
        <f>'Vessel BQS Report'!L213</f>
        <v/>
      </c>
      <c r="M218" s="1064" t="str">
        <f>'Vessel BQS Report'!O213</f>
        <v/>
      </c>
      <c r="N218" s="1065" t="str">
        <f>'Vessel BQS Report'!M213</f>
        <v/>
      </c>
      <c r="O218" s="1065" t="str">
        <f>'Vessel BQS Report'!P213</f>
        <v/>
      </c>
      <c r="P218" s="1064" t="str">
        <f>'Vessel BQS Report'!Q213</f>
        <v/>
      </c>
      <c r="Q218" s="1044"/>
    </row>
    <row r="219" spans="1:17" hidden="1">
      <c r="A219" s="881" t="str">
        <f>'Vessel BQS Report'!A214</f>
        <v>N</v>
      </c>
      <c r="C219" s="1057" t="str">
        <f>'Vessel BQS Report'!C214</f>
        <v/>
      </c>
      <c r="D219" s="1058" t="str">
        <f>'Vessel BQS Report'!D214</f>
        <v/>
      </c>
      <c r="E219" s="1059" t="str">
        <f>'Vessel BQS Report'!N214</f>
        <v/>
      </c>
      <c r="F219" s="1060" t="str">
        <f>'Vessel BQS Report'!F214</f>
        <v/>
      </c>
      <c r="G219" s="1061" t="str">
        <f>'Vessel BQS Report'!E214</f>
        <v/>
      </c>
      <c r="H219" s="1060" t="str">
        <f>'Vessel BQS Report'!G214</f>
        <v/>
      </c>
      <c r="I219" s="1159" t="str">
        <f>'Vessel BQS Report'!H214</f>
        <v/>
      </c>
      <c r="J219" s="1062" t="str">
        <f>'Vessel BQS Report'!I214</f>
        <v/>
      </c>
      <c r="K219" s="1063" t="str">
        <f>'Vessel BQS Report'!J214</f>
        <v/>
      </c>
      <c r="L219" s="1064" t="str">
        <f>'Vessel BQS Report'!L214</f>
        <v/>
      </c>
      <c r="M219" s="1064" t="str">
        <f>'Vessel BQS Report'!O214</f>
        <v/>
      </c>
      <c r="N219" s="1065" t="str">
        <f>'Vessel BQS Report'!M214</f>
        <v/>
      </c>
      <c r="O219" s="1065" t="str">
        <f>'Vessel BQS Report'!P214</f>
        <v/>
      </c>
      <c r="P219" s="1064" t="str">
        <f>'Vessel BQS Report'!Q214</f>
        <v/>
      </c>
      <c r="Q219" s="1044"/>
    </row>
    <row r="220" spans="1:17" hidden="1">
      <c r="A220" s="881" t="str">
        <f>'Vessel BQS Report'!A215</f>
        <v>N</v>
      </c>
      <c r="C220" s="1057" t="str">
        <f>'Vessel BQS Report'!C215</f>
        <v/>
      </c>
      <c r="D220" s="1058" t="str">
        <f>'Vessel BQS Report'!D215</f>
        <v/>
      </c>
      <c r="E220" s="1059" t="str">
        <f>'Vessel BQS Report'!N215</f>
        <v/>
      </c>
      <c r="F220" s="1060" t="str">
        <f>'Vessel BQS Report'!F215</f>
        <v/>
      </c>
      <c r="G220" s="1061" t="str">
        <f>'Vessel BQS Report'!E215</f>
        <v/>
      </c>
      <c r="H220" s="1060" t="str">
        <f>'Vessel BQS Report'!G215</f>
        <v/>
      </c>
      <c r="I220" s="1159" t="str">
        <f>'Vessel BQS Report'!H215</f>
        <v/>
      </c>
      <c r="J220" s="1062" t="str">
        <f>'Vessel BQS Report'!I215</f>
        <v/>
      </c>
      <c r="K220" s="1063" t="str">
        <f>'Vessel BQS Report'!J215</f>
        <v/>
      </c>
      <c r="L220" s="1064" t="str">
        <f>'Vessel BQS Report'!L215</f>
        <v/>
      </c>
      <c r="M220" s="1064" t="str">
        <f>'Vessel BQS Report'!O215</f>
        <v/>
      </c>
      <c r="N220" s="1065" t="str">
        <f>'Vessel BQS Report'!M215</f>
        <v/>
      </c>
      <c r="O220" s="1065" t="str">
        <f>'Vessel BQS Report'!P215</f>
        <v/>
      </c>
      <c r="P220" s="1064" t="str">
        <f>'Vessel BQS Report'!Q215</f>
        <v/>
      </c>
      <c r="Q220" s="1044"/>
    </row>
    <row r="221" spans="1:17" hidden="1">
      <c r="A221" s="881" t="str">
        <f>'Vessel BQS Report'!A216</f>
        <v>N</v>
      </c>
      <c r="C221" s="1057" t="str">
        <f>'Vessel BQS Report'!C216</f>
        <v/>
      </c>
      <c r="D221" s="1058" t="str">
        <f>'Vessel BQS Report'!D216</f>
        <v/>
      </c>
      <c r="E221" s="1059" t="str">
        <f>'Vessel BQS Report'!N216</f>
        <v/>
      </c>
      <c r="F221" s="1060" t="str">
        <f>'Vessel BQS Report'!F216</f>
        <v/>
      </c>
      <c r="G221" s="1061" t="str">
        <f>'Vessel BQS Report'!E216</f>
        <v/>
      </c>
      <c r="H221" s="1060" t="str">
        <f>'Vessel BQS Report'!G216</f>
        <v/>
      </c>
      <c r="I221" s="1159" t="str">
        <f>'Vessel BQS Report'!H216</f>
        <v/>
      </c>
      <c r="J221" s="1062" t="str">
        <f>'Vessel BQS Report'!I216</f>
        <v/>
      </c>
      <c r="K221" s="1063" t="str">
        <f>'Vessel BQS Report'!J216</f>
        <v/>
      </c>
      <c r="L221" s="1064" t="str">
        <f>'Vessel BQS Report'!L216</f>
        <v/>
      </c>
      <c r="M221" s="1064" t="str">
        <f>'Vessel BQS Report'!O216</f>
        <v/>
      </c>
      <c r="N221" s="1065" t="str">
        <f>'Vessel BQS Report'!M216</f>
        <v/>
      </c>
      <c r="O221" s="1065" t="str">
        <f>'Vessel BQS Report'!P216</f>
        <v/>
      </c>
      <c r="P221" s="1064" t="str">
        <f>'Vessel BQS Report'!Q216</f>
        <v/>
      </c>
      <c r="Q221" s="1044"/>
    </row>
    <row r="222" spans="1:17" hidden="1">
      <c r="A222" s="881" t="str">
        <f>'Vessel BQS Report'!A217</f>
        <v>N</v>
      </c>
      <c r="C222" s="1057" t="str">
        <f>'Vessel BQS Report'!C217</f>
        <v/>
      </c>
      <c r="D222" s="1058" t="str">
        <f>'Vessel BQS Report'!D217</f>
        <v/>
      </c>
      <c r="E222" s="1059" t="str">
        <f>'Vessel BQS Report'!N217</f>
        <v/>
      </c>
      <c r="F222" s="1060" t="str">
        <f>'Vessel BQS Report'!F217</f>
        <v/>
      </c>
      <c r="G222" s="1061" t="str">
        <f>'Vessel BQS Report'!E217</f>
        <v/>
      </c>
      <c r="H222" s="1060" t="str">
        <f>'Vessel BQS Report'!G217</f>
        <v/>
      </c>
      <c r="I222" s="1159" t="str">
        <f>'Vessel BQS Report'!H217</f>
        <v/>
      </c>
      <c r="J222" s="1062" t="str">
        <f>'Vessel BQS Report'!I217</f>
        <v/>
      </c>
      <c r="K222" s="1063" t="str">
        <f>'Vessel BQS Report'!J217</f>
        <v/>
      </c>
      <c r="L222" s="1064" t="str">
        <f>'Vessel BQS Report'!L217</f>
        <v/>
      </c>
      <c r="M222" s="1064" t="str">
        <f>'Vessel BQS Report'!O217</f>
        <v/>
      </c>
      <c r="N222" s="1065" t="str">
        <f>'Vessel BQS Report'!M217</f>
        <v/>
      </c>
      <c r="O222" s="1065" t="str">
        <f>'Vessel BQS Report'!P217</f>
        <v/>
      </c>
      <c r="P222" s="1064" t="str">
        <f>'Vessel BQS Report'!Q217</f>
        <v/>
      </c>
      <c r="Q222" s="1044"/>
    </row>
    <row r="223" spans="1:17" hidden="1">
      <c r="A223" s="881" t="str">
        <f>'Vessel BQS Report'!A218</f>
        <v>N</v>
      </c>
      <c r="C223" s="1066" t="str">
        <f>'Vessel BQS Report'!C218</f>
        <v/>
      </c>
      <c r="D223" s="1067" t="str">
        <f>'Vessel BQS Report'!D218</f>
        <v/>
      </c>
      <c r="E223" s="1068" t="str">
        <f>'Vessel BQS Report'!N218</f>
        <v/>
      </c>
      <c r="F223" s="1069" t="str">
        <f>'Vessel BQS Report'!F218</f>
        <v/>
      </c>
      <c r="G223" s="1070" t="str">
        <f>'Vessel BQS Report'!E218</f>
        <v/>
      </c>
      <c r="H223" s="1069" t="str">
        <f>'Vessel BQS Report'!G218</f>
        <v/>
      </c>
      <c r="I223" s="1160" t="str">
        <f>'Vessel BQS Report'!H218</f>
        <v/>
      </c>
      <c r="J223" s="1071" t="str">
        <f>'Vessel BQS Report'!I218</f>
        <v/>
      </c>
      <c r="K223" s="1072" t="str">
        <f>'Vessel BQS Report'!J218</f>
        <v/>
      </c>
      <c r="L223" s="1073" t="str">
        <f>'Vessel BQS Report'!L218</f>
        <v/>
      </c>
      <c r="M223" s="1073" t="str">
        <f>'Vessel BQS Report'!O218</f>
        <v/>
      </c>
      <c r="N223" s="1074" t="str">
        <f>'Vessel BQS Report'!M218</f>
        <v/>
      </c>
      <c r="O223" s="1074" t="str">
        <f>'Vessel BQS Report'!P218</f>
        <v/>
      </c>
      <c r="P223" s="1073" t="str">
        <f>'Vessel BQS Report'!Q218</f>
        <v/>
      </c>
      <c r="Q223" s="1044"/>
    </row>
    <row r="224" spans="1:17" hidden="1">
      <c r="A224" s="881" t="s">
        <v>270</v>
      </c>
      <c r="C224" s="1118"/>
      <c r="D224" s="1075"/>
      <c r="E224" s="1076"/>
      <c r="F224" s="1077"/>
      <c r="G224" s="1077"/>
      <c r="H224" s="1078"/>
      <c r="I224" s="1078"/>
      <c r="J224" s="1078"/>
      <c r="K224" s="1077"/>
      <c r="L224" s="1079"/>
      <c r="M224" s="2957" t="s">
        <v>801</v>
      </c>
      <c r="N224" s="2957"/>
      <c r="O224" s="2958">
        <f>SUM(P204:P223)</f>
        <v>0</v>
      </c>
      <c r="P224" s="2958"/>
      <c r="Q224" s="1044"/>
    </row>
    <row r="225" spans="1:17" s="1046" customFormat="1" ht="5.25" hidden="1">
      <c r="A225" s="1046" t="s">
        <v>270</v>
      </c>
      <c r="C225" s="1108"/>
      <c r="D225" s="1109"/>
      <c r="E225" s="1110"/>
      <c r="F225" s="1111"/>
      <c r="G225" s="1111"/>
      <c r="H225" s="1112"/>
      <c r="I225" s="1113"/>
      <c r="J225" s="1113"/>
      <c r="K225" s="1114"/>
      <c r="L225" s="1115"/>
      <c r="M225" s="1115"/>
      <c r="N225" s="1116"/>
      <c r="O225" s="1117"/>
      <c r="P225" s="1115"/>
      <c r="Q225" s="1045"/>
    </row>
    <row r="226" spans="1:17" hidden="1">
      <c r="A226" s="881" t="s">
        <v>270</v>
      </c>
      <c r="B226" s="881">
        <v>2</v>
      </c>
      <c r="C226" s="2959" t="str">
        <f>'Vessel BQS Report'!C221</f>
        <v>NOMINATED TANKS</v>
      </c>
      <c r="D226" s="2960">
        <f>'Vessel BQS Report'!D221</f>
        <v>0</v>
      </c>
      <c r="E226" s="2960">
        <f>'Vessel BQS Report'!N221</f>
        <v>0</v>
      </c>
      <c r="F226" s="2961">
        <f>'Vessel BQS Report'!F221</f>
        <v>0</v>
      </c>
      <c r="G226" s="2962" t="str">
        <f>'Vessel BQS Report'!E221</f>
        <v>LSFO</v>
      </c>
      <c r="H226" s="2963">
        <f>'Vessel BQS Report'!G221</f>
        <v>0</v>
      </c>
      <c r="I226" s="1051"/>
      <c r="J226" s="1052"/>
      <c r="K226" s="1053"/>
      <c r="L226" s="1054"/>
      <c r="M226" s="1054"/>
      <c r="N226" s="1055"/>
      <c r="O226" s="1056"/>
      <c r="P226" s="1054"/>
      <c r="Q226" s="1044"/>
    </row>
    <row r="227" spans="1:17" hidden="1">
      <c r="A227" s="881" t="str">
        <f>'Vessel BQS Report'!A222</f>
        <v>N</v>
      </c>
      <c r="C227" s="1057" t="str">
        <f>'Vessel BQS Report'!C222</f>
        <v>A FO P</v>
      </c>
      <c r="D227" s="1058" t="str">
        <f>'Vessel BQS Report'!D222</f>
        <v>LSFO</v>
      </c>
      <c r="E227" s="1059">
        <f>'Vessel BQS Report'!N222</f>
        <v>34</v>
      </c>
      <c r="F227" s="1060">
        <f>'Vessel BQS Report'!F222</f>
        <v>17.43</v>
      </c>
      <c r="G227" s="1061">
        <f>'Vessel BQS Report'!E222</f>
        <v>17.43</v>
      </c>
      <c r="H227" s="1060">
        <f>'Vessel BQS Report'!G222</f>
        <v>2.4700000000000002</v>
      </c>
      <c r="I227" s="1159">
        <f>'Vessel BQS Report'!H222</f>
        <v>2.4700000000000002</v>
      </c>
      <c r="J227" s="1062" t="str">
        <f>'Vessel BQS Report'!I222</f>
        <v>S</v>
      </c>
      <c r="K227" s="1063">
        <f>'Vessel BQS Report'!J222</f>
        <v>276</v>
      </c>
      <c r="L227" s="1064">
        <f>'Vessel BQS Report'!L222</f>
        <v>0</v>
      </c>
      <c r="M227" s="1064">
        <f>'Vessel BQS Report'!O222</f>
        <v>276</v>
      </c>
      <c r="N227" s="1065">
        <f>'Vessel BQS Report'!M222</f>
        <v>0.92059894900000006</v>
      </c>
      <c r="O227" s="1065">
        <f>'Vessel BQS Report'!P222</f>
        <v>0.98570000000000002</v>
      </c>
      <c r="P227" s="1064">
        <f>'Vessel BQS Report'!Q222</f>
        <v>272.053</v>
      </c>
      <c r="Q227" s="1044"/>
    </row>
    <row r="228" spans="1:17" hidden="1">
      <c r="A228" s="881" t="str">
        <f>'Vessel BQS Report'!A223</f>
        <v>N</v>
      </c>
      <c r="C228" s="1057" t="str">
        <f>'Vessel BQS Report'!C223</f>
        <v/>
      </c>
      <c r="D228" s="1058" t="str">
        <f>'Vessel BQS Report'!D223</f>
        <v/>
      </c>
      <c r="E228" s="1059" t="str">
        <f>'Vessel BQS Report'!N223</f>
        <v/>
      </c>
      <c r="F228" s="1060" t="str">
        <f>'Vessel BQS Report'!F223</f>
        <v/>
      </c>
      <c r="G228" s="1061" t="str">
        <f>'Vessel BQS Report'!E223</f>
        <v/>
      </c>
      <c r="H228" s="1060" t="str">
        <f>'Vessel BQS Report'!G223</f>
        <v/>
      </c>
      <c r="I228" s="1159" t="str">
        <f>'Vessel BQS Report'!H223</f>
        <v/>
      </c>
      <c r="J228" s="1062" t="str">
        <f>'Vessel BQS Report'!I223</f>
        <v/>
      </c>
      <c r="K228" s="1063" t="str">
        <f>'Vessel BQS Report'!J223</f>
        <v/>
      </c>
      <c r="L228" s="1064" t="str">
        <f>'Vessel BQS Report'!L223</f>
        <v/>
      </c>
      <c r="M228" s="1064" t="str">
        <f>'Vessel BQS Report'!O223</f>
        <v/>
      </c>
      <c r="N228" s="1065" t="str">
        <f>'Vessel BQS Report'!M223</f>
        <v/>
      </c>
      <c r="O228" s="1065" t="str">
        <f>'Vessel BQS Report'!P223</f>
        <v/>
      </c>
      <c r="P228" s="1064" t="str">
        <f>'Vessel BQS Report'!Q223</f>
        <v/>
      </c>
      <c r="Q228" s="1044"/>
    </row>
    <row r="229" spans="1:17" hidden="1">
      <c r="A229" s="881" t="str">
        <f>'Vessel BQS Report'!A224</f>
        <v>N</v>
      </c>
      <c r="C229" s="1057" t="str">
        <f>'Vessel BQS Report'!C224</f>
        <v/>
      </c>
      <c r="D229" s="1058" t="str">
        <f>'Vessel BQS Report'!D224</f>
        <v/>
      </c>
      <c r="E229" s="1059" t="str">
        <f>'Vessel BQS Report'!N224</f>
        <v/>
      </c>
      <c r="F229" s="1060" t="str">
        <f>'Vessel BQS Report'!F224</f>
        <v/>
      </c>
      <c r="G229" s="1061" t="str">
        <f>'Vessel BQS Report'!E224</f>
        <v/>
      </c>
      <c r="H229" s="1060" t="str">
        <f>'Vessel BQS Report'!G224</f>
        <v/>
      </c>
      <c r="I229" s="1159" t="str">
        <f>'Vessel BQS Report'!H224</f>
        <v/>
      </c>
      <c r="J229" s="1062" t="str">
        <f>'Vessel BQS Report'!I224</f>
        <v/>
      </c>
      <c r="K229" s="1063" t="str">
        <f>'Vessel BQS Report'!J224</f>
        <v/>
      </c>
      <c r="L229" s="1064" t="str">
        <f>'Vessel BQS Report'!L224</f>
        <v/>
      </c>
      <c r="M229" s="1064" t="str">
        <f>'Vessel BQS Report'!O224</f>
        <v/>
      </c>
      <c r="N229" s="1065" t="str">
        <f>'Vessel BQS Report'!M224</f>
        <v/>
      </c>
      <c r="O229" s="1065" t="str">
        <f>'Vessel BQS Report'!P224</f>
        <v/>
      </c>
      <c r="P229" s="1064" t="str">
        <f>'Vessel BQS Report'!Q224</f>
        <v/>
      </c>
      <c r="Q229" s="1044"/>
    </row>
    <row r="230" spans="1:17" hidden="1">
      <c r="A230" s="881" t="str">
        <f>'Vessel BQS Report'!A225</f>
        <v>N</v>
      </c>
      <c r="C230" s="1057" t="str">
        <f>'Vessel BQS Report'!C225</f>
        <v/>
      </c>
      <c r="D230" s="1058" t="str">
        <f>'Vessel BQS Report'!D225</f>
        <v/>
      </c>
      <c r="E230" s="1059" t="str">
        <f>'Vessel BQS Report'!N225</f>
        <v/>
      </c>
      <c r="F230" s="1060" t="str">
        <f>'Vessel BQS Report'!F225</f>
        <v/>
      </c>
      <c r="G230" s="1061" t="str">
        <f>'Vessel BQS Report'!E225</f>
        <v/>
      </c>
      <c r="H230" s="1060" t="str">
        <f>'Vessel BQS Report'!G225</f>
        <v/>
      </c>
      <c r="I230" s="1159" t="str">
        <f>'Vessel BQS Report'!H225</f>
        <v/>
      </c>
      <c r="J230" s="1062" t="str">
        <f>'Vessel BQS Report'!I225</f>
        <v/>
      </c>
      <c r="K230" s="1063" t="str">
        <f>'Vessel BQS Report'!J225</f>
        <v/>
      </c>
      <c r="L230" s="1064" t="str">
        <f>'Vessel BQS Report'!L225</f>
        <v/>
      </c>
      <c r="M230" s="1064" t="str">
        <f>'Vessel BQS Report'!O225</f>
        <v/>
      </c>
      <c r="N230" s="1065" t="str">
        <f>'Vessel BQS Report'!M225</f>
        <v/>
      </c>
      <c r="O230" s="1065" t="str">
        <f>'Vessel BQS Report'!P225</f>
        <v/>
      </c>
      <c r="P230" s="1064" t="str">
        <f>'Vessel BQS Report'!Q225</f>
        <v/>
      </c>
      <c r="Q230" s="1044"/>
    </row>
    <row r="231" spans="1:17" hidden="1">
      <c r="A231" s="881" t="str">
        <f>'Vessel BQS Report'!A226</f>
        <v>N</v>
      </c>
      <c r="C231" s="1057" t="str">
        <f>'Vessel BQS Report'!C226</f>
        <v/>
      </c>
      <c r="D231" s="1058" t="str">
        <f>'Vessel BQS Report'!D226</f>
        <v/>
      </c>
      <c r="E231" s="1059" t="str">
        <f>'Vessel BQS Report'!N226</f>
        <v/>
      </c>
      <c r="F231" s="1060" t="str">
        <f>'Vessel BQS Report'!F226</f>
        <v/>
      </c>
      <c r="G231" s="1061" t="str">
        <f>'Vessel BQS Report'!E226</f>
        <v/>
      </c>
      <c r="H231" s="1060" t="str">
        <f>'Vessel BQS Report'!G226</f>
        <v/>
      </c>
      <c r="I231" s="1159" t="str">
        <f>'Vessel BQS Report'!H226</f>
        <v/>
      </c>
      <c r="J231" s="1062" t="str">
        <f>'Vessel BQS Report'!I226</f>
        <v/>
      </c>
      <c r="K231" s="1063" t="str">
        <f>'Vessel BQS Report'!J226</f>
        <v/>
      </c>
      <c r="L231" s="1064" t="str">
        <f>'Vessel BQS Report'!L226</f>
        <v/>
      </c>
      <c r="M231" s="1064" t="str">
        <f>'Vessel BQS Report'!O226</f>
        <v/>
      </c>
      <c r="N231" s="1065" t="str">
        <f>'Vessel BQS Report'!M226</f>
        <v/>
      </c>
      <c r="O231" s="1065" t="str">
        <f>'Vessel BQS Report'!P226</f>
        <v/>
      </c>
      <c r="P231" s="1064" t="str">
        <f>'Vessel BQS Report'!Q226</f>
        <v/>
      </c>
      <c r="Q231" s="1044"/>
    </row>
    <row r="232" spans="1:17" hidden="1">
      <c r="A232" s="881" t="str">
        <f>'Vessel BQS Report'!A227</f>
        <v>N</v>
      </c>
      <c r="C232" s="1057" t="str">
        <f>'Vessel BQS Report'!C227</f>
        <v/>
      </c>
      <c r="D232" s="1058" t="str">
        <f>'Vessel BQS Report'!D227</f>
        <v/>
      </c>
      <c r="E232" s="1059" t="str">
        <f>'Vessel BQS Report'!N227</f>
        <v/>
      </c>
      <c r="F232" s="1060" t="str">
        <f>'Vessel BQS Report'!F227</f>
        <v/>
      </c>
      <c r="G232" s="1061" t="str">
        <f>'Vessel BQS Report'!E227</f>
        <v/>
      </c>
      <c r="H232" s="1060" t="str">
        <f>'Vessel BQS Report'!G227</f>
        <v/>
      </c>
      <c r="I232" s="1159" t="str">
        <f>'Vessel BQS Report'!H227</f>
        <v/>
      </c>
      <c r="J232" s="1062" t="str">
        <f>'Vessel BQS Report'!I227</f>
        <v/>
      </c>
      <c r="K232" s="1063" t="str">
        <f>'Vessel BQS Report'!J227</f>
        <v/>
      </c>
      <c r="L232" s="1064" t="str">
        <f>'Vessel BQS Report'!L227</f>
        <v/>
      </c>
      <c r="M232" s="1064" t="str">
        <f>'Vessel BQS Report'!O227</f>
        <v/>
      </c>
      <c r="N232" s="1065" t="str">
        <f>'Vessel BQS Report'!M227</f>
        <v/>
      </c>
      <c r="O232" s="1065" t="str">
        <f>'Vessel BQS Report'!P227</f>
        <v/>
      </c>
      <c r="P232" s="1064" t="str">
        <f>'Vessel BQS Report'!Q227</f>
        <v/>
      </c>
      <c r="Q232" s="1044"/>
    </row>
    <row r="233" spans="1:17" hidden="1">
      <c r="A233" s="881" t="str">
        <f>'Vessel BQS Report'!A228</f>
        <v>N</v>
      </c>
      <c r="C233" s="1057" t="str">
        <f>'Vessel BQS Report'!C228</f>
        <v/>
      </c>
      <c r="D233" s="1058" t="str">
        <f>'Vessel BQS Report'!D228</f>
        <v/>
      </c>
      <c r="E233" s="1059" t="str">
        <f>'Vessel BQS Report'!N228</f>
        <v/>
      </c>
      <c r="F233" s="1060" t="str">
        <f>'Vessel BQS Report'!F228</f>
        <v/>
      </c>
      <c r="G233" s="1061" t="str">
        <f>'Vessel BQS Report'!E228</f>
        <v/>
      </c>
      <c r="H233" s="1060" t="str">
        <f>'Vessel BQS Report'!G228</f>
        <v/>
      </c>
      <c r="I233" s="1159" t="str">
        <f>'Vessel BQS Report'!H228</f>
        <v/>
      </c>
      <c r="J233" s="1062" t="str">
        <f>'Vessel BQS Report'!I228</f>
        <v/>
      </c>
      <c r="K233" s="1063" t="str">
        <f>'Vessel BQS Report'!J228</f>
        <v/>
      </c>
      <c r="L233" s="1064" t="str">
        <f>'Vessel BQS Report'!L228</f>
        <v/>
      </c>
      <c r="M233" s="1064" t="str">
        <f>'Vessel BQS Report'!O228</f>
        <v/>
      </c>
      <c r="N233" s="1065" t="str">
        <f>'Vessel BQS Report'!M228</f>
        <v/>
      </c>
      <c r="O233" s="1065" t="str">
        <f>'Vessel BQS Report'!P228</f>
        <v/>
      </c>
      <c r="P233" s="1064" t="str">
        <f>'Vessel BQS Report'!Q228</f>
        <v/>
      </c>
      <c r="Q233" s="1044"/>
    </row>
    <row r="234" spans="1:17" hidden="1">
      <c r="A234" s="881" t="str">
        <f>'Vessel BQS Report'!A229</f>
        <v>N</v>
      </c>
      <c r="C234" s="1057" t="str">
        <f>'Vessel BQS Report'!C229</f>
        <v/>
      </c>
      <c r="D234" s="1058" t="str">
        <f>'Vessel BQS Report'!D229</f>
        <v/>
      </c>
      <c r="E234" s="1059" t="str">
        <f>'Vessel BQS Report'!N229</f>
        <v/>
      </c>
      <c r="F234" s="1060" t="str">
        <f>'Vessel BQS Report'!F229</f>
        <v/>
      </c>
      <c r="G234" s="1061" t="str">
        <f>'Vessel BQS Report'!E229</f>
        <v/>
      </c>
      <c r="H234" s="1060" t="str">
        <f>'Vessel BQS Report'!G229</f>
        <v/>
      </c>
      <c r="I234" s="1159" t="str">
        <f>'Vessel BQS Report'!H229</f>
        <v/>
      </c>
      <c r="J234" s="1062" t="str">
        <f>'Vessel BQS Report'!I229</f>
        <v/>
      </c>
      <c r="K234" s="1063" t="str">
        <f>'Vessel BQS Report'!J229</f>
        <v/>
      </c>
      <c r="L234" s="1064" t="str">
        <f>'Vessel BQS Report'!L229</f>
        <v/>
      </c>
      <c r="M234" s="1064" t="str">
        <f>'Vessel BQS Report'!O229</f>
        <v/>
      </c>
      <c r="N234" s="1065" t="str">
        <f>'Vessel BQS Report'!M229</f>
        <v/>
      </c>
      <c r="O234" s="1065" t="str">
        <f>'Vessel BQS Report'!P229</f>
        <v/>
      </c>
      <c r="P234" s="1064" t="str">
        <f>'Vessel BQS Report'!Q229</f>
        <v/>
      </c>
      <c r="Q234" s="1044"/>
    </row>
    <row r="235" spans="1:17" hidden="1">
      <c r="A235" s="881" t="str">
        <f>'Vessel BQS Report'!A230</f>
        <v>N</v>
      </c>
      <c r="C235" s="1057" t="str">
        <f>'Vessel BQS Report'!C230</f>
        <v/>
      </c>
      <c r="D235" s="1058" t="str">
        <f>'Vessel BQS Report'!D230</f>
        <v/>
      </c>
      <c r="E235" s="1059" t="str">
        <f>'Vessel BQS Report'!N230</f>
        <v/>
      </c>
      <c r="F235" s="1060" t="str">
        <f>'Vessel BQS Report'!F230</f>
        <v/>
      </c>
      <c r="G235" s="1061" t="str">
        <f>'Vessel BQS Report'!E230</f>
        <v/>
      </c>
      <c r="H235" s="1060" t="str">
        <f>'Vessel BQS Report'!G230</f>
        <v/>
      </c>
      <c r="I235" s="1159" t="str">
        <f>'Vessel BQS Report'!H230</f>
        <v/>
      </c>
      <c r="J235" s="1062" t="str">
        <f>'Vessel BQS Report'!I230</f>
        <v/>
      </c>
      <c r="K235" s="1063" t="str">
        <f>'Vessel BQS Report'!J230</f>
        <v/>
      </c>
      <c r="L235" s="1064" t="str">
        <f>'Vessel BQS Report'!L230</f>
        <v/>
      </c>
      <c r="M235" s="1064" t="str">
        <f>'Vessel BQS Report'!O230</f>
        <v/>
      </c>
      <c r="N235" s="1065" t="str">
        <f>'Vessel BQS Report'!M230</f>
        <v/>
      </c>
      <c r="O235" s="1065" t="str">
        <f>'Vessel BQS Report'!P230</f>
        <v/>
      </c>
      <c r="P235" s="1064" t="str">
        <f>'Vessel BQS Report'!Q230</f>
        <v/>
      </c>
      <c r="Q235" s="1044"/>
    </row>
    <row r="236" spans="1:17" hidden="1">
      <c r="A236" s="881" t="str">
        <f>'Vessel BQS Report'!A231</f>
        <v>N</v>
      </c>
      <c r="C236" s="1057" t="str">
        <f>'Vessel BQS Report'!C231</f>
        <v/>
      </c>
      <c r="D236" s="1058" t="str">
        <f>'Vessel BQS Report'!D231</f>
        <v/>
      </c>
      <c r="E236" s="1059" t="str">
        <f>'Vessel BQS Report'!N231</f>
        <v/>
      </c>
      <c r="F236" s="1060" t="str">
        <f>'Vessel BQS Report'!F231</f>
        <v/>
      </c>
      <c r="G236" s="1061" t="str">
        <f>'Vessel BQS Report'!E231</f>
        <v/>
      </c>
      <c r="H236" s="1060" t="str">
        <f>'Vessel BQS Report'!G231</f>
        <v/>
      </c>
      <c r="I236" s="1159" t="str">
        <f>'Vessel BQS Report'!H231</f>
        <v/>
      </c>
      <c r="J236" s="1062" t="str">
        <f>'Vessel BQS Report'!I231</f>
        <v/>
      </c>
      <c r="K236" s="1063" t="str">
        <f>'Vessel BQS Report'!J231</f>
        <v/>
      </c>
      <c r="L236" s="1064" t="str">
        <f>'Vessel BQS Report'!L231</f>
        <v/>
      </c>
      <c r="M236" s="1064" t="str">
        <f>'Vessel BQS Report'!O231</f>
        <v/>
      </c>
      <c r="N236" s="1065" t="str">
        <f>'Vessel BQS Report'!M231</f>
        <v/>
      </c>
      <c r="O236" s="1065" t="str">
        <f>'Vessel BQS Report'!P231</f>
        <v/>
      </c>
      <c r="P236" s="1064" t="str">
        <f>'Vessel BQS Report'!Q231</f>
        <v/>
      </c>
      <c r="Q236" s="1044"/>
    </row>
    <row r="237" spans="1:17" hidden="1">
      <c r="A237" s="881" t="str">
        <f>'Vessel BQS Report'!A232</f>
        <v>N</v>
      </c>
      <c r="C237" s="1057" t="str">
        <f>'Vessel BQS Report'!C232</f>
        <v/>
      </c>
      <c r="D237" s="1058" t="str">
        <f>'Vessel BQS Report'!D232</f>
        <v/>
      </c>
      <c r="E237" s="1059" t="str">
        <f>'Vessel BQS Report'!N232</f>
        <v/>
      </c>
      <c r="F237" s="1060" t="str">
        <f>'Vessel BQS Report'!F232</f>
        <v/>
      </c>
      <c r="G237" s="1061" t="str">
        <f>'Vessel BQS Report'!E232</f>
        <v/>
      </c>
      <c r="H237" s="1060" t="str">
        <f>'Vessel BQS Report'!G232</f>
        <v/>
      </c>
      <c r="I237" s="1159" t="str">
        <f>'Vessel BQS Report'!H232</f>
        <v/>
      </c>
      <c r="J237" s="1062" t="str">
        <f>'Vessel BQS Report'!I232</f>
        <v/>
      </c>
      <c r="K237" s="1063" t="str">
        <f>'Vessel BQS Report'!J232</f>
        <v/>
      </c>
      <c r="L237" s="1064" t="str">
        <f>'Vessel BQS Report'!L232</f>
        <v/>
      </c>
      <c r="M237" s="1064" t="str">
        <f>'Vessel BQS Report'!O232</f>
        <v/>
      </c>
      <c r="N237" s="1065" t="str">
        <f>'Vessel BQS Report'!M232</f>
        <v/>
      </c>
      <c r="O237" s="1065" t="str">
        <f>'Vessel BQS Report'!P232</f>
        <v/>
      </c>
      <c r="P237" s="1064" t="str">
        <f>'Vessel BQS Report'!Q232</f>
        <v/>
      </c>
      <c r="Q237" s="1044"/>
    </row>
    <row r="238" spans="1:17" hidden="1">
      <c r="A238" s="881" t="str">
        <f>'Vessel BQS Report'!A233</f>
        <v>N</v>
      </c>
      <c r="C238" s="1057" t="str">
        <f>'Vessel BQS Report'!C233</f>
        <v/>
      </c>
      <c r="D238" s="1058" t="str">
        <f>'Vessel BQS Report'!D233</f>
        <v/>
      </c>
      <c r="E238" s="1059" t="str">
        <f>'Vessel BQS Report'!N233</f>
        <v/>
      </c>
      <c r="F238" s="1060" t="str">
        <f>'Vessel BQS Report'!F233</f>
        <v/>
      </c>
      <c r="G238" s="1061" t="str">
        <f>'Vessel BQS Report'!E233</f>
        <v/>
      </c>
      <c r="H238" s="1060" t="str">
        <f>'Vessel BQS Report'!G233</f>
        <v/>
      </c>
      <c r="I238" s="1159" t="str">
        <f>'Vessel BQS Report'!H233</f>
        <v/>
      </c>
      <c r="J238" s="1062" t="str">
        <f>'Vessel BQS Report'!I233</f>
        <v/>
      </c>
      <c r="K238" s="1063" t="str">
        <f>'Vessel BQS Report'!J233</f>
        <v/>
      </c>
      <c r="L238" s="1064" t="str">
        <f>'Vessel BQS Report'!L233</f>
        <v/>
      </c>
      <c r="M238" s="1064" t="str">
        <f>'Vessel BQS Report'!O233</f>
        <v/>
      </c>
      <c r="N238" s="1065" t="str">
        <f>'Vessel BQS Report'!M233</f>
        <v/>
      </c>
      <c r="O238" s="1065" t="str">
        <f>'Vessel BQS Report'!P233</f>
        <v/>
      </c>
      <c r="P238" s="1064" t="str">
        <f>'Vessel BQS Report'!Q233</f>
        <v/>
      </c>
      <c r="Q238" s="1044"/>
    </row>
    <row r="239" spans="1:17" hidden="1">
      <c r="A239" s="881" t="str">
        <f>'Vessel BQS Report'!A234</f>
        <v>N</v>
      </c>
      <c r="C239" s="1057" t="str">
        <f>'Vessel BQS Report'!C234</f>
        <v/>
      </c>
      <c r="D239" s="1058" t="str">
        <f>'Vessel BQS Report'!D234</f>
        <v/>
      </c>
      <c r="E239" s="1059" t="str">
        <f>'Vessel BQS Report'!N234</f>
        <v/>
      </c>
      <c r="F239" s="1060" t="str">
        <f>'Vessel BQS Report'!F234</f>
        <v/>
      </c>
      <c r="G239" s="1061" t="str">
        <f>'Vessel BQS Report'!E234</f>
        <v/>
      </c>
      <c r="H239" s="1060" t="str">
        <f>'Vessel BQS Report'!G234</f>
        <v/>
      </c>
      <c r="I239" s="1159" t="str">
        <f>'Vessel BQS Report'!H234</f>
        <v/>
      </c>
      <c r="J239" s="1062" t="str">
        <f>'Vessel BQS Report'!I234</f>
        <v/>
      </c>
      <c r="K239" s="1063" t="str">
        <f>'Vessel BQS Report'!J234</f>
        <v/>
      </c>
      <c r="L239" s="1064" t="str">
        <f>'Vessel BQS Report'!L234</f>
        <v/>
      </c>
      <c r="M239" s="1064" t="str">
        <f>'Vessel BQS Report'!O234</f>
        <v/>
      </c>
      <c r="N239" s="1065" t="str">
        <f>'Vessel BQS Report'!M234</f>
        <v/>
      </c>
      <c r="O239" s="1065" t="str">
        <f>'Vessel BQS Report'!P234</f>
        <v/>
      </c>
      <c r="P239" s="1064" t="str">
        <f>'Vessel BQS Report'!Q234</f>
        <v/>
      </c>
      <c r="Q239" s="1044"/>
    </row>
    <row r="240" spans="1:17" hidden="1">
      <c r="A240" s="881" t="str">
        <f>'Vessel BQS Report'!A235</f>
        <v>N</v>
      </c>
      <c r="C240" s="1057" t="str">
        <f>'Vessel BQS Report'!C235</f>
        <v/>
      </c>
      <c r="D240" s="1058" t="str">
        <f>'Vessel BQS Report'!D235</f>
        <v/>
      </c>
      <c r="E240" s="1059" t="str">
        <f>'Vessel BQS Report'!N235</f>
        <v/>
      </c>
      <c r="F240" s="1060" t="str">
        <f>'Vessel BQS Report'!F235</f>
        <v/>
      </c>
      <c r="G240" s="1061" t="str">
        <f>'Vessel BQS Report'!E235</f>
        <v/>
      </c>
      <c r="H240" s="1060" t="str">
        <f>'Vessel BQS Report'!G235</f>
        <v/>
      </c>
      <c r="I240" s="1159" t="str">
        <f>'Vessel BQS Report'!H235</f>
        <v/>
      </c>
      <c r="J240" s="1062" t="str">
        <f>'Vessel BQS Report'!I235</f>
        <v/>
      </c>
      <c r="K240" s="1063" t="str">
        <f>'Vessel BQS Report'!J235</f>
        <v/>
      </c>
      <c r="L240" s="1064" t="str">
        <f>'Vessel BQS Report'!L235</f>
        <v/>
      </c>
      <c r="M240" s="1064" t="str">
        <f>'Vessel BQS Report'!O235</f>
        <v/>
      </c>
      <c r="N240" s="1065" t="str">
        <f>'Vessel BQS Report'!M235</f>
        <v/>
      </c>
      <c r="O240" s="1065" t="str">
        <f>'Vessel BQS Report'!P235</f>
        <v/>
      </c>
      <c r="P240" s="1064" t="str">
        <f>'Vessel BQS Report'!Q235</f>
        <v/>
      </c>
      <c r="Q240" s="1044"/>
    </row>
    <row r="241" spans="1:17" hidden="1">
      <c r="A241" s="881" t="str">
        <f>'Vessel BQS Report'!A236</f>
        <v>N</v>
      </c>
      <c r="C241" s="1057" t="str">
        <f>'Vessel BQS Report'!C236</f>
        <v/>
      </c>
      <c r="D241" s="1058" t="str">
        <f>'Vessel BQS Report'!D236</f>
        <v/>
      </c>
      <c r="E241" s="1059" t="str">
        <f>'Vessel BQS Report'!N236</f>
        <v/>
      </c>
      <c r="F241" s="1060" t="str">
        <f>'Vessel BQS Report'!F236</f>
        <v/>
      </c>
      <c r="G241" s="1061" t="str">
        <f>'Vessel BQS Report'!E236</f>
        <v/>
      </c>
      <c r="H241" s="1060" t="str">
        <f>'Vessel BQS Report'!G236</f>
        <v/>
      </c>
      <c r="I241" s="1159" t="str">
        <f>'Vessel BQS Report'!H236</f>
        <v/>
      </c>
      <c r="J241" s="1062" t="str">
        <f>'Vessel BQS Report'!I236</f>
        <v/>
      </c>
      <c r="K241" s="1063" t="str">
        <f>'Vessel BQS Report'!J236</f>
        <v/>
      </c>
      <c r="L241" s="1064" t="str">
        <f>'Vessel BQS Report'!L236</f>
        <v/>
      </c>
      <c r="M241" s="1064" t="str">
        <f>'Vessel BQS Report'!O236</f>
        <v/>
      </c>
      <c r="N241" s="1065" t="str">
        <f>'Vessel BQS Report'!M236</f>
        <v/>
      </c>
      <c r="O241" s="1065" t="str">
        <f>'Vessel BQS Report'!P236</f>
        <v/>
      </c>
      <c r="P241" s="1064" t="str">
        <f>'Vessel BQS Report'!Q236</f>
        <v/>
      </c>
      <c r="Q241" s="1044"/>
    </row>
    <row r="242" spans="1:17" hidden="1">
      <c r="A242" s="881" t="str">
        <f>'Vessel BQS Report'!A237</f>
        <v>N</v>
      </c>
      <c r="C242" s="1057" t="str">
        <f>'Vessel BQS Report'!C237</f>
        <v/>
      </c>
      <c r="D242" s="1058" t="str">
        <f>'Vessel BQS Report'!D237</f>
        <v/>
      </c>
      <c r="E242" s="1059" t="str">
        <f>'Vessel BQS Report'!N237</f>
        <v/>
      </c>
      <c r="F242" s="1060" t="str">
        <f>'Vessel BQS Report'!F237</f>
        <v/>
      </c>
      <c r="G242" s="1061" t="str">
        <f>'Vessel BQS Report'!E237</f>
        <v/>
      </c>
      <c r="H242" s="1060" t="str">
        <f>'Vessel BQS Report'!G237</f>
        <v/>
      </c>
      <c r="I242" s="1159" t="str">
        <f>'Vessel BQS Report'!H237</f>
        <v/>
      </c>
      <c r="J242" s="1062" t="str">
        <f>'Vessel BQS Report'!I237</f>
        <v/>
      </c>
      <c r="K242" s="1063" t="str">
        <f>'Vessel BQS Report'!J237</f>
        <v/>
      </c>
      <c r="L242" s="1064" t="str">
        <f>'Vessel BQS Report'!L237</f>
        <v/>
      </c>
      <c r="M242" s="1064" t="str">
        <f>'Vessel BQS Report'!O237</f>
        <v/>
      </c>
      <c r="N242" s="1065" t="str">
        <f>'Vessel BQS Report'!M237</f>
        <v/>
      </c>
      <c r="O242" s="1065" t="str">
        <f>'Vessel BQS Report'!P237</f>
        <v/>
      </c>
      <c r="P242" s="1064" t="str">
        <f>'Vessel BQS Report'!Q237</f>
        <v/>
      </c>
      <c r="Q242" s="1044"/>
    </row>
    <row r="243" spans="1:17" hidden="1">
      <c r="A243" s="881" t="str">
        <f>'Vessel BQS Report'!A238</f>
        <v>N</v>
      </c>
      <c r="C243" s="1057" t="str">
        <f>'Vessel BQS Report'!C238</f>
        <v/>
      </c>
      <c r="D243" s="1058" t="str">
        <f>'Vessel BQS Report'!D238</f>
        <v/>
      </c>
      <c r="E243" s="1059" t="str">
        <f>'Vessel BQS Report'!N238</f>
        <v/>
      </c>
      <c r="F243" s="1060" t="str">
        <f>'Vessel BQS Report'!F238</f>
        <v/>
      </c>
      <c r="G243" s="1061" t="str">
        <f>'Vessel BQS Report'!E238</f>
        <v/>
      </c>
      <c r="H243" s="1060" t="str">
        <f>'Vessel BQS Report'!G238</f>
        <v/>
      </c>
      <c r="I243" s="1159" t="str">
        <f>'Vessel BQS Report'!H238</f>
        <v/>
      </c>
      <c r="J243" s="1062" t="str">
        <f>'Vessel BQS Report'!I238</f>
        <v/>
      </c>
      <c r="K243" s="1063" t="str">
        <f>'Vessel BQS Report'!J238</f>
        <v/>
      </c>
      <c r="L243" s="1064" t="str">
        <f>'Vessel BQS Report'!L238</f>
        <v/>
      </c>
      <c r="M243" s="1064" t="str">
        <f>'Vessel BQS Report'!O238</f>
        <v/>
      </c>
      <c r="N243" s="1065" t="str">
        <f>'Vessel BQS Report'!M238</f>
        <v/>
      </c>
      <c r="O243" s="1065" t="str">
        <f>'Vessel BQS Report'!P238</f>
        <v/>
      </c>
      <c r="P243" s="1064" t="str">
        <f>'Vessel BQS Report'!Q238</f>
        <v/>
      </c>
      <c r="Q243" s="1044"/>
    </row>
    <row r="244" spans="1:17" hidden="1">
      <c r="A244" s="881" t="str">
        <f>'Vessel BQS Report'!A239</f>
        <v>N</v>
      </c>
      <c r="C244" s="1057" t="str">
        <f>'Vessel BQS Report'!C239</f>
        <v/>
      </c>
      <c r="D244" s="1058" t="str">
        <f>'Vessel BQS Report'!D239</f>
        <v/>
      </c>
      <c r="E244" s="1059" t="str">
        <f>'Vessel BQS Report'!N239</f>
        <v/>
      </c>
      <c r="F244" s="1060" t="str">
        <f>'Vessel BQS Report'!F239</f>
        <v/>
      </c>
      <c r="G244" s="1061" t="str">
        <f>'Vessel BQS Report'!E239</f>
        <v/>
      </c>
      <c r="H244" s="1060" t="str">
        <f>'Vessel BQS Report'!G239</f>
        <v/>
      </c>
      <c r="I244" s="1159" t="str">
        <f>'Vessel BQS Report'!H239</f>
        <v/>
      </c>
      <c r="J244" s="1062" t="str">
        <f>'Vessel BQS Report'!I239</f>
        <v/>
      </c>
      <c r="K244" s="1063" t="str">
        <f>'Vessel BQS Report'!J239</f>
        <v/>
      </c>
      <c r="L244" s="1064" t="str">
        <f>'Vessel BQS Report'!L239</f>
        <v/>
      </c>
      <c r="M244" s="1064" t="str">
        <f>'Vessel BQS Report'!O239</f>
        <v/>
      </c>
      <c r="N244" s="1065" t="str">
        <f>'Vessel BQS Report'!M239</f>
        <v/>
      </c>
      <c r="O244" s="1065" t="str">
        <f>'Vessel BQS Report'!P239</f>
        <v/>
      </c>
      <c r="P244" s="1064" t="str">
        <f>'Vessel BQS Report'!Q239</f>
        <v/>
      </c>
      <c r="Q244" s="1044"/>
    </row>
    <row r="245" spans="1:17" hidden="1">
      <c r="A245" s="881" t="str">
        <f>'Vessel BQS Report'!A240</f>
        <v>N</v>
      </c>
      <c r="C245" s="1057" t="str">
        <f>'Vessel BQS Report'!C240</f>
        <v/>
      </c>
      <c r="D245" s="1058" t="str">
        <f>'Vessel BQS Report'!D240</f>
        <v/>
      </c>
      <c r="E245" s="1059" t="str">
        <f>'Vessel BQS Report'!N240</f>
        <v/>
      </c>
      <c r="F245" s="1060" t="str">
        <f>'Vessel BQS Report'!F240</f>
        <v/>
      </c>
      <c r="G245" s="1061" t="str">
        <f>'Vessel BQS Report'!E240</f>
        <v/>
      </c>
      <c r="H245" s="1060" t="str">
        <f>'Vessel BQS Report'!G240</f>
        <v/>
      </c>
      <c r="I245" s="1159" t="str">
        <f>'Vessel BQS Report'!H240</f>
        <v/>
      </c>
      <c r="J245" s="1062" t="str">
        <f>'Vessel BQS Report'!I240</f>
        <v/>
      </c>
      <c r="K245" s="1063" t="str">
        <f>'Vessel BQS Report'!J240</f>
        <v/>
      </c>
      <c r="L245" s="1064" t="str">
        <f>'Vessel BQS Report'!L240</f>
        <v/>
      </c>
      <c r="M245" s="1064" t="str">
        <f>'Vessel BQS Report'!O240</f>
        <v/>
      </c>
      <c r="N245" s="1065" t="str">
        <f>'Vessel BQS Report'!M240</f>
        <v/>
      </c>
      <c r="O245" s="1065" t="str">
        <f>'Vessel BQS Report'!P240</f>
        <v/>
      </c>
      <c r="P245" s="1064" t="str">
        <f>'Vessel BQS Report'!Q240</f>
        <v/>
      </c>
      <c r="Q245" s="1044"/>
    </row>
    <row r="246" spans="1:17" hidden="1">
      <c r="A246" s="881" t="str">
        <f>'Vessel BQS Report'!A241</f>
        <v>N</v>
      </c>
      <c r="C246" s="1066" t="str">
        <f>'Vessel BQS Report'!C241</f>
        <v/>
      </c>
      <c r="D246" s="1067" t="str">
        <f>'Vessel BQS Report'!D241</f>
        <v/>
      </c>
      <c r="E246" s="1068" t="str">
        <f>'Vessel BQS Report'!N241</f>
        <v/>
      </c>
      <c r="F246" s="1069" t="str">
        <f>'Vessel BQS Report'!F241</f>
        <v/>
      </c>
      <c r="G246" s="1070" t="str">
        <f>'Vessel BQS Report'!E241</f>
        <v/>
      </c>
      <c r="H246" s="1069" t="str">
        <f>'Vessel BQS Report'!G241</f>
        <v/>
      </c>
      <c r="I246" s="1160" t="str">
        <f>'Vessel BQS Report'!H241</f>
        <v/>
      </c>
      <c r="J246" s="1071" t="str">
        <f>'Vessel BQS Report'!I241</f>
        <v/>
      </c>
      <c r="K246" s="1072" t="str">
        <f>'Vessel BQS Report'!J241</f>
        <v/>
      </c>
      <c r="L246" s="1073" t="str">
        <f>'Vessel BQS Report'!L241</f>
        <v/>
      </c>
      <c r="M246" s="1073" t="str">
        <f>'Vessel BQS Report'!O241</f>
        <v/>
      </c>
      <c r="N246" s="1074" t="str">
        <f>'Vessel BQS Report'!M241</f>
        <v/>
      </c>
      <c r="O246" s="1074" t="str">
        <f>'Vessel BQS Report'!P241</f>
        <v/>
      </c>
      <c r="P246" s="1073" t="str">
        <f>'Vessel BQS Report'!Q241</f>
        <v/>
      </c>
      <c r="Q246" s="1044"/>
    </row>
    <row r="247" spans="1:17" hidden="1">
      <c r="A247" s="881" t="s">
        <v>270</v>
      </c>
      <c r="C247" s="1118"/>
      <c r="D247" s="1075"/>
      <c r="E247" s="1076"/>
      <c r="F247" s="1077"/>
      <c r="G247" s="1077"/>
      <c r="H247" s="1078"/>
      <c r="I247" s="1078"/>
      <c r="J247" s="1078"/>
      <c r="K247" s="1077"/>
      <c r="L247" s="1079"/>
      <c r="M247" s="2957" t="s">
        <v>801</v>
      </c>
      <c r="N247" s="2957"/>
      <c r="O247" s="2958">
        <f>SUM(P227:P246)</f>
        <v>272.053</v>
      </c>
      <c r="P247" s="2958"/>
      <c r="Q247" s="1044"/>
    </row>
    <row r="248" spans="1:17" s="1046" customFormat="1" ht="5.25" hidden="1">
      <c r="A248" s="1046" t="s">
        <v>270</v>
      </c>
      <c r="C248" s="1108"/>
      <c r="D248" s="1109"/>
      <c r="E248" s="1110"/>
      <c r="F248" s="1111"/>
      <c r="G248" s="1111"/>
      <c r="H248" s="1112"/>
      <c r="I248" s="1113"/>
      <c r="J248" s="1113"/>
      <c r="K248" s="1114"/>
      <c r="L248" s="1115"/>
      <c r="M248" s="1115"/>
      <c r="N248" s="1116"/>
      <c r="O248" s="1117"/>
      <c r="P248" s="1115"/>
      <c r="Q248" s="1045"/>
    </row>
    <row r="249" spans="1:17" hidden="1">
      <c r="A249" s="881" t="s">
        <v>270</v>
      </c>
      <c r="B249" s="881">
        <v>3</v>
      </c>
      <c r="C249" s="2959" t="str">
        <f>'Vessel BQS Report'!C244</f>
        <v>NOMINATED TANKS</v>
      </c>
      <c r="D249" s="2960">
        <f>'Vessel BQS Report'!D244</f>
        <v>0</v>
      </c>
      <c r="E249" s="2960">
        <f>'Vessel BQS Report'!N244</f>
        <v>0</v>
      </c>
      <c r="F249" s="2961">
        <f>'Vessel BQS Report'!F244</f>
        <v>0</v>
      </c>
      <c r="G249" s="2962" t="str">
        <f>'Vessel BQS Report'!E244</f>
        <v>MDO</v>
      </c>
      <c r="H249" s="2963">
        <f>'Vessel BQS Report'!G244</f>
        <v>0</v>
      </c>
      <c r="I249" s="1051"/>
      <c r="J249" s="1052"/>
      <c r="K249" s="1053"/>
      <c r="L249" s="1054"/>
      <c r="M249" s="1054"/>
      <c r="N249" s="1055"/>
      <c r="O249" s="1056"/>
      <c r="P249" s="1054"/>
      <c r="Q249" s="1044"/>
    </row>
    <row r="250" spans="1:17" hidden="1">
      <c r="A250" s="881" t="str">
        <f>'Vessel BQS Report'!A245</f>
        <v>N</v>
      </c>
      <c r="C250" s="1057" t="str">
        <f>'Vessel BQS Report'!C245</f>
        <v/>
      </c>
      <c r="D250" s="1058" t="str">
        <f>'Vessel BQS Report'!D245</f>
        <v/>
      </c>
      <c r="E250" s="1059" t="str">
        <f>'Vessel BQS Report'!N245</f>
        <v/>
      </c>
      <c r="F250" s="1060" t="str">
        <f>'Vessel BQS Report'!F245</f>
        <v/>
      </c>
      <c r="G250" s="1061" t="str">
        <f>'Vessel BQS Report'!E245</f>
        <v/>
      </c>
      <c r="H250" s="1060" t="str">
        <f>'Vessel BQS Report'!G245</f>
        <v/>
      </c>
      <c r="I250" s="1159" t="str">
        <f>'Vessel BQS Report'!H245</f>
        <v/>
      </c>
      <c r="J250" s="1062" t="str">
        <f>'Vessel BQS Report'!I245</f>
        <v/>
      </c>
      <c r="K250" s="1063" t="str">
        <f>'Vessel BQS Report'!J245</f>
        <v/>
      </c>
      <c r="L250" s="1064" t="str">
        <f>'Vessel BQS Report'!L245</f>
        <v/>
      </c>
      <c r="M250" s="1064" t="str">
        <f>'Vessel BQS Report'!O245</f>
        <v/>
      </c>
      <c r="N250" s="1065" t="str">
        <f>'Vessel BQS Report'!M245</f>
        <v/>
      </c>
      <c r="O250" s="1065" t="str">
        <f>'Vessel BQS Report'!P245</f>
        <v/>
      </c>
      <c r="P250" s="1064" t="str">
        <f>'Vessel BQS Report'!Q245</f>
        <v/>
      </c>
      <c r="Q250" s="1044"/>
    </row>
    <row r="251" spans="1:17" hidden="1">
      <c r="A251" s="881" t="str">
        <f>'Vessel BQS Report'!A246</f>
        <v>N</v>
      </c>
      <c r="C251" s="1057" t="str">
        <f>'Vessel BQS Report'!C246</f>
        <v/>
      </c>
      <c r="D251" s="1058" t="str">
        <f>'Vessel BQS Report'!D246</f>
        <v/>
      </c>
      <c r="E251" s="1059" t="str">
        <f>'Vessel BQS Report'!N246</f>
        <v/>
      </c>
      <c r="F251" s="1060" t="str">
        <f>'Vessel BQS Report'!F246</f>
        <v/>
      </c>
      <c r="G251" s="1061" t="str">
        <f>'Vessel BQS Report'!E246</f>
        <v/>
      </c>
      <c r="H251" s="1060" t="str">
        <f>'Vessel BQS Report'!G246</f>
        <v/>
      </c>
      <c r="I251" s="1159" t="str">
        <f>'Vessel BQS Report'!H246</f>
        <v/>
      </c>
      <c r="J251" s="1062" t="str">
        <f>'Vessel BQS Report'!I246</f>
        <v/>
      </c>
      <c r="K251" s="1063" t="str">
        <f>'Vessel BQS Report'!J246</f>
        <v/>
      </c>
      <c r="L251" s="1064" t="str">
        <f>'Vessel BQS Report'!L246</f>
        <v/>
      </c>
      <c r="M251" s="1064" t="str">
        <f>'Vessel BQS Report'!O246</f>
        <v/>
      </c>
      <c r="N251" s="1065" t="str">
        <f>'Vessel BQS Report'!M246</f>
        <v/>
      </c>
      <c r="O251" s="1065" t="str">
        <f>'Vessel BQS Report'!P246</f>
        <v/>
      </c>
      <c r="P251" s="1064" t="str">
        <f>'Vessel BQS Report'!Q246</f>
        <v/>
      </c>
      <c r="Q251" s="1044"/>
    </row>
    <row r="252" spans="1:17" hidden="1">
      <c r="A252" s="881" t="str">
        <f>'Vessel BQS Report'!A247</f>
        <v>N</v>
      </c>
      <c r="C252" s="1057" t="str">
        <f>'Vessel BQS Report'!C247</f>
        <v/>
      </c>
      <c r="D252" s="1058" t="str">
        <f>'Vessel BQS Report'!D247</f>
        <v/>
      </c>
      <c r="E252" s="1059" t="str">
        <f>'Vessel BQS Report'!N247</f>
        <v/>
      </c>
      <c r="F252" s="1060" t="str">
        <f>'Vessel BQS Report'!F247</f>
        <v/>
      </c>
      <c r="G252" s="1061" t="str">
        <f>'Vessel BQS Report'!E247</f>
        <v/>
      </c>
      <c r="H252" s="1060" t="str">
        <f>'Vessel BQS Report'!G247</f>
        <v/>
      </c>
      <c r="I252" s="1159" t="str">
        <f>'Vessel BQS Report'!H247</f>
        <v/>
      </c>
      <c r="J252" s="1062" t="str">
        <f>'Vessel BQS Report'!I247</f>
        <v/>
      </c>
      <c r="K252" s="1063" t="str">
        <f>'Vessel BQS Report'!J247</f>
        <v/>
      </c>
      <c r="L252" s="1064" t="str">
        <f>'Vessel BQS Report'!L247</f>
        <v/>
      </c>
      <c r="M252" s="1064" t="str">
        <f>'Vessel BQS Report'!O247</f>
        <v/>
      </c>
      <c r="N252" s="1065" t="str">
        <f>'Vessel BQS Report'!M247</f>
        <v/>
      </c>
      <c r="O252" s="1065" t="str">
        <f>'Vessel BQS Report'!P247</f>
        <v/>
      </c>
      <c r="P252" s="1064" t="str">
        <f>'Vessel BQS Report'!Q247</f>
        <v/>
      </c>
      <c r="Q252" s="1044"/>
    </row>
    <row r="253" spans="1:17" hidden="1">
      <c r="A253" s="881" t="str">
        <f>'Vessel BQS Report'!A248</f>
        <v>N</v>
      </c>
      <c r="C253" s="1057" t="str">
        <f>'Vessel BQS Report'!C248</f>
        <v/>
      </c>
      <c r="D253" s="1058" t="str">
        <f>'Vessel BQS Report'!D248</f>
        <v/>
      </c>
      <c r="E253" s="1059" t="str">
        <f>'Vessel BQS Report'!N248</f>
        <v/>
      </c>
      <c r="F253" s="1060" t="str">
        <f>'Vessel BQS Report'!F248</f>
        <v/>
      </c>
      <c r="G253" s="1061" t="str">
        <f>'Vessel BQS Report'!E248</f>
        <v/>
      </c>
      <c r="H253" s="1060" t="str">
        <f>'Vessel BQS Report'!G248</f>
        <v/>
      </c>
      <c r="I253" s="1159" t="str">
        <f>'Vessel BQS Report'!H248</f>
        <v/>
      </c>
      <c r="J253" s="1062" t="str">
        <f>'Vessel BQS Report'!I248</f>
        <v/>
      </c>
      <c r="K253" s="1063" t="str">
        <f>'Vessel BQS Report'!J248</f>
        <v/>
      </c>
      <c r="L253" s="1064" t="str">
        <f>'Vessel BQS Report'!L248</f>
        <v/>
      </c>
      <c r="M253" s="1064" t="str">
        <f>'Vessel BQS Report'!O248</f>
        <v/>
      </c>
      <c r="N253" s="1065" t="str">
        <f>'Vessel BQS Report'!M248</f>
        <v/>
      </c>
      <c r="O253" s="1065" t="str">
        <f>'Vessel BQS Report'!P248</f>
        <v/>
      </c>
      <c r="P253" s="1064" t="str">
        <f>'Vessel BQS Report'!Q248</f>
        <v/>
      </c>
      <c r="Q253" s="1044"/>
    </row>
    <row r="254" spans="1:17" hidden="1">
      <c r="A254" s="881" t="str">
        <f>'Vessel BQS Report'!A249</f>
        <v>N</v>
      </c>
      <c r="C254" s="1057" t="str">
        <f>'Vessel BQS Report'!C249</f>
        <v/>
      </c>
      <c r="D254" s="1058" t="str">
        <f>'Vessel BQS Report'!D249</f>
        <v/>
      </c>
      <c r="E254" s="1059" t="str">
        <f>'Vessel BQS Report'!N249</f>
        <v/>
      </c>
      <c r="F254" s="1060" t="str">
        <f>'Vessel BQS Report'!F249</f>
        <v/>
      </c>
      <c r="G254" s="1061" t="str">
        <f>'Vessel BQS Report'!E249</f>
        <v/>
      </c>
      <c r="H254" s="1060" t="str">
        <f>'Vessel BQS Report'!G249</f>
        <v/>
      </c>
      <c r="I254" s="1159" t="str">
        <f>'Vessel BQS Report'!H249</f>
        <v/>
      </c>
      <c r="J254" s="1062" t="str">
        <f>'Vessel BQS Report'!I249</f>
        <v/>
      </c>
      <c r="K254" s="1063" t="str">
        <f>'Vessel BQS Report'!J249</f>
        <v/>
      </c>
      <c r="L254" s="1064" t="str">
        <f>'Vessel BQS Report'!L249</f>
        <v/>
      </c>
      <c r="M254" s="1064" t="str">
        <f>'Vessel BQS Report'!O249</f>
        <v/>
      </c>
      <c r="N254" s="1065" t="str">
        <f>'Vessel BQS Report'!M249</f>
        <v/>
      </c>
      <c r="O254" s="1065" t="str">
        <f>'Vessel BQS Report'!P249</f>
        <v/>
      </c>
      <c r="P254" s="1064" t="str">
        <f>'Vessel BQS Report'!Q249</f>
        <v/>
      </c>
      <c r="Q254" s="1044"/>
    </row>
    <row r="255" spans="1:17" hidden="1">
      <c r="A255" s="881" t="str">
        <f>'Vessel BQS Report'!A250</f>
        <v>N</v>
      </c>
      <c r="C255" s="1057" t="str">
        <f>'Vessel BQS Report'!C250</f>
        <v/>
      </c>
      <c r="D255" s="1058" t="str">
        <f>'Vessel BQS Report'!D250</f>
        <v/>
      </c>
      <c r="E255" s="1059" t="str">
        <f>'Vessel BQS Report'!N250</f>
        <v/>
      </c>
      <c r="F255" s="1060" t="str">
        <f>'Vessel BQS Report'!F250</f>
        <v/>
      </c>
      <c r="G255" s="1061" t="str">
        <f>'Vessel BQS Report'!E250</f>
        <v/>
      </c>
      <c r="H255" s="1060" t="str">
        <f>'Vessel BQS Report'!G250</f>
        <v/>
      </c>
      <c r="I255" s="1159" t="str">
        <f>'Vessel BQS Report'!H250</f>
        <v/>
      </c>
      <c r="J255" s="1062" t="str">
        <f>'Vessel BQS Report'!I250</f>
        <v/>
      </c>
      <c r="K255" s="1063" t="str">
        <f>'Vessel BQS Report'!J250</f>
        <v/>
      </c>
      <c r="L255" s="1064" t="str">
        <f>'Vessel BQS Report'!L250</f>
        <v/>
      </c>
      <c r="M255" s="1064" t="str">
        <f>'Vessel BQS Report'!O250</f>
        <v/>
      </c>
      <c r="N255" s="1065" t="str">
        <f>'Vessel BQS Report'!M250</f>
        <v/>
      </c>
      <c r="O255" s="1065" t="str">
        <f>'Vessel BQS Report'!P250</f>
        <v/>
      </c>
      <c r="P255" s="1064" t="str">
        <f>'Vessel BQS Report'!Q250</f>
        <v/>
      </c>
      <c r="Q255" s="1044"/>
    </row>
    <row r="256" spans="1:17" hidden="1">
      <c r="A256" s="881" t="str">
        <f>'Vessel BQS Report'!A251</f>
        <v>N</v>
      </c>
      <c r="C256" s="1057" t="str">
        <f>'Vessel BQS Report'!C251</f>
        <v/>
      </c>
      <c r="D256" s="1058" t="str">
        <f>'Vessel BQS Report'!D251</f>
        <v/>
      </c>
      <c r="E256" s="1059" t="str">
        <f>'Vessel BQS Report'!N251</f>
        <v/>
      </c>
      <c r="F256" s="1060" t="str">
        <f>'Vessel BQS Report'!F251</f>
        <v/>
      </c>
      <c r="G256" s="1061" t="str">
        <f>'Vessel BQS Report'!E251</f>
        <v/>
      </c>
      <c r="H256" s="1060" t="str">
        <f>'Vessel BQS Report'!G251</f>
        <v/>
      </c>
      <c r="I256" s="1159" t="str">
        <f>'Vessel BQS Report'!H251</f>
        <v/>
      </c>
      <c r="J256" s="1062" t="str">
        <f>'Vessel BQS Report'!I251</f>
        <v/>
      </c>
      <c r="K256" s="1063" t="str">
        <f>'Vessel BQS Report'!J251</f>
        <v/>
      </c>
      <c r="L256" s="1064" t="str">
        <f>'Vessel BQS Report'!L251</f>
        <v/>
      </c>
      <c r="M256" s="1064" t="str">
        <f>'Vessel BQS Report'!O251</f>
        <v/>
      </c>
      <c r="N256" s="1065" t="str">
        <f>'Vessel BQS Report'!M251</f>
        <v/>
      </c>
      <c r="O256" s="1065" t="str">
        <f>'Vessel BQS Report'!P251</f>
        <v/>
      </c>
      <c r="P256" s="1064" t="str">
        <f>'Vessel BQS Report'!Q251</f>
        <v/>
      </c>
      <c r="Q256" s="1044"/>
    </row>
    <row r="257" spans="1:17" hidden="1">
      <c r="A257" s="881" t="str">
        <f>'Vessel BQS Report'!A252</f>
        <v>N</v>
      </c>
      <c r="C257" s="1057" t="str">
        <f>'Vessel BQS Report'!C252</f>
        <v/>
      </c>
      <c r="D257" s="1058" t="str">
        <f>'Vessel BQS Report'!D252</f>
        <v/>
      </c>
      <c r="E257" s="1059" t="str">
        <f>'Vessel BQS Report'!N252</f>
        <v/>
      </c>
      <c r="F257" s="1060" t="str">
        <f>'Vessel BQS Report'!F252</f>
        <v/>
      </c>
      <c r="G257" s="1061" t="str">
        <f>'Vessel BQS Report'!E252</f>
        <v/>
      </c>
      <c r="H257" s="1060" t="str">
        <f>'Vessel BQS Report'!G252</f>
        <v/>
      </c>
      <c r="I257" s="1159" t="str">
        <f>'Vessel BQS Report'!H252</f>
        <v/>
      </c>
      <c r="J257" s="1062" t="str">
        <f>'Vessel BQS Report'!I252</f>
        <v/>
      </c>
      <c r="K257" s="1063" t="str">
        <f>'Vessel BQS Report'!J252</f>
        <v/>
      </c>
      <c r="L257" s="1064" t="str">
        <f>'Vessel BQS Report'!L252</f>
        <v/>
      </c>
      <c r="M257" s="1064" t="str">
        <f>'Vessel BQS Report'!O252</f>
        <v/>
      </c>
      <c r="N257" s="1065" t="str">
        <f>'Vessel BQS Report'!M252</f>
        <v/>
      </c>
      <c r="O257" s="1065" t="str">
        <f>'Vessel BQS Report'!P252</f>
        <v/>
      </c>
      <c r="P257" s="1064" t="str">
        <f>'Vessel BQS Report'!Q252</f>
        <v/>
      </c>
      <c r="Q257" s="1044"/>
    </row>
    <row r="258" spans="1:17" hidden="1">
      <c r="A258" s="881" t="str">
        <f>'Vessel BQS Report'!A253</f>
        <v>N</v>
      </c>
      <c r="C258" s="1057" t="str">
        <f>'Vessel BQS Report'!C253</f>
        <v/>
      </c>
      <c r="D258" s="1058" t="str">
        <f>'Vessel BQS Report'!D253</f>
        <v/>
      </c>
      <c r="E258" s="1059" t="str">
        <f>'Vessel BQS Report'!N253</f>
        <v/>
      </c>
      <c r="F258" s="1060" t="str">
        <f>'Vessel BQS Report'!F253</f>
        <v/>
      </c>
      <c r="G258" s="1061" t="str">
        <f>'Vessel BQS Report'!E253</f>
        <v/>
      </c>
      <c r="H258" s="1060" t="str">
        <f>'Vessel BQS Report'!G253</f>
        <v/>
      </c>
      <c r="I258" s="1159" t="str">
        <f>'Vessel BQS Report'!H253</f>
        <v/>
      </c>
      <c r="J258" s="1062" t="str">
        <f>'Vessel BQS Report'!I253</f>
        <v/>
      </c>
      <c r="K258" s="1063" t="str">
        <f>'Vessel BQS Report'!J253</f>
        <v/>
      </c>
      <c r="L258" s="1064" t="str">
        <f>'Vessel BQS Report'!L253</f>
        <v/>
      </c>
      <c r="M258" s="1064" t="str">
        <f>'Vessel BQS Report'!O253</f>
        <v/>
      </c>
      <c r="N258" s="1065" t="str">
        <f>'Vessel BQS Report'!M253</f>
        <v/>
      </c>
      <c r="O258" s="1065" t="str">
        <f>'Vessel BQS Report'!P253</f>
        <v/>
      </c>
      <c r="P258" s="1064" t="str">
        <f>'Vessel BQS Report'!Q253</f>
        <v/>
      </c>
      <c r="Q258" s="1044"/>
    </row>
    <row r="259" spans="1:17" hidden="1">
      <c r="A259" s="881" t="str">
        <f>'Vessel BQS Report'!A254</f>
        <v>N</v>
      </c>
      <c r="C259" s="1057" t="str">
        <f>'Vessel BQS Report'!C254</f>
        <v/>
      </c>
      <c r="D259" s="1058" t="str">
        <f>'Vessel BQS Report'!D254</f>
        <v/>
      </c>
      <c r="E259" s="1059" t="str">
        <f>'Vessel BQS Report'!N254</f>
        <v/>
      </c>
      <c r="F259" s="1060" t="str">
        <f>'Vessel BQS Report'!F254</f>
        <v/>
      </c>
      <c r="G259" s="1061" t="str">
        <f>'Vessel BQS Report'!E254</f>
        <v/>
      </c>
      <c r="H259" s="1060" t="str">
        <f>'Vessel BQS Report'!G254</f>
        <v/>
      </c>
      <c r="I259" s="1159" t="str">
        <f>'Vessel BQS Report'!H254</f>
        <v/>
      </c>
      <c r="J259" s="1062" t="str">
        <f>'Vessel BQS Report'!I254</f>
        <v/>
      </c>
      <c r="K259" s="1063" t="str">
        <f>'Vessel BQS Report'!J254</f>
        <v/>
      </c>
      <c r="L259" s="1064" t="str">
        <f>'Vessel BQS Report'!L254</f>
        <v/>
      </c>
      <c r="M259" s="1064" t="str">
        <f>'Vessel BQS Report'!O254</f>
        <v/>
      </c>
      <c r="N259" s="1065" t="str">
        <f>'Vessel BQS Report'!M254</f>
        <v/>
      </c>
      <c r="O259" s="1065" t="str">
        <f>'Vessel BQS Report'!P254</f>
        <v/>
      </c>
      <c r="P259" s="1064" t="str">
        <f>'Vessel BQS Report'!Q254</f>
        <v/>
      </c>
      <c r="Q259" s="1044"/>
    </row>
    <row r="260" spans="1:17" hidden="1">
      <c r="A260" s="881" t="str">
        <f>'Vessel BQS Report'!A255</f>
        <v>N</v>
      </c>
      <c r="C260" s="1057" t="str">
        <f>'Vessel BQS Report'!C255</f>
        <v/>
      </c>
      <c r="D260" s="1058" t="str">
        <f>'Vessel BQS Report'!D255</f>
        <v/>
      </c>
      <c r="E260" s="1059" t="str">
        <f>'Vessel BQS Report'!N255</f>
        <v/>
      </c>
      <c r="F260" s="1060" t="str">
        <f>'Vessel BQS Report'!F255</f>
        <v/>
      </c>
      <c r="G260" s="1061" t="str">
        <f>'Vessel BQS Report'!E255</f>
        <v/>
      </c>
      <c r="H260" s="1060" t="str">
        <f>'Vessel BQS Report'!G255</f>
        <v/>
      </c>
      <c r="I260" s="1159" t="str">
        <f>'Vessel BQS Report'!H255</f>
        <v/>
      </c>
      <c r="J260" s="1062" t="str">
        <f>'Vessel BQS Report'!I255</f>
        <v/>
      </c>
      <c r="K260" s="1063" t="str">
        <f>'Vessel BQS Report'!J255</f>
        <v/>
      </c>
      <c r="L260" s="1064" t="str">
        <f>'Vessel BQS Report'!L255</f>
        <v/>
      </c>
      <c r="M260" s="1064" t="str">
        <f>'Vessel BQS Report'!O255</f>
        <v/>
      </c>
      <c r="N260" s="1065" t="str">
        <f>'Vessel BQS Report'!M255</f>
        <v/>
      </c>
      <c r="O260" s="1065" t="str">
        <f>'Vessel BQS Report'!P255</f>
        <v/>
      </c>
      <c r="P260" s="1064" t="str">
        <f>'Vessel BQS Report'!Q255</f>
        <v/>
      </c>
      <c r="Q260" s="1044"/>
    </row>
    <row r="261" spans="1:17" hidden="1">
      <c r="A261" s="881" t="str">
        <f>'Vessel BQS Report'!A256</f>
        <v>N</v>
      </c>
      <c r="C261" s="1057" t="str">
        <f>'Vessel BQS Report'!C256</f>
        <v/>
      </c>
      <c r="D261" s="1058" t="str">
        <f>'Vessel BQS Report'!D256</f>
        <v/>
      </c>
      <c r="E261" s="1059" t="str">
        <f>'Vessel BQS Report'!N256</f>
        <v/>
      </c>
      <c r="F261" s="1060" t="str">
        <f>'Vessel BQS Report'!F256</f>
        <v/>
      </c>
      <c r="G261" s="1061" t="str">
        <f>'Vessel BQS Report'!E256</f>
        <v/>
      </c>
      <c r="H261" s="1060" t="str">
        <f>'Vessel BQS Report'!G256</f>
        <v/>
      </c>
      <c r="I261" s="1159" t="str">
        <f>'Vessel BQS Report'!H256</f>
        <v/>
      </c>
      <c r="J261" s="1062" t="str">
        <f>'Vessel BQS Report'!I256</f>
        <v/>
      </c>
      <c r="K261" s="1063" t="str">
        <f>'Vessel BQS Report'!J256</f>
        <v/>
      </c>
      <c r="L261" s="1064" t="str">
        <f>'Vessel BQS Report'!L256</f>
        <v/>
      </c>
      <c r="M261" s="1064" t="str">
        <f>'Vessel BQS Report'!O256</f>
        <v/>
      </c>
      <c r="N261" s="1065" t="str">
        <f>'Vessel BQS Report'!M256</f>
        <v/>
      </c>
      <c r="O261" s="1065" t="str">
        <f>'Vessel BQS Report'!P256</f>
        <v/>
      </c>
      <c r="P261" s="1064" t="str">
        <f>'Vessel BQS Report'!Q256</f>
        <v/>
      </c>
      <c r="Q261" s="1044"/>
    </row>
    <row r="262" spans="1:17" hidden="1">
      <c r="A262" s="881" t="str">
        <f>'Vessel BQS Report'!A257</f>
        <v>N</v>
      </c>
      <c r="C262" s="1057" t="str">
        <f>'Vessel BQS Report'!C257</f>
        <v/>
      </c>
      <c r="D262" s="1058" t="str">
        <f>'Vessel BQS Report'!D257</f>
        <v/>
      </c>
      <c r="E262" s="1059" t="str">
        <f>'Vessel BQS Report'!N257</f>
        <v/>
      </c>
      <c r="F262" s="1060" t="str">
        <f>'Vessel BQS Report'!F257</f>
        <v/>
      </c>
      <c r="G262" s="1061" t="str">
        <f>'Vessel BQS Report'!E257</f>
        <v/>
      </c>
      <c r="H262" s="1060" t="str">
        <f>'Vessel BQS Report'!G257</f>
        <v/>
      </c>
      <c r="I262" s="1159" t="str">
        <f>'Vessel BQS Report'!H257</f>
        <v/>
      </c>
      <c r="J262" s="1062" t="str">
        <f>'Vessel BQS Report'!I257</f>
        <v/>
      </c>
      <c r="K262" s="1063" t="str">
        <f>'Vessel BQS Report'!J257</f>
        <v/>
      </c>
      <c r="L262" s="1064" t="str">
        <f>'Vessel BQS Report'!L257</f>
        <v/>
      </c>
      <c r="M262" s="1064" t="str">
        <f>'Vessel BQS Report'!O257</f>
        <v/>
      </c>
      <c r="N262" s="1065" t="str">
        <f>'Vessel BQS Report'!M257</f>
        <v/>
      </c>
      <c r="O262" s="1065" t="str">
        <f>'Vessel BQS Report'!P257</f>
        <v/>
      </c>
      <c r="P262" s="1064" t="str">
        <f>'Vessel BQS Report'!Q257</f>
        <v/>
      </c>
      <c r="Q262" s="1044"/>
    </row>
    <row r="263" spans="1:17" hidden="1">
      <c r="A263" s="881" t="str">
        <f>'Vessel BQS Report'!A258</f>
        <v>N</v>
      </c>
      <c r="C263" s="1057" t="str">
        <f>'Vessel BQS Report'!C258</f>
        <v/>
      </c>
      <c r="D263" s="1058" t="str">
        <f>'Vessel BQS Report'!D258</f>
        <v/>
      </c>
      <c r="E263" s="1059" t="str">
        <f>'Vessel BQS Report'!N258</f>
        <v/>
      </c>
      <c r="F263" s="1060" t="str">
        <f>'Vessel BQS Report'!F258</f>
        <v/>
      </c>
      <c r="G263" s="1061" t="str">
        <f>'Vessel BQS Report'!E258</f>
        <v/>
      </c>
      <c r="H263" s="1060" t="str">
        <f>'Vessel BQS Report'!G258</f>
        <v/>
      </c>
      <c r="I263" s="1159" t="str">
        <f>'Vessel BQS Report'!H258</f>
        <v/>
      </c>
      <c r="J263" s="1062" t="str">
        <f>'Vessel BQS Report'!I258</f>
        <v/>
      </c>
      <c r="K263" s="1063" t="str">
        <f>'Vessel BQS Report'!J258</f>
        <v/>
      </c>
      <c r="L263" s="1064" t="str">
        <f>'Vessel BQS Report'!L258</f>
        <v/>
      </c>
      <c r="M263" s="1064" t="str">
        <f>'Vessel BQS Report'!O258</f>
        <v/>
      </c>
      <c r="N263" s="1065" t="str">
        <f>'Vessel BQS Report'!M258</f>
        <v/>
      </c>
      <c r="O263" s="1065" t="str">
        <f>'Vessel BQS Report'!P258</f>
        <v/>
      </c>
      <c r="P263" s="1064" t="str">
        <f>'Vessel BQS Report'!Q258</f>
        <v/>
      </c>
      <c r="Q263" s="1044"/>
    </row>
    <row r="264" spans="1:17" hidden="1">
      <c r="A264" s="881" t="str">
        <f>'Vessel BQS Report'!A259</f>
        <v>N</v>
      </c>
      <c r="C264" s="1057" t="str">
        <f>'Vessel BQS Report'!C259</f>
        <v/>
      </c>
      <c r="D264" s="1058" t="str">
        <f>'Vessel BQS Report'!D259</f>
        <v/>
      </c>
      <c r="E264" s="1059" t="str">
        <f>'Vessel BQS Report'!N259</f>
        <v/>
      </c>
      <c r="F264" s="1060" t="str">
        <f>'Vessel BQS Report'!F259</f>
        <v/>
      </c>
      <c r="G264" s="1061" t="str">
        <f>'Vessel BQS Report'!E259</f>
        <v/>
      </c>
      <c r="H264" s="1060" t="str">
        <f>'Vessel BQS Report'!G259</f>
        <v/>
      </c>
      <c r="I264" s="1159" t="str">
        <f>'Vessel BQS Report'!H259</f>
        <v/>
      </c>
      <c r="J264" s="1062" t="str">
        <f>'Vessel BQS Report'!I259</f>
        <v/>
      </c>
      <c r="K264" s="1063" t="str">
        <f>'Vessel BQS Report'!J259</f>
        <v/>
      </c>
      <c r="L264" s="1064" t="str">
        <f>'Vessel BQS Report'!L259</f>
        <v/>
      </c>
      <c r="M264" s="1064" t="str">
        <f>'Vessel BQS Report'!O259</f>
        <v/>
      </c>
      <c r="N264" s="1065" t="str">
        <f>'Vessel BQS Report'!M259</f>
        <v/>
      </c>
      <c r="O264" s="1065" t="str">
        <f>'Vessel BQS Report'!P259</f>
        <v/>
      </c>
      <c r="P264" s="1064" t="str">
        <f>'Vessel BQS Report'!Q259</f>
        <v/>
      </c>
      <c r="Q264" s="1044"/>
    </row>
    <row r="265" spans="1:17" hidden="1">
      <c r="A265" s="881" t="str">
        <f>'Vessel BQS Report'!A260</f>
        <v>N</v>
      </c>
      <c r="C265" s="1057" t="str">
        <f>'Vessel BQS Report'!C260</f>
        <v/>
      </c>
      <c r="D265" s="1058" t="str">
        <f>'Vessel BQS Report'!D260</f>
        <v/>
      </c>
      <c r="E265" s="1059" t="str">
        <f>'Vessel BQS Report'!N260</f>
        <v/>
      </c>
      <c r="F265" s="1060" t="str">
        <f>'Vessel BQS Report'!F260</f>
        <v/>
      </c>
      <c r="G265" s="1061" t="str">
        <f>'Vessel BQS Report'!E260</f>
        <v/>
      </c>
      <c r="H265" s="1060" t="str">
        <f>'Vessel BQS Report'!G260</f>
        <v/>
      </c>
      <c r="I265" s="1159" t="str">
        <f>'Vessel BQS Report'!H260</f>
        <v/>
      </c>
      <c r="J265" s="1062" t="str">
        <f>'Vessel BQS Report'!I260</f>
        <v/>
      </c>
      <c r="K265" s="1063" t="str">
        <f>'Vessel BQS Report'!J260</f>
        <v/>
      </c>
      <c r="L265" s="1064" t="str">
        <f>'Vessel BQS Report'!L260</f>
        <v/>
      </c>
      <c r="M265" s="1064" t="str">
        <f>'Vessel BQS Report'!O260</f>
        <v/>
      </c>
      <c r="N265" s="1065" t="str">
        <f>'Vessel BQS Report'!M260</f>
        <v/>
      </c>
      <c r="O265" s="1065" t="str">
        <f>'Vessel BQS Report'!P260</f>
        <v/>
      </c>
      <c r="P265" s="1064" t="str">
        <f>'Vessel BQS Report'!Q260</f>
        <v/>
      </c>
      <c r="Q265" s="1044"/>
    </row>
    <row r="266" spans="1:17" hidden="1">
      <c r="A266" s="881" t="str">
        <f>'Vessel BQS Report'!A261</f>
        <v>N</v>
      </c>
      <c r="C266" s="1057" t="str">
        <f>'Vessel BQS Report'!C261</f>
        <v/>
      </c>
      <c r="D266" s="1058" t="str">
        <f>'Vessel BQS Report'!D261</f>
        <v/>
      </c>
      <c r="E266" s="1059" t="str">
        <f>'Vessel BQS Report'!N261</f>
        <v/>
      </c>
      <c r="F266" s="1060" t="str">
        <f>'Vessel BQS Report'!F261</f>
        <v/>
      </c>
      <c r="G266" s="1061" t="str">
        <f>'Vessel BQS Report'!E261</f>
        <v/>
      </c>
      <c r="H266" s="1060" t="str">
        <f>'Vessel BQS Report'!G261</f>
        <v/>
      </c>
      <c r="I266" s="1159" t="str">
        <f>'Vessel BQS Report'!H261</f>
        <v/>
      </c>
      <c r="J266" s="1062" t="str">
        <f>'Vessel BQS Report'!I261</f>
        <v/>
      </c>
      <c r="K266" s="1063" t="str">
        <f>'Vessel BQS Report'!J261</f>
        <v/>
      </c>
      <c r="L266" s="1064" t="str">
        <f>'Vessel BQS Report'!L261</f>
        <v/>
      </c>
      <c r="M266" s="1064" t="str">
        <f>'Vessel BQS Report'!O261</f>
        <v/>
      </c>
      <c r="N266" s="1065" t="str">
        <f>'Vessel BQS Report'!M261</f>
        <v/>
      </c>
      <c r="O266" s="1065" t="str">
        <f>'Vessel BQS Report'!P261</f>
        <v/>
      </c>
      <c r="P266" s="1064" t="str">
        <f>'Vessel BQS Report'!Q261</f>
        <v/>
      </c>
      <c r="Q266" s="1044"/>
    </row>
    <row r="267" spans="1:17" hidden="1">
      <c r="A267" s="881" t="str">
        <f>'Vessel BQS Report'!A262</f>
        <v>N</v>
      </c>
      <c r="C267" s="1057" t="str">
        <f>'Vessel BQS Report'!C262</f>
        <v/>
      </c>
      <c r="D267" s="1058" t="str">
        <f>'Vessel BQS Report'!D262</f>
        <v/>
      </c>
      <c r="E267" s="1059" t="str">
        <f>'Vessel BQS Report'!N262</f>
        <v/>
      </c>
      <c r="F267" s="1060" t="str">
        <f>'Vessel BQS Report'!F262</f>
        <v/>
      </c>
      <c r="G267" s="1061" t="str">
        <f>'Vessel BQS Report'!E262</f>
        <v/>
      </c>
      <c r="H267" s="1060" t="str">
        <f>'Vessel BQS Report'!G262</f>
        <v/>
      </c>
      <c r="I267" s="1159" t="str">
        <f>'Vessel BQS Report'!H262</f>
        <v/>
      </c>
      <c r="J267" s="1062" t="str">
        <f>'Vessel BQS Report'!I262</f>
        <v/>
      </c>
      <c r="K267" s="1063" t="str">
        <f>'Vessel BQS Report'!J262</f>
        <v/>
      </c>
      <c r="L267" s="1064" t="str">
        <f>'Vessel BQS Report'!L262</f>
        <v/>
      </c>
      <c r="M267" s="1064" t="str">
        <f>'Vessel BQS Report'!O262</f>
        <v/>
      </c>
      <c r="N267" s="1065" t="str">
        <f>'Vessel BQS Report'!M262</f>
        <v/>
      </c>
      <c r="O267" s="1065" t="str">
        <f>'Vessel BQS Report'!P262</f>
        <v/>
      </c>
      <c r="P267" s="1064" t="str">
        <f>'Vessel BQS Report'!Q262</f>
        <v/>
      </c>
      <c r="Q267" s="1044"/>
    </row>
    <row r="268" spans="1:17" hidden="1">
      <c r="A268" s="881" t="str">
        <f>'Vessel BQS Report'!A263</f>
        <v>N</v>
      </c>
      <c r="C268" s="1057" t="str">
        <f>'Vessel BQS Report'!C263</f>
        <v/>
      </c>
      <c r="D268" s="1058" t="str">
        <f>'Vessel BQS Report'!D263</f>
        <v/>
      </c>
      <c r="E268" s="1059" t="str">
        <f>'Vessel BQS Report'!N263</f>
        <v/>
      </c>
      <c r="F268" s="1060" t="str">
        <f>'Vessel BQS Report'!F263</f>
        <v/>
      </c>
      <c r="G268" s="1061" t="str">
        <f>'Vessel BQS Report'!E263</f>
        <v/>
      </c>
      <c r="H268" s="1060" t="str">
        <f>'Vessel BQS Report'!G263</f>
        <v/>
      </c>
      <c r="I268" s="1159" t="str">
        <f>'Vessel BQS Report'!H263</f>
        <v/>
      </c>
      <c r="J268" s="1062" t="str">
        <f>'Vessel BQS Report'!I263</f>
        <v/>
      </c>
      <c r="K268" s="1063" t="str">
        <f>'Vessel BQS Report'!J263</f>
        <v/>
      </c>
      <c r="L268" s="1064" t="str">
        <f>'Vessel BQS Report'!L263</f>
        <v/>
      </c>
      <c r="M268" s="1064" t="str">
        <f>'Vessel BQS Report'!O263</f>
        <v/>
      </c>
      <c r="N268" s="1065" t="str">
        <f>'Vessel BQS Report'!M263</f>
        <v/>
      </c>
      <c r="O268" s="1065" t="str">
        <f>'Vessel BQS Report'!P263</f>
        <v/>
      </c>
      <c r="P268" s="1064" t="str">
        <f>'Vessel BQS Report'!Q263</f>
        <v/>
      </c>
      <c r="Q268" s="1044"/>
    </row>
    <row r="269" spans="1:17" hidden="1">
      <c r="A269" s="881" t="str">
        <f>'Vessel BQS Report'!A264</f>
        <v>N</v>
      </c>
      <c r="C269" s="1066" t="str">
        <f>'Vessel BQS Report'!C264</f>
        <v/>
      </c>
      <c r="D269" s="1067" t="str">
        <f>'Vessel BQS Report'!D264</f>
        <v/>
      </c>
      <c r="E269" s="1068" t="str">
        <f>'Vessel BQS Report'!N264</f>
        <v/>
      </c>
      <c r="F269" s="1069" t="str">
        <f>'Vessel BQS Report'!F264</f>
        <v/>
      </c>
      <c r="G269" s="1070" t="str">
        <f>'Vessel BQS Report'!E264</f>
        <v/>
      </c>
      <c r="H269" s="1069" t="str">
        <f>'Vessel BQS Report'!G264</f>
        <v/>
      </c>
      <c r="I269" s="1160" t="str">
        <f>'Vessel BQS Report'!H264</f>
        <v/>
      </c>
      <c r="J269" s="1071" t="str">
        <f>'Vessel BQS Report'!I264</f>
        <v/>
      </c>
      <c r="K269" s="1072" t="str">
        <f>'Vessel BQS Report'!J264</f>
        <v/>
      </c>
      <c r="L269" s="1073" t="str">
        <f>'Vessel BQS Report'!L264</f>
        <v/>
      </c>
      <c r="M269" s="1073" t="str">
        <f>'Vessel BQS Report'!O264</f>
        <v/>
      </c>
      <c r="N269" s="1074" t="str">
        <f>'Vessel BQS Report'!M264</f>
        <v/>
      </c>
      <c r="O269" s="1074" t="str">
        <f>'Vessel BQS Report'!P264</f>
        <v/>
      </c>
      <c r="P269" s="1073" t="str">
        <f>'Vessel BQS Report'!Q264</f>
        <v/>
      </c>
      <c r="Q269" s="1044"/>
    </row>
    <row r="270" spans="1:17" hidden="1">
      <c r="A270" s="881" t="s">
        <v>270</v>
      </c>
      <c r="C270" s="1118"/>
      <c r="D270" s="1075"/>
      <c r="E270" s="1076"/>
      <c r="F270" s="1077"/>
      <c r="G270" s="1077"/>
      <c r="H270" s="1078"/>
      <c r="I270" s="1078"/>
      <c r="J270" s="1078"/>
      <c r="K270" s="1077"/>
      <c r="L270" s="1079"/>
      <c r="M270" s="2957" t="s">
        <v>801</v>
      </c>
      <c r="N270" s="2957"/>
      <c r="O270" s="2958">
        <f>SUM(P250:P269)</f>
        <v>0</v>
      </c>
      <c r="P270" s="2958"/>
      <c r="Q270" s="1044"/>
    </row>
    <row r="271" spans="1:17" s="1046" customFormat="1" ht="5.25" hidden="1">
      <c r="A271" s="1046" t="s">
        <v>270</v>
      </c>
      <c r="C271" s="1108"/>
      <c r="D271" s="1109"/>
      <c r="E271" s="1110"/>
      <c r="F271" s="1111"/>
      <c r="G271" s="1111"/>
      <c r="H271" s="1112"/>
      <c r="I271" s="1113"/>
      <c r="J271" s="1113"/>
      <c r="K271" s="1114"/>
      <c r="L271" s="1115"/>
      <c r="M271" s="1115"/>
      <c r="N271" s="1116"/>
      <c r="O271" s="1117"/>
      <c r="P271" s="1115"/>
      <c r="Q271" s="1045"/>
    </row>
    <row r="272" spans="1:17" hidden="1">
      <c r="A272" s="881" t="s">
        <v>270</v>
      </c>
      <c r="B272" s="881">
        <v>4</v>
      </c>
      <c r="C272" s="2959" t="str">
        <f>'Vessel BQS Report'!C267</f>
        <v>NOMINATED TANKS</v>
      </c>
      <c r="D272" s="2960">
        <f>'Vessel BQS Report'!D267</f>
        <v>0</v>
      </c>
      <c r="E272" s="2960">
        <f>'Vessel BQS Report'!N267</f>
        <v>0</v>
      </c>
      <c r="F272" s="2961">
        <f>'Vessel BQS Report'!F267</f>
        <v>0</v>
      </c>
      <c r="G272" s="2962" t="str">
        <f>'Vessel BQS Report'!E267</f>
        <v>LSMDO</v>
      </c>
      <c r="H272" s="2963">
        <f>'Vessel BQS Report'!G267</f>
        <v>0</v>
      </c>
      <c r="I272" s="1051"/>
      <c r="J272" s="1052"/>
      <c r="K272" s="1053"/>
      <c r="L272" s="1054"/>
      <c r="M272" s="1054"/>
      <c r="N272" s="1055"/>
      <c r="O272" s="1056"/>
      <c r="P272" s="1054"/>
      <c r="Q272" s="1044"/>
    </row>
    <row r="273" spans="1:17" hidden="1">
      <c r="A273" s="881" t="str">
        <f>'Vessel BQS Report'!A268</f>
        <v>N</v>
      </c>
      <c r="C273" s="1057" t="str">
        <f>'Vessel BQS Report'!C268</f>
        <v/>
      </c>
      <c r="D273" s="1058" t="str">
        <f>'Vessel BQS Report'!D268</f>
        <v/>
      </c>
      <c r="E273" s="1059" t="str">
        <f>'Vessel BQS Report'!N268</f>
        <v/>
      </c>
      <c r="F273" s="1060" t="str">
        <f>'Vessel BQS Report'!F268</f>
        <v/>
      </c>
      <c r="G273" s="1061" t="str">
        <f>'Vessel BQS Report'!E268</f>
        <v/>
      </c>
      <c r="H273" s="1060" t="str">
        <f>'Vessel BQS Report'!G268</f>
        <v/>
      </c>
      <c r="I273" s="1159" t="str">
        <f>'Vessel BQS Report'!H268</f>
        <v/>
      </c>
      <c r="J273" s="1062" t="str">
        <f>'Vessel BQS Report'!I268</f>
        <v/>
      </c>
      <c r="K273" s="1063" t="str">
        <f>'Vessel BQS Report'!J268</f>
        <v/>
      </c>
      <c r="L273" s="1064" t="str">
        <f>'Vessel BQS Report'!L268</f>
        <v/>
      </c>
      <c r="M273" s="1064" t="str">
        <f>'Vessel BQS Report'!O268</f>
        <v/>
      </c>
      <c r="N273" s="1065" t="str">
        <f>'Vessel BQS Report'!M268</f>
        <v/>
      </c>
      <c r="O273" s="1065" t="str">
        <f>'Vessel BQS Report'!P268</f>
        <v/>
      </c>
      <c r="P273" s="1064" t="str">
        <f>'Vessel BQS Report'!Q268</f>
        <v/>
      </c>
      <c r="Q273" s="1044"/>
    </row>
    <row r="274" spans="1:17" hidden="1">
      <c r="A274" s="881" t="str">
        <f>'Vessel BQS Report'!A269</f>
        <v>N</v>
      </c>
      <c r="C274" s="1057" t="str">
        <f>'Vessel BQS Report'!C269</f>
        <v/>
      </c>
      <c r="D274" s="1058" t="str">
        <f>'Vessel BQS Report'!D269</f>
        <v/>
      </c>
      <c r="E274" s="1059" t="str">
        <f>'Vessel BQS Report'!N269</f>
        <v/>
      </c>
      <c r="F274" s="1060" t="str">
        <f>'Vessel BQS Report'!F269</f>
        <v/>
      </c>
      <c r="G274" s="1061" t="str">
        <f>'Vessel BQS Report'!E269</f>
        <v/>
      </c>
      <c r="H274" s="1060" t="str">
        <f>'Vessel BQS Report'!G269</f>
        <v/>
      </c>
      <c r="I274" s="1159" t="str">
        <f>'Vessel BQS Report'!H269</f>
        <v/>
      </c>
      <c r="J274" s="1062" t="str">
        <f>'Vessel BQS Report'!I269</f>
        <v/>
      </c>
      <c r="K274" s="1063" t="str">
        <f>'Vessel BQS Report'!J269</f>
        <v/>
      </c>
      <c r="L274" s="1064" t="str">
        <f>'Vessel BQS Report'!L269</f>
        <v/>
      </c>
      <c r="M274" s="1064" t="str">
        <f>'Vessel BQS Report'!O269</f>
        <v/>
      </c>
      <c r="N274" s="1065" t="str">
        <f>'Vessel BQS Report'!M269</f>
        <v/>
      </c>
      <c r="O274" s="1065" t="str">
        <f>'Vessel BQS Report'!P269</f>
        <v/>
      </c>
      <c r="P274" s="1064" t="str">
        <f>'Vessel BQS Report'!Q269</f>
        <v/>
      </c>
      <c r="Q274" s="1044"/>
    </row>
    <row r="275" spans="1:17" hidden="1">
      <c r="A275" s="881" t="str">
        <f>'Vessel BQS Report'!A270</f>
        <v>N</v>
      </c>
      <c r="C275" s="1057" t="str">
        <f>'Vessel BQS Report'!C270</f>
        <v/>
      </c>
      <c r="D275" s="1058" t="str">
        <f>'Vessel BQS Report'!D270</f>
        <v/>
      </c>
      <c r="E275" s="1059" t="str">
        <f>'Vessel BQS Report'!N270</f>
        <v/>
      </c>
      <c r="F275" s="1060" t="str">
        <f>'Vessel BQS Report'!F270</f>
        <v/>
      </c>
      <c r="G275" s="1061" t="str">
        <f>'Vessel BQS Report'!E270</f>
        <v/>
      </c>
      <c r="H275" s="1060" t="str">
        <f>'Vessel BQS Report'!G270</f>
        <v/>
      </c>
      <c r="I275" s="1159" t="str">
        <f>'Vessel BQS Report'!H270</f>
        <v/>
      </c>
      <c r="J275" s="1062" t="str">
        <f>'Vessel BQS Report'!I270</f>
        <v/>
      </c>
      <c r="K275" s="1063" t="str">
        <f>'Vessel BQS Report'!J270</f>
        <v/>
      </c>
      <c r="L275" s="1064" t="str">
        <f>'Vessel BQS Report'!L270</f>
        <v/>
      </c>
      <c r="M275" s="1064" t="str">
        <f>'Vessel BQS Report'!O270</f>
        <v/>
      </c>
      <c r="N275" s="1065" t="str">
        <f>'Vessel BQS Report'!M270</f>
        <v/>
      </c>
      <c r="O275" s="1065" t="str">
        <f>'Vessel BQS Report'!P270</f>
        <v/>
      </c>
      <c r="P275" s="1064" t="str">
        <f>'Vessel BQS Report'!Q270</f>
        <v/>
      </c>
      <c r="Q275" s="1044"/>
    </row>
    <row r="276" spans="1:17" hidden="1">
      <c r="A276" s="881" t="str">
        <f>'Vessel BQS Report'!A271</f>
        <v>N</v>
      </c>
      <c r="C276" s="1057" t="str">
        <f>'Vessel BQS Report'!C271</f>
        <v/>
      </c>
      <c r="D276" s="1058" t="str">
        <f>'Vessel BQS Report'!D271</f>
        <v/>
      </c>
      <c r="E276" s="1059" t="str">
        <f>'Vessel BQS Report'!N271</f>
        <v/>
      </c>
      <c r="F276" s="1060" t="str">
        <f>'Vessel BQS Report'!F271</f>
        <v/>
      </c>
      <c r="G276" s="1061" t="str">
        <f>'Vessel BQS Report'!E271</f>
        <v/>
      </c>
      <c r="H276" s="1060" t="str">
        <f>'Vessel BQS Report'!G271</f>
        <v/>
      </c>
      <c r="I276" s="1159" t="str">
        <f>'Vessel BQS Report'!H271</f>
        <v/>
      </c>
      <c r="J276" s="1062" t="str">
        <f>'Vessel BQS Report'!I271</f>
        <v/>
      </c>
      <c r="K276" s="1063" t="str">
        <f>'Vessel BQS Report'!J271</f>
        <v/>
      </c>
      <c r="L276" s="1064" t="str">
        <f>'Vessel BQS Report'!L271</f>
        <v/>
      </c>
      <c r="M276" s="1064" t="str">
        <f>'Vessel BQS Report'!O271</f>
        <v/>
      </c>
      <c r="N276" s="1065" t="str">
        <f>'Vessel BQS Report'!M271</f>
        <v/>
      </c>
      <c r="O276" s="1065" t="str">
        <f>'Vessel BQS Report'!P271</f>
        <v/>
      </c>
      <c r="P276" s="1064" t="str">
        <f>'Vessel BQS Report'!Q271</f>
        <v/>
      </c>
      <c r="Q276" s="1044"/>
    </row>
    <row r="277" spans="1:17" hidden="1">
      <c r="A277" s="881" t="str">
        <f>'Vessel BQS Report'!A272</f>
        <v>N</v>
      </c>
      <c r="C277" s="1057" t="str">
        <f>'Vessel BQS Report'!C272</f>
        <v/>
      </c>
      <c r="D277" s="1058" t="str">
        <f>'Vessel BQS Report'!D272</f>
        <v/>
      </c>
      <c r="E277" s="1059" t="str">
        <f>'Vessel BQS Report'!N272</f>
        <v/>
      </c>
      <c r="F277" s="1060" t="str">
        <f>'Vessel BQS Report'!F272</f>
        <v/>
      </c>
      <c r="G277" s="1061" t="str">
        <f>'Vessel BQS Report'!E272</f>
        <v/>
      </c>
      <c r="H277" s="1060" t="str">
        <f>'Vessel BQS Report'!G272</f>
        <v/>
      </c>
      <c r="I277" s="1159" t="str">
        <f>'Vessel BQS Report'!H272</f>
        <v/>
      </c>
      <c r="J277" s="1062" t="str">
        <f>'Vessel BQS Report'!I272</f>
        <v/>
      </c>
      <c r="K277" s="1063" t="str">
        <f>'Vessel BQS Report'!J272</f>
        <v/>
      </c>
      <c r="L277" s="1064" t="str">
        <f>'Vessel BQS Report'!L272</f>
        <v/>
      </c>
      <c r="M277" s="1064" t="str">
        <f>'Vessel BQS Report'!O272</f>
        <v/>
      </c>
      <c r="N277" s="1065" t="str">
        <f>'Vessel BQS Report'!M272</f>
        <v/>
      </c>
      <c r="O277" s="1065" t="str">
        <f>'Vessel BQS Report'!P272</f>
        <v/>
      </c>
      <c r="P277" s="1064" t="str">
        <f>'Vessel BQS Report'!Q272</f>
        <v/>
      </c>
      <c r="Q277" s="1044"/>
    </row>
    <row r="278" spans="1:17" hidden="1">
      <c r="A278" s="881" t="str">
        <f>'Vessel BQS Report'!A273</f>
        <v>N</v>
      </c>
      <c r="C278" s="1057" t="str">
        <f>'Vessel BQS Report'!C273</f>
        <v/>
      </c>
      <c r="D278" s="1058" t="str">
        <f>'Vessel BQS Report'!D273</f>
        <v/>
      </c>
      <c r="E278" s="1059" t="str">
        <f>'Vessel BQS Report'!N273</f>
        <v/>
      </c>
      <c r="F278" s="1060" t="str">
        <f>'Vessel BQS Report'!F273</f>
        <v/>
      </c>
      <c r="G278" s="1061" t="str">
        <f>'Vessel BQS Report'!E273</f>
        <v/>
      </c>
      <c r="H278" s="1060" t="str">
        <f>'Vessel BQS Report'!G273</f>
        <v/>
      </c>
      <c r="I278" s="1159" t="str">
        <f>'Vessel BQS Report'!H273</f>
        <v/>
      </c>
      <c r="J278" s="1062" t="str">
        <f>'Vessel BQS Report'!I273</f>
        <v/>
      </c>
      <c r="K278" s="1063" t="str">
        <f>'Vessel BQS Report'!J273</f>
        <v/>
      </c>
      <c r="L278" s="1064" t="str">
        <f>'Vessel BQS Report'!L273</f>
        <v/>
      </c>
      <c r="M278" s="1064" t="str">
        <f>'Vessel BQS Report'!O273</f>
        <v/>
      </c>
      <c r="N278" s="1065" t="str">
        <f>'Vessel BQS Report'!M273</f>
        <v/>
      </c>
      <c r="O278" s="1065" t="str">
        <f>'Vessel BQS Report'!P273</f>
        <v/>
      </c>
      <c r="P278" s="1064" t="str">
        <f>'Vessel BQS Report'!Q273</f>
        <v/>
      </c>
      <c r="Q278" s="1044"/>
    </row>
    <row r="279" spans="1:17" hidden="1">
      <c r="A279" s="881" t="str">
        <f>'Vessel BQS Report'!A274</f>
        <v>N</v>
      </c>
      <c r="C279" s="1057" t="str">
        <f>'Vessel BQS Report'!C274</f>
        <v/>
      </c>
      <c r="D279" s="1058" t="str">
        <f>'Vessel BQS Report'!D274</f>
        <v/>
      </c>
      <c r="E279" s="1059" t="str">
        <f>'Vessel BQS Report'!N274</f>
        <v/>
      </c>
      <c r="F279" s="1060" t="str">
        <f>'Vessel BQS Report'!F274</f>
        <v/>
      </c>
      <c r="G279" s="1061" t="str">
        <f>'Vessel BQS Report'!E274</f>
        <v/>
      </c>
      <c r="H279" s="1060" t="str">
        <f>'Vessel BQS Report'!G274</f>
        <v/>
      </c>
      <c r="I279" s="1159" t="str">
        <f>'Vessel BQS Report'!H274</f>
        <v/>
      </c>
      <c r="J279" s="1062" t="str">
        <f>'Vessel BQS Report'!I274</f>
        <v/>
      </c>
      <c r="K279" s="1063" t="str">
        <f>'Vessel BQS Report'!J274</f>
        <v/>
      </c>
      <c r="L279" s="1064" t="str">
        <f>'Vessel BQS Report'!L274</f>
        <v/>
      </c>
      <c r="M279" s="1064" t="str">
        <f>'Vessel BQS Report'!O274</f>
        <v/>
      </c>
      <c r="N279" s="1065" t="str">
        <f>'Vessel BQS Report'!M274</f>
        <v/>
      </c>
      <c r="O279" s="1065" t="str">
        <f>'Vessel BQS Report'!P274</f>
        <v/>
      </c>
      <c r="P279" s="1064" t="str">
        <f>'Vessel BQS Report'!Q274</f>
        <v/>
      </c>
      <c r="Q279" s="1044"/>
    </row>
    <row r="280" spans="1:17" hidden="1">
      <c r="A280" s="881" t="str">
        <f>'Vessel BQS Report'!A275</f>
        <v>N</v>
      </c>
      <c r="C280" s="1057" t="str">
        <f>'Vessel BQS Report'!C275</f>
        <v/>
      </c>
      <c r="D280" s="1058" t="str">
        <f>'Vessel BQS Report'!D275</f>
        <v/>
      </c>
      <c r="E280" s="1059" t="str">
        <f>'Vessel BQS Report'!N275</f>
        <v/>
      </c>
      <c r="F280" s="1060" t="str">
        <f>'Vessel BQS Report'!F275</f>
        <v/>
      </c>
      <c r="G280" s="1061" t="str">
        <f>'Vessel BQS Report'!E275</f>
        <v/>
      </c>
      <c r="H280" s="1060" t="str">
        <f>'Vessel BQS Report'!G275</f>
        <v/>
      </c>
      <c r="I280" s="1159" t="str">
        <f>'Vessel BQS Report'!H275</f>
        <v/>
      </c>
      <c r="J280" s="1062" t="str">
        <f>'Vessel BQS Report'!I275</f>
        <v/>
      </c>
      <c r="K280" s="1063" t="str">
        <f>'Vessel BQS Report'!J275</f>
        <v/>
      </c>
      <c r="L280" s="1064" t="str">
        <f>'Vessel BQS Report'!L275</f>
        <v/>
      </c>
      <c r="M280" s="1064" t="str">
        <f>'Vessel BQS Report'!O275</f>
        <v/>
      </c>
      <c r="N280" s="1065" t="str">
        <f>'Vessel BQS Report'!M275</f>
        <v/>
      </c>
      <c r="O280" s="1065" t="str">
        <f>'Vessel BQS Report'!P275</f>
        <v/>
      </c>
      <c r="P280" s="1064" t="str">
        <f>'Vessel BQS Report'!Q275</f>
        <v/>
      </c>
      <c r="Q280" s="1044"/>
    </row>
    <row r="281" spans="1:17" hidden="1">
      <c r="A281" s="881" t="str">
        <f>'Vessel BQS Report'!A276</f>
        <v>N</v>
      </c>
      <c r="C281" s="1057" t="str">
        <f>'Vessel BQS Report'!C276</f>
        <v/>
      </c>
      <c r="D281" s="1058" t="str">
        <f>'Vessel BQS Report'!D276</f>
        <v/>
      </c>
      <c r="E281" s="1059" t="str">
        <f>'Vessel BQS Report'!N276</f>
        <v/>
      </c>
      <c r="F281" s="1060" t="str">
        <f>'Vessel BQS Report'!F276</f>
        <v/>
      </c>
      <c r="G281" s="1061" t="str">
        <f>'Vessel BQS Report'!E276</f>
        <v/>
      </c>
      <c r="H281" s="1060" t="str">
        <f>'Vessel BQS Report'!G276</f>
        <v/>
      </c>
      <c r="I281" s="1159" t="str">
        <f>'Vessel BQS Report'!H276</f>
        <v/>
      </c>
      <c r="J281" s="1062" t="str">
        <f>'Vessel BQS Report'!I276</f>
        <v/>
      </c>
      <c r="K281" s="1063" t="str">
        <f>'Vessel BQS Report'!J276</f>
        <v/>
      </c>
      <c r="L281" s="1064" t="str">
        <f>'Vessel BQS Report'!L276</f>
        <v/>
      </c>
      <c r="M281" s="1064" t="str">
        <f>'Vessel BQS Report'!O276</f>
        <v/>
      </c>
      <c r="N281" s="1065" t="str">
        <f>'Vessel BQS Report'!M276</f>
        <v/>
      </c>
      <c r="O281" s="1065" t="str">
        <f>'Vessel BQS Report'!P276</f>
        <v/>
      </c>
      <c r="P281" s="1064" t="str">
        <f>'Vessel BQS Report'!Q276</f>
        <v/>
      </c>
      <c r="Q281" s="1044"/>
    </row>
    <row r="282" spans="1:17" hidden="1">
      <c r="A282" s="881" t="str">
        <f>'Vessel BQS Report'!A277</f>
        <v>N</v>
      </c>
      <c r="C282" s="1057" t="str">
        <f>'Vessel BQS Report'!C277</f>
        <v/>
      </c>
      <c r="D282" s="1058" t="str">
        <f>'Vessel BQS Report'!D277</f>
        <v/>
      </c>
      <c r="E282" s="1059" t="str">
        <f>'Vessel BQS Report'!N277</f>
        <v/>
      </c>
      <c r="F282" s="1060" t="str">
        <f>'Vessel BQS Report'!F277</f>
        <v/>
      </c>
      <c r="G282" s="1061" t="str">
        <f>'Vessel BQS Report'!E277</f>
        <v/>
      </c>
      <c r="H282" s="1060" t="str">
        <f>'Vessel BQS Report'!G277</f>
        <v/>
      </c>
      <c r="I282" s="1159" t="str">
        <f>'Vessel BQS Report'!H277</f>
        <v/>
      </c>
      <c r="J282" s="1062" t="str">
        <f>'Vessel BQS Report'!I277</f>
        <v/>
      </c>
      <c r="K282" s="1063" t="str">
        <f>'Vessel BQS Report'!J277</f>
        <v/>
      </c>
      <c r="L282" s="1064" t="str">
        <f>'Vessel BQS Report'!L277</f>
        <v/>
      </c>
      <c r="M282" s="1064" t="str">
        <f>'Vessel BQS Report'!O277</f>
        <v/>
      </c>
      <c r="N282" s="1065" t="str">
        <f>'Vessel BQS Report'!M277</f>
        <v/>
      </c>
      <c r="O282" s="1065" t="str">
        <f>'Vessel BQS Report'!P277</f>
        <v/>
      </c>
      <c r="P282" s="1064" t="str">
        <f>'Vessel BQS Report'!Q277</f>
        <v/>
      </c>
      <c r="Q282" s="1044"/>
    </row>
    <row r="283" spans="1:17" hidden="1">
      <c r="A283" s="881" t="str">
        <f>'Vessel BQS Report'!A278</f>
        <v>N</v>
      </c>
      <c r="C283" s="1057" t="str">
        <f>'Vessel BQS Report'!C278</f>
        <v/>
      </c>
      <c r="D283" s="1058" t="str">
        <f>'Vessel BQS Report'!D278</f>
        <v/>
      </c>
      <c r="E283" s="1059" t="str">
        <f>'Vessel BQS Report'!N278</f>
        <v/>
      </c>
      <c r="F283" s="1060" t="str">
        <f>'Vessel BQS Report'!F278</f>
        <v/>
      </c>
      <c r="G283" s="1061" t="str">
        <f>'Vessel BQS Report'!E278</f>
        <v/>
      </c>
      <c r="H283" s="1060" t="str">
        <f>'Vessel BQS Report'!G278</f>
        <v/>
      </c>
      <c r="I283" s="1159" t="str">
        <f>'Vessel BQS Report'!H278</f>
        <v/>
      </c>
      <c r="J283" s="1062" t="str">
        <f>'Vessel BQS Report'!I278</f>
        <v/>
      </c>
      <c r="K283" s="1063" t="str">
        <f>'Vessel BQS Report'!J278</f>
        <v/>
      </c>
      <c r="L283" s="1064" t="str">
        <f>'Vessel BQS Report'!L278</f>
        <v/>
      </c>
      <c r="M283" s="1064" t="str">
        <f>'Vessel BQS Report'!O278</f>
        <v/>
      </c>
      <c r="N283" s="1065" t="str">
        <f>'Vessel BQS Report'!M278</f>
        <v/>
      </c>
      <c r="O283" s="1065" t="str">
        <f>'Vessel BQS Report'!P278</f>
        <v/>
      </c>
      <c r="P283" s="1064" t="str">
        <f>'Vessel BQS Report'!Q278</f>
        <v/>
      </c>
      <c r="Q283" s="1044"/>
    </row>
    <row r="284" spans="1:17" hidden="1">
      <c r="A284" s="881" t="str">
        <f>'Vessel BQS Report'!A279</f>
        <v>N</v>
      </c>
      <c r="C284" s="1057" t="str">
        <f>'Vessel BQS Report'!C279</f>
        <v/>
      </c>
      <c r="D284" s="1058" t="str">
        <f>'Vessel BQS Report'!D279</f>
        <v/>
      </c>
      <c r="E284" s="1059" t="str">
        <f>'Vessel BQS Report'!N279</f>
        <v/>
      </c>
      <c r="F284" s="1060" t="str">
        <f>'Vessel BQS Report'!F279</f>
        <v/>
      </c>
      <c r="G284" s="1061" t="str">
        <f>'Vessel BQS Report'!E279</f>
        <v/>
      </c>
      <c r="H284" s="1060" t="str">
        <f>'Vessel BQS Report'!G279</f>
        <v/>
      </c>
      <c r="I284" s="1159" t="str">
        <f>'Vessel BQS Report'!H279</f>
        <v/>
      </c>
      <c r="J284" s="1062" t="str">
        <f>'Vessel BQS Report'!I279</f>
        <v/>
      </c>
      <c r="K284" s="1063" t="str">
        <f>'Vessel BQS Report'!J279</f>
        <v/>
      </c>
      <c r="L284" s="1064" t="str">
        <f>'Vessel BQS Report'!L279</f>
        <v/>
      </c>
      <c r="M284" s="1064" t="str">
        <f>'Vessel BQS Report'!O279</f>
        <v/>
      </c>
      <c r="N284" s="1065" t="str">
        <f>'Vessel BQS Report'!M279</f>
        <v/>
      </c>
      <c r="O284" s="1065" t="str">
        <f>'Vessel BQS Report'!P279</f>
        <v/>
      </c>
      <c r="P284" s="1064" t="str">
        <f>'Vessel BQS Report'!Q279</f>
        <v/>
      </c>
      <c r="Q284" s="1044"/>
    </row>
    <row r="285" spans="1:17" hidden="1">
      <c r="A285" s="881" t="str">
        <f>'Vessel BQS Report'!A280</f>
        <v>N</v>
      </c>
      <c r="C285" s="1057" t="str">
        <f>'Vessel BQS Report'!C280</f>
        <v/>
      </c>
      <c r="D285" s="1058" t="str">
        <f>'Vessel BQS Report'!D280</f>
        <v/>
      </c>
      <c r="E285" s="1059" t="str">
        <f>'Vessel BQS Report'!N280</f>
        <v/>
      </c>
      <c r="F285" s="1060" t="str">
        <f>'Vessel BQS Report'!F280</f>
        <v/>
      </c>
      <c r="G285" s="1061" t="str">
        <f>'Vessel BQS Report'!E280</f>
        <v/>
      </c>
      <c r="H285" s="1060" t="str">
        <f>'Vessel BQS Report'!G280</f>
        <v/>
      </c>
      <c r="I285" s="1159" t="str">
        <f>'Vessel BQS Report'!H280</f>
        <v/>
      </c>
      <c r="J285" s="1062" t="str">
        <f>'Vessel BQS Report'!I280</f>
        <v/>
      </c>
      <c r="K285" s="1063" t="str">
        <f>'Vessel BQS Report'!J280</f>
        <v/>
      </c>
      <c r="L285" s="1064" t="str">
        <f>'Vessel BQS Report'!L280</f>
        <v/>
      </c>
      <c r="M285" s="1064" t="str">
        <f>'Vessel BQS Report'!O280</f>
        <v/>
      </c>
      <c r="N285" s="1065" t="str">
        <f>'Vessel BQS Report'!M280</f>
        <v/>
      </c>
      <c r="O285" s="1065" t="str">
        <f>'Vessel BQS Report'!P280</f>
        <v/>
      </c>
      <c r="P285" s="1064" t="str">
        <f>'Vessel BQS Report'!Q280</f>
        <v/>
      </c>
      <c r="Q285" s="1044"/>
    </row>
    <row r="286" spans="1:17" hidden="1">
      <c r="A286" s="881" t="str">
        <f>'Vessel BQS Report'!A281</f>
        <v>N</v>
      </c>
      <c r="C286" s="1057" t="str">
        <f>'Vessel BQS Report'!C281</f>
        <v/>
      </c>
      <c r="D286" s="1058" t="str">
        <f>'Vessel BQS Report'!D281</f>
        <v/>
      </c>
      <c r="E286" s="1059" t="str">
        <f>'Vessel BQS Report'!N281</f>
        <v/>
      </c>
      <c r="F286" s="1060" t="str">
        <f>'Vessel BQS Report'!F281</f>
        <v/>
      </c>
      <c r="G286" s="1061" t="str">
        <f>'Vessel BQS Report'!E281</f>
        <v/>
      </c>
      <c r="H286" s="1060" t="str">
        <f>'Vessel BQS Report'!G281</f>
        <v/>
      </c>
      <c r="I286" s="1159" t="str">
        <f>'Vessel BQS Report'!H281</f>
        <v/>
      </c>
      <c r="J286" s="1062" t="str">
        <f>'Vessel BQS Report'!I281</f>
        <v/>
      </c>
      <c r="K286" s="1063" t="str">
        <f>'Vessel BQS Report'!J281</f>
        <v/>
      </c>
      <c r="L286" s="1064" t="str">
        <f>'Vessel BQS Report'!L281</f>
        <v/>
      </c>
      <c r="M286" s="1064" t="str">
        <f>'Vessel BQS Report'!O281</f>
        <v/>
      </c>
      <c r="N286" s="1065" t="str">
        <f>'Vessel BQS Report'!M281</f>
        <v/>
      </c>
      <c r="O286" s="1065" t="str">
        <f>'Vessel BQS Report'!P281</f>
        <v/>
      </c>
      <c r="P286" s="1064" t="str">
        <f>'Vessel BQS Report'!Q281</f>
        <v/>
      </c>
      <c r="Q286" s="1044"/>
    </row>
    <row r="287" spans="1:17" hidden="1">
      <c r="A287" s="881" t="str">
        <f>'Vessel BQS Report'!A282</f>
        <v>N</v>
      </c>
      <c r="C287" s="1057" t="str">
        <f>'Vessel BQS Report'!C282</f>
        <v/>
      </c>
      <c r="D287" s="1058" t="str">
        <f>'Vessel BQS Report'!D282</f>
        <v/>
      </c>
      <c r="E287" s="1059" t="str">
        <f>'Vessel BQS Report'!N282</f>
        <v/>
      </c>
      <c r="F287" s="1060" t="str">
        <f>'Vessel BQS Report'!F282</f>
        <v/>
      </c>
      <c r="G287" s="1061" t="str">
        <f>'Vessel BQS Report'!E282</f>
        <v/>
      </c>
      <c r="H287" s="1060" t="str">
        <f>'Vessel BQS Report'!G282</f>
        <v/>
      </c>
      <c r="I287" s="1159" t="str">
        <f>'Vessel BQS Report'!H282</f>
        <v/>
      </c>
      <c r="J287" s="1062" t="str">
        <f>'Vessel BQS Report'!I282</f>
        <v/>
      </c>
      <c r="K287" s="1063" t="str">
        <f>'Vessel BQS Report'!J282</f>
        <v/>
      </c>
      <c r="L287" s="1064" t="str">
        <f>'Vessel BQS Report'!L282</f>
        <v/>
      </c>
      <c r="M287" s="1064" t="str">
        <f>'Vessel BQS Report'!O282</f>
        <v/>
      </c>
      <c r="N287" s="1065" t="str">
        <f>'Vessel BQS Report'!M282</f>
        <v/>
      </c>
      <c r="O287" s="1065" t="str">
        <f>'Vessel BQS Report'!P282</f>
        <v/>
      </c>
      <c r="P287" s="1064" t="str">
        <f>'Vessel BQS Report'!Q282</f>
        <v/>
      </c>
      <c r="Q287" s="1044"/>
    </row>
    <row r="288" spans="1:17" hidden="1">
      <c r="A288" s="881" t="str">
        <f>'Vessel BQS Report'!A283</f>
        <v>N</v>
      </c>
      <c r="C288" s="1057" t="str">
        <f>'Vessel BQS Report'!C283</f>
        <v/>
      </c>
      <c r="D288" s="1058" t="str">
        <f>'Vessel BQS Report'!D283</f>
        <v/>
      </c>
      <c r="E288" s="1059" t="str">
        <f>'Vessel BQS Report'!N283</f>
        <v/>
      </c>
      <c r="F288" s="1060" t="str">
        <f>'Vessel BQS Report'!F283</f>
        <v/>
      </c>
      <c r="G288" s="1061" t="str">
        <f>'Vessel BQS Report'!E283</f>
        <v/>
      </c>
      <c r="H288" s="1060" t="str">
        <f>'Vessel BQS Report'!G283</f>
        <v/>
      </c>
      <c r="I288" s="1159" t="str">
        <f>'Vessel BQS Report'!H283</f>
        <v/>
      </c>
      <c r="J288" s="1062" t="str">
        <f>'Vessel BQS Report'!I283</f>
        <v/>
      </c>
      <c r="K288" s="1063" t="str">
        <f>'Vessel BQS Report'!J283</f>
        <v/>
      </c>
      <c r="L288" s="1064" t="str">
        <f>'Vessel BQS Report'!L283</f>
        <v/>
      </c>
      <c r="M288" s="1064" t="str">
        <f>'Vessel BQS Report'!O283</f>
        <v/>
      </c>
      <c r="N288" s="1065" t="str">
        <f>'Vessel BQS Report'!M283</f>
        <v/>
      </c>
      <c r="O288" s="1065" t="str">
        <f>'Vessel BQS Report'!P283</f>
        <v/>
      </c>
      <c r="P288" s="1064" t="str">
        <f>'Vessel BQS Report'!Q283</f>
        <v/>
      </c>
      <c r="Q288" s="1044"/>
    </row>
    <row r="289" spans="1:17" hidden="1">
      <c r="A289" s="881" t="str">
        <f>'Vessel BQS Report'!A284</f>
        <v>N</v>
      </c>
      <c r="C289" s="1057" t="str">
        <f>'Vessel BQS Report'!C284</f>
        <v/>
      </c>
      <c r="D289" s="1058" t="str">
        <f>'Vessel BQS Report'!D284</f>
        <v/>
      </c>
      <c r="E289" s="1059" t="str">
        <f>'Vessel BQS Report'!N284</f>
        <v/>
      </c>
      <c r="F289" s="1060" t="str">
        <f>'Vessel BQS Report'!F284</f>
        <v/>
      </c>
      <c r="G289" s="1061" t="str">
        <f>'Vessel BQS Report'!E284</f>
        <v/>
      </c>
      <c r="H289" s="1060" t="str">
        <f>'Vessel BQS Report'!G284</f>
        <v/>
      </c>
      <c r="I289" s="1159" t="str">
        <f>'Vessel BQS Report'!H284</f>
        <v/>
      </c>
      <c r="J289" s="1062" t="str">
        <f>'Vessel BQS Report'!I284</f>
        <v/>
      </c>
      <c r="K289" s="1063" t="str">
        <f>'Vessel BQS Report'!J284</f>
        <v/>
      </c>
      <c r="L289" s="1064" t="str">
        <f>'Vessel BQS Report'!L284</f>
        <v/>
      </c>
      <c r="M289" s="1064" t="str">
        <f>'Vessel BQS Report'!O284</f>
        <v/>
      </c>
      <c r="N289" s="1065" t="str">
        <f>'Vessel BQS Report'!M284</f>
        <v/>
      </c>
      <c r="O289" s="1065" t="str">
        <f>'Vessel BQS Report'!P284</f>
        <v/>
      </c>
      <c r="P289" s="1064" t="str">
        <f>'Vessel BQS Report'!Q284</f>
        <v/>
      </c>
      <c r="Q289" s="1044"/>
    </row>
    <row r="290" spans="1:17" hidden="1">
      <c r="A290" s="881" t="str">
        <f>'Vessel BQS Report'!A285</f>
        <v>N</v>
      </c>
      <c r="C290" s="1057" t="str">
        <f>'Vessel BQS Report'!C285</f>
        <v/>
      </c>
      <c r="D290" s="1058" t="str">
        <f>'Vessel BQS Report'!D285</f>
        <v/>
      </c>
      <c r="E290" s="1059" t="str">
        <f>'Vessel BQS Report'!N285</f>
        <v/>
      </c>
      <c r="F290" s="1060" t="str">
        <f>'Vessel BQS Report'!F285</f>
        <v/>
      </c>
      <c r="G290" s="1061" t="str">
        <f>'Vessel BQS Report'!E285</f>
        <v/>
      </c>
      <c r="H290" s="1060" t="str">
        <f>'Vessel BQS Report'!G285</f>
        <v/>
      </c>
      <c r="I290" s="1159" t="str">
        <f>'Vessel BQS Report'!H285</f>
        <v/>
      </c>
      <c r="J290" s="1062" t="str">
        <f>'Vessel BQS Report'!I285</f>
        <v/>
      </c>
      <c r="K290" s="1063" t="str">
        <f>'Vessel BQS Report'!J285</f>
        <v/>
      </c>
      <c r="L290" s="1064" t="str">
        <f>'Vessel BQS Report'!L285</f>
        <v/>
      </c>
      <c r="M290" s="1064" t="str">
        <f>'Vessel BQS Report'!O285</f>
        <v/>
      </c>
      <c r="N290" s="1065" t="str">
        <f>'Vessel BQS Report'!M285</f>
        <v/>
      </c>
      <c r="O290" s="1065" t="str">
        <f>'Vessel BQS Report'!P285</f>
        <v/>
      </c>
      <c r="P290" s="1064" t="str">
        <f>'Vessel BQS Report'!Q285</f>
        <v/>
      </c>
      <c r="Q290" s="1044"/>
    </row>
    <row r="291" spans="1:17" hidden="1">
      <c r="A291" s="881" t="str">
        <f>'Vessel BQS Report'!A286</f>
        <v>N</v>
      </c>
      <c r="C291" s="1057" t="str">
        <f>'Vessel BQS Report'!C286</f>
        <v/>
      </c>
      <c r="D291" s="1058" t="str">
        <f>'Vessel BQS Report'!D286</f>
        <v/>
      </c>
      <c r="E291" s="1059" t="str">
        <f>'Vessel BQS Report'!N286</f>
        <v/>
      </c>
      <c r="F291" s="1060" t="str">
        <f>'Vessel BQS Report'!F286</f>
        <v/>
      </c>
      <c r="G291" s="1061" t="str">
        <f>'Vessel BQS Report'!E286</f>
        <v/>
      </c>
      <c r="H291" s="1060" t="str">
        <f>'Vessel BQS Report'!G286</f>
        <v/>
      </c>
      <c r="I291" s="1159" t="str">
        <f>'Vessel BQS Report'!H286</f>
        <v/>
      </c>
      <c r="J291" s="1062" t="str">
        <f>'Vessel BQS Report'!I286</f>
        <v/>
      </c>
      <c r="K291" s="1063" t="str">
        <f>'Vessel BQS Report'!J286</f>
        <v/>
      </c>
      <c r="L291" s="1064" t="str">
        <f>'Vessel BQS Report'!L286</f>
        <v/>
      </c>
      <c r="M291" s="1064" t="str">
        <f>'Vessel BQS Report'!O286</f>
        <v/>
      </c>
      <c r="N291" s="1065" t="str">
        <f>'Vessel BQS Report'!M286</f>
        <v/>
      </c>
      <c r="O291" s="1065" t="str">
        <f>'Vessel BQS Report'!P286</f>
        <v/>
      </c>
      <c r="P291" s="1064" t="str">
        <f>'Vessel BQS Report'!Q286</f>
        <v/>
      </c>
      <c r="Q291" s="1044"/>
    </row>
    <row r="292" spans="1:17" hidden="1">
      <c r="A292" s="881" t="str">
        <f>'Vessel BQS Report'!A287</f>
        <v>N</v>
      </c>
      <c r="C292" s="1066" t="str">
        <f>'Vessel BQS Report'!C287</f>
        <v/>
      </c>
      <c r="D292" s="1067" t="str">
        <f>'Vessel BQS Report'!D287</f>
        <v/>
      </c>
      <c r="E292" s="1068" t="str">
        <f>'Vessel BQS Report'!N287</f>
        <v/>
      </c>
      <c r="F292" s="1069" t="str">
        <f>'Vessel BQS Report'!F287</f>
        <v/>
      </c>
      <c r="G292" s="1070" t="str">
        <f>'Vessel BQS Report'!E287</f>
        <v/>
      </c>
      <c r="H292" s="1069" t="str">
        <f>'Vessel BQS Report'!G287</f>
        <v/>
      </c>
      <c r="I292" s="1160" t="str">
        <f>'Vessel BQS Report'!H287</f>
        <v/>
      </c>
      <c r="J292" s="1071" t="str">
        <f>'Vessel BQS Report'!I287</f>
        <v/>
      </c>
      <c r="K292" s="1072" t="str">
        <f>'Vessel BQS Report'!J287</f>
        <v/>
      </c>
      <c r="L292" s="1073" t="str">
        <f>'Vessel BQS Report'!L287</f>
        <v/>
      </c>
      <c r="M292" s="1073" t="str">
        <f>'Vessel BQS Report'!O287</f>
        <v/>
      </c>
      <c r="N292" s="1074" t="str">
        <f>'Vessel BQS Report'!M287</f>
        <v/>
      </c>
      <c r="O292" s="1074" t="str">
        <f>'Vessel BQS Report'!P287</f>
        <v/>
      </c>
      <c r="P292" s="1073" t="str">
        <f>'Vessel BQS Report'!Q287</f>
        <v/>
      </c>
      <c r="Q292" s="1044"/>
    </row>
    <row r="293" spans="1:17" hidden="1">
      <c r="A293" s="881" t="s">
        <v>270</v>
      </c>
      <c r="C293" s="1118"/>
      <c r="D293" s="1075"/>
      <c r="E293" s="1076"/>
      <c r="F293" s="1077"/>
      <c r="G293" s="1077"/>
      <c r="H293" s="1078"/>
      <c r="I293" s="1078"/>
      <c r="J293" s="1078"/>
      <c r="K293" s="1077"/>
      <c r="L293" s="1079"/>
      <c r="M293" s="2957" t="s">
        <v>801</v>
      </c>
      <c r="N293" s="2957"/>
      <c r="O293" s="2958">
        <f>SUM(P273:P292)</f>
        <v>0</v>
      </c>
      <c r="P293" s="2958"/>
      <c r="Q293" s="1044"/>
    </row>
    <row r="294" spans="1:17" s="1046" customFormat="1" ht="5.25" hidden="1">
      <c r="A294" s="1046" t="s">
        <v>270</v>
      </c>
      <c r="C294" s="1108"/>
      <c r="D294" s="1109"/>
      <c r="E294" s="1110"/>
      <c r="F294" s="1111"/>
      <c r="G294" s="1111"/>
      <c r="H294" s="1112"/>
      <c r="I294" s="1113"/>
      <c r="J294" s="1113"/>
      <c r="K294" s="1114"/>
      <c r="L294" s="1115"/>
      <c r="M294" s="1115"/>
      <c r="N294" s="1116"/>
      <c r="O294" s="1117"/>
      <c r="P294" s="1115"/>
      <c r="Q294" s="1045"/>
    </row>
    <row r="295" spans="1:17" hidden="1">
      <c r="A295" s="881" t="s">
        <v>270</v>
      </c>
      <c r="B295" s="881">
        <v>5</v>
      </c>
      <c r="C295" s="2959" t="str">
        <f>'Vessel BQS Report'!C290</f>
        <v>NOMINATED TANKS</v>
      </c>
      <c r="D295" s="2960">
        <f>'Vessel BQS Report'!D290</f>
        <v>0</v>
      </c>
      <c r="E295" s="2960">
        <f>'Vessel BQS Report'!N290</f>
        <v>0</v>
      </c>
      <c r="F295" s="2961">
        <f>'Vessel BQS Report'!F290</f>
        <v>0</v>
      </c>
      <c r="G295" s="2962" t="str">
        <f>'Vessel BQS Report'!E290</f>
        <v>MGO</v>
      </c>
      <c r="H295" s="2963">
        <f>'Vessel BQS Report'!G290</f>
        <v>0</v>
      </c>
      <c r="I295" s="1051"/>
      <c r="J295" s="1052"/>
      <c r="K295" s="1053"/>
      <c r="L295" s="1054"/>
      <c r="M295" s="1054"/>
      <c r="N295" s="1055"/>
      <c r="O295" s="1056"/>
      <c r="P295" s="1054"/>
      <c r="Q295" s="1044"/>
    </row>
    <row r="296" spans="1:17" hidden="1">
      <c r="A296" s="881" t="str">
        <f>'Vessel BQS Report'!A291</f>
        <v>N</v>
      </c>
      <c r="C296" s="1057" t="str">
        <f>'Vessel BQS Report'!C291</f>
        <v/>
      </c>
      <c r="D296" s="1058" t="str">
        <f>'Vessel BQS Report'!D291</f>
        <v/>
      </c>
      <c r="E296" s="1059" t="str">
        <f>'Vessel BQS Report'!N291</f>
        <v/>
      </c>
      <c r="F296" s="1060" t="str">
        <f>'Vessel BQS Report'!F291</f>
        <v/>
      </c>
      <c r="G296" s="1061" t="str">
        <f>'Vessel BQS Report'!E291</f>
        <v/>
      </c>
      <c r="H296" s="1060" t="str">
        <f>'Vessel BQS Report'!G291</f>
        <v/>
      </c>
      <c r="I296" s="1159" t="str">
        <f>'Vessel BQS Report'!H291</f>
        <v/>
      </c>
      <c r="J296" s="1062" t="str">
        <f>'Vessel BQS Report'!I291</f>
        <v/>
      </c>
      <c r="K296" s="1063" t="str">
        <f>'Vessel BQS Report'!J291</f>
        <v/>
      </c>
      <c r="L296" s="1064" t="str">
        <f>'Vessel BQS Report'!L291</f>
        <v/>
      </c>
      <c r="M296" s="1064" t="str">
        <f>'Vessel BQS Report'!O291</f>
        <v/>
      </c>
      <c r="N296" s="1065" t="str">
        <f>'Vessel BQS Report'!M291</f>
        <v/>
      </c>
      <c r="O296" s="1065" t="str">
        <f>'Vessel BQS Report'!P291</f>
        <v/>
      </c>
      <c r="P296" s="1064" t="str">
        <f>'Vessel BQS Report'!Q291</f>
        <v/>
      </c>
      <c r="Q296" s="1044"/>
    </row>
    <row r="297" spans="1:17" hidden="1">
      <c r="A297" s="881" t="str">
        <f>'Vessel BQS Report'!A292</f>
        <v>N</v>
      </c>
      <c r="C297" s="1057" t="str">
        <f>'Vessel BQS Report'!C292</f>
        <v/>
      </c>
      <c r="D297" s="1058" t="str">
        <f>'Vessel BQS Report'!D292</f>
        <v/>
      </c>
      <c r="E297" s="1059" t="str">
        <f>'Vessel BQS Report'!N292</f>
        <v/>
      </c>
      <c r="F297" s="1060" t="str">
        <f>'Vessel BQS Report'!F292</f>
        <v/>
      </c>
      <c r="G297" s="1061" t="str">
        <f>'Vessel BQS Report'!E292</f>
        <v/>
      </c>
      <c r="H297" s="1060" t="str">
        <f>'Vessel BQS Report'!G292</f>
        <v/>
      </c>
      <c r="I297" s="1159" t="str">
        <f>'Vessel BQS Report'!H292</f>
        <v/>
      </c>
      <c r="J297" s="1062" t="str">
        <f>'Vessel BQS Report'!I292</f>
        <v/>
      </c>
      <c r="K297" s="1063" t="str">
        <f>'Vessel BQS Report'!J292</f>
        <v/>
      </c>
      <c r="L297" s="1064" t="str">
        <f>'Vessel BQS Report'!L292</f>
        <v/>
      </c>
      <c r="M297" s="1064" t="str">
        <f>'Vessel BQS Report'!O292</f>
        <v/>
      </c>
      <c r="N297" s="1065" t="str">
        <f>'Vessel BQS Report'!M292</f>
        <v/>
      </c>
      <c r="O297" s="1065" t="str">
        <f>'Vessel BQS Report'!P292</f>
        <v/>
      </c>
      <c r="P297" s="1064" t="str">
        <f>'Vessel BQS Report'!Q292</f>
        <v/>
      </c>
      <c r="Q297" s="1044"/>
    </row>
    <row r="298" spans="1:17" hidden="1">
      <c r="A298" s="881" t="str">
        <f>'Vessel BQS Report'!A293</f>
        <v>N</v>
      </c>
      <c r="C298" s="1057" t="str">
        <f>'Vessel BQS Report'!C293</f>
        <v/>
      </c>
      <c r="D298" s="1058" t="str">
        <f>'Vessel BQS Report'!D293</f>
        <v/>
      </c>
      <c r="E298" s="1059" t="str">
        <f>'Vessel BQS Report'!N293</f>
        <v/>
      </c>
      <c r="F298" s="1060" t="str">
        <f>'Vessel BQS Report'!F293</f>
        <v/>
      </c>
      <c r="G298" s="1061" t="str">
        <f>'Vessel BQS Report'!E293</f>
        <v/>
      </c>
      <c r="H298" s="1060" t="str">
        <f>'Vessel BQS Report'!G293</f>
        <v/>
      </c>
      <c r="I298" s="1159" t="str">
        <f>'Vessel BQS Report'!H293</f>
        <v/>
      </c>
      <c r="J298" s="1062" t="str">
        <f>'Vessel BQS Report'!I293</f>
        <v/>
      </c>
      <c r="K298" s="1063" t="str">
        <f>'Vessel BQS Report'!J293</f>
        <v/>
      </c>
      <c r="L298" s="1064" t="str">
        <f>'Vessel BQS Report'!L293</f>
        <v/>
      </c>
      <c r="M298" s="1064" t="str">
        <f>'Vessel BQS Report'!O293</f>
        <v/>
      </c>
      <c r="N298" s="1065" t="str">
        <f>'Vessel BQS Report'!M293</f>
        <v/>
      </c>
      <c r="O298" s="1065" t="str">
        <f>'Vessel BQS Report'!P293</f>
        <v/>
      </c>
      <c r="P298" s="1064" t="str">
        <f>'Vessel BQS Report'!Q293</f>
        <v/>
      </c>
      <c r="Q298" s="1044"/>
    </row>
    <row r="299" spans="1:17" hidden="1">
      <c r="A299" s="881" t="str">
        <f>'Vessel BQS Report'!A294</f>
        <v>N</v>
      </c>
      <c r="C299" s="1057" t="str">
        <f>'Vessel BQS Report'!C294</f>
        <v/>
      </c>
      <c r="D299" s="1058" t="str">
        <f>'Vessel BQS Report'!D294</f>
        <v/>
      </c>
      <c r="E299" s="1059" t="str">
        <f>'Vessel BQS Report'!N294</f>
        <v/>
      </c>
      <c r="F299" s="1060" t="str">
        <f>'Vessel BQS Report'!F294</f>
        <v/>
      </c>
      <c r="G299" s="1061" t="str">
        <f>'Vessel BQS Report'!E294</f>
        <v/>
      </c>
      <c r="H299" s="1060" t="str">
        <f>'Vessel BQS Report'!G294</f>
        <v/>
      </c>
      <c r="I299" s="1159" t="str">
        <f>'Vessel BQS Report'!H294</f>
        <v/>
      </c>
      <c r="J299" s="1062" t="str">
        <f>'Vessel BQS Report'!I294</f>
        <v/>
      </c>
      <c r="K299" s="1063" t="str">
        <f>'Vessel BQS Report'!J294</f>
        <v/>
      </c>
      <c r="L299" s="1064" t="str">
        <f>'Vessel BQS Report'!L294</f>
        <v/>
      </c>
      <c r="M299" s="1064" t="str">
        <f>'Vessel BQS Report'!O294</f>
        <v/>
      </c>
      <c r="N299" s="1065" t="str">
        <f>'Vessel BQS Report'!M294</f>
        <v/>
      </c>
      <c r="O299" s="1065" t="str">
        <f>'Vessel BQS Report'!P294</f>
        <v/>
      </c>
      <c r="P299" s="1064" t="str">
        <f>'Vessel BQS Report'!Q294</f>
        <v/>
      </c>
      <c r="Q299" s="1044"/>
    </row>
    <row r="300" spans="1:17" hidden="1">
      <c r="A300" s="881" t="str">
        <f>'Vessel BQS Report'!A295</f>
        <v>N</v>
      </c>
      <c r="C300" s="1057" t="str">
        <f>'Vessel BQS Report'!C295</f>
        <v/>
      </c>
      <c r="D300" s="1058" t="str">
        <f>'Vessel BQS Report'!D295</f>
        <v/>
      </c>
      <c r="E300" s="1059" t="str">
        <f>'Vessel BQS Report'!N295</f>
        <v/>
      </c>
      <c r="F300" s="1060" t="str">
        <f>'Vessel BQS Report'!F295</f>
        <v/>
      </c>
      <c r="G300" s="1061" t="str">
        <f>'Vessel BQS Report'!E295</f>
        <v/>
      </c>
      <c r="H300" s="1060" t="str">
        <f>'Vessel BQS Report'!G295</f>
        <v/>
      </c>
      <c r="I300" s="1159" t="str">
        <f>'Vessel BQS Report'!H295</f>
        <v/>
      </c>
      <c r="J300" s="1062" t="str">
        <f>'Vessel BQS Report'!I295</f>
        <v/>
      </c>
      <c r="K300" s="1063" t="str">
        <f>'Vessel BQS Report'!J295</f>
        <v/>
      </c>
      <c r="L300" s="1064" t="str">
        <f>'Vessel BQS Report'!L295</f>
        <v/>
      </c>
      <c r="M300" s="1064" t="str">
        <f>'Vessel BQS Report'!O295</f>
        <v/>
      </c>
      <c r="N300" s="1065" t="str">
        <f>'Vessel BQS Report'!M295</f>
        <v/>
      </c>
      <c r="O300" s="1065" t="str">
        <f>'Vessel BQS Report'!P295</f>
        <v/>
      </c>
      <c r="P300" s="1064" t="str">
        <f>'Vessel BQS Report'!Q295</f>
        <v/>
      </c>
      <c r="Q300" s="1044"/>
    </row>
    <row r="301" spans="1:17" hidden="1">
      <c r="A301" s="881" t="str">
        <f>'Vessel BQS Report'!A296</f>
        <v>N</v>
      </c>
      <c r="C301" s="1057" t="str">
        <f>'Vessel BQS Report'!C296</f>
        <v/>
      </c>
      <c r="D301" s="1058" t="str">
        <f>'Vessel BQS Report'!D296</f>
        <v/>
      </c>
      <c r="E301" s="1059" t="str">
        <f>'Vessel BQS Report'!N296</f>
        <v/>
      </c>
      <c r="F301" s="1060" t="str">
        <f>'Vessel BQS Report'!F296</f>
        <v/>
      </c>
      <c r="G301" s="1061" t="str">
        <f>'Vessel BQS Report'!E296</f>
        <v/>
      </c>
      <c r="H301" s="1060" t="str">
        <f>'Vessel BQS Report'!G296</f>
        <v/>
      </c>
      <c r="I301" s="1159" t="str">
        <f>'Vessel BQS Report'!H296</f>
        <v/>
      </c>
      <c r="J301" s="1062" t="str">
        <f>'Vessel BQS Report'!I296</f>
        <v/>
      </c>
      <c r="K301" s="1063" t="str">
        <f>'Vessel BQS Report'!J296</f>
        <v/>
      </c>
      <c r="L301" s="1064" t="str">
        <f>'Vessel BQS Report'!L296</f>
        <v/>
      </c>
      <c r="M301" s="1064" t="str">
        <f>'Vessel BQS Report'!O296</f>
        <v/>
      </c>
      <c r="N301" s="1065" t="str">
        <f>'Vessel BQS Report'!M296</f>
        <v/>
      </c>
      <c r="O301" s="1065" t="str">
        <f>'Vessel BQS Report'!P296</f>
        <v/>
      </c>
      <c r="P301" s="1064" t="str">
        <f>'Vessel BQS Report'!Q296</f>
        <v/>
      </c>
      <c r="Q301" s="1044"/>
    </row>
    <row r="302" spans="1:17" hidden="1">
      <c r="A302" s="881" t="str">
        <f>'Vessel BQS Report'!A297</f>
        <v>N</v>
      </c>
      <c r="C302" s="1057" t="str">
        <f>'Vessel BQS Report'!C297</f>
        <v/>
      </c>
      <c r="D302" s="1058" t="str">
        <f>'Vessel BQS Report'!D297</f>
        <v/>
      </c>
      <c r="E302" s="1059" t="str">
        <f>'Vessel BQS Report'!N297</f>
        <v/>
      </c>
      <c r="F302" s="1060" t="str">
        <f>'Vessel BQS Report'!F297</f>
        <v/>
      </c>
      <c r="G302" s="1061" t="str">
        <f>'Vessel BQS Report'!E297</f>
        <v/>
      </c>
      <c r="H302" s="1060" t="str">
        <f>'Vessel BQS Report'!G297</f>
        <v/>
      </c>
      <c r="I302" s="1159" t="str">
        <f>'Vessel BQS Report'!H297</f>
        <v/>
      </c>
      <c r="J302" s="1062" t="str">
        <f>'Vessel BQS Report'!I297</f>
        <v/>
      </c>
      <c r="K302" s="1063" t="str">
        <f>'Vessel BQS Report'!J297</f>
        <v/>
      </c>
      <c r="L302" s="1064" t="str">
        <f>'Vessel BQS Report'!L297</f>
        <v/>
      </c>
      <c r="M302" s="1064" t="str">
        <f>'Vessel BQS Report'!O297</f>
        <v/>
      </c>
      <c r="N302" s="1065" t="str">
        <f>'Vessel BQS Report'!M297</f>
        <v/>
      </c>
      <c r="O302" s="1065" t="str">
        <f>'Vessel BQS Report'!P297</f>
        <v/>
      </c>
      <c r="P302" s="1064" t="str">
        <f>'Vessel BQS Report'!Q297</f>
        <v/>
      </c>
      <c r="Q302" s="1044"/>
    </row>
    <row r="303" spans="1:17" hidden="1">
      <c r="A303" s="881" t="str">
        <f>'Vessel BQS Report'!A298</f>
        <v>N</v>
      </c>
      <c r="C303" s="1057" t="str">
        <f>'Vessel BQS Report'!C298</f>
        <v/>
      </c>
      <c r="D303" s="1058" t="str">
        <f>'Vessel BQS Report'!D298</f>
        <v/>
      </c>
      <c r="E303" s="1059" t="str">
        <f>'Vessel BQS Report'!N298</f>
        <v/>
      </c>
      <c r="F303" s="1060" t="str">
        <f>'Vessel BQS Report'!F298</f>
        <v/>
      </c>
      <c r="G303" s="1061" t="str">
        <f>'Vessel BQS Report'!E298</f>
        <v/>
      </c>
      <c r="H303" s="1060" t="str">
        <f>'Vessel BQS Report'!G298</f>
        <v/>
      </c>
      <c r="I303" s="1159" t="str">
        <f>'Vessel BQS Report'!H298</f>
        <v/>
      </c>
      <c r="J303" s="1062" t="str">
        <f>'Vessel BQS Report'!I298</f>
        <v/>
      </c>
      <c r="K303" s="1063" t="str">
        <f>'Vessel BQS Report'!J298</f>
        <v/>
      </c>
      <c r="L303" s="1064" t="str">
        <f>'Vessel BQS Report'!L298</f>
        <v/>
      </c>
      <c r="M303" s="1064" t="str">
        <f>'Vessel BQS Report'!O298</f>
        <v/>
      </c>
      <c r="N303" s="1065" t="str">
        <f>'Vessel BQS Report'!M298</f>
        <v/>
      </c>
      <c r="O303" s="1065" t="str">
        <f>'Vessel BQS Report'!P298</f>
        <v/>
      </c>
      <c r="P303" s="1064" t="str">
        <f>'Vessel BQS Report'!Q298</f>
        <v/>
      </c>
      <c r="Q303" s="1044"/>
    </row>
    <row r="304" spans="1:17" hidden="1">
      <c r="A304" s="881" t="str">
        <f>'Vessel BQS Report'!A299</f>
        <v>N</v>
      </c>
      <c r="C304" s="1057" t="str">
        <f>'Vessel BQS Report'!C299</f>
        <v/>
      </c>
      <c r="D304" s="1058" t="str">
        <f>'Vessel BQS Report'!D299</f>
        <v/>
      </c>
      <c r="E304" s="1059" t="str">
        <f>'Vessel BQS Report'!N299</f>
        <v/>
      </c>
      <c r="F304" s="1060" t="str">
        <f>'Vessel BQS Report'!F299</f>
        <v/>
      </c>
      <c r="G304" s="1061" t="str">
        <f>'Vessel BQS Report'!E299</f>
        <v/>
      </c>
      <c r="H304" s="1060" t="str">
        <f>'Vessel BQS Report'!G299</f>
        <v/>
      </c>
      <c r="I304" s="1159" t="str">
        <f>'Vessel BQS Report'!H299</f>
        <v/>
      </c>
      <c r="J304" s="1062" t="str">
        <f>'Vessel BQS Report'!I299</f>
        <v/>
      </c>
      <c r="K304" s="1063" t="str">
        <f>'Vessel BQS Report'!J299</f>
        <v/>
      </c>
      <c r="L304" s="1064" t="str">
        <f>'Vessel BQS Report'!L299</f>
        <v/>
      </c>
      <c r="M304" s="1064" t="str">
        <f>'Vessel BQS Report'!O299</f>
        <v/>
      </c>
      <c r="N304" s="1065" t="str">
        <f>'Vessel BQS Report'!M299</f>
        <v/>
      </c>
      <c r="O304" s="1065" t="str">
        <f>'Vessel BQS Report'!P299</f>
        <v/>
      </c>
      <c r="P304" s="1064" t="str">
        <f>'Vessel BQS Report'!Q299</f>
        <v/>
      </c>
      <c r="Q304" s="1044"/>
    </row>
    <row r="305" spans="1:17" hidden="1">
      <c r="A305" s="881" t="str">
        <f>'Vessel BQS Report'!A300</f>
        <v>N</v>
      </c>
      <c r="C305" s="1057" t="str">
        <f>'Vessel BQS Report'!C300</f>
        <v/>
      </c>
      <c r="D305" s="1058" t="str">
        <f>'Vessel BQS Report'!D300</f>
        <v/>
      </c>
      <c r="E305" s="1059" t="str">
        <f>'Vessel BQS Report'!N300</f>
        <v/>
      </c>
      <c r="F305" s="1060" t="str">
        <f>'Vessel BQS Report'!F300</f>
        <v/>
      </c>
      <c r="G305" s="1061" t="str">
        <f>'Vessel BQS Report'!E300</f>
        <v/>
      </c>
      <c r="H305" s="1060" t="str">
        <f>'Vessel BQS Report'!G300</f>
        <v/>
      </c>
      <c r="I305" s="1159" t="str">
        <f>'Vessel BQS Report'!H300</f>
        <v/>
      </c>
      <c r="J305" s="1062" t="str">
        <f>'Vessel BQS Report'!I300</f>
        <v/>
      </c>
      <c r="K305" s="1063" t="str">
        <f>'Vessel BQS Report'!J300</f>
        <v/>
      </c>
      <c r="L305" s="1064" t="str">
        <f>'Vessel BQS Report'!L300</f>
        <v/>
      </c>
      <c r="M305" s="1064" t="str">
        <f>'Vessel BQS Report'!O300</f>
        <v/>
      </c>
      <c r="N305" s="1065" t="str">
        <f>'Vessel BQS Report'!M300</f>
        <v/>
      </c>
      <c r="O305" s="1065" t="str">
        <f>'Vessel BQS Report'!P300</f>
        <v/>
      </c>
      <c r="P305" s="1064" t="str">
        <f>'Vessel BQS Report'!Q300</f>
        <v/>
      </c>
      <c r="Q305" s="1044"/>
    </row>
    <row r="306" spans="1:17" hidden="1">
      <c r="A306" s="881" t="str">
        <f>'Vessel BQS Report'!A301</f>
        <v>N</v>
      </c>
      <c r="C306" s="1057" t="str">
        <f>'Vessel BQS Report'!C301</f>
        <v/>
      </c>
      <c r="D306" s="1058" t="str">
        <f>'Vessel BQS Report'!D301</f>
        <v/>
      </c>
      <c r="E306" s="1059" t="str">
        <f>'Vessel BQS Report'!N301</f>
        <v/>
      </c>
      <c r="F306" s="1060" t="str">
        <f>'Vessel BQS Report'!F301</f>
        <v/>
      </c>
      <c r="G306" s="1061" t="str">
        <f>'Vessel BQS Report'!E301</f>
        <v/>
      </c>
      <c r="H306" s="1060" t="str">
        <f>'Vessel BQS Report'!G301</f>
        <v/>
      </c>
      <c r="I306" s="1159" t="str">
        <f>'Vessel BQS Report'!H301</f>
        <v/>
      </c>
      <c r="J306" s="1062" t="str">
        <f>'Vessel BQS Report'!I301</f>
        <v/>
      </c>
      <c r="K306" s="1063" t="str">
        <f>'Vessel BQS Report'!J301</f>
        <v/>
      </c>
      <c r="L306" s="1064" t="str">
        <f>'Vessel BQS Report'!L301</f>
        <v/>
      </c>
      <c r="M306" s="1064" t="str">
        <f>'Vessel BQS Report'!O301</f>
        <v/>
      </c>
      <c r="N306" s="1065" t="str">
        <f>'Vessel BQS Report'!M301</f>
        <v/>
      </c>
      <c r="O306" s="1065" t="str">
        <f>'Vessel BQS Report'!P301</f>
        <v/>
      </c>
      <c r="P306" s="1064" t="str">
        <f>'Vessel BQS Report'!Q301</f>
        <v/>
      </c>
      <c r="Q306" s="1044"/>
    </row>
    <row r="307" spans="1:17" hidden="1">
      <c r="A307" s="881" t="str">
        <f>'Vessel BQS Report'!A302</f>
        <v>N</v>
      </c>
      <c r="C307" s="1057" t="str">
        <f>'Vessel BQS Report'!C302</f>
        <v/>
      </c>
      <c r="D307" s="1058" t="str">
        <f>'Vessel BQS Report'!D302</f>
        <v/>
      </c>
      <c r="E307" s="1059" t="str">
        <f>'Vessel BQS Report'!N302</f>
        <v/>
      </c>
      <c r="F307" s="1060" t="str">
        <f>'Vessel BQS Report'!F302</f>
        <v/>
      </c>
      <c r="G307" s="1061" t="str">
        <f>'Vessel BQS Report'!E302</f>
        <v/>
      </c>
      <c r="H307" s="1060" t="str">
        <f>'Vessel BQS Report'!G302</f>
        <v/>
      </c>
      <c r="I307" s="1159" t="str">
        <f>'Vessel BQS Report'!H302</f>
        <v/>
      </c>
      <c r="J307" s="1062" t="str">
        <f>'Vessel BQS Report'!I302</f>
        <v/>
      </c>
      <c r="K307" s="1063" t="str">
        <f>'Vessel BQS Report'!J302</f>
        <v/>
      </c>
      <c r="L307" s="1064" t="str">
        <f>'Vessel BQS Report'!L302</f>
        <v/>
      </c>
      <c r="M307" s="1064" t="str">
        <f>'Vessel BQS Report'!O302</f>
        <v/>
      </c>
      <c r="N307" s="1065" t="str">
        <f>'Vessel BQS Report'!M302</f>
        <v/>
      </c>
      <c r="O307" s="1065" t="str">
        <f>'Vessel BQS Report'!P302</f>
        <v/>
      </c>
      <c r="P307" s="1064" t="str">
        <f>'Vessel BQS Report'!Q302</f>
        <v/>
      </c>
      <c r="Q307" s="1044"/>
    </row>
    <row r="308" spans="1:17" hidden="1">
      <c r="A308" s="881" t="str">
        <f>'Vessel BQS Report'!A303</f>
        <v>N</v>
      </c>
      <c r="C308" s="1057" t="str">
        <f>'Vessel BQS Report'!C303</f>
        <v/>
      </c>
      <c r="D308" s="1058" t="str">
        <f>'Vessel BQS Report'!D303</f>
        <v/>
      </c>
      <c r="E308" s="1059" t="str">
        <f>'Vessel BQS Report'!N303</f>
        <v/>
      </c>
      <c r="F308" s="1060" t="str">
        <f>'Vessel BQS Report'!F303</f>
        <v/>
      </c>
      <c r="G308" s="1061" t="str">
        <f>'Vessel BQS Report'!E303</f>
        <v/>
      </c>
      <c r="H308" s="1060" t="str">
        <f>'Vessel BQS Report'!G303</f>
        <v/>
      </c>
      <c r="I308" s="1159" t="str">
        <f>'Vessel BQS Report'!H303</f>
        <v/>
      </c>
      <c r="J308" s="1062" t="str">
        <f>'Vessel BQS Report'!I303</f>
        <v/>
      </c>
      <c r="K308" s="1063" t="str">
        <f>'Vessel BQS Report'!J303</f>
        <v/>
      </c>
      <c r="L308" s="1064" t="str">
        <f>'Vessel BQS Report'!L303</f>
        <v/>
      </c>
      <c r="M308" s="1064" t="str">
        <f>'Vessel BQS Report'!O303</f>
        <v/>
      </c>
      <c r="N308" s="1065" t="str">
        <f>'Vessel BQS Report'!M303</f>
        <v/>
      </c>
      <c r="O308" s="1065" t="str">
        <f>'Vessel BQS Report'!P303</f>
        <v/>
      </c>
      <c r="P308" s="1064" t="str">
        <f>'Vessel BQS Report'!Q303</f>
        <v/>
      </c>
      <c r="Q308" s="1044"/>
    </row>
    <row r="309" spans="1:17" hidden="1">
      <c r="A309" s="881" t="str">
        <f>'Vessel BQS Report'!A304</f>
        <v>N</v>
      </c>
      <c r="C309" s="1057" t="str">
        <f>'Vessel BQS Report'!C304</f>
        <v/>
      </c>
      <c r="D309" s="1058" t="str">
        <f>'Vessel BQS Report'!D304</f>
        <v/>
      </c>
      <c r="E309" s="1059" t="str">
        <f>'Vessel BQS Report'!N304</f>
        <v/>
      </c>
      <c r="F309" s="1060" t="str">
        <f>'Vessel BQS Report'!F304</f>
        <v/>
      </c>
      <c r="G309" s="1061" t="str">
        <f>'Vessel BQS Report'!E304</f>
        <v/>
      </c>
      <c r="H309" s="1060" t="str">
        <f>'Vessel BQS Report'!G304</f>
        <v/>
      </c>
      <c r="I309" s="1159" t="str">
        <f>'Vessel BQS Report'!H304</f>
        <v/>
      </c>
      <c r="J309" s="1062" t="str">
        <f>'Vessel BQS Report'!I304</f>
        <v/>
      </c>
      <c r="K309" s="1063" t="str">
        <f>'Vessel BQS Report'!J304</f>
        <v/>
      </c>
      <c r="L309" s="1064" t="str">
        <f>'Vessel BQS Report'!L304</f>
        <v/>
      </c>
      <c r="M309" s="1064" t="str">
        <f>'Vessel BQS Report'!O304</f>
        <v/>
      </c>
      <c r="N309" s="1065" t="str">
        <f>'Vessel BQS Report'!M304</f>
        <v/>
      </c>
      <c r="O309" s="1065" t="str">
        <f>'Vessel BQS Report'!P304</f>
        <v/>
      </c>
      <c r="P309" s="1064" t="str">
        <f>'Vessel BQS Report'!Q304</f>
        <v/>
      </c>
      <c r="Q309" s="1044"/>
    </row>
    <row r="310" spans="1:17" hidden="1">
      <c r="A310" s="881" t="str">
        <f>'Vessel BQS Report'!A305</f>
        <v>N</v>
      </c>
      <c r="C310" s="1057" t="str">
        <f>'Vessel BQS Report'!C305</f>
        <v/>
      </c>
      <c r="D310" s="1058" t="str">
        <f>'Vessel BQS Report'!D305</f>
        <v/>
      </c>
      <c r="E310" s="1059" t="str">
        <f>'Vessel BQS Report'!N305</f>
        <v/>
      </c>
      <c r="F310" s="1060" t="str">
        <f>'Vessel BQS Report'!F305</f>
        <v/>
      </c>
      <c r="G310" s="1061" t="str">
        <f>'Vessel BQS Report'!E305</f>
        <v/>
      </c>
      <c r="H310" s="1060" t="str">
        <f>'Vessel BQS Report'!G305</f>
        <v/>
      </c>
      <c r="I310" s="1159" t="str">
        <f>'Vessel BQS Report'!H305</f>
        <v/>
      </c>
      <c r="J310" s="1062" t="str">
        <f>'Vessel BQS Report'!I305</f>
        <v/>
      </c>
      <c r="K310" s="1063" t="str">
        <f>'Vessel BQS Report'!J305</f>
        <v/>
      </c>
      <c r="L310" s="1064" t="str">
        <f>'Vessel BQS Report'!L305</f>
        <v/>
      </c>
      <c r="M310" s="1064" t="str">
        <f>'Vessel BQS Report'!O305</f>
        <v/>
      </c>
      <c r="N310" s="1065" t="str">
        <f>'Vessel BQS Report'!M305</f>
        <v/>
      </c>
      <c r="O310" s="1065" t="str">
        <f>'Vessel BQS Report'!P305</f>
        <v/>
      </c>
      <c r="P310" s="1064" t="str">
        <f>'Vessel BQS Report'!Q305</f>
        <v/>
      </c>
      <c r="Q310" s="1044"/>
    </row>
    <row r="311" spans="1:17" hidden="1">
      <c r="A311" s="881" t="str">
        <f>'Vessel BQS Report'!A306</f>
        <v>N</v>
      </c>
      <c r="C311" s="1057" t="str">
        <f>'Vessel BQS Report'!C306</f>
        <v/>
      </c>
      <c r="D311" s="1058" t="str">
        <f>'Vessel BQS Report'!D306</f>
        <v/>
      </c>
      <c r="E311" s="1059" t="str">
        <f>'Vessel BQS Report'!N306</f>
        <v/>
      </c>
      <c r="F311" s="1060" t="str">
        <f>'Vessel BQS Report'!F306</f>
        <v/>
      </c>
      <c r="G311" s="1061" t="str">
        <f>'Vessel BQS Report'!E306</f>
        <v/>
      </c>
      <c r="H311" s="1060" t="str">
        <f>'Vessel BQS Report'!G306</f>
        <v/>
      </c>
      <c r="I311" s="1159" t="str">
        <f>'Vessel BQS Report'!H306</f>
        <v/>
      </c>
      <c r="J311" s="1062" t="str">
        <f>'Vessel BQS Report'!I306</f>
        <v/>
      </c>
      <c r="K311" s="1063" t="str">
        <f>'Vessel BQS Report'!J306</f>
        <v/>
      </c>
      <c r="L311" s="1064" t="str">
        <f>'Vessel BQS Report'!L306</f>
        <v/>
      </c>
      <c r="M311" s="1064" t="str">
        <f>'Vessel BQS Report'!O306</f>
        <v/>
      </c>
      <c r="N311" s="1065" t="str">
        <f>'Vessel BQS Report'!M306</f>
        <v/>
      </c>
      <c r="O311" s="1065" t="str">
        <f>'Vessel BQS Report'!P306</f>
        <v/>
      </c>
      <c r="P311" s="1064" t="str">
        <f>'Vessel BQS Report'!Q306</f>
        <v/>
      </c>
      <c r="Q311" s="1044"/>
    </row>
    <row r="312" spans="1:17" hidden="1">
      <c r="A312" s="881" t="str">
        <f>'Vessel BQS Report'!A307</f>
        <v>N</v>
      </c>
      <c r="C312" s="1057" t="str">
        <f>'Vessel BQS Report'!C307</f>
        <v/>
      </c>
      <c r="D312" s="1058" t="str">
        <f>'Vessel BQS Report'!D307</f>
        <v/>
      </c>
      <c r="E312" s="1059" t="str">
        <f>'Vessel BQS Report'!N307</f>
        <v/>
      </c>
      <c r="F312" s="1060" t="str">
        <f>'Vessel BQS Report'!F307</f>
        <v/>
      </c>
      <c r="G312" s="1061" t="str">
        <f>'Vessel BQS Report'!E307</f>
        <v/>
      </c>
      <c r="H312" s="1060" t="str">
        <f>'Vessel BQS Report'!G307</f>
        <v/>
      </c>
      <c r="I312" s="1159" t="str">
        <f>'Vessel BQS Report'!H307</f>
        <v/>
      </c>
      <c r="J312" s="1062" t="str">
        <f>'Vessel BQS Report'!I307</f>
        <v/>
      </c>
      <c r="K312" s="1063" t="str">
        <f>'Vessel BQS Report'!J307</f>
        <v/>
      </c>
      <c r="L312" s="1064" t="str">
        <f>'Vessel BQS Report'!L307</f>
        <v/>
      </c>
      <c r="M312" s="1064" t="str">
        <f>'Vessel BQS Report'!O307</f>
        <v/>
      </c>
      <c r="N312" s="1065" t="str">
        <f>'Vessel BQS Report'!M307</f>
        <v/>
      </c>
      <c r="O312" s="1065" t="str">
        <f>'Vessel BQS Report'!P307</f>
        <v/>
      </c>
      <c r="P312" s="1064" t="str">
        <f>'Vessel BQS Report'!Q307</f>
        <v/>
      </c>
      <c r="Q312" s="1044"/>
    </row>
    <row r="313" spans="1:17" hidden="1">
      <c r="A313" s="881" t="str">
        <f>'Vessel BQS Report'!A308</f>
        <v>N</v>
      </c>
      <c r="C313" s="1057" t="str">
        <f>'Vessel BQS Report'!C308</f>
        <v/>
      </c>
      <c r="D313" s="1058" t="str">
        <f>'Vessel BQS Report'!D308</f>
        <v/>
      </c>
      <c r="E313" s="1059" t="str">
        <f>'Vessel BQS Report'!N308</f>
        <v/>
      </c>
      <c r="F313" s="1060" t="str">
        <f>'Vessel BQS Report'!F308</f>
        <v/>
      </c>
      <c r="G313" s="1061" t="str">
        <f>'Vessel BQS Report'!E308</f>
        <v/>
      </c>
      <c r="H313" s="1060" t="str">
        <f>'Vessel BQS Report'!G308</f>
        <v/>
      </c>
      <c r="I313" s="1159" t="str">
        <f>'Vessel BQS Report'!H308</f>
        <v/>
      </c>
      <c r="J313" s="1062" t="str">
        <f>'Vessel BQS Report'!I308</f>
        <v/>
      </c>
      <c r="K313" s="1063" t="str">
        <f>'Vessel BQS Report'!J308</f>
        <v/>
      </c>
      <c r="L313" s="1064" t="str">
        <f>'Vessel BQS Report'!L308</f>
        <v/>
      </c>
      <c r="M313" s="1064" t="str">
        <f>'Vessel BQS Report'!O308</f>
        <v/>
      </c>
      <c r="N313" s="1065" t="str">
        <f>'Vessel BQS Report'!M308</f>
        <v/>
      </c>
      <c r="O313" s="1065" t="str">
        <f>'Vessel BQS Report'!P308</f>
        <v/>
      </c>
      <c r="P313" s="1064" t="str">
        <f>'Vessel BQS Report'!Q308</f>
        <v/>
      </c>
      <c r="Q313" s="1044"/>
    </row>
    <row r="314" spans="1:17" hidden="1">
      <c r="A314" s="881" t="str">
        <f>'Vessel BQS Report'!A309</f>
        <v>N</v>
      </c>
      <c r="C314" s="1057" t="str">
        <f>'Vessel BQS Report'!C309</f>
        <v/>
      </c>
      <c r="D314" s="1058" t="str">
        <f>'Vessel BQS Report'!D309</f>
        <v/>
      </c>
      <c r="E314" s="1059" t="str">
        <f>'Vessel BQS Report'!N309</f>
        <v/>
      </c>
      <c r="F314" s="1060" t="str">
        <f>'Vessel BQS Report'!F309</f>
        <v/>
      </c>
      <c r="G314" s="1061" t="str">
        <f>'Vessel BQS Report'!E309</f>
        <v/>
      </c>
      <c r="H314" s="1060" t="str">
        <f>'Vessel BQS Report'!G309</f>
        <v/>
      </c>
      <c r="I314" s="1159" t="str">
        <f>'Vessel BQS Report'!H309</f>
        <v/>
      </c>
      <c r="J314" s="1062" t="str">
        <f>'Vessel BQS Report'!I309</f>
        <v/>
      </c>
      <c r="K314" s="1063" t="str">
        <f>'Vessel BQS Report'!J309</f>
        <v/>
      </c>
      <c r="L314" s="1064" t="str">
        <f>'Vessel BQS Report'!L309</f>
        <v/>
      </c>
      <c r="M314" s="1064" t="str">
        <f>'Vessel BQS Report'!O309</f>
        <v/>
      </c>
      <c r="N314" s="1065" t="str">
        <f>'Vessel BQS Report'!M309</f>
        <v/>
      </c>
      <c r="O314" s="1065" t="str">
        <f>'Vessel BQS Report'!P309</f>
        <v/>
      </c>
      <c r="P314" s="1064" t="str">
        <f>'Vessel BQS Report'!Q309</f>
        <v/>
      </c>
      <c r="Q314" s="1044"/>
    </row>
    <row r="315" spans="1:17" hidden="1">
      <c r="A315" s="881" t="str">
        <f>'Vessel BQS Report'!A310</f>
        <v>N</v>
      </c>
      <c r="C315" s="1066" t="str">
        <f>'Vessel BQS Report'!C310</f>
        <v/>
      </c>
      <c r="D315" s="1067" t="str">
        <f>'Vessel BQS Report'!D310</f>
        <v/>
      </c>
      <c r="E315" s="1068" t="str">
        <f>'Vessel BQS Report'!N310</f>
        <v/>
      </c>
      <c r="F315" s="1069" t="str">
        <f>'Vessel BQS Report'!F310</f>
        <v/>
      </c>
      <c r="G315" s="1070" t="str">
        <f>'Vessel BQS Report'!E310</f>
        <v/>
      </c>
      <c r="H315" s="1069" t="str">
        <f>'Vessel BQS Report'!G310</f>
        <v/>
      </c>
      <c r="I315" s="1160" t="str">
        <f>'Vessel BQS Report'!H310</f>
        <v/>
      </c>
      <c r="J315" s="1071" t="str">
        <f>'Vessel BQS Report'!I310</f>
        <v/>
      </c>
      <c r="K315" s="1072" t="str">
        <f>'Vessel BQS Report'!J310</f>
        <v/>
      </c>
      <c r="L315" s="1073" t="str">
        <f>'Vessel BQS Report'!L310</f>
        <v/>
      </c>
      <c r="M315" s="1073" t="str">
        <f>'Vessel BQS Report'!O310</f>
        <v/>
      </c>
      <c r="N315" s="1074" t="str">
        <f>'Vessel BQS Report'!M310</f>
        <v/>
      </c>
      <c r="O315" s="1074" t="str">
        <f>'Vessel BQS Report'!P310</f>
        <v/>
      </c>
      <c r="P315" s="1073" t="str">
        <f>'Vessel BQS Report'!Q310</f>
        <v/>
      </c>
      <c r="Q315" s="1044"/>
    </row>
    <row r="316" spans="1:17" hidden="1">
      <c r="A316" s="881" t="s">
        <v>270</v>
      </c>
      <c r="C316" s="1118"/>
      <c r="D316" s="1075"/>
      <c r="E316" s="1076"/>
      <c r="F316" s="1077"/>
      <c r="G316" s="1077"/>
      <c r="H316" s="1078"/>
      <c r="I316" s="1078"/>
      <c r="J316" s="1078"/>
      <c r="K316" s="1077"/>
      <c r="L316" s="1079"/>
      <c r="M316" s="2957" t="s">
        <v>801</v>
      </c>
      <c r="N316" s="2957"/>
      <c r="O316" s="2958">
        <f>SUM(P296:P315)</f>
        <v>0</v>
      </c>
      <c r="P316" s="2958"/>
      <c r="Q316" s="1044"/>
    </row>
    <row r="317" spans="1:17" s="1046" customFormat="1" ht="5.25" hidden="1">
      <c r="A317" s="1046" t="s">
        <v>270</v>
      </c>
      <c r="C317" s="1108"/>
      <c r="D317" s="1109"/>
      <c r="E317" s="1110"/>
      <c r="F317" s="1111"/>
      <c r="G317" s="1111"/>
      <c r="H317" s="1112"/>
      <c r="I317" s="1113"/>
      <c r="J317" s="1113"/>
      <c r="K317" s="1114"/>
      <c r="L317" s="1115"/>
      <c r="M317" s="1115"/>
      <c r="N317" s="1116"/>
      <c r="O317" s="1117"/>
      <c r="P317" s="1115"/>
      <c r="Q317" s="1045"/>
    </row>
    <row r="318" spans="1:17" hidden="1">
      <c r="A318" s="881" t="s">
        <v>270</v>
      </c>
      <c r="B318" s="881">
        <v>6</v>
      </c>
      <c r="C318" s="2959" t="str">
        <f>'Vessel BQS Report'!C313</f>
        <v>NOMINATED TANKS</v>
      </c>
      <c r="D318" s="2960">
        <f>'Vessel BQS Report'!D313</f>
        <v>0</v>
      </c>
      <c r="E318" s="2960">
        <f>'Vessel BQS Report'!N313</f>
        <v>0</v>
      </c>
      <c r="F318" s="2961">
        <f>'Vessel BQS Report'!F313</f>
        <v>0</v>
      </c>
      <c r="G318" s="2962" t="str">
        <f>'Vessel BQS Report'!E313</f>
        <v>LSMGO</v>
      </c>
      <c r="H318" s="2963">
        <f>'Vessel BQS Report'!G313</f>
        <v>0</v>
      </c>
      <c r="I318" s="1051"/>
      <c r="J318" s="1052"/>
      <c r="K318" s="1053"/>
      <c r="L318" s="1054"/>
      <c r="M318" s="1054"/>
      <c r="N318" s="1055"/>
      <c r="O318" s="1056"/>
      <c r="P318" s="1054"/>
      <c r="Q318" s="1044"/>
    </row>
    <row r="319" spans="1:17">
      <c r="A319" s="881" t="str">
        <f>'Vessel BQS Report'!A314</f>
        <v>Y</v>
      </c>
      <c r="C319" s="1615" t="str">
        <f>'Vessel BQS Report'!C314</f>
        <v>AFO S</v>
      </c>
      <c r="D319" s="1616" t="str">
        <f>'Vessel BQS Report'!D314</f>
        <v>LSMGO</v>
      </c>
      <c r="E319" s="1617">
        <f>'Vessel BQS Report'!N314</f>
        <v>24</v>
      </c>
      <c r="F319" s="1618">
        <f>'Vessel BQS Report'!F314</f>
        <v>17.43</v>
      </c>
      <c r="G319" s="1619">
        <f>'Vessel BQS Report'!E314</f>
        <v>17.43</v>
      </c>
      <c r="H319" s="1618">
        <f>'Vessel BQS Report'!G314</f>
        <v>5.18</v>
      </c>
      <c r="I319" s="1620">
        <f>'Vessel BQS Report'!H314</f>
        <v>5.18</v>
      </c>
      <c r="J319" s="1621" t="str">
        <f>'Vessel BQS Report'!I314</f>
        <v>S</v>
      </c>
      <c r="K319" s="1622">
        <f>'Vessel BQS Report'!J314</f>
        <v>48.5</v>
      </c>
      <c r="L319" s="1623">
        <f>'Vessel BQS Report'!L314</f>
        <v>0</v>
      </c>
      <c r="M319" s="1623">
        <f>'Vessel BQS Report'!O314</f>
        <v>48.5</v>
      </c>
      <c r="N319" s="1624">
        <f>'Vessel BQS Report'!M314</f>
        <v>0.83520556700000004</v>
      </c>
      <c r="O319" s="1624">
        <f>'Vessel BQS Report'!P314</f>
        <v>0.99234</v>
      </c>
      <c r="P319" s="1623">
        <f>'Vessel BQS Report'!Q314</f>
        <v>48.128</v>
      </c>
      <c r="Q319" s="1600"/>
    </row>
    <row r="320" spans="1:17" hidden="1">
      <c r="A320" s="881" t="str">
        <f>'Vessel BQS Report'!A315</f>
        <v>N</v>
      </c>
      <c r="C320" s="1057" t="str">
        <f>'Vessel BQS Report'!C315</f>
        <v/>
      </c>
      <c r="D320" s="1058" t="str">
        <f>'Vessel BQS Report'!D315</f>
        <v/>
      </c>
      <c r="E320" s="1059" t="str">
        <f>'Vessel BQS Report'!N315</f>
        <v/>
      </c>
      <c r="F320" s="1060" t="str">
        <f>'Vessel BQS Report'!F315</f>
        <v/>
      </c>
      <c r="G320" s="1061" t="str">
        <f>'Vessel BQS Report'!E315</f>
        <v/>
      </c>
      <c r="H320" s="1060" t="str">
        <f>'Vessel BQS Report'!G315</f>
        <v/>
      </c>
      <c r="I320" s="1159" t="str">
        <f>'Vessel BQS Report'!H315</f>
        <v/>
      </c>
      <c r="J320" s="1062" t="str">
        <f>'Vessel BQS Report'!I315</f>
        <v/>
      </c>
      <c r="K320" s="1063" t="str">
        <f>'Vessel BQS Report'!J315</f>
        <v/>
      </c>
      <c r="L320" s="1064" t="str">
        <f>'Vessel BQS Report'!L315</f>
        <v/>
      </c>
      <c r="M320" s="1064" t="str">
        <f>'Vessel BQS Report'!O315</f>
        <v/>
      </c>
      <c r="N320" s="1065" t="str">
        <f>'Vessel BQS Report'!M315</f>
        <v/>
      </c>
      <c r="O320" s="1065" t="str">
        <f>'Vessel BQS Report'!P315</f>
        <v/>
      </c>
      <c r="P320" s="1064" t="str">
        <f>'Vessel BQS Report'!Q315</f>
        <v/>
      </c>
      <c r="Q320" s="1044"/>
    </row>
    <row r="321" spans="1:17" hidden="1">
      <c r="A321" s="881" t="str">
        <f>'Vessel BQS Report'!A316</f>
        <v>N</v>
      </c>
      <c r="C321" s="1057" t="str">
        <f>'Vessel BQS Report'!C316</f>
        <v/>
      </c>
      <c r="D321" s="1058" t="str">
        <f>'Vessel BQS Report'!D316</f>
        <v/>
      </c>
      <c r="E321" s="1059" t="str">
        <f>'Vessel BQS Report'!N316</f>
        <v/>
      </c>
      <c r="F321" s="1060" t="str">
        <f>'Vessel BQS Report'!F316</f>
        <v/>
      </c>
      <c r="G321" s="1061" t="str">
        <f>'Vessel BQS Report'!E316</f>
        <v/>
      </c>
      <c r="H321" s="1060" t="str">
        <f>'Vessel BQS Report'!G316</f>
        <v/>
      </c>
      <c r="I321" s="1159" t="str">
        <f>'Vessel BQS Report'!H316</f>
        <v/>
      </c>
      <c r="J321" s="1062" t="str">
        <f>'Vessel BQS Report'!I316</f>
        <v/>
      </c>
      <c r="K321" s="1063" t="str">
        <f>'Vessel BQS Report'!J316</f>
        <v/>
      </c>
      <c r="L321" s="1064" t="str">
        <f>'Vessel BQS Report'!L316</f>
        <v/>
      </c>
      <c r="M321" s="1064" t="str">
        <f>'Vessel BQS Report'!O316</f>
        <v/>
      </c>
      <c r="N321" s="1065" t="str">
        <f>'Vessel BQS Report'!M316</f>
        <v/>
      </c>
      <c r="O321" s="1065" t="str">
        <f>'Vessel BQS Report'!P316</f>
        <v/>
      </c>
      <c r="P321" s="1064" t="str">
        <f>'Vessel BQS Report'!Q316</f>
        <v/>
      </c>
      <c r="Q321" s="1044"/>
    </row>
    <row r="322" spans="1:17" hidden="1">
      <c r="A322" s="881" t="str">
        <f>'Vessel BQS Report'!A317</f>
        <v>N</v>
      </c>
      <c r="C322" s="1057" t="str">
        <f>'Vessel BQS Report'!C317</f>
        <v/>
      </c>
      <c r="D322" s="1058" t="str">
        <f>'Vessel BQS Report'!D317</f>
        <v/>
      </c>
      <c r="E322" s="1059" t="str">
        <f>'Vessel BQS Report'!N317</f>
        <v/>
      </c>
      <c r="F322" s="1060" t="str">
        <f>'Vessel BQS Report'!F317</f>
        <v/>
      </c>
      <c r="G322" s="1061" t="str">
        <f>'Vessel BQS Report'!E317</f>
        <v/>
      </c>
      <c r="H322" s="1060" t="str">
        <f>'Vessel BQS Report'!G317</f>
        <v/>
      </c>
      <c r="I322" s="1159" t="str">
        <f>'Vessel BQS Report'!H317</f>
        <v/>
      </c>
      <c r="J322" s="1062" t="str">
        <f>'Vessel BQS Report'!I317</f>
        <v/>
      </c>
      <c r="K322" s="1063" t="str">
        <f>'Vessel BQS Report'!J317</f>
        <v/>
      </c>
      <c r="L322" s="1064" t="str">
        <f>'Vessel BQS Report'!L317</f>
        <v/>
      </c>
      <c r="M322" s="1064" t="str">
        <f>'Vessel BQS Report'!O317</f>
        <v/>
      </c>
      <c r="N322" s="1065" t="str">
        <f>'Vessel BQS Report'!M317</f>
        <v/>
      </c>
      <c r="O322" s="1065" t="str">
        <f>'Vessel BQS Report'!P317</f>
        <v/>
      </c>
      <c r="P322" s="1064" t="str">
        <f>'Vessel BQS Report'!Q317</f>
        <v/>
      </c>
      <c r="Q322" s="1044"/>
    </row>
    <row r="323" spans="1:17" hidden="1">
      <c r="A323" s="881" t="str">
        <f>'Vessel BQS Report'!A318</f>
        <v>N</v>
      </c>
      <c r="C323" s="1057" t="str">
        <f>'Vessel BQS Report'!C318</f>
        <v/>
      </c>
      <c r="D323" s="1058" t="str">
        <f>'Vessel BQS Report'!D318</f>
        <v/>
      </c>
      <c r="E323" s="1059" t="str">
        <f>'Vessel BQS Report'!N318</f>
        <v/>
      </c>
      <c r="F323" s="1060" t="str">
        <f>'Vessel BQS Report'!F318</f>
        <v/>
      </c>
      <c r="G323" s="1061" t="str">
        <f>'Vessel BQS Report'!E318</f>
        <v/>
      </c>
      <c r="H323" s="1060" t="str">
        <f>'Vessel BQS Report'!G318</f>
        <v/>
      </c>
      <c r="I323" s="1159" t="str">
        <f>'Vessel BQS Report'!H318</f>
        <v/>
      </c>
      <c r="J323" s="1062" t="str">
        <f>'Vessel BQS Report'!I318</f>
        <v/>
      </c>
      <c r="K323" s="1063" t="str">
        <f>'Vessel BQS Report'!J318</f>
        <v/>
      </c>
      <c r="L323" s="1064" t="str">
        <f>'Vessel BQS Report'!L318</f>
        <v/>
      </c>
      <c r="M323" s="1064" t="str">
        <f>'Vessel BQS Report'!O318</f>
        <v/>
      </c>
      <c r="N323" s="1065" t="str">
        <f>'Vessel BQS Report'!M318</f>
        <v/>
      </c>
      <c r="O323" s="1065" t="str">
        <f>'Vessel BQS Report'!P318</f>
        <v/>
      </c>
      <c r="P323" s="1064" t="str">
        <f>'Vessel BQS Report'!Q318</f>
        <v/>
      </c>
      <c r="Q323" s="1044"/>
    </row>
    <row r="324" spans="1:17" hidden="1">
      <c r="A324" s="881" t="str">
        <f>'Vessel BQS Report'!A319</f>
        <v>N</v>
      </c>
      <c r="C324" s="1057" t="str">
        <f>'Vessel BQS Report'!C319</f>
        <v/>
      </c>
      <c r="D324" s="1058" t="str">
        <f>'Vessel BQS Report'!D319</f>
        <v/>
      </c>
      <c r="E324" s="1059" t="str">
        <f>'Vessel BQS Report'!N319</f>
        <v/>
      </c>
      <c r="F324" s="1060" t="str">
        <f>'Vessel BQS Report'!F319</f>
        <v/>
      </c>
      <c r="G324" s="1061" t="str">
        <f>'Vessel BQS Report'!E319</f>
        <v/>
      </c>
      <c r="H324" s="1060" t="str">
        <f>'Vessel BQS Report'!G319</f>
        <v/>
      </c>
      <c r="I324" s="1159" t="str">
        <f>'Vessel BQS Report'!H319</f>
        <v/>
      </c>
      <c r="J324" s="1062" t="str">
        <f>'Vessel BQS Report'!I319</f>
        <v/>
      </c>
      <c r="K324" s="1063" t="str">
        <f>'Vessel BQS Report'!J319</f>
        <v/>
      </c>
      <c r="L324" s="1064" t="str">
        <f>'Vessel BQS Report'!L319</f>
        <v/>
      </c>
      <c r="M324" s="1064" t="str">
        <f>'Vessel BQS Report'!O319</f>
        <v/>
      </c>
      <c r="N324" s="1065" t="str">
        <f>'Vessel BQS Report'!M319</f>
        <v/>
      </c>
      <c r="O324" s="1065" t="str">
        <f>'Vessel BQS Report'!P319</f>
        <v/>
      </c>
      <c r="P324" s="1064" t="str">
        <f>'Vessel BQS Report'!Q319</f>
        <v/>
      </c>
      <c r="Q324" s="1044"/>
    </row>
    <row r="325" spans="1:17" hidden="1">
      <c r="A325" s="881" t="str">
        <f>'Vessel BQS Report'!A320</f>
        <v>N</v>
      </c>
      <c r="C325" s="1057" t="str">
        <f>'Vessel BQS Report'!C320</f>
        <v/>
      </c>
      <c r="D325" s="1058" t="str">
        <f>'Vessel BQS Report'!D320</f>
        <v/>
      </c>
      <c r="E325" s="1059" t="str">
        <f>'Vessel BQS Report'!N320</f>
        <v/>
      </c>
      <c r="F325" s="1060" t="str">
        <f>'Vessel BQS Report'!F320</f>
        <v/>
      </c>
      <c r="G325" s="1061" t="str">
        <f>'Vessel BQS Report'!E320</f>
        <v/>
      </c>
      <c r="H325" s="1060" t="str">
        <f>'Vessel BQS Report'!G320</f>
        <v/>
      </c>
      <c r="I325" s="1159" t="str">
        <f>'Vessel BQS Report'!H320</f>
        <v/>
      </c>
      <c r="J325" s="1062" t="str">
        <f>'Vessel BQS Report'!I320</f>
        <v/>
      </c>
      <c r="K325" s="1063" t="str">
        <f>'Vessel BQS Report'!J320</f>
        <v/>
      </c>
      <c r="L325" s="1064" t="str">
        <f>'Vessel BQS Report'!L320</f>
        <v/>
      </c>
      <c r="M325" s="1064" t="str">
        <f>'Vessel BQS Report'!O320</f>
        <v/>
      </c>
      <c r="N325" s="1065" t="str">
        <f>'Vessel BQS Report'!M320</f>
        <v/>
      </c>
      <c r="O325" s="1065" t="str">
        <f>'Vessel BQS Report'!P320</f>
        <v/>
      </c>
      <c r="P325" s="1064" t="str">
        <f>'Vessel BQS Report'!Q320</f>
        <v/>
      </c>
      <c r="Q325" s="1044"/>
    </row>
    <row r="326" spans="1:17" hidden="1">
      <c r="A326" s="881" t="str">
        <f>'Vessel BQS Report'!A321</f>
        <v>N</v>
      </c>
      <c r="C326" s="1057" t="str">
        <f>'Vessel BQS Report'!C321</f>
        <v/>
      </c>
      <c r="D326" s="1058" t="str">
        <f>'Vessel BQS Report'!D321</f>
        <v/>
      </c>
      <c r="E326" s="1059" t="str">
        <f>'Vessel BQS Report'!N321</f>
        <v/>
      </c>
      <c r="F326" s="1060" t="str">
        <f>'Vessel BQS Report'!F321</f>
        <v/>
      </c>
      <c r="G326" s="1061" t="str">
        <f>'Vessel BQS Report'!E321</f>
        <v/>
      </c>
      <c r="H326" s="1060" t="str">
        <f>'Vessel BQS Report'!G321</f>
        <v/>
      </c>
      <c r="I326" s="1159" t="str">
        <f>'Vessel BQS Report'!H321</f>
        <v/>
      </c>
      <c r="J326" s="1062" t="str">
        <f>'Vessel BQS Report'!I321</f>
        <v/>
      </c>
      <c r="K326" s="1063" t="str">
        <f>'Vessel BQS Report'!J321</f>
        <v/>
      </c>
      <c r="L326" s="1064" t="str">
        <f>'Vessel BQS Report'!L321</f>
        <v/>
      </c>
      <c r="M326" s="1064" t="str">
        <f>'Vessel BQS Report'!O321</f>
        <v/>
      </c>
      <c r="N326" s="1065" t="str">
        <f>'Vessel BQS Report'!M321</f>
        <v/>
      </c>
      <c r="O326" s="1065" t="str">
        <f>'Vessel BQS Report'!P321</f>
        <v/>
      </c>
      <c r="P326" s="1064" t="str">
        <f>'Vessel BQS Report'!Q321</f>
        <v/>
      </c>
      <c r="Q326" s="1044"/>
    </row>
    <row r="327" spans="1:17" hidden="1">
      <c r="A327" s="881" t="str">
        <f>'Vessel BQS Report'!A322</f>
        <v>N</v>
      </c>
      <c r="C327" s="1057" t="str">
        <f>'Vessel BQS Report'!C322</f>
        <v/>
      </c>
      <c r="D327" s="1058" t="str">
        <f>'Vessel BQS Report'!D322</f>
        <v/>
      </c>
      <c r="E327" s="1059" t="str">
        <f>'Vessel BQS Report'!N322</f>
        <v/>
      </c>
      <c r="F327" s="1060" t="str">
        <f>'Vessel BQS Report'!F322</f>
        <v/>
      </c>
      <c r="G327" s="1061" t="str">
        <f>'Vessel BQS Report'!E322</f>
        <v/>
      </c>
      <c r="H327" s="1060" t="str">
        <f>'Vessel BQS Report'!G322</f>
        <v/>
      </c>
      <c r="I327" s="1159" t="str">
        <f>'Vessel BQS Report'!H322</f>
        <v/>
      </c>
      <c r="J327" s="1062" t="str">
        <f>'Vessel BQS Report'!I322</f>
        <v/>
      </c>
      <c r="K327" s="1063" t="str">
        <f>'Vessel BQS Report'!J322</f>
        <v/>
      </c>
      <c r="L327" s="1064" t="str">
        <f>'Vessel BQS Report'!L322</f>
        <v/>
      </c>
      <c r="M327" s="1064" t="str">
        <f>'Vessel BQS Report'!O322</f>
        <v/>
      </c>
      <c r="N327" s="1065" t="str">
        <f>'Vessel BQS Report'!M322</f>
        <v/>
      </c>
      <c r="O327" s="1065" t="str">
        <f>'Vessel BQS Report'!P322</f>
        <v/>
      </c>
      <c r="P327" s="1064" t="str">
        <f>'Vessel BQS Report'!Q322</f>
        <v/>
      </c>
      <c r="Q327" s="1044"/>
    </row>
    <row r="328" spans="1:17" hidden="1">
      <c r="A328" s="881" t="str">
        <f>'Vessel BQS Report'!A323</f>
        <v>N</v>
      </c>
      <c r="C328" s="1057" t="str">
        <f>'Vessel BQS Report'!C323</f>
        <v/>
      </c>
      <c r="D328" s="1058" t="str">
        <f>'Vessel BQS Report'!D323</f>
        <v/>
      </c>
      <c r="E328" s="1059" t="str">
        <f>'Vessel BQS Report'!N323</f>
        <v/>
      </c>
      <c r="F328" s="1060" t="str">
        <f>'Vessel BQS Report'!F323</f>
        <v/>
      </c>
      <c r="G328" s="1061" t="str">
        <f>'Vessel BQS Report'!E323</f>
        <v/>
      </c>
      <c r="H328" s="1060" t="str">
        <f>'Vessel BQS Report'!G323</f>
        <v/>
      </c>
      <c r="I328" s="1159" t="str">
        <f>'Vessel BQS Report'!H323</f>
        <v/>
      </c>
      <c r="J328" s="1062" t="str">
        <f>'Vessel BQS Report'!I323</f>
        <v/>
      </c>
      <c r="K328" s="1063" t="str">
        <f>'Vessel BQS Report'!J323</f>
        <v/>
      </c>
      <c r="L328" s="1064" t="str">
        <f>'Vessel BQS Report'!L323</f>
        <v/>
      </c>
      <c r="M328" s="1064" t="str">
        <f>'Vessel BQS Report'!O323</f>
        <v/>
      </c>
      <c r="N328" s="1065" t="str">
        <f>'Vessel BQS Report'!M323</f>
        <v/>
      </c>
      <c r="O328" s="1065" t="str">
        <f>'Vessel BQS Report'!P323</f>
        <v/>
      </c>
      <c r="P328" s="1064" t="str">
        <f>'Vessel BQS Report'!Q323</f>
        <v/>
      </c>
      <c r="Q328" s="1044"/>
    </row>
    <row r="329" spans="1:17" hidden="1">
      <c r="A329" s="881" t="str">
        <f>'Vessel BQS Report'!A324</f>
        <v>N</v>
      </c>
      <c r="C329" s="1057" t="str">
        <f>'Vessel BQS Report'!C324</f>
        <v/>
      </c>
      <c r="D329" s="1058" t="str">
        <f>'Vessel BQS Report'!D324</f>
        <v/>
      </c>
      <c r="E329" s="1059" t="str">
        <f>'Vessel BQS Report'!N324</f>
        <v/>
      </c>
      <c r="F329" s="1060" t="str">
        <f>'Vessel BQS Report'!F324</f>
        <v/>
      </c>
      <c r="G329" s="1061" t="str">
        <f>'Vessel BQS Report'!E324</f>
        <v/>
      </c>
      <c r="H329" s="1060" t="str">
        <f>'Vessel BQS Report'!G324</f>
        <v/>
      </c>
      <c r="I329" s="1159" t="str">
        <f>'Vessel BQS Report'!H324</f>
        <v/>
      </c>
      <c r="J329" s="1062" t="str">
        <f>'Vessel BQS Report'!I324</f>
        <v/>
      </c>
      <c r="K329" s="1063" t="str">
        <f>'Vessel BQS Report'!J324</f>
        <v/>
      </c>
      <c r="L329" s="1064" t="str">
        <f>'Vessel BQS Report'!L324</f>
        <v/>
      </c>
      <c r="M329" s="1064" t="str">
        <f>'Vessel BQS Report'!O324</f>
        <v/>
      </c>
      <c r="N329" s="1065" t="str">
        <f>'Vessel BQS Report'!M324</f>
        <v/>
      </c>
      <c r="O329" s="1065" t="str">
        <f>'Vessel BQS Report'!P324</f>
        <v/>
      </c>
      <c r="P329" s="1064" t="str">
        <f>'Vessel BQS Report'!Q324</f>
        <v/>
      </c>
      <c r="Q329" s="1044"/>
    </row>
    <row r="330" spans="1:17" hidden="1">
      <c r="A330" s="881" t="str">
        <f>'Vessel BQS Report'!A325</f>
        <v>N</v>
      </c>
      <c r="C330" s="1057" t="str">
        <f>'Vessel BQS Report'!C325</f>
        <v/>
      </c>
      <c r="D330" s="1058" t="str">
        <f>'Vessel BQS Report'!D325</f>
        <v/>
      </c>
      <c r="E330" s="1059" t="str">
        <f>'Vessel BQS Report'!N325</f>
        <v/>
      </c>
      <c r="F330" s="1060" t="str">
        <f>'Vessel BQS Report'!F325</f>
        <v/>
      </c>
      <c r="G330" s="1061" t="str">
        <f>'Vessel BQS Report'!E325</f>
        <v/>
      </c>
      <c r="H330" s="1060" t="str">
        <f>'Vessel BQS Report'!G325</f>
        <v/>
      </c>
      <c r="I330" s="1159" t="str">
        <f>'Vessel BQS Report'!H325</f>
        <v/>
      </c>
      <c r="J330" s="1062" t="str">
        <f>'Vessel BQS Report'!I325</f>
        <v/>
      </c>
      <c r="K330" s="1063" t="str">
        <f>'Vessel BQS Report'!J325</f>
        <v/>
      </c>
      <c r="L330" s="1064" t="str">
        <f>'Vessel BQS Report'!L325</f>
        <v/>
      </c>
      <c r="M330" s="1064" t="str">
        <f>'Vessel BQS Report'!O325</f>
        <v/>
      </c>
      <c r="N330" s="1065" t="str">
        <f>'Vessel BQS Report'!M325</f>
        <v/>
      </c>
      <c r="O330" s="1065" t="str">
        <f>'Vessel BQS Report'!P325</f>
        <v/>
      </c>
      <c r="P330" s="1064" t="str">
        <f>'Vessel BQS Report'!Q325</f>
        <v/>
      </c>
      <c r="Q330" s="1044"/>
    </row>
    <row r="331" spans="1:17" hidden="1">
      <c r="A331" s="881" t="str">
        <f>'Vessel BQS Report'!A326</f>
        <v>N</v>
      </c>
      <c r="C331" s="1057" t="str">
        <f>'Vessel BQS Report'!C326</f>
        <v/>
      </c>
      <c r="D331" s="1058" t="str">
        <f>'Vessel BQS Report'!D326</f>
        <v/>
      </c>
      <c r="E331" s="1059" t="str">
        <f>'Vessel BQS Report'!N326</f>
        <v/>
      </c>
      <c r="F331" s="1060" t="str">
        <f>'Vessel BQS Report'!F326</f>
        <v/>
      </c>
      <c r="G331" s="1061" t="str">
        <f>'Vessel BQS Report'!E326</f>
        <v/>
      </c>
      <c r="H331" s="1060" t="str">
        <f>'Vessel BQS Report'!G326</f>
        <v/>
      </c>
      <c r="I331" s="1159" t="str">
        <f>'Vessel BQS Report'!H326</f>
        <v/>
      </c>
      <c r="J331" s="1062" t="str">
        <f>'Vessel BQS Report'!I326</f>
        <v/>
      </c>
      <c r="K331" s="1063" t="str">
        <f>'Vessel BQS Report'!J326</f>
        <v/>
      </c>
      <c r="L331" s="1064" t="str">
        <f>'Vessel BQS Report'!L326</f>
        <v/>
      </c>
      <c r="M331" s="1064" t="str">
        <f>'Vessel BQS Report'!O326</f>
        <v/>
      </c>
      <c r="N331" s="1065" t="str">
        <f>'Vessel BQS Report'!M326</f>
        <v/>
      </c>
      <c r="O331" s="1065" t="str">
        <f>'Vessel BQS Report'!P326</f>
        <v/>
      </c>
      <c r="P331" s="1064" t="str">
        <f>'Vessel BQS Report'!Q326</f>
        <v/>
      </c>
      <c r="Q331" s="1044"/>
    </row>
    <row r="332" spans="1:17" hidden="1">
      <c r="A332" s="881" t="str">
        <f>'Vessel BQS Report'!A327</f>
        <v>N</v>
      </c>
      <c r="C332" s="1057" t="str">
        <f>'Vessel BQS Report'!C327</f>
        <v/>
      </c>
      <c r="D332" s="1058" t="str">
        <f>'Vessel BQS Report'!D327</f>
        <v/>
      </c>
      <c r="E332" s="1059" t="str">
        <f>'Vessel BQS Report'!N327</f>
        <v/>
      </c>
      <c r="F332" s="1060" t="str">
        <f>'Vessel BQS Report'!F327</f>
        <v/>
      </c>
      <c r="G332" s="1061" t="str">
        <f>'Vessel BQS Report'!E327</f>
        <v/>
      </c>
      <c r="H332" s="1060" t="str">
        <f>'Vessel BQS Report'!G327</f>
        <v/>
      </c>
      <c r="I332" s="1159" t="str">
        <f>'Vessel BQS Report'!H327</f>
        <v/>
      </c>
      <c r="J332" s="1062" t="str">
        <f>'Vessel BQS Report'!I327</f>
        <v/>
      </c>
      <c r="K332" s="1063" t="str">
        <f>'Vessel BQS Report'!J327</f>
        <v/>
      </c>
      <c r="L332" s="1064" t="str">
        <f>'Vessel BQS Report'!L327</f>
        <v/>
      </c>
      <c r="M332" s="1064" t="str">
        <f>'Vessel BQS Report'!O327</f>
        <v/>
      </c>
      <c r="N332" s="1065" t="str">
        <f>'Vessel BQS Report'!M327</f>
        <v/>
      </c>
      <c r="O332" s="1065" t="str">
        <f>'Vessel BQS Report'!P327</f>
        <v/>
      </c>
      <c r="P332" s="1064" t="str">
        <f>'Vessel BQS Report'!Q327</f>
        <v/>
      </c>
      <c r="Q332" s="1044"/>
    </row>
    <row r="333" spans="1:17" hidden="1">
      <c r="A333" s="881" t="str">
        <f>'Vessel BQS Report'!A328</f>
        <v>N</v>
      </c>
      <c r="C333" s="1057" t="str">
        <f>'Vessel BQS Report'!C328</f>
        <v/>
      </c>
      <c r="D333" s="1058" t="str">
        <f>'Vessel BQS Report'!D328</f>
        <v/>
      </c>
      <c r="E333" s="1059" t="str">
        <f>'Vessel BQS Report'!N328</f>
        <v/>
      </c>
      <c r="F333" s="1060" t="str">
        <f>'Vessel BQS Report'!F328</f>
        <v/>
      </c>
      <c r="G333" s="1061" t="str">
        <f>'Vessel BQS Report'!E328</f>
        <v/>
      </c>
      <c r="H333" s="1060" t="str">
        <f>'Vessel BQS Report'!G328</f>
        <v/>
      </c>
      <c r="I333" s="1159" t="str">
        <f>'Vessel BQS Report'!H328</f>
        <v/>
      </c>
      <c r="J333" s="1062" t="str">
        <f>'Vessel BQS Report'!I328</f>
        <v/>
      </c>
      <c r="K333" s="1063" t="str">
        <f>'Vessel BQS Report'!J328</f>
        <v/>
      </c>
      <c r="L333" s="1064" t="str">
        <f>'Vessel BQS Report'!L328</f>
        <v/>
      </c>
      <c r="M333" s="1064" t="str">
        <f>'Vessel BQS Report'!O328</f>
        <v/>
      </c>
      <c r="N333" s="1065" t="str">
        <f>'Vessel BQS Report'!M328</f>
        <v/>
      </c>
      <c r="O333" s="1065" t="str">
        <f>'Vessel BQS Report'!P328</f>
        <v/>
      </c>
      <c r="P333" s="1064" t="str">
        <f>'Vessel BQS Report'!Q328</f>
        <v/>
      </c>
      <c r="Q333" s="1044"/>
    </row>
    <row r="334" spans="1:17" hidden="1">
      <c r="A334" s="881" t="str">
        <f>'Vessel BQS Report'!A329</f>
        <v>N</v>
      </c>
      <c r="C334" s="1057" t="str">
        <f>'Vessel BQS Report'!C329</f>
        <v/>
      </c>
      <c r="D334" s="1058" t="str">
        <f>'Vessel BQS Report'!D329</f>
        <v/>
      </c>
      <c r="E334" s="1059" t="str">
        <f>'Vessel BQS Report'!N329</f>
        <v/>
      </c>
      <c r="F334" s="1060" t="str">
        <f>'Vessel BQS Report'!F329</f>
        <v/>
      </c>
      <c r="G334" s="1061" t="str">
        <f>'Vessel BQS Report'!E329</f>
        <v/>
      </c>
      <c r="H334" s="1060" t="str">
        <f>'Vessel BQS Report'!G329</f>
        <v/>
      </c>
      <c r="I334" s="1159" t="str">
        <f>'Vessel BQS Report'!H329</f>
        <v/>
      </c>
      <c r="J334" s="1062" t="str">
        <f>'Vessel BQS Report'!I329</f>
        <v/>
      </c>
      <c r="K334" s="1063" t="str">
        <f>'Vessel BQS Report'!J329</f>
        <v/>
      </c>
      <c r="L334" s="1064" t="str">
        <f>'Vessel BQS Report'!L329</f>
        <v/>
      </c>
      <c r="M334" s="1064" t="str">
        <f>'Vessel BQS Report'!O329</f>
        <v/>
      </c>
      <c r="N334" s="1065" t="str">
        <f>'Vessel BQS Report'!M329</f>
        <v/>
      </c>
      <c r="O334" s="1065" t="str">
        <f>'Vessel BQS Report'!P329</f>
        <v/>
      </c>
      <c r="P334" s="1064" t="str">
        <f>'Vessel BQS Report'!Q329</f>
        <v/>
      </c>
      <c r="Q334" s="1044"/>
    </row>
    <row r="335" spans="1:17" hidden="1">
      <c r="A335" s="881" t="str">
        <f>'Vessel BQS Report'!A330</f>
        <v>N</v>
      </c>
      <c r="C335" s="1057" t="str">
        <f>'Vessel BQS Report'!C330</f>
        <v/>
      </c>
      <c r="D335" s="1058" t="str">
        <f>'Vessel BQS Report'!D330</f>
        <v/>
      </c>
      <c r="E335" s="1059" t="str">
        <f>'Vessel BQS Report'!N330</f>
        <v/>
      </c>
      <c r="F335" s="1060" t="str">
        <f>'Vessel BQS Report'!F330</f>
        <v/>
      </c>
      <c r="G335" s="1061" t="str">
        <f>'Vessel BQS Report'!E330</f>
        <v/>
      </c>
      <c r="H335" s="1060" t="str">
        <f>'Vessel BQS Report'!G330</f>
        <v/>
      </c>
      <c r="I335" s="1159" t="str">
        <f>'Vessel BQS Report'!H330</f>
        <v/>
      </c>
      <c r="J335" s="1062" t="str">
        <f>'Vessel BQS Report'!I330</f>
        <v/>
      </c>
      <c r="K335" s="1063" t="str">
        <f>'Vessel BQS Report'!J330</f>
        <v/>
      </c>
      <c r="L335" s="1064" t="str">
        <f>'Vessel BQS Report'!L330</f>
        <v/>
      </c>
      <c r="M335" s="1064" t="str">
        <f>'Vessel BQS Report'!O330</f>
        <v/>
      </c>
      <c r="N335" s="1065" t="str">
        <f>'Vessel BQS Report'!M330</f>
        <v/>
      </c>
      <c r="O335" s="1065" t="str">
        <f>'Vessel BQS Report'!P330</f>
        <v/>
      </c>
      <c r="P335" s="1064" t="str">
        <f>'Vessel BQS Report'!Q330</f>
        <v/>
      </c>
      <c r="Q335" s="1044"/>
    </row>
    <row r="336" spans="1:17" hidden="1">
      <c r="A336" s="881" t="str">
        <f>'Vessel BQS Report'!A331</f>
        <v>N</v>
      </c>
      <c r="C336" s="1057" t="str">
        <f>'Vessel BQS Report'!C331</f>
        <v/>
      </c>
      <c r="D336" s="1058" t="str">
        <f>'Vessel BQS Report'!D331</f>
        <v/>
      </c>
      <c r="E336" s="1059" t="str">
        <f>'Vessel BQS Report'!N331</f>
        <v/>
      </c>
      <c r="F336" s="1060" t="str">
        <f>'Vessel BQS Report'!F331</f>
        <v/>
      </c>
      <c r="G336" s="1061" t="str">
        <f>'Vessel BQS Report'!E331</f>
        <v/>
      </c>
      <c r="H336" s="1060" t="str">
        <f>'Vessel BQS Report'!G331</f>
        <v/>
      </c>
      <c r="I336" s="1159" t="str">
        <f>'Vessel BQS Report'!H331</f>
        <v/>
      </c>
      <c r="J336" s="1062" t="str">
        <f>'Vessel BQS Report'!I331</f>
        <v/>
      </c>
      <c r="K336" s="1063" t="str">
        <f>'Vessel BQS Report'!J331</f>
        <v/>
      </c>
      <c r="L336" s="1064" t="str">
        <f>'Vessel BQS Report'!L331</f>
        <v/>
      </c>
      <c r="M336" s="1064" t="str">
        <f>'Vessel BQS Report'!O331</f>
        <v/>
      </c>
      <c r="N336" s="1065" t="str">
        <f>'Vessel BQS Report'!M331</f>
        <v/>
      </c>
      <c r="O336" s="1065" t="str">
        <f>'Vessel BQS Report'!P331</f>
        <v/>
      </c>
      <c r="P336" s="1064" t="str">
        <f>'Vessel BQS Report'!Q331</f>
        <v/>
      </c>
      <c r="Q336" s="1044"/>
    </row>
    <row r="337" spans="1:17" hidden="1">
      <c r="A337" s="881" t="str">
        <f>'Vessel BQS Report'!A332</f>
        <v>N</v>
      </c>
      <c r="C337" s="1057" t="str">
        <f>'Vessel BQS Report'!C332</f>
        <v/>
      </c>
      <c r="D337" s="1058" t="str">
        <f>'Vessel BQS Report'!D332</f>
        <v/>
      </c>
      <c r="E337" s="1059" t="str">
        <f>'Vessel BQS Report'!N332</f>
        <v/>
      </c>
      <c r="F337" s="1060" t="str">
        <f>'Vessel BQS Report'!F332</f>
        <v/>
      </c>
      <c r="G337" s="1061" t="str">
        <f>'Vessel BQS Report'!E332</f>
        <v/>
      </c>
      <c r="H337" s="1060" t="str">
        <f>'Vessel BQS Report'!G332</f>
        <v/>
      </c>
      <c r="I337" s="1159" t="str">
        <f>'Vessel BQS Report'!H332</f>
        <v/>
      </c>
      <c r="J337" s="1062" t="str">
        <f>'Vessel BQS Report'!I332</f>
        <v/>
      </c>
      <c r="K337" s="1063" t="str">
        <f>'Vessel BQS Report'!J332</f>
        <v/>
      </c>
      <c r="L337" s="1064" t="str">
        <f>'Vessel BQS Report'!L332</f>
        <v/>
      </c>
      <c r="M337" s="1064" t="str">
        <f>'Vessel BQS Report'!O332</f>
        <v/>
      </c>
      <c r="N337" s="1065" t="str">
        <f>'Vessel BQS Report'!M332</f>
        <v/>
      </c>
      <c r="O337" s="1065" t="str">
        <f>'Vessel BQS Report'!P332</f>
        <v/>
      </c>
      <c r="P337" s="1064" t="str">
        <f>'Vessel BQS Report'!Q332</f>
        <v/>
      </c>
      <c r="Q337" s="1044"/>
    </row>
    <row r="338" spans="1:17" hidden="1">
      <c r="A338" s="881" t="str">
        <f>'Vessel BQS Report'!A333</f>
        <v>N</v>
      </c>
      <c r="C338" s="1066" t="str">
        <f>'Vessel BQS Report'!C333</f>
        <v/>
      </c>
      <c r="D338" s="1067" t="str">
        <f>'Vessel BQS Report'!D333</f>
        <v/>
      </c>
      <c r="E338" s="1068" t="str">
        <f>'Vessel BQS Report'!N333</f>
        <v/>
      </c>
      <c r="F338" s="1069" t="str">
        <f>'Vessel BQS Report'!F333</f>
        <v/>
      </c>
      <c r="G338" s="1070" t="str">
        <f>'Vessel BQS Report'!E333</f>
        <v/>
      </c>
      <c r="H338" s="1069" t="str">
        <f>'Vessel BQS Report'!G333</f>
        <v/>
      </c>
      <c r="I338" s="1160" t="str">
        <f>'Vessel BQS Report'!H333</f>
        <v/>
      </c>
      <c r="J338" s="1071" t="str">
        <f>'Vessel BQS Report'!I333</f>
        <v/>
      </c>
      <c r="K338" s="1072" t="str">
        <f>'Vessel BQS Report'!J333</f>
        <v/>
      </c>
      <c r="L338" s="1073" t="str">
        <f>'Vessel BQS Report'!L333</f>
        <v/>
      </c>
      <c r="M338" s="1073" t="str">
        <f>'Vessel BQS Report'!O333</f>
        <v/>
      </c>
      <c r="N338" s="1074" t="str">
        <f>'Vessel BQS Report'!M333</f>
        <v/>
      </c>
      <c r="O338" s="1074" t="str">
        <f>'Vessel BQS Report'!P333</f>
        <v/>
      </c>
      <c r="P338" s="1073" t="str">
        <f>'Vessel BQS Report'!Q333</f>
        <v/>
      </c>
      <c r="Q338" s="1044"/>
    </row>
    <row r="339" spans="1:17" hidden="1">
      <c r="A339" s="881" t="s">
        <v>270</v>
      </c>
      <c r="C339" s="1118"/>
      <c r="D339" s="1075"/>
      <c r="E339" s="1076"/>
      <c r="F339" s="1077"/>
      <c r="G339" s="1077"/>
      <c r="H339" s="1078"/>
      <c r="I339" s="1078"/>
      <c r="J339" s="1078"/>
      <c r="K339" s="1077"/>
      <c r="L339" s="1079"/>
      <c r="M339" s="2957" t="s">
        <v>801</v>
      </c>
      <c r="N339" s="2957"/>
      <c r="O339" s="2958">
        <f>SUM(P319:P338)</f>
        <v>48.128</v>
      </c>
      <c r="P339" s="2958"/>
      <c r="Q339" s="1044"/>
    </row>
    <row r="340" spans="1:17">
      <c r="A340" s="881" t="str">
        <f>IF(COUNTIF(A203:A339,"Y")=0,"N","Y")</f>
        <v>Y</v>
      </c>
      <c r="C340" s="1625"/>
      <c r="D340" s="1626"/>
      <c r="E340" s="1627"/>
      <c r="F340" s="1628"/>
      <c r="G340" s="1628"/>
      <c r="H340" s="1629"/>
      <c r="I340" s="1629"/>
      <c r="J340" s="1629"/>
      <c r="K340" s="1628"/>
      <c r="L340" s="1644"/>
      <c r="M340" s="3049" t="s">
        <v>403</v>
      </c>
      <c r="N340" s="3049"/>
      <c r="O340" s="2971">
        <f>SUM(P204:P338)</f>
        <v>320.18099999999998</v>
      </c>
      <c r="P340" s="2972"/>
      <c r="Q340" s="1600"/>
    </row>
    <row r="341" spans="1:17" s="1046" customFormat="1" ht="5.25" hidden="1">
      <c r="A341" s="1046" t="s">
        <v>270</v>
      </c>
      <c r="C341" s="1092"/>
      <c r="D341" s="1093"/>
      <c r="E341" s="1094"/>
      <c r="F341" s="1095"/>
      <c r="G341" s="1095"/>
      <c r="H341" s="1096"/>
      <c r="I341" s="1080"/>
      <c r="J341" s="1080"/>
      <c r="K341" s="1081"/>
      <c r="L341" s="1082"/>
      <c r="M341" s="1086"/>
      <c r="N341" s="1086"/>
      <c r="O341" s="1087"/>
      <c r="P341" s="1087"/>
      <c r="Q341" s="1045"/>
    </row>
    <row r="342" spans="1:17">
      <c r="A342" s="881" t="str">
        <f>'Vessel BQS Report'!A336</f>
        <v>Y</v>
      </c>
      <c r="C342" s="3044" t="str">
        <f>'Vessel BQS Report'!C336</f>
        <v>NON-NOMINATED TANKS</v>
      </c>
      <c r="D342" s="3045">
        <f>'Vessel BQS Report'!D336</f>
        <v>0</v>
      </c>
      <c r="E342" s="3045">
        <f>'Vessel BQS Report'!N336</f>
        <v>0</v>
      </c>
      <c r="F342" s="3046">
        <f>'Vessel BQS Report'!F336</f>
        <v>0</v>
      </c>
      <c r="G342" s="3047" t="str">
        <f>'Vessel BQS Report'!E336</f>
        <v>(Distillates)</v>
      </c>
      <c r="H342" s="3048">
        <f>'Vessel BQS Report'!G336</f>
        <v>0</v>
      </c>
      <c r="I342" s="1631"/>
      <c r="J342" s="1632"/>
      <c r="K342" s="1633"/>
      <c r="L342" s="1634"/>
      <c r="M342" s="1634"/>
      <c r="N342" s="1635"/>
      <c r="O342" s="1636"/>
      <c r="P342" s="1634"/>
      <c r="Q342" s="1600"/>
    </row>
    <row r="343" spans="1:17">
      <c r="A343" s="881" t="str">
        <f>'Vessel BQS Report'!A337</f>
        <v>Y</v>
      </c>
      <c r="C343" s="1615" t="str">
        <f>'Vessel BQS Report'!C337</f>
        <v>DO P</v>
      </c>
      <c r="D343" s="1616" t="str">
        <f>'Vessel BQS Report'!D337</f>
        <v>LSMGO</v>
      </c>
      <c r="E343" s="1617">
        <f>'Vessel BQS Report'!N337</f>
        <v>38</v>
      </c>
      <c r="F343" s="1618">
        <f>'Vessel BQS Report'!F337</f>
        <v>2.46</v>
      </c>
      <c r="G343" s="1619">
        <f>'Vessel BQS Report'!E337</f>
        <v>2.46</v>
      </c>
      <c r="H343" s="1618">
        <f>'Vessel BQS Report'!G337</f>
        <v>2.02</v>
      </c>
      <c r="I343" s="1620">
        <f>'Vessel BQS Report'!H337</f>
        <v>2.02</v>
      </c>
      <c r="J343" s="1621" t="str">
        <f>'Vessel BQS Report'!I337</f>
        <v>S</v>
      </c>
      <c r="K343" s="1622">
        <f>'Vessel BQS Report'!J337</f>
        <v>85</v>
      </c>
      <c r="L343" s="1623">
        <f>'Vessel BQS Report'!L337</f>
        <v>0</v>
      </c>
      <c r="M343" s="1623">
        <f>'Vessel BQS Report'!O337</f>
        <v>85</v>
      </c>
      <c r="N343" s="1624">
        <f>'Vessel BQS Report'!M337</f>
        <v>0.83789999999999998</v>
      </c>
      <c r="O343" s="1624">
        <f>'Vessel BQS Report'!P337</f>
        <v>0.98041999999999996</v>
      </c>
      <c r="P343" s="1623">
        <f>'Vessel BQS Report'!Q337</f>
        <v>83.335999999999999</v>
      </c>
      <c r="Q343" s="1600"/>
    </row>
    <row r="344" spans="1:17">
      <c r="A344" s="881" t="str">
        <f>'Vessel BQS Report'!A338</f>
        <v>Y</v>
      </c>
      <c r="C344" s="1615" t="str">
        <f>'Vessel BQS Report'!C338</f>
        <v>DO S</v>
      </c>
      <c r="D344" s="1616" t="str">
        <f>'Vessel BQS Report'!D338</f>
        <v>LSMGO</v>
      </c>
      <c r="E344" s="1617">
        <f>'Vessel BQS Report'!N338</f>
        <v>38</v>
      </c>
      <c r="F344" s="1618">
        <f>'Vessel BQS Report'!F338</f>
        <v>2.46</v>
      </c>
      <c r="G344" s="1619">
        <f>'Vessel BQS Report'!E338</f>
        <v>2.46</v>
      </c>
      <c r="H344" s="1618">
        <f>'Vessel BQS Report'!G338</f>
        <v>0.97</v>
      </c>
      <c r="I344" s="1620">
        <f>'Vessel BQS Report'!H338</f>
        <v>0.97</v>
      </c>
      <c r="J344" s="1621" t="str">
        <f>'Vessel BQS Report'!I338</f>
        <v>S</v>
      </c>
      <c r="K344" s="1622">
        <f>'Vessel BQS Report'!J338</f>
        <v>34.700000000000003</v>
      </c>
      <c r="L344" s="1623">
        <f>'Vessel BQS Report'!L338</f>
        <v>0</v>
      </c>
      <c r="M344" s="1623">
        <f>'Vessel BQS Report'!O338</f>
        <v>34.700000000000003</v>
      </c>
      <c r="N344" s="1624">
        <f>'Vessel BQS Report'!M338</f>
        <v>0.83789999999999998</v>
      </c>
      <c r="O344" s="1624">
        <f>'Vessel BQS Report'!P338</f>
        <v>0.98041999999999996</v>
      </c>
      <c r="P344" s="1623">
        <f>'Vessel BQS Report'!Q338</f>
        <v>34.021000000000001</v>
      </c>
      <c r="Q344" s="1600"/>
    </row>
    <row r="345" spans="1:17">
      <c r="A345" s="881" t="str">
        <f>'Vessel BQS Report'!A339</f>
        <v>Y</v>
      </c>
      <c r="C345" s="1615" t="str">
        <f>'Vessel BQS Report'!C339</f>
        <v>DO SERV</v>
      </c>
      <c r="D345" s="1616" t="str">
        <f>'Vessel BQS Report'!D339</f>
        <v>LSMGO</v>
      </c>
      <c r="E345" s="1617">
        <f>'Vessel BQS Report'!N339</f>
        <v>38</v>
      </c>
      <c r="F345" s="1618" t="str">
        <f>'Vessel BQS Report'!F339</f>
        <v>GAUGE</v>
      </c>
      <c r="G345" s="1619" t="str">
        <f>'Vessel BQS Report'!E339</f>
        <v>GAUGE</v>
      </c>
      <c r="H345" s="1618" t="str">
        <f>'Vessel BQS Report'!G339</f>
        <v>GAUGE</v>
      </c>
      <c r="I345" s="1620" t="str">
        <f>'Vessel BQS Report'!H339</f>
        <v>GAUGE</v>
      </c>
      <c r="J345" s="1621" t="str">
        <f>'Vessel BQS Report'!I339</f>
        <v>G</v>
      </c>
      <c r="K345" s="1622">
        <f>'Vessel BQS Report'!J339</f>
        <v>14.5</v>
      </c>
      <c r="L345" s="1623">
        <f>'Vessel BQS Report'!L339</f>
        <v>0</v>
      </c>
      <c r="M345" s="1623">
        <f>'Vessel BQS Report'!O339</f>
        <v>14.5</v>
      </c>
      <c r="N345" s="1624">
        <f>'Vessel BQS Report'!M339</f>
        <v>0.83789999999999998</v>
      </c>
      <c r="O345" s="1624">
        <f>'Vessel BQS Report'!P339</f>
        <v>0.98041999999999996</v>
      </c>
      <c r="P345" s="1623">
        <f>'Vessel BQS Report'!Q339</f>
        <v>14.215999999999999</v>
      </c>
      <c r="Q345" s="1600"/>
    </row>
    <row r="346" spans="1:17">
      <c r="A346" s="881" t="str">
        <f>'Vessel BQS Report'!A340</f>
        <v>Y</v>
      </c>
      <c r="C346" s="1615" t="str">
        <f>'Vessel BQS Report'!C340</f>
        <v>DO SETT</v>
      </c>
      <c r="D346" s="1616" t="str">
        <f>'Vessel BQS Report'!D340</f>
        <v>LSMGO</v>
      </c>
      <c r="E346" s="1617">
        <f>'Vessel BQS Report'!N340</f>
        <v>38</v>
      </c>
      <c r="F346" s="1618" t="str">
        <f>'Vessel BQS Report'!F340</f>
        <v>GAUGE</v>
      </c>
      <c r="G346" s="1619" t="str">
        <f>'Vessel BQS Report'!E340</f>
        <v>GAUGE</v>
      </c>
      <c r="H346" s="1618" t="str">
        <f>'Vessel BQS Report'!G340</f>
        <v>GAUGE</v>
      </c>
      <c r="I346" s="1620" t="str">
        <f>'Vessel BQS Report'!H340</f>
        <v>GAUGE</v>
      </c>
      <c r="J346" s="1621" t="str">
        <f>'Vessel BQS Report'!I340</f>
        <v>G</v>
      </c>
      <c r="K346" s="1622">
        <f>'Vessel BQS Report'!J340</f>
        <v>6.5</v>
      </c>
      <c r="L346" s="1623">
        <f>'Vessel BQS Report'!L340</f>
        <v>0</v>
      </c>
      <c r="M346" s="1623">
        <f>'Vessel BQS Report'!O340</f>
        <v>6.5</v>
      </c>
      <c r="N346" s="1624">
        <f>'Vessel BQS Report'!M340</f>
        <v>0.83789999999999998</v>
      </c>
      <c r="O346" s="1624">
        <f>'Vessel BQS Report'!P340</f>
        <v>0.98041999999999996</v>
      </c>
      <c r="P346" s="1623">
        <f>'Vessel BQS Report'!Q340</f>
        <v>6.3730000000000002</v>
      </c>
      <c r="Q346" s="1600"/>
    </row>
    <row r="347" spans="1:17">
      <c r="A347" s="881" t="str">
        <f>'Vessel BQS Report'!A341</f>
        <v>N</v>
      </c>
      <c r="C347" s="1615" t="str">
        <f>'Vessel BQS Report'!C341</f>
        <v/>
      </c>
      <c r="D347" s="1616" t="str">
        <f>'Vessel BQS Report'!D341</f>
        <v/>
      </c>
      <c r="E347" s="1617" t="str">
        <f>'Vessel BQS Report'!N341</f>
        <v/>
      </c>
      <c r="F347" s="1618" t="str">
        <f>'Vessel BQS Report'!F341</f>
        <v/>
      </c>
      <c r="G347" s="1619" t="str">
        <f>'Vessel BQS Report'!E341</f>
        <v/>
      </c>
      <c r="H347" s="1618" t="str">
        <f>'Vessel BQS Report'!G341</f>
        <v/>
      </c>
      <c r="I347" s="1620" t="str">
        <f>'Vessel BQS Report'!H341</f>
        <v/>
      </c>
      <c r="J347" s="1621" t="str">
        <f>'Vessel BQS Report'!I341</f>
        <v/>
      </c>
      <c r="K347" s="1622" t="str">
        <f>'Vessel BQS Report'!J341</f>
        <v/>
      </c>
      <c r="L347" s="1623" t="str">
        <f>'Vessel BQS Report'!L341</f>
        <v/>
      </c>
      <c r="M347" s="1623" t="str">
        <f>'Vessel BQS Report'!O341</f>
        <v/>
      </c>
      <c r="N347" s="1624" t="str">
        <f>'Vessel BQS Report'!M341</f>
        <v/>
      </c>
      <c r="O347" s="1624" t="str">
        <f>'Vessel BQS Report'!P341</f>
        <v/>
      </c>
      <c r="P347" s="1623" t="str">
        <f>'Vessel BQS Report'!Q341</f>
        <v/>
      </c>
      <c r="Q347" s="1600"/>
    </row>
    <row r="348" spans="1:17">
      <c r="A348" s="881" t="str">
        <f>'Vessel BQS Report'!A342</f>
        <v>N</v>
      </c>
      <c r="C348" s="1615" t="str">
        <f>'Vessel BQS Report'!C342</f>
        <v/>
      </c>
      <c r="D348" s="1616" t="str">
        <f>'Vessel BQS Report'!D342</f>
        <v/>
      </c>
      <c r="E348" s="1617" t="str">
        <f>'Vessel BQS Report'!N342</f>
        <v/>
      </c>
      <c r="F348" s="1618" t="str">
        <f>'Vessel BQS Report'!F342</f>
        <v/>
      </c>
      <c r="G348" s="1619" t="str">
        <f>'Vessel BQS Report'!E342</f>
        <v/>
      </c>
      <c r="H348" s="1618" t="str">
        <f>'Vessel BQS Report'!G342</f>
        <v/>
      </c>
      <c r="I348" s="1620" t="str">
        <f>'Vessel BQS Report'!H342</f>
        <v/>
      </c>
      <c r="J348" s="1621" t="str">
        <f>'Vessel BQS Report'!I342</f>
        <v/>
      </c>
      <c r="K348" s="1622" t="str">
        <f>'Vessel BQS Report'!J342</f>
        <v/>
      </c>
      <c r="L348" s="1623" t="str">
        <f>'Vessel BQS Report'!L342</f>
        <v/>
      </c>
      <c r="M348" s="1623" t="str">
        <f>'Vessel BQS Report'!O342</f>
        <v/>
      </c>
      <c r="N348" s="1624" t="str">
        <f>'Vessel BQS Report'!M342</f>
        <v/>
      </c>
      <c r="O348" s="1624" t="str">
        <f>'Vessel BQS Report'!P342</f>
        <v/>
      </c>
      <c r="P348" s="1623" t="str">
        <f>'Vessel BQS Report'!Q342</f>
        <v/>
      </c>
      <c r="Q348" s="1600"/>
    </row>
    <row r="349" spans="1:17">
      <c r="A349" s="881" t="str">
        <f>'Vessel BQS Report'!A343</f>
        <v>N</v>
      </c>
      <c r="C349" s="1615" t="str">
        <f>'Vessel BQS Report'!C343</f>
        <v/>
      </c>
      <c r="D349" s="1616" t="str">
        <f>'Vessel BQS Report'!D343</f>
        <v/>
      </c>
      <c r="E349" s="1617" t="str">
        <f>'Vessel BQS Report'!N343</f>
        <v/>
      </c>
      <c r="F349" s="1618" t="str">
        <f>'Vessel BQS Report'!F343</f>
        <v/>
      </c>
      <c r="G349" s="1619" t="str">
        <f>'Vessel BQS Report'!E343</f>
        <v/>
      </c>
      <c r="H349" s="1618" t="str">
        <f>'Vessel BQS Report'!G343</f>
        <v/>
      </c>
      <c r="I349" s="1620" t="str">
        <f>'Vessel BQS Report'!H343</f>
        <v/>
      </c>
      <c r="J349" s="1621" t="str">
        <f>'Vessel BQS Report'!I343</f>
        <v/>
      </c>
      <c r="K349" s="1622" t="str">
        <f>'Vessel BQS Report'!J343</f>
        <v/>
      </c>
      <c r="L349" s="1623" t="str">
        <f>'Vessel BQS Report'!L343</f>
        <v/>
      </c>
      <c r="M349" s="1623" t="str">
        <f>'Vessel BQS Report'!O343</f>
        <v/>
      </c>
      <c r="N349" s="1624" t="str">
        <f>'Vessel BQS Report'!M343</f>
        <v/>
      </c>
      <c r="O349" s="1624" t="str">
        <f>'Vessel BQS Report'!P343</f>
        <v/>
      </c>
      <c r="P349" s="1623" t="str">
        <f>'Vessel BQS Report'!Q343</f>
        <v/>
      </c>
      <c r="Q349" s="1600"/>
    </row>
    <row r="350" spans="1:17">
      <c r="A350" s="881" t="str">
        <f>'Vessel BQS Report'!A344</f>
        <v>N</v>
      </c>
      <c r="C350" s="1615" t="str">
        <f>'Vessel BQS Report'!C344</f>
        <v/>
      </c>
      <c r="D350" s="1616" t="str">
        <f>'Vessel BQS Report'!D344</f>
        <v/>
      </c>
      <c r="E350" s="1617" t="str">
        <f>'Vessel BQS Report'!N344</f>
        <v/>
      </c>
      <c r="F350" s="1618" t="str">
        <f>'Vessel BQS Report'!F344</f>
        <v/>
      </c>
      <c r="G350" s="1619" t="str">
        <f>'Vessel BQS Report'!E344</f>
        <v/>
      </c>
      <c r="H350" s="1618" t="str">
        <f>'Vessel BQS Report'!G344</f>
        <v/>
      </c>
      <c r="I350" s="1620" t="str">
        <f>'Vessel BQS Report'!H344</f>
        <v/>
      </c>
      <c r="J350" s="1621" t="str">
        <f>'Vessel BQS Report'!I344</f>
        <v/>
      </c>
      <c r="K350" s="1622" t="str">
        <f>'Vessel BQS Report'!J344</f>
        <v/>
      </c>
      <c r="L350" s="1623" t="str">
        <f>'Vessel BQS Report'!L344</f>
        <v/>
      </c>
      <c r="M350" s="1623" t="str">
        <f>'Vessel BQS Report'!O344</f>
        <v/>
      </c>
      <c r="N350" s="1624" t="str">
        <f>'Vessel BQS Report'!M344</f>
        <v/>
      </c>
      <c r="O350" s="1624" t="str">
        <f>'Vessel BQS Report'!P344</f>
        <v/>
      </c>
      <c r="P350" s="1623" t="str">
        <f>'Vessel BQS Report'!Q344</f>
        <v/>
      </c>
      <c r="Q350" s="1600"/>
    </row>
    <row r="351" spans="1:17">
      <c r="A351" s="881" t="str">
        <f>'Vessel BQS Report'!A345</f>
        <v>N</v>
      </c>
      <c r="C351" s="1615" t="str">
        <f>'Vessel BQS Report'!C345</f>
        <v/>
      </c>
      <c r="D351" s="1616" t="str">
        <f>'Vessel BQS Report'!D345</f>
        <v/>
      </c>
      <c r="E351" s="1617" t="str">
        <f>'Vessel BQS Report'!N345</f>
        <v/>
      </c>
      <c r="F351" s="1618" t="str">
        <f>'Vessel BQS Report'!F345</f>
        <v/>
      </c>
      <c r="G351" s="1619" t="str">
        <f>'Vessel BQS Report'!E345</f>
        <v/>
      </c>
      <c r="H351" s="1618" t="str">
        <f>'Vessel BQS Report'!G345</f>
        <v/>
      </c>
      <c r="I351" s="1620" t="str">
        <f>'Vessel BQS Report'!H345</f>
        <v/>
      </c>
      <c r="J351" s="1621" t="str">
        <f>'Vessel BQS Report'!I345</f>
        <v/>
      </c>
      <c r="K351" s="1622" t="str">
        <f>'Vessel BQS Report'!J345</f>
        <v/>
      </c>
      <c r="L351" s="1623" t="str">
        <f>'Vessel BQS Report'!L345</f>
        <v/>
      </c>
      <c r="M351" s="1623" t="str">
        <f>'Vessel BQS Report'!O345</f>
        <v/>
      </c>
      <c r="N351" s="1624" t="str">
        <f>'Vessel BQS Report'!M345</f>
        <v/>
      </c>
      <c r="O351" s="1624" t="str">
        <f>'Vessel BQS Report'!P345</f>
        <v/>
      </c>
      <c r="P351" s="1623" t="str">
        <f>'Vessel BQS Report'!Q345</f>
        <v/>
      </c>
      <c r="Q351" s="1600"/>
    </row>
    <row r="352" spans="1:17">
      <c r="A352" s="881" t="str">
        <f>'Vessel BQS Report'!A346</f>
        <v>N</v>
      </c>
      <c r="C352" s="1615" t="str">
        <f>'Vessel BQS Report'!C346</f>
        <v/>
      </c>
      <c r="D352" s="1616" t="str">
        <f>'Vessel BQS Report'!D346</f>
        <v/>
      </c>
      <c r="E352" s="1617" t="str">
        <f>'Vessel BQS Report'!N346</f>
        <v/>
      </c>
      <c r="F352" s="1618" t="str">
        <f>'Vessel BQS Report'!F346</f>
        <v/>
      </c>
      <c r="G352" s="1619" t="str">
        <f>'Vessel BQS Report'!E346</f>
        <v/>
      </c>
      <c r="H352" s="1618" t="str">
        <f>'Vessel BQS Report'!G346</f>
        <v/>
      </c>
      <c r="I352" s="1620" t="str">
        <f>'Vessel BQS Report'!H346</f>
        <v/>
      </c>
      <c r="J352" s="1621" t="str">
        <f>'Vessel BQS Report'!I346</f>
        <v/>
      </c>
      <c r="K352" s="1622" t="str">
        <f>'Vessel BQS Report'!J346</f>
        <v/>
      </c>
      <c r="L352" s="1623" t="str">
        <f>'Vessel BQS Report'!L346</f>
        <v/>
      </c>
      <c r="M352" s="1623" t="str">
        <f>'Vessel BQS Report'!O346</f>
        <v/>
      </c>
      <c r="N352" s="1624" t="str">
        <f>'Vessel BQS Report'!M346</f>
        <v/>
      </c>
      <c r="O352" s="1624" t="str">
        <f>'Vessel BQS Report'!P346</f>
        <v/>
      </c>
      <c r="P352" s="1623" t="str">
        <f>'Vessel BQS Report'!Q346</f>
        <v/>
      </c>
      <c r="Q352" s="1600"/>
    </row>
    <row r="353" spans="1:17">
      <c r="A353" s="881" t="str">
        <f>'Vessel BQS Report'!A347</f>
        <v>N</v>
      </c>
      <c r="C353" s="1615" t="str">
        <f>'Vessel BQS Report'!C347</f>
        <v/>
      </c>
      <c r="D353" s="1616" t="str">
        <f>'Vessel BQS Report'!D347</f>
        <v/>
      </c>
      <c r="E353" s="1617" t="str">
        <f>'Vessel BQS Report'!N347</f>
        <v/>
      </c>
      <c r="F353" s="1618" t="str">
        <f>'Vessel BQS Report'!F347</f>
        <v/>
      </c>
      <c r="G353" s="1619" t="str">
        <f>'Vessel BQS Report'!E347</f>
        <v/>
      </c>
      <c r="H353" s="1618" t="str">
        <f>'Vessel BQS Report'!G347</f>
        <v/>
      </c>
      <c r="I353" s="1620" t="str">
        <f>'Vessel BQS Report'!H347</f>
        <v/>
      </c>
      <c r="J353" s="1621" t="str">
        <f>'Vessel BQS Report'!I347</f>
        <v/>
      </c>
      <c r="K353" s="1622" t="str">
        <f>'Vessel BQS Report'!J347</f>
        <v/>
      </c>
      <c r="L353" s="1623" t="str">
        <f>'Vessel BQS Report'!L347</f>
        <v/>
      </c>
      <c r="M353" s="1623" t="str">
        <f>'Vessel BQS Report'!O347</f>
        <v/>
      </c>
      <c r="N353" s="1624" t="str">
        <f>'Vessel BQS Report'!M347</f>
        <v/>
      </c>
      <c r="O353" s="1624" t="str">
        <f>'Vessel BQS Report'!P347</f>
        <v/>
      </c>
      <c r="P353" s="1623" t="str">
        <f>'Vessel BQS Report'!Q347</f>
        <v/>
      </c>
      <c r="Q353" s="1600"/>
    </row>
    <row r="354" spans="1:17">
      <c r="A354" s="881" t="str">
        <f>'Vessel BQS Report'!A348</f>
        <v>N</v>
      </c>
      <c r="C354" s="1615" t="str">
        <f>'Vessel BQS Report'!C348</f>
        <v/>
      </c>
      <c r="D354" s="1616" t="str">
        <f>'Vessel BQS Report'!D348</f>
        <v/>
      </c>
      <c r="E354" s="1617" t="str">
        <f>'Vessel BQS Report'!N348</f>
        <v/>
      </c>
      <c r="F354" s="1618" t="str">
        <f>'Vessel BQS Report'!F348</f>
        <v/>
      </c>
      <c r="G354" s="1619" t="str">
        <f>'Vessel BQS Report'!E348</f>
        <v/>
      </c>
      <c r="H354" s="1618" t="str">
        <f>'Vessel BQS Report'!G348</f>
        <v/>
      </c>
      <c r="I354" s="1620" t="str">
        <f>'Vessel BQS Report'!H348</f>
        <v/>
      </c>
      <c r="J354" s="1621" t="str">
        <f>'Vessel BQS Report'!I348</f>
        <v/>
      </c>
      <c r="K354" s="1622" t="str">
        <f>'Vessel BQS Report'!J348</f>
        <v/>
      </c>
      <c r="L354" s="1623" t="str">
        <f>'Vessel BQS Report'!L348</f>
        <v/>
      </c>
      <c r="M354" s="1623" t="str">
        <f>'Vessel BQS Report'!O348</f>
        <v/>
      </c>
      <c r="N354" s="1624" t="str">
        <f>'Vessel BQS Report'!M348</f>
        <v/>
      </c>
      <c r="O354" s="1624" t="str">
        <f>'Vessel BQS Report'!P348</f>
        <v/>
      </c>
      <c r="P354" s="1623" t="str">
        <f>'Vessel BQS Report'!Q348</f>
        <v/>
      </c>
      <c r="Q354" s="1600"/>
    </row>
    <row r="355" spans="1:17">
      <c r="A355" s="881" t="str">
        <f>'Vessel BQS Report'!A349</f>
        <v>N</v>
      </c>
      <c r="C355" s="1615" t="str">
        <f>'Vessel BQS Report'!C349</f>
        <v/>
      </c>
      <c r="D355" s="1616" t="str">
        <f>'Vessel BQS Report'!D349</f>
        <v/>
      </c>
      <c r="E355" s="1617" t="str">
        <f>'Vessel BQS Report'!N349</f>
        <v/>
      </c>
      <c r="F355" s="1618" t="str">
        <f>'Vessel BQS Report'!F349</f>
        <v/>
      </c>
      <c r="G355" s="1619" t="str">
        <f>'Vessel BQS Report'!E349</f>
        <v/>
      </c>
      <c r="H355" s="1618" t="str">
        <f>'Vessel BQS Report'!G349</f>
        <v/>
      </c>
      <c r="I355" s="1620" t="str">
        <f>'Vessel BQS Report'!H349</f>
        <v/>
      </c>
      <c r="J355" s="1621" t="str">
        <f>'Vessel BQS Report'!I349</f>
        <v/>
      </c>
      <c r="K355" s="1622" t="str">
        <f>'Vessel BQS Report'!J349</f>
        <v/>
      </c>
      <c r="L355" s="1623" t="str">
        <f>'Vessel BQS Report'!L349</f>
        <v/>
      </c>
      <c r="M355" s="1623" t="str">
        <f>'Vessel BQS Report'!O349</f>
        <v/>
      </c>
      <c r="N355" s="1624" t="str">
        <f>'Vessel BQS Report'!M349</f>
        <v/>
      </c>
      <c r="O355" s="1624" t="str">
        <f>'Vessel BQS Report'!P349</f>
        <v/>
      </c>
      <c r="P355" s="1623" t="str">
        <f>'Vessel BQS Report'!Q349</f>
        <v/>
      </c>
      <c r="Q355" s="1600"/>
    </row>
    <row r="356" spans="1:17">
      <c r="A356" s="881" t="str">
        <f>'Vessel BQS Report'!A350</f>
        <v>N</v>
      </c>
      <c r="C356" s="1615" t="str">
        <f>'Vessel BQS Report'!C350</f>
        <v/>
      </c>
      <c r="D356" s="1616" t="str">
        <f>'Vessel BQS Report'!D350</f>
        <v/>
      </c>
      <c r="E356" s="1617" t="str">
        <f>'Vessel BQS Report'!N350</f>
        <v/>
      </c>
      <c r="F356" s="1618" t="str">
        <f>'Vessel BQS Report'!F350</f>
        <v/>
      </c>
      <c r="G356" s="1619" t="str">
        <f>'Vessel BQS Report'!E350</f>
        <v/>
      </c>
      <c r="H356" s="1618" t="str">
        <f>'Vessel BQS Report'!G350</f>
        <v/>
      </c>
      <c r="I356" s="1620" t="str">
        <f>'Vessel BQS Report'!H350</f>
        <v/>
      </c>
      <c r="J356" s="1621" t="str">
        <f>'Vessel BQS Report'!I350</f>
        <v/>
      </c>
      <c r="K356" s="1622" t="str">
        <f>'Vessel BQS Report'!J350</f>
        <v/>
      </c>
      <c r="L356" s="1623" t="str">
        <f>'Vessel BQS Report'!L350</f>
        <v/>
      </c>
      <c r="M356" s="1623" t="str">
        <f>'Vessel BQS Report'!O350</f>
        <v/>
      </c>
      <c r="N356" s="1624" t="str">
        <f>'Vessel BQS Report'!M350</f>
        <v/>
      </c>
      <c r="O356" s="1624" t="str">
        <f>'Vessel BQS Report'!P350</f>
        <v/>
      </c>
      <c r="P356" s="1623" t="str">
        <f>'Vessel BQS Report'!Q350</f>
        <v/>
      </c>
      <c r="Q356" s="1600"/>
    </row>
    <row r="357" spans="1:17" hidden="1">
      <c r="A357" s="881" t="str">
        <f>'Vessel BQS Report'!A351</f>
        <v>N</v>
      </c>
      <c r="C357" s="1057" t="str">
        <f>'Vessel BQS Report'!C351</f>
        <v/>
      </c>
      <c r="D357" s="1058" t="str">
        <f>'Vessel BQS Report'!D351</f>
        <v/>
      </c>
      <c r="E357" s="1059" t="str">
        <f>'Vessel BQS Report'!N351</f>
        <v/>
      </c>
      <c r="F357" s="1060" t="str">
        <f>'Vessel BQS Report'!F351</f>
        <v/>
      </c>
      <c r="G357" s="1061" t="str">
        <f>'Vessel BQS Report'!E351</f>
        <v/>
      </c>
      <c r="H357" s="1060" t="str">
        <f>'Vessel BQS Report'!G351</f>
        <v/>
      </c>
      <c r="I357" s="1159" t="str">
        <f>'Vessel BQS Report'!H351</f>
        <v/>
      </c>
      <c r="J357" s="1062" t="str">
        <f>'Vessel BQS Report'!I351</f>
        <v/>
      </c>
      <c r="K357" s="1063" t="str">
        <f>'Vessel BQS Report'!J351</f>
        <v/>
      </c>
      <c r="L357" s="1064" t="str">
        <f>'Vessel BQS Report'!L351</f>
        <v/>
      </c>
      <c r="M357" s="1064" t="str">
        <f>'Vessel BQS Report'!O351</f>
        <v/>
      </c>
      <c r="N357" s="1065" t="str">
        <f>'Vessel BQS Report'!M351</f>
        <v/>
      </c>
      <c r="O357" s="1065" t="str">
        <f>'Vessel BQS Report'!P351</f>
        <v/>
      </c>
      <c r="P357" s="1064" t="str">
        <f>'Vessel BQS Report'!Q351</f>
        <v/>
      </c>
      <c r="Q357" s="1044"/>
    </row>
    <row r="358" spans="1:17" hidden="1">
      <c r="A358" s="881" t="str">
        <f>'Vessel BQS Report'!A352</f>
        <v>N</v>
      </c>
      <c r="C358" s="1057" t="str">
        <f>'Vessel BQS Report'!C352</f>
        <v/>
      </c>
      <c r="D358" s="1058" t="str">
        <f>'Vessel BQS Report'!D352</f>
        <v/>
      </c>
      <c r="E358" s="1059" t="str">
        <f>'Vessel BQS Report'!N352</f>
        <v/>
      </c>
      <c r="F358" s="1060" t="str">
        <f>'Vessel BQS Report'!F352</f>
        <v/>
      </c>
      <c r="G358" s="1061" t="str">
        <f>'Vessel BQS Report'!E352</f>
        <v/>
      </c>
      <c r="H358" s="1060" t="str">
        <f>'Vessel BQS Report'!G352</f>
        <v/>
      </c>
      <c r="I358" s="1159" t="str">
        <f>'Vessel BQS Report'!H352</f>
        <v/>
      </c>
      <c r="J358" s="1062" t="str">
        <f>'Vessel BQS Report'!I352</f>
        <v/>
      </c>
      <c r="K358" s="1063" t="str">
        <f>'Vessel BQS Report'!J352</f>
        <v/>
      </c>
      <c r="L358" s="1064" t="str">
        <f>'Vessel BQS Report'!L352</f>
        <v/>
      </c>
      <c r="M358" s="1064" t="str">
        <f>'Vessel BQS Report'!O352</f>
        <v/>
      </c>
      <c r="N358" s="1065" t="str">
        <f>'Vessel BQS Report'!M352</f>
        <v/>
      </c>
      <c r="O358" s="1065" t="str">
        <f>'Vessel BQS Report'!P352</f>
        <v/>
      </c>
      <c r="P358" s="1064" t="str">
        <f>'Vessel BQS Report'!Q352</f>
        <v/>
      </c>
      <c r="Q358" s="1044"/>
    </row>
    <row r="359" spans="1:17" hidden="1">
      <c r="A359" s="881" t="str">
        <f>'Vessel BQS Report'!A353</f>
        <v>N</v>
      </c>
      <c r="C359" s="1057" t="str">
        <f>'Vessel BQS Report'!C353</f>
        <v/>
      </c>
      <c r="D359" s="1058" t="str">
        <f>'Vessel BQS Report'!D353</f>
        <v/>
      </c>
      <c r="E359" s="1059" t="str">
        <f>'Vessel BQS Report'!N353</f>
        <v/>
      </c>
      <c r="F359" s="1060" t="str">
        <f>'Vessel BQS Report'!F353</f>
        <v/>
      </c>
      <c r="G359" s="1061" t="str">
        <f>'Vessel BQS Report'!E353</f>
        <v/>
      </c>
      <c r="H359" s="1060" t="str">
        <f>'Vessel BQS Report'!G353</f>
        <v/>
      </c>
      <c r="I359" s="1159" t="str">
        <f>'Vessel BQS Report'!H353</f>
        <v/>
      </c>
      <c r="J359" s="1062" t="str">
        <f>'Vessel BQS Report'!I353</f>
        <v/>
      </c>
      <c r="K359" s="1063" t="str">
        <f>'Vessel BQS Report'!J353</f>
        <v/>
      </c>
      <c r="L359" s="1064" t="str">
        <f>'Vessel BQS Report'!L353</f>
        <v/>
      </c>
      <c r="M359" s="1064" t="str">
        <f>'Vessel BQS Report'!O353</f>
        <v/>
      </c>
      <c r="N359" s="1065" t="str">
        <f>'Vessel BQS Report'!M353</f>
        <v/>
      </c>
      <c r="O359" s="1065" t="str">
        <f>'Vessel BQS Report'!P353</f>
        <v/>
      </c>
      <c r="P359" s="1064" t="str">
        <f>'Vessel BQS Report'!Q353</f>
        <v/>
      </c>
      <c r="Q359" s="1044"/>
    </row>
    <row r="360" spans="1:17" hidden="1">
      <c r="A360" s="881" t="str">
        <f>'Vessel BQS Report'!A354</f>
        <v>N</v>
      </c>
      <c r="C360" s="1309" t="str">
        <f>'Vessel BQS Report'!C354</f>
        <v/>
      </c>
      <c r="D360" s="1310" t="str">
        <f>'Vessel BQS Report'!D354</f>
        <v/>
      </c>
      <c r="E360" s="1311" t="str">
        <f>'Vessel BQS Report'!N354</f>
        <v/>
      </c>
      <c r="F360" s="1312" t="str">
        <f>'Vessel BQS Report'!F354</f>
        <v/>
      </c>
      <c r="G360" s="1313" t="str">
        <f>'Vessel BQS Report'!E354</f>
        <v/>
      </c>
      <c r="H360" s="1312" t="str">
        <f>'Vessel BQS Report'!G354</f>
        <v/>
      </c>
      <c r="I360" s="1159" t="str">
        <f>'Vessel BQS Report'!H354</f>
        <v/>
      </c>
      <c r="J360" s="1062" t="str">
        <f>'Vessel BQS Report'!I354</f>
        <v/>
      </c>
      <c r="K360" s="1314" t="str">
        <f>'Vessel BQS Report'!J354</f>
        <v/>
      </c>
      <c r="L360" s="1315" t="str">
        <f>'Vessel BQS Report'!L354</f>
        <v/>
      </c>
      <c r="M360" s="1315" t="str">
        <f>'Vessel BQS Report'!O354</f>
        <v/>
      </c>
      <c r="N360" s="1316" t="str">
        <f>'Vessel BQS Report'!M354</f>
        <v/>
      </c>
      <c r="O360" s="1316" t="str">
        <f>'Vessel BQS Report'!P354</f>
        <v/>
      </c>
      <c r="P360" s="1315" t="str">
        <f>'Vessel BQS Report'!Q354</f>
        <v/>
      </c>
      <c r="Q360" s="1044"/>
    </row>
    <row r="361" spans="1:17" hidden="1">
      <c r="A361" s="881" t="str">
        <f>'Vessel BQS Report'!A355</f>
        <v>N</v>
      </c>
      <c r="C361" s="1309" t="str">
        <f>'Vessel BQS Report'!C355</f>
        <v/>
      </c>
      <c r="D361" s="1310" t="str">
        <f>'Vessel BQS Report'!D355</f>
        <v/>
      </c>
      <c r="E361" s="1311" t="str">
        <f>'Vessel BQS Report'!N355</f>
        <v/>
      </c>
      <c r="F361" s="1312" t="str">
        <f>'Vessel BQS Report'!F355</f>
        <v/>
      </c>
      <c r="G361" s="1313" t="str">
        <f>'Vessel BQS Report'!E355</f>
        <v/>
      </c>
      <c r="H361" s="1312" t="str">
        <f>'Vessel BQS Report'!G355</f>
        <v/>
      </c>
      <c r="I361" s="1159" t="str">
        <f>'Vessel BQS Report'!H355</f>
        <v/>
      </c>
      <c r="J361" s="1062" t="str">
        <f>'Vessel BQS Report'!I355</f>
        <v/>
      </c>
      <c r="K361" s="1314" t="str">
        <f>'Vessel BQS Report'!J355</f>
        <v/>
      </c>
      <c r="L361" s="1315" t="str">
        <f>'Vessel BQS Report'!L355</f>
        <v/>
      </c>
      <c r="M361" s="1315" t="str">
        <f>'Vessel BQS Report'!O355</f>
        <v/>
      </c>
      <c r="N361" s="1316" t="str">
        <f>'Vessel BQS Report'!M355</f>
        <v/>
      </c>
      <c r="O361" s="1316" t="str">
        <f>'Vessel BQS Report'!P355</f>
        <v/>
      </c>
      <c r="P361" s="1315" t="str">
        <f>'Vessel BQS Report'!Q355</f>
        <v/>
      </c>
      <c r="Q361" s="1044"/>
    </row>
    <row r="362" spans="1:17" hidden="1">
      <c r="A362" s="881" t="str">
        <f>'Vessel BQS Report'!A356</f>
        <v>N</v>
      </c>
      <c r="C362" s="1309" t="str">
        <f>'Vessel BQS Report'!C356</f>
        <v/>
      </c>
      <c r="D362" s="1310" t="str">
        <f>'Vessel BQS Report'!D356</f>
        <v/>
      </c>
      <c r="E362" s="1311" t="str">
        <f>'Vessel BQS Report'!N356</f>
        <v/>
      </c>
      <c r="F362" s="1312" t="str">
        <f>'Vessel BQS Report'!F356</f>
        <v/>
      </c>
      <c r="G362" s="1313" t="str">
        <f>'Vessel BQS Report'!E356</f>
        <v/>
      </c>
      <c r="H362" s="1312" t="str">
        <f>'Vessel BQS Report'!G356</f>
        <v/>
      </c>
      <c r="I362" s="1159" t="str">
        <f>'Vessel BQS Report'!H356</f>
        <v/>
      </c>
      <c r="J362" s="1062" t="str">
        <f>'Vessel BQS Report'!I356</f>
        <v/>
      </c>
      <c r="K362" s="1314" t="str">
        <f>'Vessel BQS Report'!J356</f>
        <v/>
      </c>
      <c r="L362" s="1315" t="str">
        <f>'Vessel BQS Report'!L356</f>
        <v/>
      </c>
      <c r="M362" s="1315" t="str">
        <f>'Vessel BQS Report'!O356</f>
        <v/>
      </c>
      <c r="N362" s="1316" t="str">
        <f>'Vessel BQS Report'!M356</f>
        <v/>
      </c>
      <c r="O362" s="1316" t="str">
        <f>'Vessel BQS Report'!P356</f>
        <v/>
      </c>
      <c r="P362" s="1315" t="str">
        <f>'Vessel BQS Report'!Q356</f>
        <v/>
      </c>
      <c r="Q362" s="1044"/>
    </row>
    <row r="363" spans="1:17" hidden="1">
      <c r="A363" s="881" t="str">
        <f>'Vessel BQS Report'!A357</f>
        <v>N</v>
      </c>
      <c r="C363" s="1309" t="str">
        <f>'Vessel BQS Report'!C357</f>
        <v/>
      </c>
      <c r="D363" s="1310" t="str">
        <f>'Vessel BQS Report'!D357</f>
        <v/>
      </c>
      <c r="E363" s="1311" t="str">
        <f>'Vessel BQS Report'!N357</f>
        <v/>
      </c>
      <c r="F363" s="1312" t="str">
        <f>'Vessel BQS Report'!F357</f>
        <v/>
      </c>
      <c r="G363" s="1313" t="str">
        <f>'Vessel BQS Report'!E357</f>
        <v/>
      </c>
      <c r="H363" s="1312" t="str">
        <f>'Vessel BQS Report'!G357</f>
        <v/>
      </c>
      <c r="I363" s="1159" t="str">
        <f>'Vessel BQS Report'!H357</f>
        <v/>
      </c>
      <c r="J363" s="1062" t="str">
        <f>'Vessel BQS Report'!I357</f>
        <v/>
      </c>
      <c r="K363" s="1314" t="str">
        <f>'Vessel BQS Report'!J357</f>
        <v/>
      </c>
      <c r="L363" s="1315" t="str">
        <f>'Vessel BQS Report'!L357</f>
        <v/>
      </c>
      <c r="M363" s="1315" t="str">
        <f>'Vessel BQS Report'!O357</f>
        <v/>
      </c>
      <c r="N363" s="1316" t="str">
        <f>'Vessel BQS Report'!M357</f>
        <v/>
      </c>
      <c r="O363" s="1316" t="str">
        <f>'Vessel BQS Report'!P357</f>
        <v/>
      </c>
      <c r="P363" s="1315" t="str">
        <f>'Vessel BQS Report'!Q357</f>
        <v/>
      </c>
      <c r="Q363" s="1044"/>
    </row>
    <row r="364" spans="1:17" hidden="1">
      <c r="A364" s="881" t="str">
        <f>'Vessel BQS Report'!A358</f>
        <v>N</v>
      </c>
      <c r="C364" s="1309" t="str">
        <f>'Vessel BQS Report'!C358</f>
        <v/>
      </c>
      <c r="D364" s="1310" t="str">
        <f>'Vessel BQS Report'!D358</f>
        <v/>
      </c>
      <c r="E364" s="1311" t="str">
        <f>'Vessel BQS Report'!N358</f>
        <v/>
      </c>
      <c r="F364" s="1312" t="str">
        <f>'Vessel BQS Report'!F358</f>
        <v/>
      </c>
      <c r="G364" s="1313" t="str">
        <f>'Vessel BQS Report'!E358</f>
        <v/>
      </c>
      <c r="H364" s="1312" t="str">
        <f>'Vessel BQS Report'!G358</f>
        <v/>
      </c>
      <c r="I364" s="1159" t="str">
        <f>'Vessel BQS Report'!H358</f>
        <v/>
      </c>
      <c r="J364" s="1062" t="str">
        <f>'Vessel BQS Report'!I358</f>
        <v/>
      </c>
      <c r="K364" s="1314" t="str">
        <f>'Vessel BQS Report'!J358</f>
        <v/>
      </c>
      <c r="L364" s="1315" t="str">
        <f>'Vessel BQS Report'!L358</f>
        <v/>
      </c>
      <c r="M364" s="1315" t="str">
        <f>'Vessel BQS Report'!O358</f>
        <v/>
      </c>
      <c r="N364" s="1316" t="str">
        <f>'Vessel BQS Report'!M358</f>
        <v/>
      </c>
      <c r="O364" s="1316" t="str">
        <f>'Vessel BQS Report'!P358</f>
        <v/>
      </c>
      <c r="P364" s="1315" t="str">
        <f>'Vessel BQS Report'!Q358</f>
        <v/>
      </c>
      <c r="Q364" s="1044"/>
    </row>
    <row r="365" spans="1:17" hidden="1">
      <c r="A365" s="881" t="str">
        <f>'Vessel BQS Report'!A359</f>
        <v>N</v>
      </c>
      <c r="C365" s="1309" t="str">
        <f>'Vessel BQS Report'!C359</f>
        <v/>
      </c>
      <c r="D365" s="1310" t="str">
        <f>'Vessel BQS Report'!D359</f>
        <v/>
      </c>
      <c r="E365" s="1311" t="str">
        <f>'Vessel BQS Report'!N359</f>
        <v/>
      </c>
      <c r="F365" s="1312" t="str">
        <f>'Vessel BQS Report'!F359</f>
        <v/>
      </c>
      <c r="G365" s="1313" t="str">
        <f>'Vessel BQS Report'!E359</f>
        <v/>
      </c>
      <c r="H365" s="1312" t="str">
        <f>'Vessel BQS Report'!G359</f>
        <v/>
      </c>
      <c r="I365" s="1159" t="str">
        <f>'Vessel BQS Report'!H359</f>
        <v/>
      </c>
      <c r="J365" s="1062" t="str">
        <f>'Vessel BQS Report'!I359</f>
        <v/>
      </c>
      <c r="K365" s="1314" t="str">
        <f>'Vessel BQS Report'!J359</f>
        <v/>
      </c>
      <c r="L365" s="1315" t="str">
        <f>'Vessel BQS Report'!L359</f>
        <v/>
      </c>
      <c r="M365" s="1315" t="str">
        <f>'Vessel BQS Report'!O359</f>
        <v/>
      </c>
      <c r="N365" s="1316" t="str">
        <f>'Vessel BQS Report'!M359</f>
        <v/>
      </c>
      <c r="O365" s="1316" t="str">
        <f>'Vessel BQS Report'!P359</f>
        <v/>
      </c>
      <c r="P365" s="1315" t="str">
        <f>'Vessel BQS Report'!Q359</f>
        <v/>
      </c>
      <c r="Q365" s="1044"/>
    </row>
    <row r="366" spans="1:17" hidden="1">
      <c r="A366" s="881" t="str">
        <f>'Vessel BQS Report'!A360</f>
        <v>N</v>
      </c>
      <c r="C366" s="1309" t="str">
        <f>'Vessel BQS Report'!C360</f>
        <v/>
      </c>
      <c r="D366" s="1310" t="str">
        <f>'Vessel BQS Report'!D360</f>
        <v/>
      </c>
      <c r="E366" s="1311" t="str">
        <f>'Vessel BQS Report'!N360</f>
        <v/>
      </c>
      <c r="F366" s="1312" t="str">
        <f>'Vessel BQS Report'!F360</f>
        <v/>
      </c>
      <c r="G366" s="1313" t="str">
        <f>'Vessel BQS Report'!E360</f>
        <v/>
      </c>
      <c r="H366" s="1312" t="str">
        <f>'Vessel BQS Report'!G360</f>
        <v/>
      </c>
      <c r="I366" s="1159" t="str">
        <f>'Vessel BQS Report'!H360</f>
        <v/>
      </c>
      <c r="J366" s="1062" t="str">
        <f>'Vessel BQS Report'!I360</f>
        <v/>
      </c>
      <c r="K366" s="1314" t="str">
        <f>'Vessel BQS Report'!J360</f>
        <v/>
      </c>
      <c r="L366" s="1315" t="str">
        <f>'Vessel BQS Report'!L360</f>
        <v/>
      </c>
      <c r="M366" s="1315" t="str">
        <f>'Vessel BQS Report'!O360</f>
        <v/>
      </c>
      <c r="N366" s="1316" t="str">
        <f>'Vessel BQS Report'!M360</f>
        <v/>
      </c>
      <c r="O366" s="1316" t="str">
        <f>'Vessel BQS Report'!P360</f>
        <v/>
      </c>
      <c r="P366" s="1315" t="str">
        <f>'Vessel BQS Report'!Q360</f>
        <v/>
      </c>
      <c r="Q366" s="1044"/>
    </row>
    <row r="367" spans="1:17" hidden="1">
      <c r="A367" s="881" t="str">
        <f>'Vessel BQS Report'!A361</f>
        <v>N</v>
      </c>
      <c r="C367" s="1309" t="str">
        <f>'Vessel BQS Report'!C361</f>
        <v/>
      </c>
      <c r="D367" s="1310" t="str">
        <f>'Vessel BQS Report'!D361</f>
        <v/>
      </c>
      <c r="E367" s="1311" t="str">
        <f>'Vessel BQS Report'!N361</f>
        <v/>
      </c>
      <c r="F367" s="1312" t="str">
        <f>'Vessel BQS Report'!F361</f>
        <v/>
      </c>
      <c r="G367" s="1313" t="str">
        <f>'Vessel BQS Report'!E361</f>
        <v/>
      </c>
      <c r="H367" s="1312" t="str">
        <f>'Vessel BQS Report'!G361</f>
        <v/>
      </c>
      <c r="I367" s="1159" t="str">
        <f>'Vessel BQS Report'!H361</f>
        <v/>
      </c>
      <c r="J367" s="1062" t="str">
        <f>'Vessel BQS Report'!I361</f>
        <v/>
      </c>
      <c r="K367" s="1314" t="str">
        <f>'Vessel BQS Report'!J361</f>
        <v/>
      </c>
      <c r="L367" s="1315" t="str">
        <f>'Vessel BQS Report'!L361</f>
        <v/>
      </c>
      <c r="M367" s="1315" t="str">
        <f>'Vessel BQS Report'!O361</f>
        <v/>
      </c>
      <c r="N367" s="1316" t="str">
        <f>'Vessel BQS Report'!M361</f>
        <v/>
      </c>
      <c r="O367" s="1316" t="str">
        <f>'Vessel BQS Report'!P361</f>
        <v/>
      </c>
      <c r="P367" s="1315" t="str">
        <f>'Vessel BQS Report'!Q361</f>
        <v/>
      </c>
      <c r="Q367" s="1044"/>
    </row>
    <row r="368" spans="1:17" hidden="1">
      <c r="A368" s="881" t="str">
        <f>'Vessel BQS Report'!A362</f>
        <v>N</v>
      </c>
      <c r="C368" s="1309" t="str">
        <f>'Vessel BQS Report'!C362</f>
        <v/>
      </c>
      <c r="D368" s="1310" t="str">
        <f>'Vessel BQS Report'!D362</f>
        <v/>
      </c>
      <c r="E368" s="1311" t="str">
        <f>'Vessel BQS Report'!N362</f>
        <v/>
      </c>
      <c r="F368" s="1312" t="str">
        <f>'Vessel BQS Report'!F362</f>
        <v/>
      </c>
      <c r="G368" s="1313" t="str">
        <f>'Vessel BQS Report'!E362</f>
        <v/>
      </c>
      <c r="H368" s="1312" t="str">
        <f>'Vessel BQS Report'!G362</f>
        <v/>
      </c>
      <c r="I368" s="1159" t="str">
        <f>'Vessel BQS Report'!H362</f>
        <v/>
      </c>
      <c r="J368" s="1062" t="str">
        <f>'Vessel BQS Report'!I362</f>
        <v/>
      </c>
      <c r="K368" s="1314" t="str">
        <f>'Vessel BQS Report'!J362</f>
        <v/>
      </c>
      <c r="L368" s="1315" t="str">
        <f>'Vessel BQS Report'!L362</f>
        <v/>
      </c>
      <c r="M368" s="1315" t="str">
        <f>'Vessel BQS Report'!O362</f>
        <v/>
      </c>
      <c r="N368" s="1316" t="str">
        <f>'Vessel BQS Report'!M362</f>
        <v/>
      </c>
      <c r="O368" s="1316" t="str">
        <f>'Vessel BQS Report'!P362</f>
        <v/>
      </c>
      <c r="P368" s="1315" t="str">
        <f>'Vessel BQS Report'!Q362</f>
        <v/>
      </c>
      <c r="Q368" s="1044"/>
    </row>
    <row r="369" spans="1:19" hidden="1">
      <c r="A369" s="881" t="str">
        <f>'Vessel BQS Report'!A363</f>
        <v>N</v>
      </c>
      <c r="C369" s="1309" t="str">
        <f>'Vessel BQS Report'!C363</f>
        <v/>
      </c>
      <c r="D369" s="1310" t="str">
        <f>'Vessel BQS Report'!D363</f>
        <v/>
      </c>
      <c r="E369" s="1311" t="str">
        <f>'Vessel BQS Report'!N363</f>
        <v/>
      </c>
      <c r="F369" s="1312" t="str">
        <f>'Vessel BQS Report'!F363</f>
        <v/>
      </c>
      <c r="G369" s="1313" t="str">
        <f>'Vessel BQS Report'!E363</f>
        <v/>
      </c>
      <c r="H369" s="1312" t="str">
        <f>'Vessel BQS Report'!G363</f>
        <v/>
      </c>
      <c r="I369" s="1159" t="str">
        <f>'Vessel BQS Report'!H363</f>
        <v/>
      </c>
      <c r="J369" s="1062" t="str">
        <f>'Vessel BQS Report'!I363</f>
        <v/>
      </c>
      <c r="K369" s="1314" t="str">
        <f>'Vessel BQS Report'!J363</f>
        <v/>
      </c>
      <c r="L369" s="1315" t="str">
        <f>'Vessel BQS Report'!L363</f>
        <v/>
      </c>
      <c r="M369" s="1315" t="str">
        <f>'Vessel BQS Report'!O363</f>
        <v/>
      </c>
      <c r="N369" s="1316" t="str">
        <f>'Vessel BQS Report'!M363</f>
        <v/>
      </c>
      <c r="O369" s="1316" t="str">
        <f>'Vessel BQS Report'!P363</f>
        <v/>
      </c>
      <c r="P369" s="1315" t="str">
        <f>'Vessel BQS Report'!Q363</f>
        <v/>
      </c>
      <c r="Q369" s="1044"/>
    </row>
    <row r="370" spans="1:19" hidden="1">
      <c r="A370" s="881" t="str">
        <f>'Vessel BQS Report'!A364</f>
        <v>N</v>
      </c>
      <c r="C370" s="1309" t="str">
        <f>'Vessel BQS Report'!C364</f>
        <v/>
      </c>
      <c r="D370" s="1310" t="str">
        <f>'Vessel BQS Report'!D364</f>
        <v/>
      </c>
      <c r="E370" s="1311" t="str">
        <f>'Vessel BQS Report'!N364</f>
        <v/>
      </c>
      <c r="F370" s="1312" t="str">
        <f>'Vessel BQS Report'!F364</f>
        <v/>
      </c>
      <c r="G370" s="1313" t="str">
        <f>'Vessel BQS Report'!E364</f>
        <v/>
      </c>
      <c r="H370" s="1312" t="str">
        <f>'Vessel BQS Report'!G364</f>
        <v/>
      </c>
      <c r="I370" s="1159" t="str">
        <f>'Vessel BQS Report'!H364</f>
        <v/>
      </c>
      <c r="J370" s="1062" t="str">
        <f>'Vessel BQS Report'!I364</f>
        <v/>
      </c>
      <c r="K370" s="1314" t="str">
        <f>'Vessel BQS Report'!J364</f>
        <v/>
      </c>
      <c r="L370" s="1315" t="str">
        <f>'Vessel BQS Report'!L364</f>
        <v/>
      </c>
      <c r="M370" s="1315" t="str">
        <f>'Vessel BQS Report'!O364</f>
        <v/>
      </c>
      <c r="N370" s="1316" t="str">
        <f>'Vessel BQS Report'!M364</f>
        <v/>
      </c>
      <c r="O370" s="1316" t="str">
        <f>'Vessel BQS Report'!P364</f>
        <v/>
      </c>
      <c r="P370" s="1315" t="str">
        <f>'Vessel BQS Report'!Q364</f>
        <v/>
      </c>
      <c r="Q370" s="1044"/>
    </row>
    <row r="371" spans="1:19" hidden="1">
      <c r="A371" s="881" t="str">
        <f>'Vessel BQS Report'!A365</f>
        <v>N</v>
      </c>
      <c r="C371" s="1309" t="str">
        <f>'Vessel BQS Report'!C365</f>
        <v/>
      </c>
      <c r="D371" s="1310" t="str">
        <f>'Vessel BQS Report'!D365</f>
        <v/>
      </c>
      <c r="E371" s="1311" t="str">
        <f>'Vessel BQS Report'!N365</f>
        <v/>
      </c>
      <c r="F371" s="1312" t="str">
        <f>'Vessel BQS Report'!F365</f>
        <v/>
      </c>
      <c r="G371" s="1313" t="str">
        <f>'Vessel BQS Report'!E365</f>
        <v/>
      </c>
      <c r="H371" s="1312" t="str">
        <f>'Vessel BQS Report'!G365</f>
        <v/>
      </c>
      <c r="I371" s="1159" t="str">
        <f>'Vessel BQS Report'!H365</f>
        <v/>
      </c>
      <c r="J371" s="1062" t="str">
        <f>'Vessel BQS Report'!I365</f>
        <v/>
      </c>
      <c r="K371" s="1314" t="str">
        <f>'Vessel BQS Report'!J365</f>
        <v/>
      </c>
      <c r="L371" s="1315" t="str">
        <f>'Vessel BQS Report'!L365</f>
        <v/>
      </c>
      <c r="M371" s="1315" t="str">
        <f>'Vessel BQS Report'!O365</f>
        <v/>
      </c>
      <c r="N371" s="1316" t="str">
        <f>'Vessel BQS Report'!M365</f>
        <v/>
      </c>
      <c r="O371" s="1316" t="str">
        <f>'Vessel BQS Report'!P365</f>
        <v/>
      </c>
      <c r="P371" s="1315" t="str">
        <f>'Vessel BQS Report'!Q365</f>
        <v/>
      </c>
      <c r="Q371" s="1044"/>
    </row>
    <row r="372" spans="1:19" hidden="1">
      <c r="A372" s="881" t="str">
        <f>'Vessel BQS Report'!A366</f>
        <v>N</v>
      </c>
      <c r="C372" s="1317" t="str">
        <f>'Vessel BQS Report'!C366</f>
        <v/>
      </c>
      <c r="D372" s="1318" t="str">
        <f>'Vessel BQS Report'!D366</f>
        <v/>
      </c>
      <c r="E372" s="1319" t="str">
        <f>'Vessel BQS Report'!N366</f>
        <v/>
      </c>
      <c r="F372" s="1162" t="str">
        <f>'Vessel BQS Report'!F366</f>
        <v/>
      </c>
      <c r="G372" s="1320" t="str">
        <f>'Vessel BQS Report'!E366</f>
        <v/>
      </c>
      <c r="H372" s="1162" t="str">
        <f>'Vessel BQS Report'!G366</f>
        <v/>
      </c>
      <c r="I372" s="1160" t="str">
        <f>'Vessel BQS Report'!H366</f>
        <v/>
      </c>
      <c r="J372" s="1062" t="str">
        <f>'Vessel BQS Report'!I366</f>
        <v/>
      </c>
      <c r="K372" s="1321" t="str">
        <f>'Vessel BQS Report'!J366</f>
        <v/>
      </c>
      <c r="L372" s="1322" t="str">
        <f>'Vessel BQS Report'!L366</f>
        <v/>
      </c>
      <c r="M372" s="1322" t="str">
        <f>'Vessel BQS Report'!O366</f>
        <v/>
      </c>
      <c r="N372" s="1323" t="str">
        <f>'Vessel BQS Report'!M366</f>
        <v/>
      </c>
      <c r="O372" s="1323" t="str">
        <f>'Vessel BQS Report'!P366</f>
        <v/>
      </c>
      <c r="P372" s="1322" t="str">
        <f>'Vessel BQS Report'!Q366</f>
        <v/>
      </c>
      <c r="Q372" s="1044"/>
    </row>
    <row r="373" spans="1:19">
      <c r="A373" s="881" t="s">
        <v>284</v>
      </c>
      <c r="C373" s="1637"/>
      <c r="D373" s="1637"/>
      <c r="E373" s="1638"/>
      <c r="F373" s="1638"/>
      <c r="G373" s="1638"/>
      <c r="H373" s="1638"/>
      <c r="I373" s="1637"/>
      <c r="J373" s="1637"/>
      <c r="K373" s="1637"/>
      <c r="L373" s="1639"/>
      <c r="M373" s="2973" t="s">
        <v>916</v>
      </c>
      <c r="N373" s="2973"/>
      <c r="O373" s="2974">
        <f>SUM(P343:P372)</f>
        <v>137.946</v>
      </c>
      <c r="P373" s="2975"/>
      <c r="Q373" s="1600"/>
      <c r="R373" s="1088"/>
      <c r="S373" s="1089"/>
    </row>
    <row r="374" spans="1:19" s="1046" customFormat="1" ht="5.25" hidden="1">
      <c r="A374" s="1046" t="s">
        <v>270</v>
      </c>
      <c r="C374" s="1120"/>
      <c r="D374" s="1120"/>
      <c r="E374" s="1121"/>
      <c r="F374" s="1121"/>
      <c r="G374" s="1121"/>
      <c r="H374" s="1121"/>
      <c r="I374" s="1120"/>
      <c r="J374" s="1120"/>
      <c r="K374" s="1120"/>
      <c r="L374" s="1120"/>
      <c r="M374" s="1122"/>
      <c r="N374" s="1122"/>
      <c r="O374" s="1123"/>
      <c r="P374" s="1123"/>
      <c r="Q374" s="1045"/>
      <c r="R374" s="1090"/>
      <c r="S374" s="1091"/>
    </row>
    <row r="375" spans="1:19" s="1119" customFormat="1" ht="15">
      <c r="A375" s="1119" t="s">
        <v>284</v>
      </c>
      <c r="C375" s="1645" t="str">
        <f>"Received Summary "&amp;G163</f>
        <v>Received Summary (Distillates)</v>
      </c>
      <c r="D375" s="1600"/>
      <c r="E375" s="1600"/>
      <c r="F375" s="1600"/>
      <c r="G375" s="1646"/>
      <c r="H375" s="1646"/>
      <c r="I375" s="1646"/>
      <c r="J375" s="1646"/>
      <c r="K375" s="1646"/>
      <c r="L375" s="1646"/>
      <c r="M375" s="1600"/>
      <c r="N375" s="1600"/>
      <c r="O375" s="1600"/>
      <c r="P375" s="1600"/>
      <c r="Q375" s="1600"/>
      <c r="R375" s="1044"/>
      <c r="S375" s="1044"/>
    </row>
    <row r="376" spans="1:19" ht="15.75" customHeight="1">
      <c r="A376" s="881" t="s">
        <v>284</v>
      </c>
      <c r="C376" s="2964" t="s">
        <v>764</v>
      </c>
      <c r="D376" s="2965"/>
      <c r="E376" s="2964" t="str">
        <f>"Suppliers "&amp;IF('Vessel BQS Report'!$AA$1=1,"Density","API")</f>
        <v>Suppliers Density</v>
      </c>
      <c r="F376" s="2965"/>
      <c r="G376" s="2964" t="str">
        <f>P22&amp;" @ Opening"</f>
        <v>m3 @ Opening</v>
      </c>
      <c r="H376" s="2965"/>
      <c r="I376" s="2964" t="str">
        <f>P22&amp;" @ Closing"</f>
        <v>m3 @ Closing</v>
      </c>
      <c r="J376" s="2965"/>
      <c r="K376" s="2964" t="str">
        <f>P22&amp;" Received (GSV)"</f>
        <v>m3 Received (GSV)</v>
      </c>
      <c r="L376" s="2965"/>
      <c r="M376" s="2968" t="str">
        <f>"WCF ("&amp;'Vessel BQS Report'!S18&amp;")"</f>
        <v>WCF (Table 56D)</v>
      </c>
      <c r="N376" s="2968"/>
      <c r="O376" s="2968" t="s">
        <v>915</v>
      </c>
      <c r="P376" s="2968"/>
      <c r="Q376" s="1600"/>
      <c r="R376" s="1044"/>
      <c r="S376" s="1044"/>
    </row>
    <row r="377" spans="1:19" hidden="1">
      <c r="A377" s="881" t="str">
        <f t="shared" ref="A377:A382" si="1">IF(OR(O377="-",O377=0),"N",IF(ISERROR(MATCH($C377,IF(GRADECHNO=1,GRADESLIST,IF(GRADECHNO=2,RESIDUALS,DISTILLATES)),0)),"N","Y"))</f>
        <v>N</v>
      </c>
      <c r="C377" s="3040" t="str">
        <f>'Cover Page'!$I$88</f>
        <v>HSFO</v>
      </c>
      <c r="D377" s="3041"/>
      <c r="E377" s="2966" t="str">
        <f>IF(C377="","",INDEX('Cover Page'!$AI$106:$AJ$111,1,'Vessel BQS Report'!$AA$1))</f>
        <v/>
      </c>
      <c r="F377" s="2967"/>
      <c r="G377" s="2951">
        <f>O45</f>
        <v>0</v>
      </c>
      <c r="H377" s="2952"/>
      <c r="I377" s="2951">
        <f>O224</f>
        <v>0</v>
      </c>
      <c r="J377" s="2952"/>
      <c r="K377" s="2943">
        <f>O224-O45</f>
        <v>0</v>
      </c>
      <c r="L377" s="2944"/>
      <c r="M377" s="3032" t="str">
        <f>IF(E377="","-",IF('Vessel BQS Report'!$AA$1=1,ROUND(E377-0.0011,5),ROUND((1.00122697*(141.5/(E377+131.5))-1.22269727*10^-3)*8.32823*42/2204.62,5)))</f>
        <v>-</v>
      </c>
      <c r="N377" s="3032"/>
      <c r="O377" s="3033" t="str">
        <f>IF(E377="","-",ROUND(K377*M377,3))</f>
        <v>-</v>
      </c>
      <c r="P377" s="3033"/>
      <c r="Q377" s="1044"/>
      <c r="R377" s="1044"/>
      <c r="S377" s="1044"/>
    </row>
    <row r="378" spans="1:19" hidden="1">
      <c r="A378" s="881" t="str">
        <f t="shared" si="1"/>
        <v>N</v>
      </c>
      <c r="C378" s="3042" t="str">
        <f>'Cover Page'!$J$88</f>
        <v>LSFO</v>
      </c>
      <c r="D378" s="3043"/>
      <c r="E378" s="2953">
        <f>IF(C378="","",INDEX('Cover Page'!$AI$106:$AJ$111,2,'Vessel BQS Report'!$AA$1))</f>
        <v>0.92059999999999997</v>
      </c>
      <c r="F378" s="2954"/>
      <c r="G378" s="2939">
        <f>O68</f>
        <v>9.8000000000000004E-2</v>
      </c>
      <c r="H378" s="2940"/>
      <c r="I378" s="2939">
        <f>O247</f>
        <v>272.053</v>
      </c>
      <c r="J378" s="2940"/>
      <c r="K378" s="2945">
        <f>O247-O68</f>
        <v>271.95499999999998</v>
      </c>
      <c r="L378" s="2946"/>
      <c r="M378" s="3036">
        <f>IF(E378="","-",IF('Vessel BQS Report'!$AA$1=1,ROUND(E378-0.0011,5),ROUND((1.00122697*(141.5/(E378+131.5))-1.22269727*10^-3)*8.32823*42/2204.62,5)))</f>
        <v>0.91949999999999998</v>
      </c>
      <c r="N378" s="3036"/>
      <c r="O378" s="3037">
        <f t="shared" ref="O378:O382" si="2">IF(E378="","-",ROUND(K378*M378,3))</f>
        <v>250.06299999999999</v>
      </c>
      <c r="P378" s="3037"/>
      <c r="Q378" s="1044"/>
      <c r="R378" s="1044"/>
      <c r="S378" s="1044"/>
    </row>
    <row r="379" spans="1:19" hidden="1">
      <c r="A379" s="881" t="str">
        <f t="shared" si="1"/>
        <v>N</v>
      </c>
      <c r="C379" s="3042" t="str">
        <f>'Cover Page'!$K$88</f>
        <v>MDO</v>
      </c>
      <c r="D379" s="3043"/>
      <c r="E379" s="2953" t="str">
        <f>IF(C379="","",INDEX('Cover Page'!$AI$106:$AJ$111,3,'Vessel BQS Report'!$AA$1))</f>
        <v/>
      </c>
      <c r="F379" s="2954"/>
      <c r="G379" s="2939">
        <f>O91</f>
        <v>0</v>
      </c>
      <c r="H379" s="2940"/>
      <c r="I379" s="2939">
        <f>O270</f>
        <v>0</v>
      </c>
      <c r="J379" s="2940"/>
      <c r="K379" s="2945">
        <f>O270-O91</f>
        <v>0</v>
      </c>
      <c r="L379" s="2946"/>
      <c r="M379" s="3036" t="str">
        <f>IF(E379="","-",IF('Vessel BQS Report'!$AA$1=1,ROUND(E379-0.0011,5),ROUND((1.00122697*(141.5/(E379+131.5))-1.22269727*10^-3)*8.32823*42/2204.62,5)))</f>
        <v>-</v>
      </c>
      <c r="N379" s="3036"/>
      <c r="O379" s="3037" t="str">
        <f t="shared" si="2"/>
        <v>-</v>
      </c>
      <c r="P379" s="3037"/>
      <c r="Q379" s="1044"/>
      <c r="R379" s="1044"/>
      <c r="S379" s="1044"/>
    </row>
    <row r="380" spans="1:19" hidden="1">
      <c r="A380" s="881" t="str">
        <f t="shared" si="1"/>
        <v>N</v>
      </c>
      <c r="C380" s="3042" t="str">
        <f>'Cover Page'!$L$88</f>
        <v>LSMDO</v>
      </c>
      <c r="D380" s="3043"/>
      <c r="E380" s="2953" t="str">
        <f>IF(C380="","",INDEX('Cover Page'!$AI$106:$AJ$111,4,'Vessel BQS Report'!$AA$1))</f>
        <v/>
      </c>
      <c r="F380" s="2954"/>
      <c r="G380" s="2939">
        <f>O114</f>
        <v>0</v>
      </c>
      <c r="H380" s="2940"/>
      <c r="I380" s="2939">
        <f>O293</f>
        <v>0</v>
      </c>
      <c r="J380" s="2940"/>
      <c r="K380" s="2945">
        <f>O293-O114</f>
        <v>0</v>
      </c>
      <c r="L380" s="2946"/>
      <c r="M380" s="3036" t="str">
        <f>IF(E380="","-",IF('Vessel BQS Report'!$AA$1=1,ROUND(E380-0.0011,5),ROUND((1.00122697*(141.5/(E380+131.5))-1.22269727*10^-3)*8.32823*42/2204.62,5)))</f>
        <v>-</v>
      </c>
      <c r="N380" s="3036"/>
      <c r="O380" s="3037" t="str">
        <f t="shared" si="2"/>
        <v>-</v>
      </c>
      <c r="P380" s="3037"/>
      <c r="Q380" s="1044"/>
      <c r="R380" s="1044"/>
      <c r="S380" s="1044"/>
    </row>
    <row r="381" spans="1:19" hidden="1">
      <c r="A381" s="881" t="str">
        <f t="shared" si="1"/>
        <v>N</v>
      </c>
      <c r="C381" s="3042" t="str">
        <f>'Cover Page'!$M$88</f>
        <v>MGO</v>
      </c>
      <c r="D381" s="3043"/>
      <c r="E381" s="2953" t="str">
        <f>IF(C381="","",INDEX('Cover Page'!$AI$106:$AJ$111,5,'Vessel BQS Report'!$AA$1))</f>
        <v/>
      </c>
      <c r="F381" s="2954"/>
      <c r="G381" s="2939">
        <f>O137</f>
        <v>0</v>
      </c>
      <c r="H381" s="2940"/>
      <c r="I381" s="2939">
        <f>O316</f>
        <v>0</v>
      </c>
      <c r="J381" s="2940"/>
      <c r="K381" s="2945">
        <f>O316-O137</f>
        <v>0</v>
      </c>
      <c r="L381" s="2946"/>
      <c r="M381" s="3036" t="str">
        <f>IF(E381="","-",IF('Vessel BQS Report'!$AA$1=1,ROUND(E381-0.0011,5),ROUND((1.00122697*(141.5/(E381+131.5))-1.22269727*10^-3)*8.32823*42/2204.62,5)))</f>
        <v>-</v>
      </c>
      <c r="N381" s="3036"/>
      <c r="O381" s="3037" t="str">
        <f t="shared" si="2"/>
        <v>-</v>
      </c>
      <c r="P381" s="3037"/>
      <c r="Q381" s="1044"/>
      <c r="R381" s="1044"/>
      <c r="S381" s="1044"/>
    </row>
    <row r="382" spans="1:19">
      <c r="A382" s="881" t="str">
        <f t="shared" si="1"/>
        <v>Y</v>
      </c>
      <c r="C382" s="2949" t="str">
        <f>'Cover Page'!$N$88</f>
        <v>LSMGO</v>
      </c>
      <c r="D382" s="2950"/>
      <c r="E382" s="2955">
        <f>IF(C382="","",INDEX('Cover Page'!$AI$106:$AJ$111,6,'Vessel BQS Report'!$AA$1))</f>
        <v>0.83520000000000005</v>
      </c>
      <c r="F382" s="2956"/>
      <c r="G382" s="2941">
        <f>O160</f>
        <v>9.8000000000000004E-2</v>
      </c>
      <c r="H382" s="2942"/>
      <c r="I382" s="2941">
        <f>O339</f>
        <v>48.128</v>
      </c>
      <c r="J382" s="2942"/>
      <c r="K382" s="2947">
        <f>O339-O160</f>
        <v>48.03</v>
      </c>
      <c r="L382" s="2948"/>
      <c r="M382" s="3038">
        <f>IF(E382="","-",IF('Vessel BQS Report'!$AA$1=1,ROUND(E382-0.0011,5),ROUND((1.00122697*(141.5/(E382+131.5))-1.22269727*10^-3)*8.32823*42/2204.62,5)))</f>
        <v>0.83409999999999995</v>
      </c>
      <c r="N382" s="3038"/>
      <c r="O382" s="3039">
        <f t="shared" si="2"/>
        <v>40.061999999999998</v>
      </c>
      <c r="P382" s="3039"/>
      <c r="Q382" s="1600"/>
      <c r="R382" s="1044"/>
      <c r="S382" s="1044"/>
    </row>
    <row r="383" spans="1:19" s="1046" customFormat="1" ht="5.25">
      <c r="A383" s="1046" t="s">
        <v>284</v>
      </c>
      <c r="C383" s="1647"/>
      <c r="D383" s="1647"/>
      <c r="E383" s="1647"/>
      <c r="F383" s="1647"/>
      <c r="G383" s="1647"/>
      <c r="H383" s="1647"/>
      <c r="I383" s="1647"/>
      <c r="J383" s="1647"/>
      <c r="K383" s="1647"/>
      <c r="L383" s="1647"/>
      <c r="M383" s="1647"/>
      <c r="N383" s="1647"/>
      <c r="O383" s="1647"/>
      <c r="P383" s="1647"/>
      <c r="Q383" s="1601"/>
      <c r="R383" s="1045"/>
      <c r="S383" s="1045"/>
    </row>
    <row r="384" spans="1:19">
      <c r="A384" s="881" t="s">
        <v>284</v>
      </c>
      <c r="C384" s="3034" t="str">
        <f>"The vessel declares that bunker fuel "&amp;IF(GRADECHNO=2,"(Residuals) ",IF(GRADECHNO=3,"(Distillates) ",""))&amp;"is only contained in the listed bunker tanks in this Report."</f>
        <v>The vessel declares that bunker fuel (Distillates) is only contained in the listed bunker tanks in this Report.</v>
      </c>
      <c r="D384" s="3034"/>
      <c r="E384" s="3034"/>
      <c r="F384" s="3034"/>
      <c r="G384" s="3034"/>
      <c r="H384" s="3034"/>
      <c r="I384" s="3034"/>
      <c r="J384" s="3035"/>
      <c r="K384" s="3034"/>
      <c r="L384" s="3034"/>
      <c r="M384" s="3034"/>
      <c r="N384" s="3034"/>
      <c r="O384" s="3034"/>
      <c r="P384" s="3034"/>
      <c r="Q384" s="1600"/>
      <c r="R384" s="1044"/>
      <c r="S384" s="1044"/>
    </row>
    <row r="385" spans="1:19">
      <c r="A385" s="881" t="s">
        <v>284</v>
      </c>
      <c r="C385" s="3022" t="s">
        <v>917</v>
      </c>
      <c r="D385" s="3023"/>
      <c r="E385" s="3023"/>
      <c r="F385" s="3023"/>
      <c r="G385" s="3023"/>
      <c r="H385" s="1648" t="s">
        <v>803</v>
      </c>
      <c r="I385" s="3024"/>
      <c r="J385" s="3024"/>
      <c r="K385" s="3024"/>
      <c r="L385" s="3024"/>
      <c r="M385" s="1649" t="s">
        <v>804</v>
      </c>
      <c r="N385" s="3025"/>
      <c r="O385" s="3025"/>
      <c r="P385" s="3026"/>
      <c r="Q385" s="1650"/>
      <c r="R385" s="1044"/>
      <c r="S385" s="1044"/>
    </row>
    <row r="386" spans="1:19">
      <c r="A386" s="881" t="s">
        <v>284</v>
      </c>
      <c r="C386" s="3027" t="s">
        <v>918</v>
      </c>
      <c r="D386" s="3028"/>
      <c r="E386" s="3028"/>
      <c r="F386" s="3028"/>
      <c r="G386" s="3028"/>
      <c r="H386" s="1651" t="s">
        <v>803</v>
      </c>
      <c r="I386" s="3029"/>
      <c r="J386" s="3029"/>
      <c r="K386" s="3029"/>
      <c r="L386" s="3029"/>
      <c r="M386" s="1652" t="s">
        <v>804</v>
      </c>
      <c r="N386" s="3030"/>
      <c r="O386" s="3030"/>
      <c r="P386" s="3031"/>
      <c r="Q386" s="1650"/>
      <c r="R386" s="1044"/>
      <c r="S386" s="1044"/>
    </row>
    <row r="387" spans="1:19">
      <c r="A387" s="881" t="s">
        <v>284</v>
      </c>
      <c r="C387" s="1653"/>
      <c r="D387" s="1653"/>
      <c r="E387" s="1653"/>
      <c r="F387" s="1653"/>
      <c r="G387" s="1653"/>
      <c r="H387" s="1653"/>
      <c r="I387" s="1654"/>
      <c r="J387" s="1655"/>
      <c r="K387" s="1654"/>
      <c r="L387" s="1654"/>
      <c r="M387" s="1656"/>
      <c r="N387" s="1657"/>
      <c r="O387" s="1657"/>
      <c r="P387" s="1657"/>
      <c r="Q387" s="1650"/>
      <c r="R387" s="1044"/>
      <c r="S387" s="1044"/>
    </row>
    <row r="388" spans="1:19">
      <c r="A388" s="881" t="s">
        <v>284</v>
      </c>
      <c r="C388" s="1658" t="s">
        <v>179</v>
      </c>
      <c r="D388" s="1573"/>
      <c r="E388" s="1574"/>
      <c r="F388" s="1574"/>
      <c r="G388" s="1574"/>
      <c r="H388" s="1574"/>
      <c r="I388" s="1574"/>
      <c r="J388" s="1574"/>
      <c r="K388" s="1574"/>
      <c r="L388" s="1574"/>
      <c r="M388" s="1659"/>
      <c r="N388" s="1659"/>
      <c r="O388" s="1659"/>
      <c r="P388" s="1659"/>
      <c r="Q388" s="1600"/>
      <c r="R388" s="1044"/>
      <c r="S388" s="1044"/>
    </row>
    <row r="389" spans="1:19">
      <c r="A389" s="881" t="s">
        <v>284</v>
      </c>
      <c r="C389" s="2871"/>
      <c r="D389" s="2872"/>
      <c r="E389" s="2872"/>
      <c r="F389" s="2872"/>
      <c r="G389" s="2872"/>
      <c r="H389" s="2872"/>
      <c r="I389" s="2872"/>
      <c r="J389" s="2872"/>
      <c r="K389" s="2872"/>
      <c r="L389" s="2872"/>
      <c r="M389" s="2872"/>
      <c r="N389" s="2872"/>
      <c r="O389" s="2872"/>
      <c r="P389" s="2873"/>
      <c r="Q389" s="1600"/>
      <c r="R389" s="1044"/>
      <c r="S389" s="1044"/>
    </row>
    <row r="390" spans="1:19">
      <c r="A390" s="881" t="s">
        <v>284</v>
      </c>
      <c r="C390" s="2882"/>
      <c r="D390" s="2883"/>
      <c r="E390" s="2883"/>
      <c r="F390" s="2883"/>
      <c r="G390" s="2883"/>
      <c r="H390" s="2883"/>
      <c r="I390" s="2883"/>
      <c r="J390" s="2883"/>
      <c r="K390" s="2883"/>
      <c r="L390" s="2883"/>
      <c r="M390" s="2883"/>
      <c r="N390" s="2883"/>
      <c r="O390" s="2883"/>
      <c r="P390" s="2884"/>
      <c r="Q390" s="1600"/>
      <c r="R390" s="1044"/>
      <c r="S390" s="1044"/>
    </row>
    <row r="391" spans="1:19">
      <c r="A391" s="881" t="s">
        <v>284</v>
      </c>
      <c r="C391" s="2885"/>
      <c r="D391" s="2886"/>
      <c r="E391" s="2886"/>
      <c r="F391" s="2886"/>
      <c r="G391" s="2886"/>
      <c r="H391" s="2886"/>
      <c r="I391" s="2886"/>
      <c r="J391" s="2886"/>
      <c r="K391" s="2886"/>
      <c r="L391" s="2886"/>
      <c r="M391" s="2886"/>
      <c r="N391" s="2886"/>
      <c r="O391" s="2886"/>
      <c r="P391" s="2887"/>
      <c r="Q391" s="1600"/>
      <c r="R391" s="1044"/>
      <c r="S391" s="1044"/>
    </row>
    <row r="392" spans="1:19">
      <c r="A392" s="881" t="s">
        <v>284</v>
      </c>
      <c r="C392" s="1660"/>
      <c r="D392" s="1660"/>
      <c r="E392" s="1661"/>
      <c r="F392" s="1661"/>
      <c r="G392" s="1661"/>
      <c r="H392" s="1661"/>
      <c r="I392" s="1661"/>
      <c r="J392" s="1662"/>
      <c r="K392" s="1661"/>
      <c r="L392" s="1661"/>
      <c r="M392" s="1661"/>
      <c r="N392" s="1661"/>
      <c r="O392" s="1661"/>
      <c r="P392" s="1661"/>
      <c r="Q392" s="1600"/>
      <c r="R392" s="1044"/>
      <c r="S392" s="1044"/>
    </row>
    <row r="393" spans="1:19">
      <c r="A393" s="881" t="s">
        <v>284</v>
      </c>
      <c r="C393" s="1663"/>
      <c r="D393" s="1663"/>
      <c r="E393" s="1664"/>
      <c r="F393" s="1664"/>
      <c r="G393" s="1664"/>
      <c r="H393" s="1664"/>
      <c r="I393" s="1664"/>
      <c r="J393" s="1664"/>
      <c r="K393" s="1664"/>
      <c r="L393" s="1664"/>
      <c r="M393" s="1664"/>
      <c r="N393" s="1664"/>
      <c r="O393" s="1664"/>
      <c r="P393" s="1664"/>
      <c r="Q393" s="1600"/>
      <c r="R393" s="1044"/>
      <c r="S393" s="1044"/>
    </row>
    <row r="394" spans="1:19">
      <c r="A394" s="881" t="s">
        <v>284</v>
      </c>
      <c r="C394" s="2861"/>
      <c r="D394" s="2861"/>
      <c r="E394" s="2861"/>
      <c r="F394" s="2861"/>
      <c r="G394" s="2861"/>
      <c r="H394" s="2861"/>
      <c r="I394" s="1665"/>
      <c r="J394" s="1665"/>
      <c r="K394" s="1666"/>
      <c r="L394" s="1665"/>
      <c r="M394" s="3014"/>
      <c r="N394" s="3014"/>
      <c r="O394" s="3014"/>
      <c r="P394" s="3014"/>
      <c r="Q394" s="1600"/>
      <c r="R394" s="1044"/>
      <c r="S394" s="1044"/>
    </row>
    <row r="395" spans="1:19">
      <c r="A395" s="881" t="s">
        <v>284</v>
      </c>
      <c r="C395" s="2859" t="str">
        <f>CHENG</f>
        <v>CANO ARTHUR D. CADAVOS</v>
      </c>
      <c r="D395" s="2859"/>
      <c r="E395" s="2859"/>
      <c r="F395" s="2859"/>
      <c r="G395" s="2859"/>
      <c r="H395" s="2859"/>
      <c r="I395" s="1665"/>
      <c r="J395" s="1665"/>
      <c r="K395" s="1666"/>
      <c r="L395" s="1665"/>
      <c r="M395" s="2859" t="str">
        <f>SURVEYOR</f>
        <v>MEHMET EROĞLU</v>
      </c>
      <c r="N395" s="2859"/>
      <c r="O395" s="2859"/>
      <c r="P395" s="2859"/>
      <c r="Q395" s="1600"/>
      <c r="R395" s="1044"/>
      <c r="S395" s="1044"/>
    </row>
    <row r="396" spans="1:19">
      <c r="A396" s="881" t="s">
        <v>284</v>
      </c>
      <c r="C396" s="3010" t="s">
        <v>15</v>
      </c>
      <c r="D396" s="3010"/>
      <c r="E396" s="3010"/>
      <c r="F396" s="3010"/>
      <c r="G396" s="3010"/>
      <c r="H396" s="3010"/>
      <c r="I396" s="1582"/>
      <c r="J396" s="1582"/>
      <c r="K396" s="1581"/>
      <c r="L396" s="1667"/>
      <c r="M396" s="3015" t="str">
        <f>"Bunker Surveyor"&amp;IF(SPORE=TRUE,", License No. "&amp;SURVLIC,"")</f>
        <v>Bunker Surveyor</v>
      </c>
      <c r="N396" s="3015"/>
      <c r="O396" s="3015"/>
      <c r="P396" s="3015"/>
      <c r="Q396" s="1600"/>
      <c r="R396" s="1044"/>
      <c r="S396" s="1044"/>
    </row>
    <row r="397" spans="1:19">
      <c r="A397" s="881" t="s">
        <v>284</v>
      </c>
      <c r="C397" s="3011"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D397" s="3012"/>
      <c r="E397" s="3012"/>
      <c r="F397" s="3012"/>
      <c r="G397" s="3012"/>
      <c r="H397" s="3012"/>
      <c r="I397" s="3012"/>
      <c r="J397" s="3013"/>
      <c r="K397" s="3012"/>
      <c r="L397" s="3012"/>
      <c r="M397" s="3012"/>
      <c r="N397" s="3012"/>
      <c r="O397" s="3016"/>
      <c r="P397" s="3017"/>
      <c r="Q397" s="1600"/>
      <c r="R397" s="1044"/>
      <c r="S397" s="1044"/>
    </row>
    <row r="398" spans="1:19">
      <c r="A398" s="881" t="s">
        <v>284</v>
      </c>
      <c r="C398" s="2511"/>
      <c r="D398" s="2512"/>
      <c r="E398" s="2512"/>
      <c r="F398" s="2512"/>
      <c r="G398" s="2512"/>
      <c r="H398" s="2512"/>
      <c r="I398" s="2512"/>
      <c r="J398" s="2512"/>
      <c r="K398" s="2512"/>
      <c r="L398" s="2512"/>
      <c r="M398" s="2512"/>
      <c r="N398" s="2512"/>
      <c r="O398" s="3018"/>
      <c r="P398" s="3019"/>
      <c r="Q398" s="1600"/>
      <c r="R398" s="1044"/>
      <c r="S398" s="1044"/>
    </row>
    <row r="399" spans="1:19">
      <c r="A399" s="881" t="s">
        <v>284</v>
      </c>
      <c r="C399" s="2511"/>
      <c r="D399" s="2512"/>
      <c r="E399" s="2512"/>
      <c r="F399" s="2512"/>
      <c r="G399" s="2512"/>
      <c r="H399" s="2512"/>
      <c r="I399" s="2512"/>
      <c r="J399" s="2512"/>
      <c r="K399" s="2512"/>
      <c r="L399" s="2512"/>
      <c r="M399" s="2512"/>
      <c r="N399" s="2512"/>
      <c r="O399" s="3018"/>
      <c r="P399" s="3019"/>
      <c r="Q399" s="1600"/>
      <c r="R399" s="1044"/>
      <c r="S399" s="1044"/>
    </row>
    <row r="400" spans="1:19">
      <c r="A400" s="881" t="s">
        <v>284</v>
      </c>
      <c r="C400" s="2513"/>
      <c r="D400" s="2514"/>
      <c r="E400" s="2514"/>
      <c r="F400" s="2514"/>
      <c r="G400" s="2514"/>
      <c r="H400" s="2514"/>
      <c r="I400" s="2514"/>
      <c r="J400" s="2514"/>
      <c r="K400" s="2514"/>
      <c r="L400" s="2514"/>
      <c r="M400" s="2514"/>
      <c r="N400" s="2514"/>
      <c r="O400" s="3020"/>
      <c r="P400" s="3021"/>
      <c r="Q400" s="1594"/>
      <c r="R400" s="1048"/>
      <c r="S400" s="1048"/>
    </row>
  </sheetData>
  <sheetProtection algorithmName="SHA-512" hashValue="j1YQjFvSHnazhDm9i7jemAIYOg/LV8itBNxkpEADtcUZaKU8QyVaF+7Lkjq1qTfL0SoOi5LyIg6GvowgRsq4Ug==" saltValue="PrWlJk/4nSeCneluG5XgBw==" spinCount="100000" sheet="1" objects="1" scenarios="1" autoFilter="0"/>
  <autoFilter ref="A22:A400" xr:uid="{00000000-0009-0000-0000-000017000000}">
    <filterColumn colId="0">
      <filters>
        <filter val="Y"/>
      </filters>
    </filterColumn>
  </autoFilter>
  <mergeCells count="196">
    <mergeCell ref="C10:P10"/>
    <mergeCell ref="C11:P11"/>
    <mergeCell ref="C12:E12"/>
    <mergeCell ref="F14:G14"/>
    <mergeCell ref="C15:E15"/>
    <mergeCell ref="C13:E13"/>
    <mergeCell ref="F13:H13"/>
    <mergeCell ref="C14:E14"/>
    <mergeCell ref="L14:M14"/>
    <mergeCell ref="F15:H15"/>
    <mergeCell ref="F12:I12"/>
    <mergeCell ref="L12:M12"/>
    <mergeCell ref="N12:P12"/>
    <mergeCell ref="M68:N68"/>
    <mergeCell ref="O20:O21"/>
    <mergeCell ref="P20:P21"/>
    <mergeCell ref="L13:M13"/>
    <mergeCell ref="N13:P13"/>
    <mergeCell ref="C18:D18"/>
    <mergeCell ref="E18:G18"/>
    <mergeCell ref="O18:O19"/>
    <mergeCell ref="P18:P19"/>
    <mergeCell ref="C19:D19"/>
    <mergeCell ref="E19:G19"/>
    <mergeCell ref="I18:J18"/>
    <mergeCell ref="I19:J19"/>
    <mergeCell ref="K18:M18"/>
    <mergeCell ref="K19:M19"/>
    <mergeCell ref="H14:I14"/>
    <mergeCell ref="J14:K14"/>
    <mergeCell ref="J15:K15"/>
    <mergeCell ref="J13:K13"/>
    <mergeCell ref="O68:P68"/>
    <mergeCell ref="M45:N45"/>
    <mergeCell ref="O45:P45"/>
    <mergeCell ref="N14:P15"/>
    <mergeCell ref="L15:M15"/>
    <mergeCell ref="C376:D376"/>
    <mergeCell ref="K376:L376"/>
    <mergeCell ref="I376:J376"/>
    <mergeCell ref="M373:N373"/>
    <mergeCell ref="O373:P373"/>
    <mergeCell ref="C163:F163"/>
    <mergeCell ref="G163:H163"/>
    <mergeCell ref="C20:C22"/>
    <mergeCell ref="D20:D22"/>
    <mergeCell ref="E20:E21"/>
    <mergeCell ref="K20:K21"/>
    <mergeCell ref="L20:L21"/>
    <mergeCell ref="M20:M21"/>
    <mergeCell ref="N20:N21"/>
    <mergeCell ref="G47:H47"/>
    <mergeCell ref="C70:F70"/>
    <mergeCell ref="G70:H70"/>
    <mergeCell ref="C93:F93"/>
    <mergeCell ref="G93:H93"/>
    <mergeCell ref="C116:F116"/>
    <mergeCell ref="G116:H116"/>
    <mergeCell ref="C139:F139"/>
    <mergeCell ref="G139:H139"/>
    <mergeCell ref="M160:N160"/>
    <mergeCell ref="C295:F295"/>
    <mergeCell ref="G295:H295"/>
    <mergeCell ref="C318:F318"/>
    <mergeCell ref="G318:H318"/>
    <mergeCell ref="C342:F342"/>
    <mergeCell ref="G342:H342"/>
    <mergeCell ref="M293:N293"/>
    <mergeCell ref="O293:P293"/>
    <mergeCell ref="M316:N316"/>
    <mergeCell ref="O316:P316"/>
    <mergeCell ref="M339:N339"/>
    <mergeCell ref="O339:P339"/>
    <mergeCell ref="M340:N340"/>
    <mergeCell ref="O340:P340"/>
    <mergeCell ref="C385:G385"/>
    <mergeCell ref="I385:L385"/>
    <mergeCell ref="N385:P385"/>
    <mergeCell ref="C386:G386"/>
    <mergeCell ref="I386:L386"/>
    <mergeCell ref="N386:P386"/>
    <mergeCell ref="M377:N377"/>
    <mergeCell ref="O377:P377"/>
    <mergeCell ref="C384:P384"/>
    <mergeCell ref="M378:N378"/>
    <mergeCell ref="O378:P378"/>
    <mergeCell ref="M379:N379"/>
    <mergeCell ref="O379:P379"/>
    <mergeCell ref="M380:N380"/>
    <mergeCell ref="O380:P380"/>
    <mergeCell ref="M381:N381"/>
    <mergeCell ref="O381:P381"/>
    <mergeCell ref="M382:N382"/>
    <mergeCell ref="O382:P382"/>
    <mergeCell ref="C377:D377"/>
    <mergeCell ref="C378:D378"/>
    <mergeCell ref="C379:D379"/>
    <mergeCell ref="C380:D380"/>
    <mergeCell ref="C381:D381"/>
    <mergeCell ref="C389:P389"/>
    <mergeCell ref="C390:P390"/>
    <mergeCell ref="C391:P391"/>
    <mergeCell ref="C394:H394"/>
    <mergeCell ref="C395:H395"/>
    <mergeCell ref="C396:H396"/>
    <mergeCell ref="C397:N400"/>
    <mergeCell ref="M394:P394"/>
    <mergeCell ref="M395:P395"/>
    <mergeCell ref="M396:P396"/>
    <mergeCell ref="O397:P400"/>
    <mergeCell ref="C272:F272"/>
    <mergeCell ref="G272:H272"/>
    <mergeCell ref="J20:J22"/>
    <mergeCell ref="F20:F21"/>
    <mergeCell ref="G20:G21"/>
    <mergeCell ref="C199:C201"/>
    <mergeCell ref="D199:D201"/>
    <mergeCell ref="C197:D197"/>
    <mergeCell ref="E197:G197"/>
    <mergeCell ref="I197:K197"/>
    <mergeCell ref="C198:D198"/>
    <mergeCell ref="E198:G198"/>
    <mergeCell ref="I198:K198"/>
    <mergeCell ref="C24:F24"/>
    <mergeCell ref="G24:H24"/>
    <mergeCell ref="C47:F47"/>
    <mergeCell ref="E199:E200"/>
    <mergeCell ref="F199:F200"/>
    <mergeCell ref="C249:F249"/>
    <mergeCell ref="G249:H249"/>
    <mergeCell ref="H20:H21"/>
    <mergeCell ref="I20:I21"/>
    <mergeCell ref="M161:N161"/>
    <mergeCell ref="M247:N247"/>
    <mergeCell ref="O247:P247"/>
    <mergeCell ref="O137:P137"/>
    <mergeCell ref="M114:N114"/>
    <mergeCell ref="G199:G200"/>
    <mergeCell ref="J199:J201"/>
    <mergeCell ref="K199:K200"/>
    <mergeCell ref="P197:P198"/>
    <mergeCell ref="L198:M198"/>
    <mergeCell ref="O114:P114"/>
    <mergeCell ref="P199:P200"/>
    <mergeCell ref="L197:M197"/>
    <mergeCell ref="O197:O198"/>
    <mergeCell ref="H199:H200"/>
    <mergeCell ref="I199:I200"/>
    <mergeCell ref="M91:N91"/>
    <mergeCell ref="O91:P91"/>
    <mergeCell ref="O224:P224"/>
    <mergeCell ref="C203:F203"/>
    <mergeCell ref="G203:H203"/>
    <mergeCell ref="C226:F226"/>
    <mergeCell ref="G226:H226"/>
    <mergeCell ref="E376:F376"/>
    <mergeCell ref="E377:F377"/>
    <mergeCell ref="G376:H376"/>
    <mergeCell ref="M376:N376"/>
    <mergeCell ref="O376:P376"/>
    <mergeCell ref="M224:N224"/>
    <mergeCell ref="L199:L200"/>
    <mergeCell ref="O160:P160"/>
    <mergeCell ref="O161:P161"/>
    <mergeCell ref="M137:N137"/>
    <mergeCell ref="M270:N270"/>
    <mergeCell ref="O270:P270"/>
    <mergeCell ref="M194:N194"/>
    <mergeCell ref="O194:P194"/>
    <mergeCell ref="M199:M200"/>
    <mergeCell ref="N199:N200"/>
    <mergeCell ref="O199:O200"/>
    <mergeCell ref="I381:J381"/>
    <mergeCell ref="I382:J382"/>
    <mergeCell ref="K377:L377"/>
    <mergeCell ref="K378:L378"/>
    <mergeCell ref="K379:L379"/>
    <mergeCell ref="K380:L380"/>
    <mergeCell ref="K381:L381"/>
    <mergeCell ref="K382:L382"/>
    <mergeCell ref="C382:D382"/>
    <mergeCell ref="I377:J377"/>
    <mergeCell ref="I378:J378"/>
    <mergeCell ref="I379:J379"/>
    <mergeCell ref="I380:J380"/>
    <mergeCell ref="E378:F378"/>
    <mergeCell ref="E379:F379"/>
    <mergeCell ref="E380:F380"/>
    <mergeCell ref="E381:F381"/>
    <mergeCell ref="E382:F382"/>
    <mergeCell ref="G381:H381"/>
    <mergeCell ref="G382:H382"/>
    <mergeCell ref="G377:H377"/>
    <mergeCell ref="G378:H378"/>
    <mergeCell ref="G379:H379"/>
    <mergeCell ref="G380:H380"/>
  </mergeCells>
  <conditionalFormatting sqref="C343:P372">
    <cfRule type="expression" dxfId="26" priority="1">
      <formula>C343&lt;&gt;C164</formula>
    </cfRule>
  </conditionalFormatting>
  <dataValidations count="3">
    <dataValidation type="list" errorStyle="information" allowBlank="1" showInputMessage="1" showErrorMessage="1" prompt="Choose Remarks from list or edit yours." sqref="C389:P391" xr:uid="{00000000-0002-0000-1700-000000000000}">
      <formula1>REMCOL</formula1>
    </dataValidation>
    <dataValidation type="list" allowBlank="1" showInputMessage="1" showErrorMessage="1" sqref="N18:N19 N197:N198" xr:uid="{00000000-0002-0000-1700-000001000000}">
      <formula1>"Yes, No"</formula1>
    </dataValidation>
    <dataValidation type="list" allowBlank="1" showInputMessage="1" showErrorMessage="1" errorTitle="Sea State" error="Choose between available values, i.e. Calm, Slight, Moderate, Rough." sqref="P197:P198" xr:uid="{00000000-0002-0000-1700-000002000000}">
      <formula1>$G$19:$G$23</formula1>
    </dataValidation>
  </dataValidations>
  <hyperlinks>
    <hyperlink ref="C388" location="REMCODE" display="Remarks:" xr:uid="{00000000-0004-0000-1700-000000000000}"/>
  </hyperlinks>
  <printOptions horizontalCentered="1"/>
  <pageMargins left="0.3" right="0.3" top="0.2" bottom="0.3" header="0.3" footer="0.1"/>
  <pageSetup paperSize="9" scale="83" orientation="portrait" r:id="rId1"/>
  <headerFooter scaleWithDoc="0">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4537" r:id="rId4" name="Drop Down 9">
              <controlPr defaultSize="0" print="0" autoLine="0" autoPict="0" macro="[0]!BEEPER">
                <anchor moveWithCells="1">
                  <from>
                    <xdr:col>12</xdr:col>
                    <xdr:colOff>0</xdr:colOff>
                    <xdr:row>16</xdr:row>
                    <xdr:rowOff>19050</xdr:rowOff>
                  </from>
                  <to>
                    <xdr:col>14</xdr:col>
                    <xdr:colOff>285750</xdr:colOff>
                    <xdr:row>16</xdr:row>
                    <xdr:rowOff>219075</xdr:rowOff>
                  </to>
                </anchor>
              </controlPr>
            </control>
          </mc:Choice>
        </mc:AlternateContent>
        <mc:AlternateContent xmlns:mc="http://schemas.openxmlformats.org/markup-compatibility/2006">
          <mc:Choice Requires="x14">
            <control shapeId="534538" r:id="rId5" name="Drop Down 10">
              <controlPr defaultSize="0" print="0" autoLine="0" autoPict="0" macro="[0]!BEEPER">
                <anchor moveWithCells="1">
                  <from>
                    <xdr:col>15</xdr:col>
                    <xdr:colOff>0</xdr:colOff>
                    <xdr:row>16</xdr:row>
                    <xdr:rowOff>19050</xdr:rowOff>
                  </from>
                  <to>
                    <xdr:col>15</xdr:col>
                    <xdr:colOff>504825</xdr:colOff>
                    <xdr:row>16</xdr:row>
                    <xdr:rowOff>219075</xdr:rowOff>
                  </to>
                </anchor>
              </controlPr>
            </control>
          </mc:Choice>
        </mc:AlternateContent>
        <mc:AlternateContent xmlns:mc="http://schemas.openxmlformats.org/markup-compatibility/2006">
          <mc:Choice Requires="x14">
            <control shapeId="534539" r:id="rId6" name="Drop Down 11">
              <controlPr defaultSize="0" print="0" autoLine="0" autoPict="0" macro="[0]!CHOOSEGRADE">
                <anchor moveWithCells="1">
                  <from>
                    <xdr:col>10</xdr:col>
                    <xdr:colOff>0</xdr:colOff>
                    <xdr:row>16</xdr:row>
                    <xdr:rowOff>19050</xdr:rowOff>
                  </from>
                  <to>
                    <xdr:col>11</xdr:col>
                    <xdr:colOff>304800</xdr:colOff>
                    <xdr:row>16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ea State" error="Choose between available values, i.e. Calm, Slight, Moderate, Rough." xr:uid="{00000000-0002-0000-1700-000003000000}">
          <x14:formula1>
            <xm:f>'POWER SETT'!$G$21:$G$25</xm:f>
          </x14:formula1>
          <xm:sqref>P18:P19</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8" filterMode="1">
    <tabColor theme="5"/>
    <pageSetUpPr fitToPage="1"/>
  </sheetPr>
  <dimension ref="A1:U405"/>
  <sheetViews>
    <sheetView showGridLines="0" showRowColHeaders="0" topLeftCell="C8" zoomScaleNormal="100" zoomScaleSheetLayoutView="100" workbookViewId="0">
      <pane ySplit="10" topLeftCell="A18" activePane="bottomLeft" state="frozen"/>
      <selection pane="bottomLeft"/>
    </sheetView>
  </sheetViews>
  <sheetFormatPr defaultColWidth="0" defaultRowHeight="12.75" customHeight="1" zeroHeight="1"/>
  <cols>
    <col min="1" max="2" width="4.875" style="881" hidden="1" customWidth="1"/>
    <col min="3" max="3" width="7.125" style="881" customWidth="1"/>
    <col min="4" max="4" width="6" style="881" customWidth="1"/>
    <col min="5" max="5" width="5.375" style="881" customWidth="1"/>
    <col min="6" max="9" width="7.5" style="881" customWidth="1"/>
    <col min="10" max="10" width="4.25" style="881" customWidth="1"/>
    <col min="11" max="11" width="8.5" style="881" customWidth="1"/>
    <col min="12" max="12" width="6.5" style="881" customWidth="1"/>
    <col min="13" max="13" width="8.875" style="881" customWidth="1"/>
    <col min="14" max="14" width="7.5" style="881" customWidth="1"/>
    <col min="15" max="15" width="7.375" style="881" customWidth="1"/>
    <col min="16" max="16" width="8.75" style="881" customWidth="1"/>
    <col min="17" max="17" width="0.25" style="881" customWidth="1"/>
    <col min="18" max="18" width="17.125" style="881" hidden="1" customWidth="1"/>
    <col min="19" max="19" width="13.625" style="881" hidden="1" customWidth="1"/>
    <col min="20" max="16384" width="9" style="881" hidden="1"/>
  </cols>
  <sheetData>
    <row r="1" spans="1:21" ht="15" hidden="1">
      <c r="C1" s="480"/>
      <c r="D1" s="481"/>
      <c r="E1" s="481"/>
      <c r="F1" s="481"/>
      <c r="G1" s="482"/>
      <c r="H1" s="482"/>
      <c r="I1" s="482"/>
      <c r="J1" s="482"/>
      <c r="K1" s="482"/>
      <c r="L1" s="482"/>
      <c r="M1" s="482"/>
      <c r="N1" s="482"/>
      <c r="O1" s="482"/>
      <c r="P1" s="482"/>
      <c r="Q1" s="482"/>
      <c r="R1" s="482"/>
      <c r="S1" s="482"/>
      <c r="T1" s="482"/>
    </row>
    <row r="2" spans="1:21" ht="15">
      <c r="C2" s="1590"/>
      <c r="D2" s="1591"/>
      <c r="E2" s="1591"/>
      <c r="F2" s="1591"/>
      <c r="G2" s="1592"/>
      <c r="H2" s="1592"/>
      <c r="I2" s="1592"/>
      <c r="J2" s="1592"/>
      <c r="K2" s="1592"/>
      <c r="L2" s="1592"/>
      <c r="M2" s="1592"/>
      <c r="N2" s="1592"/>
      <c r="O2" s="1592"/>
      <c r="P2" s="1592"/>
      <c r="Q2" s="1592"/>
      <c r="R2" s="482"/>
      <c r="S2" s="482"/>
      <c r="T2" s="482"/>
    </row>
    <row r="3" spans="1:21" ht="15">
      <c r="C3" s="1590"/>
      <c r="D3" s="1591"/>
      <c r="E3" s="1591"/>
      <c r="F3" s="1591"/>
      <c r="G3" s="1592"/>
      <c r="H3" s="1592"/>
      <c r="I3" s="1592"/>
      <c r="J3" s="1592"/>
      <c r="K3" s="1592"/>
      <c r="L3" s="1592"/>
      <c r="M3" s="1592"/>
      <c r="N3" s="1592"/>
      <c r="O3" s="1592"/>
      <c r="P3" s="1592"/>
      <c r="Q3" s="1592"/>
      <c r="R3" s="482"/>
      <c r="S3" s="482"/>
      <c r="T3" s="482"/>
    </row>
    <row r="4" spans="1:21" ht="20.25" customHeight="1">
      <c r="C4" s="1590"/>
      <c r="D4" s="1591"/>
      <c r="E4" s="1591"/>
      <c r="F4" s="1591"/>
      <c r="G4" s="1592"/>
      <c r="H4" s="1592"/>
      <c r="I4" s="1590"/>
      <c r="J4" s="1590"/>
      <c r="K4" s="1592"/>
      <c r="L4" s="1592"/>
      <c r="M4" s="1592"/>
      <c r="N4" s="1592"/>
      <c r="O4" s="1592"/>
      <c r="P4" s="1593" t="str">
        <f>COMPANY1</f>
        <v>Petro Inspect International</v>
      </c>
      <c r="Q4" s="1594"/>
    </row>
    <row r="5" spans="1:21" ht="15">
      <c r="C5" s="1590"/>
      <c r="D5" s="1591"/>
      <c r="E5" s="1591"/>
      <c r="F5" s="1591"/>
      <c r="G5" s="1592"/>
      <c r="H5" s="1592"/>
      <c r="I5" s="1590"/>
      <c r="J5" s="1590"/>
      <c r="K5" s="1592"/>
      <c r="L5" s="1592"/>
      <c r="M5" s="1592"/>
      <c r="N5" s="1592"/>
      <c r="O5" s="1592"/>
      <c r="P5" s="1595" t="str">
        <f>COMPANY2</f>
        <v>ops@petro-inspect.com</v>
      </c>
      <c r="Q5" s="1594"/>
    </row>
    <row r="6" spans="1:21" ht="15">
      <c r="C6" s="1590"/>
      <c r="D6" s="1591"/>
      <c r="E6" s="1591"/>
      <c r="F6" s="1591"/>
      <c r="G6" s="1592"/>
      <c r="H6" s="1592"/>
      <c r="I6" s="1590"/>
      <c r="J6" s="1590"/>
      <c r="K6" s="1592"/>
      <c r="L6" s="1592"/>
      <c r="M6" s="1592"/>
      <c r="N6" s="1592"/>
      <c r="O6" s="1592"/>
      <c r="P6" s="1595" t="str">
        <f>COMPANY3</f>
        <v/>
      </c>
      <c r="Q6" s="1594"/>
    </row>
    <row r="7" spans="1:21" ht="15">
      <c r="C7" s="1591"/>
      <c r="D7" s="1591"/>
      <c r="E7" s="1591"/>
      <c r="F7" s="1591"/>
      <c r="G7" s="1592"/>
      <c r="H7" s="1592"/>
      <c r="I7" s="1590"/>
      <c r="J7" s="1590"/>
      <c r="K7" s="1592"/>
      <c r="L7" s="1592"/>
      <c r="M7" s="1592"/>
      <c r="N7" s="1592"/>
      <c r="O7" s="1592"/>
      <c r="P7" s="1595" t="str">
        <f>COMPANY4</f>
        <v/>
      </c>
      <c r="Q7" s="1594"/>
    </row>
    <row r="8" spans="1:21" ht="2.25" customHeight="1" thickBot="1">
      <c r="C8" s="1596"/>
      <c r="D8" s="1596"/>
      <c r="E8" s="1596"/>
      <c r="F8" s="1596"/>
      <c r="G8" s="1597"/>
      <c r="H8" s="1597"/>
      <c r="I8" s="1598"/>
      <c r="J8" s="1598"/>
      <c r="K8" s="1599"/>
      <c r="L8" s="1599"/>
      <c r="M8" s="1599"/>
      <c r="N8" s="1599"/>
      <c r="O8" s="1599"/>
      <c r="P8" s="1599"/>
      <c r="Q8" s="1594"/>
    </row>
    <row r="9" spans="1:21" ht="2.25" customHeight="1">
      <c r="C9" s="1594"/>
      <c r="D9" s="1594"/>
      <c r="E9" s="1594"/>
      <c r="F9" s="1594"/>
      <c r="G9" s="1594"/>
      <c r="H9" s="1594"/>
      <c r="I9" s="1594"/>
      <c r="J9" s="1594"/>
      <c r="K9" s="1594"/>
      <c r="L9" s="1594"/>
      <c r="M9" s="1594"/>
      <c r="N9" s="1594"/>
      <c r="O9" s="1594"/>
      <c r="P9" s="1594"/>
      <c r="Q9" s="1594"/>
    </row>
    <row r="10" spans="1:21" ht="23.25">
      <c r="C10" s="3074" t="str">
        <f>"Barge Measurement Report"&amp;IF(GRADECHNO_2=2," (Residuals)",IF(GRADECHNO_2=3," (Distillates)",""))</f>
        <v>Barge Measurement Report (Distillates)</v>
      </c>
      <c r="D10" s="3074"/>
      <c r="E10" s="3074"/>
      <c r="F10" s="3074"/>
      <c r="G10" s="3074"/>
      <c r="H10" s="3074"/>
      <c r="I10" s="3074"/>
      <c r="J10" s="3074"/>
      <c r="K10" s="3074"/>
      <c r="L10" s="3074"/>
      <c r="M10" s="3074"/>
      <c r="N10" s="3074"/>
      <c r="O10" s="3074"/>
      <c r="P10" s="3074"/>
      <c r="Q10" s="1600"/>
      <c r="R10" s="1044"/>
      <c r="S10" s="1044"/>
      <c r="T10" s="1044"/>
      <c r="U10" s="1044"/>
    </row>
    <row r="11" spans="1:21" s="1046" customFormat="1" ht="5.25">
      <c r="C11" s="3075"/>
      <c r="D11" s="3075"/>
      <c r="E11" s="3075"/>
      <c r="F11" s="3075"/>
      <c r="G11" s="3075"/>
      <c r="H11" s="3075"/>
      <c r="I11" s="3075"/>
      <c r="J11" s="3075"/>
      <c r="K11" s="3075"/>
      <c r="L11" s="3075"/>
      <c r="M11" s="3075"/>
      <c r="N11" s="3075"/>
      <c r="O11" s="3075"/>
      <c r="P11" s="3075"/>
      <c r="Q11" s="1601"/>
      <c r="R11" s="1045"/>
      <c r="S11" s="1045"/>
      <c r="T11" s="1045"/>
      <c r="U11" s="1045"/>
    </row>
    <row r="12" spans="1:21">
      <c r="C12" s="3076" t="s">
        <v>788</v>
      </c>
      <c r="D12" s="3076"/>
      <c r="E12" s="3076"/>
      <c r="F12" s="3077" t="str">
        <f>MYBARGENAME</f>
        <v>M/T YALÇIN 2</v>
      </c>
      <c r="G12" s="3078"/>
      <c r="H12" s="3078"/>
      <c r="I12" s="1602" t="s">
        <v>911</v>
      </c>
      <c r="J12" s="3072" t="str">
        <f>IF(BARGESEL=1,BARGELIC,MYBARGELIC)</f>
        <v>SB 788H</v>
      </c>
      <c r="K12" s="3072"/>
      <c r="L12" s="3050" t="s">
        <v>789</v>
      </c>
      <c r="M12" s="3050"/>
      <c r="N12" s="3080" t="str">
        <f>PORT</f>
        <v>ISTANBUL / TURKEY</v>
      </c>
      <c r="O12" s="3080"/>
      <c r="P12" s="3080"/>
      <c r="Q12" s="1600"/>
      <c r="R12" s="1044"/>
      <c r="S12" s="1044"/>
    </row>
    <row r="13" spans="1:21">
      <c r="C13" s="3076" t="s">
        <v>160</v>
      </c>
      <c r="D13" s="3076"/>
      <c r="E13" s="3076"/>
      <c r="F13" s="3102" t="str">
        <f>VESSEL</f>
        <v>MV PESSADA</v>
      </c>
      <c r="G13" s="3102"/>
      <c r="H13" s="3102"/>
      <c r="I13" s="3102"/>
      <c r="J13" s="1668"/>
      <c r="K13" s="1668"/>
      <c r="L13" s="3050" t="s">
        <v>790</v>
      </c>
      <c r="M13" s="3050"/>
      <c r="N13" s="3051">
        <f>DATESURVC</f>
        <v>44792</v>
      </c>
      <c r="O13" s="3051"/>
      <c r="P13" s="3051"/>
      <c r="Q13" s="1600"/>
      <c r="R13" s="1044"/>
      <c r="S13" s="1044"/>
    </row>
    <row r="14" spans="1:21">
      <c r="C14" s="3076" t="s">
        <v>926</v>
      </c>
      <c r="D14" s="3076"/>
      <c r="E14" s="3076"/>
      <c r="F14" s="3089">
        <v>12345678</v>
      </c>
      <c r="G14" s="3089"/>
      <c r="H14" s="3050" t="s">
        <v>927</v>
      </c>
      <c r="I14" s="3050"/>
      <c r="J14" s="3089">
        <v>112345</v>
      </c>
      <c r="K14" s="3089"/>
      <c r="L14" s="3050" t="s">
        <v>925</v>
      </c>
      <c r="M14" s="3050"/>
      <c r="N14" s="3073" t="str">
        <f>IF(ISERROR(BRGSUPP_GROUP),"N/A",BRGSUPP_GROUP)</f>
        <v>LSMGO</v>
      </c>
      <c r="O14" s="3073"/>
      <c r="P14" s="3073"/>
      <c r="Q14" s="1600"/>
      <c r="R14" s="1044"/>
      <c r="S14" s="1044"/>
    </row>
    <row r="15" spans="1:21">
      <c r="C15" s="3076" t="s">
        <v>886</v>
      </c>
      <c r="D15" s="3076"/>
      <c r="E15" s="3076"/>
      <c r="F15" s="3079" t="s">
        <v>928</v>
      </c>
      <c r="G15" s="3079"/>
      <c r="H15" s="3079"/>
      <c r="I15" s="1669" t="s">
        <v>201</v>
      </c>
      <c r="J15" s="3071">
        <v>36892</v>
      </c>
      <c r="K15" s="3071"/>
      <c r="L15" s="3050"/>
      <c r="M15" s="3050"/>
      <c r="N15" s="3073"/>
      <c r="O15" s="3073"/>
      <c r="P15" s="3073"/>
      <c r="Q15" s="1600"/>
      <c r="R15" s="1044"/>
      <c r="S15" s="1044"/>
    </row>
    <row r="16" spans="1:21" s="160" customFormat="1" ht="3" customHeight="1">
      <c r="A16" s="1046"/>
      <c r="C16" s="1603"/>
      <c r="D16" s="1603"/>
      <c r="E16" s="1603"/>
      <c r="F16" s="1603"/>
      <c r="G16" s="1603"/>
      <c r="H16" s="1603"/>
      <c r="I16" s="1603"/>
      <c r="J16" s="1603"/>
      <c r="K16" s="1603"/>
      <c r="L16" s="1603"/>
      <c r="M16" s="1603"/>
      <c r="N16" s="1603"/>
      <c r="O16" s="1603"/>
      <c r="P16" s="1603"/>
      <c r="Q16" s="1601"/>
      <c r="R16" s="1045"/>
      <c r="S16" s="1045"/>
    </row>
    <row r="17" spans="1:21" ht="18.75" customHeight="1">
      <c r="C17" s="1604" t="s">
        <v>791</v>
      </c>
      <c r="D17" s="1605"/>
      <c r="E17" s="1605"/>
      <c r="F17" s="1594"/>
      <c r="G17" s="1594"/>
      <c r="H17" s="1594"/>
      <c r="I17" s="1594"/>
      <c r="J17" s="1594"/>
      <c r="K17" s="1594"/>
      <c r="L17" s="1594"/>
      <c r="M17" s="1594"/>
      <c r="N17" s="1594"/>
      <c r="O17" s="1594"/>
      <c r="P17" s="1594"/>
      <c r="Q17" s="1600"/>
      <c r="R17" s="1044"/>
      <c r="S17" s="1044"/>
      <c r="U17" s="1044"/>
    </row>
    <row r="18" spans="1:21">
      <c r="C18" s="3052" t="s">
        <v>1183</v>
      </c>
      <c r="D18" s="3053"/>
      <c r="E18" s="3054">
        <f>'Barge Gauging Data'!N18</f>
        <v>2</v>
      </c>
      <c r="F18" s="3055"/>
      <c r="G18" s="3055"/>
      <c r="H18" s="1606" t="s">
        <v>793</v>
      </c>
      <c r="I18" s="3060">
        <f>'Barge Gauging Data'!N20</f>
        <v>1</v>
      </c>
      <c r="J18" s="3061"/>
      <c r="K18" s="3064" t="s">
        <v>794</v>
      </c>
      <c r="L18" s="3065"/>
      <c r="M18" s="3066"/>
      <c r="N18" s="1607" t="s">
        <v>772</v>
      </c>
      <c r="O18" s="3090" t="s">
        <v>795</v>
      </c>
      <c r="P18" s="2983" t="s">
        <v>796</v>
      </c>
      <c r="Q18" s="1600"/>
      <c r="R18" s="1044"/>
      <c r="S18" s="1044"/>
    </row>
    <row r="19" spans="1:21">
      <c r="C19" s="3056" t="s">
        <v>1184</v>
      </c>
      <c r="D19" s="3057"/>
      <c r="E19" s="3058">
        <f>'Barge Gauging Data'!N19</f>
        <v>3</v>
      </c>
      <c r="F19" s="3059"/>
      <c r="G19" s="3059"/>
      <c r="H19" s="1608" t="s">
        <v>798</v>
      </c>
      <c r="I19" s="3062">
        <f>'Barge Gauging Data'!N21</f>
        <v>0</v>
      </c>
      <c r="J19" s="3063"/>
      <c r="K19" s="3067" t="s">
        <v>799</v>
      </c>
      <c r="L19" s="3068"/>
      <c r="M19" s="3069"/>
      <c r="N19" s="1609" t="s">
        <v>621</v>
      </c>
      <c r="O19" s="3090"/>
      <c r="P19" s="2983"/>
      <c r="Q19" s="1600"/>
      <c r="R19" s="1044"/>
      <c r="S19" s="1044"/>
    </row>
    <row r="20" spans="1:21" ht="24.95" customHeight="1">
      <c r="C20" s="2994" t="s">
        <v>800</v>
      </c>
      <c r="D20" s="2978" t="s">
        <v>764</v>
      </c>
      <c r="E20" s="2969" t="s">
        <v>36</v>
      </c>
      <c r="F20" s="2994" t="str">
        <f>'Barge BQS Report'!F17</f>
        <v>Actual Height as Measured</v>
      </c>
      <c r="G20" s="2978" t="str">
        <f>'Barge BQS Report'!E17</f>
        <v>Reference Height from Table</v>
      </c>
      <c r="H20" s="2990" t="str">
        <f>'Barge Gauging Data'!H24</f>
        <v>Observed Ullage Sounding Gauge</v>
      </c>
      <c r="I20" s="2992" t="str">
        <f>'Barge Gauging Data'!I24</f>
        <v>Corrected Ullage Sounding Gauge</v>
      </c>
      <c r="J20" s="2980" t="str">
        <f>'Barge BQS Report'!I17</f>
        <v>U-S-G-E</v>
      </c>
      <c r="K20" s="2969" t="s">
        <v>913</v>
      </c>
      <c r="L20" s="2969" t="s">
        <v>912</v>
      </c>
      <c r="M20" s="2969" t="s">
        <v>914</v>
      </c>
      <c r="N20" s="2969" t="str">
        <f>'Barge BQS Report'!M17</f>
        <v>Density
 @ 15°C</v>
      </c>
      <c r="O20" s="2969" t="s">
        <v>168</v>
      </c>
      <c r="P20" s="2969" t="str">
        <f>'Barge BQS Report'!Q17</f>
        <v>G.S.V.
 @ 15° C</v>
      </c>
      <c r="Q20" s="1600"/>
      <c r="R20" s="1044"/>
      <c r="S20" s="1044"/>
    </row>
    <row r="21" spans="1:21" ht="24.95" customHeight="1">
      <c r="C21" s="2995"/>
      <c r="D21" s="2979"/>
      <c r="E21" s="2970"/>
      <c r="F21" s="2995"/>
      <c r="G21" s="2979"/>
      <c r="H21" s="2991"/>
      <c r="I21" s="2993"/>
      <c r="J21" s="2981"/>
      <c r="K21" s="2970"/>
      <c r="L21" s="2970"/>
      <c r="M21" s="2970"/>
      <c r="N21" s="2970"/>
      <c r="O21" s="2970"/>
      <c r="P21" s="2970"/>
      <c r="Q21" s="1600"/>
      <c r="R21" s="1044"/>
      <c r="S21" s="1044"/>
    </row>
    <row r="22" spans="1:21" ht="24">
      <c r="C22" s="2996"/>
      <c r="D22" s="2997"/>
      <c r="E22" s="1610" t="str">
        <f>'Barge BQS Report'!N18</f>
        <v>° C</v>
      </c>
      <c r="F22" s="1611" t="str">
        <f>'Barge BQS Report'!F18</f>
        <v>m</v>
      </c>
      <c r="G22" s="1612" t="str">
        <f>'Barge BQS Report'!E18</f>
        <v>m</v>
      </c>
      <c r="H22" s="1613" t="str">
        <f>'Barge BQS Report'!G18</f>
        <v>m</v>
      </c>
      <c r="I22" s="1614" t="str">
        <f>H22</f>
        <v>m</v>
      </c>
      <c r="J22" s="2982"/>
      <c r="K22" s="1610" t="str">
        <f>'Barge BQS Report'!J18</f>
        <v>m3</v>
      </c>
      <c r="L22" s="1610" t="str">
        <f>'Barge BQS Report'!L18</f>
        <v>m3</v>
      </c>
      <c r="M22" s="1610" t="str">
        <f>'Barge BQS Report'!O18</f>
        <v>m3</v>
      </c>
      <c r="N22" s="1610" t="str">
        <f>'Barge BQS Report'!M18</f>
        <v>kg/L</v>
      </c>
      <c r="O22" s="1610" t="str">
        <f>'Barge BQS Report'!P18</f>
        <v>Table 54B</v>
      </c>
      <c r="P22" s="1610" t="str">
        <f>'Barge BQS Report'!Q18</f>
        <v>m3</v>
      </c>
      <c r="Q22" s="1600"/>
      <c r="R22" s="1044"/>
      <c r="S22" s="1044"/>
    </row>
    <row r="23" spans="1:21" s="1046" customFormat="1" ht="5.25" hidden="1">
      <c r="A23" s="1046" t="s">
        <v>270</v>
      </c>
      <c r="C23" s="1049"/>
      <c r="D23" s="1049"/>
      <c r="E23" s="1049"/>
      <c r="F23" s="1050"/>
      <c r="G23" s="1050"/>
      <c r="H23" s="1049"/>
      <c r="I23" s="1049"/>
      <c r="J23" s="1049"/>
      <c r="K23" s="1049"/>
      <c r="L23" s="1049"/>
      <c r="M23" s="1049"/>
      <c r="N23" s="1049"/>
      <c r="O23" s="1049"/>
      <c r="P23" s="1049"/>
      <c r="Q23" s="1045"/>
      <c r="R23" s="1045"/>
      <c r="S23" s="1045"/>
    </row>
    <row r="24" spans="1:21" hidden="1">
      <c r="A24" s="881" t="s">
        <v>270</v>
      </c>
      <c r="B24" s="881">
        <v>1</v>
      </c>
      <c r="C24" s="2959" t="str">
        <f>'Barge BQS Report'!C21</f>
        <v>NOMINATED TANKS</v>
      </c>
      <c r="D24" s="2960"/>
      <c r="E24" s="2960"/>
      <c r="F24" s="2961"/>
      <c r="G24" s="2962" t="str">
        <f>'Barge BQS Report'!E21</f>
        <v>HSFO</v>
      </c>
      <c r="H24" s="2963"/>
      <c r="I24" s="1051"/>
      <c r="J24" s="1052"/>
      <c r="K24" s="1053"/>
      <c r="L24" s="1054"/>
      <c r="M24" s="1054"/>
      <c r="N24" s="1055"/>
      <c r="O24" s="1056"/>
      <c r="P24" s="1054"/>
      <c r="Q24" s="1044"/>
      <c r="R24" s="1044"/>
      <c r="S24" s="1044"/>
    </row>
    <row r="25" spans="1:21" hidden="1">
      <c r="A25" s="881" t="str">
        <f>'Barge BQS Report'!A22</f>
        <v>N</v>
      </c>
      <c r="C25" s="1057" t="str">
        <f>'Barge BQS Report'!C22</f>
        <v/>
      </c>
      <c r="D25" s="1058" t="str">
        <f>'Barge BQS Report'!D22</f>
        <v/>
      </c>
      <c r="E25" s="1059" t="str">
        <f>'Barge BQS Report'!N22</f>
        <v/>
      </c>
      <c r="F25" s="1060" t="str">
        <f>'Barge BQS Report'!F22</f>
        <v/>
      </c>
      <c r="G25" s="1061" t="str">
        <f>'Barge BQS Report'!E22</f>
        <v/>
      </c>
      <c r="H25" s="1161" t="str">
        <f>'Barge BQS Report'!G22</f>
        <v/>
      </c>
      <c r="I25" s="1159" t="str">
        <f>'Barge BQS Report'!H22</f>
        <v/>
      </c>
      <c r="J25" s="1062" t="str">
        <f>'Barge BQS Report'!I22</f>
        <v/>
      </c>
      <c r="K25" s="1063" t="str">
        <f>'Barge BQS Report'!J22</f>
        <v/>
      </c>
      <c r="L25" s="1064" t="str">
        <f>'Barge BQS Report'!L22</f>
        <v/>
      </c>
      <c r="M25" s="1064" t="str">
        <f>'Barge BQS Report'!O22</f>
        <v/>
      </c>
      <c r="N25" s="1065" t="str">
        <f>'Barge BQS Report'!M22</f>
        <v/>
      </c>
      <c r="O25" s="1065" t="str">
        <f>'Barge BQS Report'!P22</f>
        <v/>
      </c>
      <c r="P25" s="1064" t="str">
        <f>'Barge BQS Report'!Q22</f>
        <v/>
      </c>
      <c r="Q25" s="1044"/>
      <c r="R25" s="1044"/>
      <c r="S25" s="1044"/>
    </row>
    <row r="26" spans="1:21" hidden="1">
      <c r="A26" s="881" t="str">
        <f>'Barge BQS Report'!A23</f>
        <v>N</v>
      </c>
      <c r="C26" s="1057" t="str">
        <f>'Barge BQS Report'!C23</f>
        <v/>
      </c>
      <c r="D26" s="1058" t="str">
        <f>'Barge BQS Report'!D23</f>
        <v/>
      </c>
      <c r="E26" s="1059" t="str">
        <f>'Barge BQS Report'!N23</f>
        <v/>
      </c>
      <c r="F26" s="1060" t="str">
        <f>'Barge BQS Report'!F23</f>
        <v/>
      </c>
      <c r="G26" s="1061" t="str">
        <f>'Barge BQS Report'!E23</f>
        <v/>
      </c>
      <c r="H26" s="1060" t="str">
        <f>'Barge BQS Report'!G23</f>
        <v/>
      </c>
      <c r="I26" s="1159" t="str">
        <f>'Barge BQS Report'!H23</f>
        <v/>
      </c>
      <c r="J26" s="1062" t="str">
        <f>'Barge BQS Report'!I23</f>
        <v/>
      </c>
      <c r="K26" s="1063" t="str">
        <f>'Barge BQS Report'!J23</f>
        <v/>
      </c>
      <c r="L26" s="1064" t="str">
        <f>'Barge BQS Report'!L23</f>
        <v/>
      </c>
      <c r="M26" s="1064" t="str">
        <f>'Barge BQS Report'!O23</f>
        <v/>
      </c>
      <c r="N26" s="1065" t="str">
        <f>'Barge BQS Report'!M23</f>
        <v/>
      </c>
      <c r="O26" s="1065" t="str">
        <f>'Barge BQS Report'!P23</f>
        <v/>
      </c>
      <c r="P26" s="1064" t="str">
        <f>'Barge BQS Report'!Q23</f>
        <v/>
      </c>
      <c r="Q26" s="1044"/>
      <c r="R26" s="1044"/>
      <c r="S26" s="1044"/>
    </row>
    <row r="27" spans="1:21" hidden="1">
      <c r="A27" s="881" t="str">
        <f>'Barge BQS Report'!A24</f>
        <v>N</v>
      </c>
      <c r="C27" s="1057" t="str">
        <f>'Barge BQS Report'!C24</f>
        <v/>
      </c>
      <c r="D27" s="1058" t="str">
        <f>'Barge BQS Report'!D24</f>
        <v/>
      </c>
      <c r="E27" s="1059" t="str">
        <f>'Barge BQS Report'!N24</f>
        <v/>
      </c>
      <c r="F27" s="1060" t="str">
        <f>'Barge BQS Report'!F24</f>
        <v/>
      </c>
      <c r="G27" s="1061" t="str">
        <f>'Barge BQS Report'!E24</f>
        <v/>
      </c>
      <c r="H27" s="1060" t="str">
        <f>'Barge BQS Report'!G24</f>
        <v/>
      </c>
      <c r="I27" s="1159" t="str">
        <f>'Barge BQS Report'!H24</f>
        <v/>
      </c>
      <c r="J27" s="1062" t="str">
        <f>'Barge BQS Report'!I24</f>
        <v/>
      </c>
      <c r="K27" s="1063" t="str">
        <f>'Barge BQS Report'!J24</f>
        <v/>
      </c>
      <c r="L27" s="1064" t="str">
        <f>'Barge BQS Report'!L24</f>
        <v/>
      </c>
      <c r="M27" s="1064" t="str">
        <f>'Barge BQS Report'!O24</f>
        <v/>
      </c>
      <c r="N27" s="1065" t="str">
        <f>'Barge BQS Report'!M24</f>
        <v/>
      </c>
      <c r="O27" s="1065" t="str">
        <f>'Barge BQS Report'!P24</f>
        <v/>
      </c>
      <c r="P27" s="1064" t="str">
        <f>'Barge BQS Report'!Q24</f>
        <v/>
      </c>
      <c r="Q27" s="1044"/>
      <c r="R27" s="1044"/>
      <c r="S27" s="1044"/>
    </row>
    <row r="28" spans="1:21" hidden="1">
      <c r="A28" s="881" t="str">
        <f>'Barge BQS Report'!A25</f>
        <v>N</v>
      </c>
      <c r="C28" s="1057" t="str">
        <f>'Barge BQS Report'!C25</f>
        <v/>
      </c>
      <c r="D28" s="1058" t="str">
        <f>'Barge BQS Report'!D25</f>
        <v/>
      </c>
      <c r="E28" s="1059" t="str">
        <f>'Barge BQS Report'!N25</f>
        <v/>
      </c>
      <c r="F28" s="1060" t="str">
        <f>'Barge BQS Report'!F25</f>
        <v/>
      </c>
      <c r="G28" s="1061" t="str">
        <f>'Barge BQS Report'!E25</f>
        <v/>
      </c>
      <c r="H28" s="1060" t="str">
        <f>'Barge BQS Report'!G25</f>
        <v/>
      </c>
      <c r="I28" s="1159" t="str">
        <f>'Barge BQS Report'!H25</f>
        <v/>
      </c>
      <c r="J28" s="1062" t="str">
        <f>'Barge BQS Report'!I25</f>
        <v/>
      </c>
      <c r="K28" s="1063" t="str">
        <f>'Barge BQS Report'!J25</f>
        <v/>
      </c>
      <c r="L28" s="1064" t="str">
        <f>'Barge BQS Report'!L25</f>
        <v/>
      </c>
      <c r="M28" s="1064" t="str">
        <f>'Barge BQS Report'!O25</f>
        <v/>
      </c>
      <c r="N28" s="1065" t="str">
        <f>'Barge BQS Report'!M25</f>
        <v/>
      </c>
      <c r="O28" s="1065" t="str">
        <f>'Barge BQS Report'!P25</f>
        <v/>
      </c>
      <c r="P28" s="1064" t="str">
        <f>'Barge BQS Report'!Q25</f>
        <v/>
      </c>
      <c r="Q28" s="1044"/>
      <c r="R28" s="1044"/>
      <c r="S28" s="1044"/>
    </row>
    <row r="29" spans="1:21" hidden="1">
      <c r="A29" s="881" t="str">
        <f>'Barge BQS Report'!A26</f>
        <v>N</v>
      </c>
      <c r="C29" s="1057" t="str">
        <f>'Barge BQS Report'!C26</f>
        <v/>
      </c>
      <c r="D29" s="1058" t="str">
        <f>'Barge BQS Report'!D26</f>
        <v/>
      </c>
      <c r="E29" s="1059" t="str">
        <f>'Barge BQS Report'!N26</f>
        <v/>
      </c>
      <c r="F29" s="1060" t="str">
        <f>'Barge BQS Report'!F26</f>
        <v/>
      </c>
      <c r="G29" s="1061" t="str">
        <f>'Barge BQS Report'!E26</f>
        <v/>
      </c>
      <c r="H29" s="1060" t="str">
        <f>'Barge BQS Report'!G26</f>
        <v/>
      </c>
      <c r="I29" s="1159" t="str">
        <f>'Barge BQS Report'!H26</f>
        <v/>
      </c>
      <c r="J29" s="1062" t="str">
        <f>'Barge BQS Report'!I26</f>
        <v/>
      </c>
      <c r="K29" s="1063" t="str">
        <f>'Barge BQS Report'!J26</f>
        <v/>
      </c>
      <c r="L29" s="1064" t="str">
        <f>'Barge BQS Report'!L26</f>
        <v/>
      </c>
      <c r="M29" s="1064" t="str">
        <f>'Barge BQS Report'!O26</f>
        <v/>
      </c>
      <c r="N29" s="1065" t="str">
        <f>'Barge BQS Report'!M26</f>
        <v/>
      </c>
      <c r="O29" s="1065" t="str">
        <f>'Barge BQS Report'!P26</f>
        <v/>
      </c>
      <c r="P29" s="1064" t="str">
        <f>'Barge BQS Report'!Q26</f>
        <v/>
      </c>
      <c r="Q29" s="1044"/>
      <c r="R29" s="1044"/>
      <c r="S29" s="1044"/>
    </row>
    <row r="30" spans="1:21" hidden="1">
      <c r="A30" s="881" t="str">
        <f>'Barge BQS Report'!A27</f>
        <v>N</v>
      </c>
      <c r="C30" s="1057" t="str">
        <f>'Barge BQS Report'!C27</f>
        <v/>
      </c>
      <c r="D30" s="1058" t="str">
        <f>'Barge BQS Report'!D27</f>
        <v/>
      </c>
      <c r="E30" s="1059" t="str">
        <f>'Barge BQS Report'!N27</f>
        <v/>
      </c>
      <c r="F30" s="1060" t="str">
        <f>'Barge BQS Report'!F27</f>
        <v/>
      </c>
      <c r="G30" s="1061" t="str">
        <f>'Barge BQS Report'!E27</f>
        <v/>
      </c>
      <c r="H30" s="1060" t="str">
        <f>'Barge BQS Report'!G27</f>
        <v/>
      </c>
      <c r="I30" s="1159" t="str">
        <f>'Barge BQS Report'!H27</f>
        <v/>
      </c>
      <c r="J30" s="1062" t="str">
        <f>'Barge BQS Report'!I27</f>
        <v/>
      </c>
      <c r="K30" s="1063" t="str">
        <f>'Barge BQS Report'!J27</f>
        <v/>
      </c>
      <c r="L30" s="1064" t="str">
        <f>'Barge BQS Report'!L27</f>
        <v/>
      </c>
      <c r="M30" s="1064" t="str">
        <f>'Barge BQS Report'!O27</f>
        <v/>
      </c>
      <c r="N30" s="1065" t="str">
        <f>'Barge BQS Report'!M27</f>
        <v/>
      </c>
      <c r="O30" s="1065" t="str">
        <f>'Barge BQS Report'!P27</f>
        <v/>
      </c>
      <c r="P30" s="1064" t="str">
        <f>'Barge BQS Report'!Q27</f>
        <v/>
      </c>
      <c r="Q30" s="1044"/>
      <c r="R30" s="1044"/>
      <c r="S30" s="1044"/>
    </row>
    <row r="31" spans="1:21" hidden="1">
      <c r="A31" s="881" t="str">
        <f>'Barge BQS Report'!A28</f>
        <v>N</v>
      </c>
      <c r="C31" s="1057" t="str">
        <f>'Barge BQS Report'!C28</f>
        <v/>
      </c>
      <c r="D31" s="1058" t="str">
        <f>'Barge BQS Report'!D28</f>
        <v/>
      </c>
      <c r="E31" s="1059" t="str">
        <f>'Barge BQS Report'!N28</f>
        <v/>
      </c>
      <c r="F31" s="1060" t="str">
        <f>'Barge BQS Report'!F28</f>
        <v/>
      </c>
      <c r="G31" s="1061" t="str">
        <f>'Barge BQS Report'!E28</f>
        <v/>
      </c>
      <c r="H31" s="1060" t="str">
        <f>'Barge BQS Report'!G28</f>
        <v/>
      </c>
      <c r="I31" s="1159" t="str">
        <f>'Barge BQS Report'!H28</f>
        <v/>
      </c>
      <c r="J31" s="1062" t="str">
        <f>'Barge BQS Report'!I28</f>
        <v/>
      </c>
      <c r="K31" s="1063" t="str">
        <f>'Barge BQS Report'!J28</f>
        <v/>
      </c>
      <c r="L31" s="1064" t="str">
        <f>'Barge BQS Report'!L28</f>
        <v/>
      </c>
      <c r="M31" s="1064" t="str">
        <f>'Barge BQS Report'!O28</f>
        <v/>
      </c>
      <c r="N31" s="1065" t="str">
        <f>'Barge BQS Report'!M28</f>
        <v/>
      </c>
      <c r="O31" s="1065" t="str">
        <f>'Barge BQS Report'!P28</f>
        <v/>
      </c>
      <c r="P31" s="1064" t="str">
        <f>'Barge BQS Report'!Q28</f>
        <v/>
      </c>
      <c r="Q31" s="1044"/>
      <c r="R31" s="1044"/>
      <c r="S31" s="1044"/>
    </row>
    <row r="32" spans="1:21" hidden="1">
      <c r="A32" s="881" t="str">
        <f>'Barge BQS Report'!A29</f>
        <v>N</v>
      </c>
      <c r="C32" s="1057" t="str">
        <f>'Barge BQS Report'!C29</f>
        <v/>
      </c>
      <c r="D32" s="1058" t="str">
        <f>'Barge BQS Report'!D29</f>
        <v/>
      </c>
      <c r="E32" s="1059" t="str">
        <f>'Barge BQS Report'!N29</f>
        <v/>
      </c>
      <c r="F32" s="1060" t="str">
        <f>'Barge BQS Report'!F29</f>
        <v/>
      </c>
      <c r="G32" s="1061" t="str">
        <f>'Barge BQS Report'!E29</f>
        <v/>
      </c>
      <c r="H32" s="1060" t="str">
        <f>'Barge BQS Report'!G29</f>
        <v/>
      </c>
      <c r="I32" s="1159" t="str">
        <f>'Barge BQS Report'!H29</f>
        <v/>
      </c>
      <c r="J32" s="1062" t="str">
        <f>'Barge BQS Report'!I29</f>
        <v/>
      </c>
      <c r="K32" s="1063" t="str">
        <f>'Barge BQS Report'!J29</f>
        <v/>
      </c>
      <c r="L32" s="1064" t="str">
        <f>'Barge BQS Report'!L29</f>
        <v/>
      </c>
      <c r="M32" s="1064" t="str">
        <f>'Barge BQS Report'!O29</f>
        <v/>
      </c>
      <c r="N32" s="1065" t="str">
        <f>'Barge BQS Report'!M29</f>
        <v/>
      </c>
      <c r="O32" s="1065" t="str">
        <f>'Barge BQS Report'!P29</f>
        <v/>
      </c>
      <c r="P32" s="1064" t="str">
        <f>'Barge BQS Report'!Q29</f>
        <v/>
      </c>
      <c r="Q32" s="1044"/>
      <c r="R32" s="1044"/>
      <c r="S32" s="1044"/>
    </row>
    <row r="33" spans="1:19" hidden="1">
      <c r="A33" s="881" t="str">
        <f>'Barge BQS Report'!A30</f>
        <v>N</v>
      </c>
      <c r="C33" s="1057" t="str">
        <f>'Barge BQS Report'!C30</f>
        <v/>
      </c>
      <c r="D33" s="1058" t="str">
        <f>'Barge BQS Report'!D30</f>
        <v/>
      </c>
      <c r="E33" s="1059" t="str">
        <f>'Barge BQS Report'!N30</f>
        <v/>
      </c>
      <c r="F33" s="1060" t="str">
        <f>'Barge BQS Report'!F30</f>
        <v/>
      </c>
      <c r="G33" s="1061" t="str">
        <f>'Barge BQS Report'!E30</f>
        <v/>
      </c>
      <c r="H33" s="1060" t="str">
        <f>'Barge BQS Report'!G30</f>
        <v/>
      </c>
      <c r="I33" s="1159" t="str">
        <f>'Barge BQS Report'!H30</f>
        <v/>
      </c>
      <c r="J33" s="1062" t="str">
        <f>'Barge BQS Report'!I30</f>
        <v/>
      </c>
      <c r="K33" s="1063" t="str">
        <f>'Barge BQS Report'!J30</f>
        <v/>
      </c>
      <c r="L33" s="1064" t="str">
        <f>'Barge BQS Report'!L30</f>
        <v/>
      </c>
      <c r="M33" s="1064" t="str">
        <f>'Barge BQS Report'!O30</f>
        <v/>
      </c>
      <c r="N33" s="1065" t="str">
        <f>'Barge BQS Report'!M30</f>
        <v/>
      </c>
      <c r="O33" s="1065" t="str">
        <f>'Barge BQS Report'!P30</f>
        <v/>
      </c>
      <c r="P33" s="1064" t="str">
        <f>'Barge BQS Report'!Q30</f>
        <v/>
      </c>
      <c r="Q33" s="1044"/>
      <c r="R33" s="1044"/>
      <c r="S33" s="1044"/>
    </row>
    <row r="34" spans="1:19" hidden="1">
      <c r="A34" s="881" t="str">
        <f>'Barge BQS Report'!A31</f>
        <v>N</v>
      </c>
      <c r="C34" s="1057" t="str">
        <f>'Barge BQS Report'!C31</f>
        <v/>
      </c>
      <c r="D34" s="1058" t="str">
        <f>'Barge BQS Report'!D31</f>
        <v/>
      </c>
      <c r="E34" s="1059" t="str">
        <f>'Barge BQS Report'!N31</f>
        <v/>
      </c>
      <c r="F34" s="1060" t="str">
        <f>'Barge BQS Report'!F31</f>
        <v/>
      </c>
      <c r="G34" s="1061" t="str">
        <f>'Barge BQS Report'!E31</f>
        <v/>
      </c>
      <c r="H34" s="1060" t="str">
        <f>'Barge BQS Report'!G31</f>
        <v/>
      </c>
      <c r="I34" s="1159" t="str">
        <f>'Barge BQS Report'!H31</f>
        <v/>
      </c>
      <c r="J34" s="1062" t="str">
        <f>'Barge BQS Report'!I31</f>
        <v/>
      </c>
      <c r="K34" s="1063" t="str">
        <f>'Barge BQS Report'!J31</f>
        <v/>
      </c>
      <c r="L34" s="1064" t="str">
        <f>'Barge BQS Report'!L31</f>
        <v/>
      </c>
      <c r="M34" s="1064" t="str">
        <f>'Barge BQS Report'!O31</f>
        <v/>
      </c>
      <c r="N34" s="1065" t="str">
        <f>'Barge BQS Report'!M31</f>
        <v/>
      </c>
      <c r="O34" s="1065" t="str">
        <f>'Barge BQS Report'!P31</f>
        <v/>
      </c>
      <c r="P34" s="1064" t="str">
        <f>'Barge BQS Report'!Q31</f>
        <v/>
      </c>
      <c r="Q34" s="1044"/>
      <c r="R34" s="1044"/>
      <c r="S34" s="1044"/>
    </row>
    <row r="35" spans="1:19" hidden="1">
      <c r="A35" s="881" t="str">
        <f>'Barge BQS Report'!A32</f>
        <v>N</v>
      </c>
      <c r="C35" s="1057" t="str">
        <f>'Barge BQS Report'!C32</f>
        <v/>
      </c>
      <c r="D35" s="1058" t="str">
        <f>'Barge BQS Report'!D32</f>
        <v/>
      </c>
      <c r="E35" s="1059" t="str">
        <f>'Barge BQS Report'!N32</f>
        <v/>
      </c>
      <c r="F35" s="1060" t="str">
        <f>'Barge BQS Report'!F32</f>
        <v/>
      </c>
      <c r="G35" s="1061" t="str">
        <f>'Barge BQS Report'!E32</f>
        <v/>
      </c>
      <c r="H35" s="1060" t="str">
        <f>'Barge BQS Report'!G32</f>
        <v/>
      </c>
      <c r="I35" s="1159" t="str">
        <f>'Barge BQS Report'!H32</f>
        <v/>
      </c>
      <c r="J35" s="1062" t="str">
        <f>'Barge BQS Report'!I32</f>
        <v/>
      </c>
      <c r="K35" s="1063" t="str">
        <f>'Barge BQS Report'!J32</f>
        <v/>
      </c>
      <c r="L35" s="1064" t="str">
        <f>'Barge BQS Report'!L32</f>
        <v/>
      </c>
      <c r="M35" s="1064" t="str">
        <f>'Barge BQS Report'!O32</f>
        <v/>
      </c>
      <c r="N35" s="1065" t="str">
        <f>'Barge BQS Report'!M32</f>
        <v/>
      </c>
      <c r="O35" s="1065" t="str">
        <f>'Barge BQS Report'!P32</f>
        <v/>
      </c>
      <c r="P35" s="1064" t="str">
        <f>'Barge BQS Report'!Q32</f>
        <v/>
      </c>
      <c r="Q35" s="1044"/>
      <c r="R35" s="1044"/>
      <c r="S35" s="1044"/>
    </row>
    <row r="36" spans="1:19" hidden="1">
      <c r="A36" s="881" t="str">
        <f>'Barge BQS Report'!A33</f>
        <v>N</v>
      </c>
      <c r="C36" s="1057" t="str">
        <f>'Barge BQS Report'!C33</f>
        <v/>
      </c>
      <c r="D36" s="1058" t="str">
        <f>'Barge BQS Report'!D33</f>
        <v/>
      </c>
      <c r="E36" s="1059" t="str">
        <f>'Barge BQS Report'!N33</f>
        <v/>
      </c>
      <c r="F36" s="1060" t="str">
        <f>'Barge BQS Report'!F33</f>
        <v/>
      </c>
      <c r="G36" s="1061" t="str">
        <f>'Barge BQS Report'!E33</f>
        <v/>
      </c>
      <c r="H36" s="1060" t="str">
        <f>'Barge BQS Report'!G33</f>
        <v/>
      </c>
      <c r="I36" s="1159" t="str">
        <f>'Barge BQS Report'!H33</f>
        <v/>
      </c>
      <c r="J36" s="1062" t="str">
        <f>'Barge BQS Report'!I33</f>
        <v/>
      </c>
      <c r="K36" s="1063" t="str">
        <f>'Barge BQS Report'!J33</f>
        <v/>
      </c>
      <c r="L36" s="1064" t="str">
        <f>'Barge BQS Report'!L33</f>
        <v/>
      </c>
      <c r="M36" s="1064" t="str">
        <f>'Barge BQS Report'!O33</f>
        <v/>
      </c>
      <c r="N36" s="1065" t="str">
        <f>'Barge BQS Report'!M33</f>
        <v/>
      </c>
      <c r="O36" s="1065" t="str">
        <f>'Barge BQS Report'!P33</f>
        <v/>
      </c>
      <c r="P36" s="1064" t="str">
        <f>'Barge BQS Report'!Q33</f>
        <v/>
      </c>
      <c r="Q36" s="1044"/>
      <c r="R36" s="1044"/>
      <c r="S36" s="1044"/>
    </row>
    <row r="37" spans="1:19" hidden="1">
      <c r="A37" s="881" t="str">
        <f>'Barge BQS Report'!A34</f>
        <v>N</v>
      </c>
      <c r="C37" s="1057" t="str">
        <f>'Barge BQS Report'!C34</f>
        <v/>
      </c>
      <c r="D37" s="1058" t="str">
        <f>'Barge BQS Report'!D34</f>
        <v/>
      </c>
      <c r="E37" s="1059" t="str">
        <f>'Barge BQS Report'!N34</f>
        <v/>
      </c>
      <c r="F37" s="1060" t="str">
        <f>'Barge BQS Report'!F34</f>
        <v/>
      </c>
      <c r="G37" s="1061" t="str">
        <f>'Barge BQS Report'!E34</f>
        <v/>
      </c>
      <c r="H37" s="1060" t="str">
        <f>'Barge BQS Report'!G34</f>
        <v/>
      </c>
      <c r="I37" s="1159" t="str">
        <f>'Barge BQS Report'!H34</f>
        <v/>
      </c>
      <c r="J37" s="1062" t="str">
        <f>'Barge BQS Report'!I34</f>
        <v/>
      </c>
      <c r="K37" s="1063" t="str">
        <f>'Barge BQS Report'!J34</f>
        <v/>
      </c>
      <c r="L37" s="1064" t="str">
        <f>'Barge BQS Report'!L34</f>
        <v/>
      </c>
      <c r="M37" s="1064" t="str">
        <f>'Barge BQS Report'!O34</f>
        <v/>
      </c>
      <c r="N37" s="1065" t="str">
        <f>'Barge BQS Report'!M34</f>
        <v/>
      </c>
      <c r="O37" s="1065" t="str">
        <f>'Barge BQS Report'!P34</f>
        <v/>
      </c>
      <c r="P37" s="1064" t="str">
        <f>'Barge BQS Report'!Q34</f>
        <v/>
      </c>
      <c r="Q37" s="1044"/>
      <c r="R37" s="1044"/>
      <c r="S37" s="1044"/>
    </row>
    <row r="38" spans="1:19" hidden="1">
      <c r="A38" s="881" t="str">
        <f>'Barge BQS Report'!A35</f>
        <v>N</v>
      </c>
      <c r="C38" s="1057" t="str">
        <f>'Barge BQS Report'!C35</f>
        <v/>
      </c>
      <c r="D38" s="1058" t="str">
        <f>'Barge BQS Report'!D35</f>
        <v/>
      </c>
      <c r="E38" s="1059" t="str">
        <f>'Barge BQS Report'!N35</f>
        <v/>
      </c>
      <c r="F38" s="1060" t="str">
        <f>'Barge BQS Report'!F35</f>
        <v/>
      </c>
      <c r="G38" s="1061" t="str">
        <f>'Barge BQS Report'!E35</f>
        <v/>
      </c>
      <c r="H38" s="1060" t="str">
        <f>'Barge BQS Report'!G35</f>
        <v/>
      </c>
      <c r="I38" s="1159" t="str">
        <f>'Barge BQS Report'!H35</f>
        <v/>
      </c>
      <c r="J38" s="1062" t="str">
        <f>'Barge BQS Report'!I35</f>
        <v/>
      </c>
      <c r="K38" s="1063" t="str">
        <f>'Barge BQS Report'!J35</f>
        <v/>
      </c>
      <c r="L38" s="1064" t="str">
        <f>'Barge BQS Report'!L35</f>
        <v/>
      </c>
      <c r="M38" s="1064" t="str">
        <f>'Barge BQS Report'!O35</f>
        <v/>
      </c>
      <c r="N38" s="1065" t="str">
        <f>'Barge BQS Report'!M35</f>
        <v/>
      </c>
      <c r="O38" s="1065" t="str">
        <f>'Barge BQS Report'!P35</f>
        <v/>
      </c>
      <c r="P38" s="1064" t="str">
        <f>'Barge BQS Report'!Q35</f>
        <v/>
      </c>
      <c r="Q38" s="1044"/>
      <c r="R38" s="1044"/>
      <c r="S38" s="1044"/>
    </row>
    <row r="39" spans="1:19" hidden="1">
      <c r="A39" s="881" t="str">
        <f>'Barge BQS Report'!A36</f>
        <v>N</v>
      </c>
      <c r="C39" s="1057" t="str">
        <f>'Barge BQS Report'!C36</f>
        <v/>
      </c>
      <c r="D39" s="1058" t="str">
        <f>'Barge BQS Report'!D36</f>
        <v/>
      </c>
      <c r="E39" s="1059" t="str">
        <f>'Barge BQS Report'!N36</f>
        <v/>
      </c>
      <c r="F39" s="1060" t="str">
        <f>'Barge BQS Report'!F36</f>
        <v/>
      </c>
      <c r="G39" s="1061" t="str">
        <f>'Barge BQS Report'!E36</f>
        <v/>
      </c>
      <c r="H39" s="1060" t="str">
        <f>'Barge BQS Report'!G36</f>
        <v/>
      </c>
      <c r="I39" s="1159" t="str">
        <f>'Barge BQS Report'!H36</f>
        <v/>
      </c>
      <c r="J39" s="1062" t="str">
        <f>'Barge BQS Report'!I36</f>
        <v/>
      </c>
      <c r="K39" s="1063" t="str">
        <f>'Barge BQS Report'!J36</f>
        <v/>
      </c>
      <c r="L39" s="1064" t="str">
        <f>'Barge BQS Report'!L36</f>
        <v/>
      </c>
      <c r="M39" s="1064" t="str">
        <f>'Barge BQS Report'!O36</f>
        <v/>
      </c>
      <c r="N39" s="1065" t="str">
        <f>'Barge BQS Report'!M36</f>
        <v/>
      </c>
      <c r="O39" s="1065" t="str">
        <f>'Barge BQS Report'!P36</f>
        <v/>
      </c>
      <c r="P39" s="1064" t="str">
        <f>'Barge BQS Report'!Q36</f>
        <v/>
      </c>
      <c r="Q39" s="1044"/>
      <c r="R39" s="1044"/>
      <c r="S39" s="1044"/>
    </row>
    <row r="40" spans="1:19" hidden="1">
      <c r="A40" s="881" t="str">
        <f>'Barge BQS Report'!A37</f>
        <v>N</v>
      </c>
      <c r="C40" s="1057" t="str">
        <f>'Barge BQS Report'!C37</f>
        <v/>
      </c>
      <c r="D40" s="1058" t="str">
        <f>'Barge BQS Report'!D37</f>
        <v/>
      </c>
      <c r="E40" s="1059" t="str">
        <f>'Barge BQS Report'!N37</f>
        <v/>
      </c>
      <c r="F40" s="1060" t="str">
        <f>'Barge BQS Report'!F37</f>
        <v/>
      </c>
      <c r="G40" s="1061" t="str">
        <f>'Barge BQS Report'!E37</f>
        <v/>
      </c>
      <c r="H40" s="1060" t="str">
        <f>'Barge BQS Report'!G37</f>
        <v/>
      </c>
      <c r="I40" s="1159" t="str">
        <f>'Barge BQS Report'!H37</f>
        <v/>
      </c>
      <c r="J40" s="1062" t="str">
        <f>'Barge BQS Report'!I37</f>
        <v/>
      </c>
      <c r="K40" s="1063" t="str">
        <f>'Barge BQS Report'!J37</f>
        <v/>
      </c>
      <c r="L40" s="1064" t="str">
        <f>'Barge BQS Report'!L37</f>
        <v/>
      </c>
      <c r="M40" s="1064" t="str">
        <f>'Barge BQS Report'!O37</f>
        <v/>
      </c>
      <c r="N40" s="1065" t="str">
        <f>'Barge BQS Report'!M37</f>
        <v/>
      </c>
      <c r="O40" s="1065" t="str">
        <f>'Barge BQS Report'!P37</f>
        <v/>
      </c>
      <c r="P40" s="1064" t="str">
        <f>'Barge BQS Report'!Q37</f>
        <v/>
      </c>
      <c r="Q40" s="1044"/>
      <c r="R40" s="1044"/>
      <c r="S40" s="1044"/>
    </row>
    <row r="41" spans="1:19" hidden="1">
      <c r="A41" s="881" t="str">
        <f>'Barge BQS Report'!A38</f>
        <v>N</v>
      </c>
      <c r="C41" s="1057" t="str">
        <f>'Barge BQS Report'!C38</f>
        <v/>
      </c>
      <c r="D41" s="1058" t="str">
        <f>'Barge BQS Report'!D38</f>
        <v/>
      </c>
      <c r="E41" s="1059" t="str">
        <f>'Barge BQS Report'!N38</f>
        <v/>
      </c>
      <c r="F41" s="1060" t="str">
        <f>'Barge BQS Report'!F38</f>
        <v/>
      </c>
      <c r="G41" s="1061" t="str">
        <f>'Barge BQS Report'!E38</f>
        <v/>
      </c>
      <c r="H41" s="1060" t="str">
        <f>'Barge BQS Report'!G38</f>
        <v/>
      </c>
      <c r="I41" s="1159" t="str">
        <f>'Barge BQS Report'!H38</f>
        <v/>
      </c>
      <c r="J41" s="1062" t="str">
        <f>'Barge BQS Report'!I38</f>
        <v/>
      </c>
      <c r="K41" s="1063" t="str">
        <f>'Barge BQS Report'!J38</f>
        <v/>
      </c>
      <c r="L41" s="1064" t="str">
        <f>'Barge BQS Report'!L38</f>
        <v/>
      </c>
      <c r="M41" s="1064" t="str">
        <f>'Barge BQS Report'!O38</f>
        <v/>
      </c>
      <c r="N41" s="1065" t="str">
        <f>'Barge BQS Report'!M38</f>
        <v/>
      </c>
      <c r="O41" s="1065" t="str">
        <f>'Barge BQS Report'!P38</f>
        <v/>
      </c>
      <c r="P41" s="1064" t="str">
        <f>'Barge BQS Report'!Q38</f>
        <v/>
      </c>
      <c r="Q41" s="1044"/>
      <c r="R41" s="1044"/>
      <c r="S41" s="1044"/>
    </row>
    <row r="42" spans="1:19" hidden="1">
      <c r="A42" s="881" t="str">
        <f>'Barge BQS Report'!A39</f>
        <v>N</v>
      </c>
      <c r="C42" s="1057" t="str">
        <f>'Barge BQS Report'!C39</f>
        <v/>
      </c>
      <c r="D42" s="1058" t="str">
        <f>'Barge BQS Report'!D39</f>
        <v/>
      </c>
      <c r="E42" s="1059" t="str">
        <f>'Barge BQS Report'!N39</f>
        <v/>
      </c>
      <c r="F42" s="1060" t="str">
        <f>'Barge BQS Report'!F39</f>
        <v/>
      </c>
      <c r="G42" s="1061" t="str">
        <f>'Barge BQS Report'!E39</f>
        <v/>
      </c>
      <c r="H42" s="1060" t="str">
        <f>'Barge BQS Report'!G39</f>
        <v/>
      </c>
      <c r="I42" s="1159" t="str">
        <f>'Barge BQS Report'!H39</f>
        <v/>
      </c>
      <c r="J42" s="1062" t="str">
        <f>'Barge BQS Report'!I39</f>
        <v/>
      </c>
      <c r="K42" s="1063" t="str">
        <f>'Barge BQS Report'!J39</f>
        <v/>
      </c>
      <c r="L42" s="1064" t="str">
        <f>'Barge BQS Report'!L39</f>
        <v/>
      </c>
      <c r="M42" s="1064" t="str">
        <f>'Barge BQS Report'!O39</f>
        <v/>
      </c>
      <c r="N42" s="1065" t="str">
        <f>'Barge BQS Report'!M39</f>
        <v/>
      </c>
      <c r="O42" s="1065" t="str">
        <f>'Barge BQS Report'!P39</f>
        <v/>
      </c>
      <c r="P42" s="1064" t="str">
        <f>'Barge BQS Report'!Q39</f>
        <v/>
      </c>
      <c r="Q42" s="1044"/>
      <c r="R42" s="1044"/>
      <c r="S42" s="1044"/>
    </row>
    <row r="43" spans="1:19" hidden="1">
      <c r="A43" s="881" t="str">
        <f>'Barge BQS Report'!A40</f>
        <v>N</v>
      </c>
      <c r="C43" s="1057" t="str">
        <f>'Barge BQS Report'!C40</f>
        <v/>
      </c>
      <c r="D43" s="1058" t="str">
        <f>'Barge BQS Report'!D40</f>
        <v/>
      </c>
      <c r="E43" s="1059" t="str">
        <f>'Barge BQS Report'!N40</f>
        <v/>
      </c>
      <c r="F43" s="1060" t="str">
        <f>'Barge BQS Report'!F40</f>
        <v/>
      </c>
      <c r="G43" s="1061" t="str">
        <f>'Barge BQS Report'!E40</f>
        <v/>
      </c>
      <c r="H43" s="1060" t="str">
        <f>'Barge BQS Report'!G40</f>
        <v/>
      </c>
      <c r="I43" s="1159" t="str">
        <f>'Barge BQS Report'!H40</f>
        <v/>
      </c>
      <c r="J43" s="1062" t="str">
        <f>'Barge BQS Report'!I40</f>
        <v/>
      </c>
      <c r="K43" s="1063" t="str">
        <f>'Barge BQS Report'!J40</f>
        <v/>
      </c>
      <c r="L43" s="1064" t="str">
        <f>'Barge BQS Report'!L40</f>
        <v/>
      </c>
      <c r="M43" s="1064" t="str">
        <f>'Barge BQS Report'!O40</f>
        <v/>
      </c>
      <c r="N43" s="1065" t="str">
        <f>'Barge BQS Report'!M40</f>
        <v/>
      </c>
      <c r="O43" s="1065" t="str">
        <f>'Barge BQS Report'!P40</f>
        <v/>
      </c>
      <c r="P43" s="1064" t="str">
        <f>'Barge BQS Report'!Q40</f>
        <v/>
      </c>
      <c r="Q43" s="1044"/>
      <c r="R43" s="1044"/>
      <c r="S43" s="1044"/>
    </row>
    <row r="44" spans="1:19" hidden="1">
      <c r="A44" s="881" t="str">
        <f>'Barge BQS Report'!A41</f>
        <v>N</v>
      </c>
      <c r="C44" s="1099" t="str">
        <f>'Barge BQS Report'!C41</f>
        <v/>
      </c>
      <c r="D44" s="1100" t="str">
        <f>'Barge BQS Report'!D41</f>
        <v/>
      </c>
      <c r="E44" s="1101" t="str">
        <f>'Barge BQS Report'!N41</f>
        <v/>
      </c>
      <c r="F44" s="1102" t="str">
        <f>'Barge BQS Report'!F41</f>
        <v/>
      </c>
      <c r="G44" s="1103" t="str">
        <f>'Barge BQS Report'!E41</f>
        <v/>
      </c>
      <c r="H44" s="1162" t="str">
        <f>'Barge BQS Report'!G41</f>
        <v/>
      </c>
      <c r="I44" s="1160" t="str">
        <f>'Barge BQS Report'!H41</f>
        <v/>
      </c>
      <c r="J44" s="1104" t="str">
        <f>'Barge BQS Report'!I41</f>
        <v/>
      </c>
      <c r="K44" s="1105" t="str">
        <f>'Barge BQS Report'!J41</f>
        <v/>
      </c>
      <c r="L44" s="1106" t="str">
        <f>'Barge BQS Report'!L41</f>
        <v/>
      </c>
      <c r="M44" s="1106" t="str">
        <f>'Barge BQS Report'!O41</f>
        <v/>
      </c>
      <c r="N44" s="1107" t="str">
        <f>'Barge BQS Report'!M41</f>
        <v/>
      </c>
      <c r="O44" s="1107" t="str">
        <f>'Barge BQS Report'!P41</f>
        <v/>
      </c>
      <c r="P44" s="1106" t="str">
        <f>'Barge BQS Report'!Q41</f>
        <v/>
      </c>
      <c r="Q44" s="1044"/>
      <c r="R44" s="1044"/>
      <c r="S44" s="1044"/>
    </row>
    <row r="45" spans="1:19" hidden="1">
      <c r="A45" s="881" t="s">
        <v>270</v>
      </c>
      <c r="C45" s="1118"/>
      <c r="D45" s="1075"/>
      <c r="E45" s="1076"/>
      <c r="F45" s="1077"/>
      <c r="G45" s="1077"/>
      <c r="H45" s="1078"/>
      <c r="I45" s="1078"/>
      <c r="J45" s="1078"/>
      <c r="K45" s="1077"/>
      <c r="L45" s="1079"/>
      <c r="M45" s="2957" t="s">
        <v>801</v>
      </c>
      <c r="N45" s="2957"/>
      <c r="O45" s="3091">
        <f>SUM(P25:P44)</f>
        <v>0</v>
      </c>
      <c r="P45" s="3092"/>
      <c r="Q45" s="1044"/>
      <c r="R45" s="1044"/>
      <c r="S45" s="1044"/>
    </row>
    <row r="46" spans="1:19" s="1046" customFormat="1" ht="5.25" hidden="1">
      <c r="A46" s="1046" t="s">
        <v>270</v>
      </c>
      <c r="C46" s="1108"/>
      <c r="D46" s="1109"/>
      <c r="E46" s="1110"/>
      <c r="F46" s="1111"/>
      <c r="G46" s="1111"/>
      <c r="H46" s="1112"/>
      <c r="I46" s="1113"/>
      <c r="J46" s="1113"/>
      <c r="K46" s="1114"/>
      <c r="L46" s="1115"/>
      <c r="M46" s="1115"/>
      <c r="N46" s="1116"/>
      <c r="O46" s="1117"/>
      <c r="P46" s="1115"/>
      <c r="Q46" s="1045"/>
      <c r="R46" s="1045"/>
      <c r="S46" s="1045"/>
    </row>
    <row r="47" spans="1:19" hidden="1">
      <c r="A47" s="881" t="s">
        <v>270</v>
      </c>
      <c r="B47" s="881">
        <v>2</v>
      </c>
      <c r="C47" s="2959" t="str">
        <f>'Barge BQS Report'!C44</f>
        <v>NOMINATED TANKS</v>
      </c>
      <c r="D47" s="2960"/>
      <c r="E47" s="2960"/>
      <c r="F47" s="2961"/>
      <c r="G47" s="2962" t="str">
        <f>'Barge BQS Report'!E44</f>
        <v>LSFO</v>
      </c>
      <c r="H47" s="2963"/>
      <c r="I47" s="1051"/>
      <c r="J47" s="1052"/>
      <c r="K47" s="1053"/>
      <c r="L47" s="1054"/>
      <c r="M47" s="1054"/>
      <c r="N47" s="1055"/>
      <c r="O47" s="1056"/>
      <c r="P47" s="1054"/>
      <c r="Q47" s="1044"/>
      <c r="R47" s="1044"/>
      <c r="S47" s="1044"/>
    </row>
    <row r="48" spans="1:19" hidden="1">
      <c r="A48" s="881" t="str">
        <f>'Barge BQS Report'!A45</f>
        <v>N</v>
      </c>
      <c r="C48" s="1057" t="str">
        <f>'Barge BQS Report'!C45</f>
        <v>2P</v>
      </c>
      <c r="D48" s="1058" t="str">
        <f>'Barge BQS Report'!D45</f>
        <v>LSFO</v>
      </c>
      <c r="E48" s="1059">
        <f>'Barge BQS Report'!N45</f>
        <v>36</v>
      </c>
      <c r="F48" s="1060">
        <f>'Barge BQS Report'!F45</f>
        <v>4.8150000000000004</v>
      </c>
      <c r="G48" s="1061">
        <f>'Barge BQS Report'!E45</f>
        <v>4.8150000000000004</v>
      </c>
      <c r="H48" s="1060">
        <f>'Barge BQS Report'!G45</f>
        <v>0.83</v>
      </c>
      <c r="I48" s="1159">
        <f>'Barge BQS Report'!H45</f>
        <v>0.9</v>
      </c>
      <c r="J48" s="1062" t="str">
        <f>'Barge BQS Report'!I45</f>
        <v>U</v>
      </c>
      <c r="K48" s="1063">
        <f>'Barge BQS Report'!J45</f>
        <v>69.423000000000002</v>
      </c>
      <c r="L48" s="1064">
        <f>'Barge BQS Report'!L45</f>
        <v>0</v>
      </c>
      <c r="M48" s="1064">
        <f>'Barge BQS Report'!O45</f>
        <v>69.423000000000002</v>
      </c>
      <c r="N48" s="1065">
        <f>'Barge BQS Report'!M45</f>
        <v>0.92059999999999997</v>
      </c>
      <c r="O48" s="1065">
        <f>'Barge BQS Report'!P45</f>
        <v>0.98419000000000001</v>
      </c>
      <c r="P48" s="1064">
        <f>'Barge BQS Report'!Q45</f>
        <v>68.325000000000003</v>
      </c>
      <c r="Q48" s="1044"/>
      <c r="R48" s="1044"/>
      <c r="S48" s="1044"/>
    </row>
    <row r="49" spans="1:19" hidden="1">
      <c r="A49" s="881" t="str">
        <f>'Barge BQS Report'!A46</f>
        <v>N</v>
      </c>
      <c r="C49" s="1057" t="str">
        <f>'Barge BQS Report'!C46</f>
        <v>5P</v>
      </c>
      <c r="D49" s="1058" t="str">
        <f>'Barge BQS Report'!D46</f>
        <v>LSFO</v>
      </c>
      <c r="E49" s="1059">
        <f>'Barge BQS Report'!N46</f>
        <v>36</v>
      </c>
      <c r="F49" s="1060">
        <f>'Barge BQS Report'!F46</f>
        <v>4.8150000000000004</v>
      </c>
      <c r="G49" s="1061">
        <f>'Barge BQS Report'!E46</f>
        <v>4.8150000000000004</v>
      </c>
      <c r="H49" s="1060">
        <f>'Barge BQS Report'!G46</f>
        <v>0.83</v>
      </c>
      <c r="I49" s="1159">
        <f>'Barge BQS Report'!H46</f>
        <v>0.9</v>
      </c>
      <c r="J49" s="1062" t="str">
        <f>'Barge BQS Report'!I46</f>
        <v>U</v>
      </c>
      <c r="K49" s="1063">
        <f>'Barge BQS Report'!J46</f>
        <v>69.659000000000006</v>
      </c>
      <c r="L49" s="1064">
        <f>'Barge BQS Report'!L46</f>
        <v>0</v>
      </c>
      <c r="M49" s="1064">
        <f>'Barge BQS Report'!O46</f>
        <v>69.659000000000006</v>
      </c>
      <c r="N49" s="1065">
        <f>'Barge BQS Report'!M46</f>
        <v>0.92059999999999997</v>
      </c>
      <c r="O49" s="1065">
        <f>'Barge BQS Report'!P46</f>
        <v>0.98419000000000001</v>
      </c>
      <c r="P49" s="1064">
        <f>'Barge BQS Report'!Q46</f>
        <v>68.558000000000007</v>
      </c>
      <c r="Q49" s="1044"/>
      <c r="R49" s="1044"/>
      <c r="S49" s="1044"/>
    </row>
    <row r="50" spans="1:19" hidden="1">
      <c r="A50" s="881" t="str">
        <f>'Barge BQS Report'!A47</f>
        <v>N</v>
      </c>
      <c r="C50" s="1057" t="str">
        <f>'Barge BQS Report'!C47</f>
        <v>5S</v>
      </c>
      <c r="D50" s="1058" t="str">
        <f>'Barge BQS Report'!D47</f>
        <v>LSFO</v>
      </c>
      <c r="E50" s="1059">
        <f>'Barge BQS Report'!N47</f>
        <v>36</v>
      </c>
      <c r="F50" s="1060">
        <f>'Barge BQS Report'!F47</f>
        <v>4.84</v>
      </c>
      <c r="G50" s="1061">
        <f>'Barge BQS Report'!E47</f>
        <v>4.84</v>
      </c>
      <c r="H50" s="1060">
        <f>'Barge BQS Report'!G47</f>
        <v>0.83</v>
      </c>
      <c r="I50" s="1159">
        <f>'Barge BQS Report'!H47</f>
        <v>0.9</v>
      </c>
      <c r="J50" s="1062" t="str">
        <f>'Barge BQS Report'!I47</f>
        <v>U</v>
      </c>
      <c r="K50" s="1063">
        <f>'Barge BQS Report'!J47</f>
        <v>69.659000000000006</v>
      </c>
      <c r="L50" s="1064">
        <f>'Barge BQS Report'!L47</f>
        <v>0</v>
      </c>
      <c r="M50" s="1064">
        <f>'Barge BQS Report'!O47</f>
        <v>69.659000000000006</v>
      </c>
      <c r="N50" s="1065">
        <f>'Barge BQS Report'!M47</f>
        <v>0.92059999999999997</v>
      </c>
      <c r="O50" s="1065">
        <f>'Barge BQS Report'!P47</f>
        <v>0.98419000000000001</v>
      </c>
      <c r="P50" s="1064">
        <f>'Barge BQS Report'!Q47</f>
        <v>68.558000000000007</v>
      </c>
      <c r="Q50" s="1044"/>
      <c r="R50" s="1044"/>
      <c r="S50" s="1044"/>
    </row>
    <row r="51" spans="1:19" hidden="1">
      <c r="A51" s="881" t="str">
        <f>'Barge BQS Report'!A48</f>
        <v>N</v>
      </c>
      <c r="C51" s="1057" t="str">
        <f>'Barge BQS Report'!C48</f>
        <v>6S</v>
      </c>
      <c r="D51" s="1058" t="str">
        <f>'Barge BQS Report'!D48</f>
        <v>LSFO</v>
      </c>
      <c r="E51" s="1059">
        <f>'Barge BQS Report'!N48</f>
        <v>36</v>
      </c>
      <c r="F51" s="1060">
        <f>'Barge BQS Report'!F48</f>
        <v>4.05</v>
      </c>
      <c r="G51" s="1061">
        <f>'Barge BQS Report'!E48</f>
        <v>4.05</v>
      </c>
      <c r="H51" s="1060">
        <f>'Barge BQS Report'!G48</f>
        <v>0.84</v>
      </c>
      <c r="I51" s="1159">
        <f>'Barge BQS Report'!H48</f>
        <v>0.9</v>
      </c>
      <c r="J51" s="1062" t="str">
        <f>'Barge BQS Report'!I48</f>
        <v>U</v>
      </c>
      <c r="K51" s="1063">
        <f>'Barge BQS Report'!J48</f>
        <v>67.808999999999997</v>
      </c>
      <c r="L51" s="1064">
        <f>'Barge BQS Report'!L48</f>
        <v>0</v>
      </c>
      <c r="M51" s="1064">
        <f>'Barge BQS Report'!O48</f>
        <v>67.808999999999997</v>
      </c>
      <c r="N51" s="1065">
        <f>'Barge BQS Report'!M48</f>
        <v>0.92059999999999997</v>
      </c>
      <c r="O51" s="1065">
        <f>'Barge BQS Report'!P48</f>
        <v>0.98419000000000001</v>
      </c>
      <c r="P51" s="1064">
        <f>'Barge BQS Report'!Q48</f>
        <v>66.736999999999995</v>
      </c>
      <c r="Q51" s="1044"/>
      <c r="R51" s="1044"/>
      <c r="S51" s="1044"/>
    </row>
    <row r="52" spans="1:19" hidden="1">
      <c r="A52" s="881" t="str">
        <f>'Barge BQS Report'!A49</f>
        <v>N</v>
      </c>
      <c r="C52" s="1057" t="str">
        <f>'Barge BQS Report'!C49</f>
        <v/>
      </c>
      <c r="D52" s="1058" t="str">
        <f>'Barge BQS Report'!D49</f>
        <v/>
      </c>
      <c r="E52" s="1059" t="str">
        <f>'Barge BQS Report'!N49</f>
        <v/>
      </c>
      <c r="F52" s="1060" t="str">
        <f>'Barge BQS Report'!F49</f>
        <v/>
      </c>
      <c r="G52" s="1061" t="str">
        <f>'Barge BQS Report'!E49</f>
        <v/>
      </c>
      <c r="H52" s="1060" t="str">
        <f>'Barge BQS Report'!G49</f>
        <v/>
      </c>
      <c r="I52" s="1159" t="str">
        <f>'Barge BQS Report'!H49</f>
        <v/>
      </c>
      <c r="J52" s="1062" t="str">
        <f>'Barge BQS Report'!I49</f>
        <v/>
      </c>
      <c r="K52" s="1063" t="str">
        <f>'Barge BQS Report'!J49</f>
        <v/>
      </c>
      <c r="L52" s="1064" t="str">
        <f>'Barge BQS Report'!L49</f>
        <v/>
      </c>
      <c r="M52" s="1064" t="str">
        <f>'Barge BQS Report'!O49</f>
        <v/>
      </c>
      <c r="N52" s="1065" t="str">
        <f>'Barge BQS Report'!M49</f>
        <v/>
      </c>
      <c r="O52" s="1065" t="str">
        <f>'Barge BQS Report'!P49</f>
        <v/>
      </c>
      <c r="P52" s="1064" t="str">
        <f>'Barge BQS Report'!Q49</f>
        <v/>
      </c>
      <c r="Q52" s="1044"/>
      <c r="R52" s="1044"/>
      <c r="S52" s="1044"/>
    </row>
    <row r="53" spans="1:19" hidden="1">
      <c r="A53" s="881" t="str">
        <f>'Barge BQS Report'!A50</f>
        <v>N</v>
      </c>
      <c r="C53" s="1057" t="str">
        <f>'Barge BQS Report'!C50</f>
        <v/>
      </c>
      <c r="D53" s="1058" t="str">
        <f>'Barge BQS Report'!D50</f>
        <v/>
      </c>
      <c r="E53" s="1059" t="str">
        <f>'Barge BQS Report'!N50</f>
        <v/>
      </c>
      <c r="F53" s="1060" t="str">
        <f>'Barge BQS Report'!F50</f>
        <v/>
      </c>
      <c r="G53" s="1061" t="str">
        <f>'Barge BQS Report'!E50</f>
        <v/>
      </c>
      <c r="H53" s="1060" t="str">
        <f>'Barge BQS Report'!G50</f>
        <v/>
      </c>
      <c r="I53" s="1159" t="str">
        <f>'Barge BQS Report'!H50</f>
        <v/>
      </c>
      <c r="J53" s="1062" t="str">
        <f>'Barge BQS Report'!I50</f>
        <v/>
      </c>
      <c r="K53" s="1063" t="str">
        <f>'Barge BQS Report'!J50</f>
        <v/>
      </c>
      <c r="L53" s="1064" t="str">
        <f>'Barge BQS Report'!L50</f>
        <v/>
      </c>
      <c r="M53" s="1064" t="str">
        <f>'Barge BQS Report'!O50</f>
        <v/>
      </c>
      <c r="N53" s="1065" t="str">
        <f>'Barge BQS Report'!M50</f>
        <v/>
      </c>
      <c r="O53" s="1065" t="str">
        <f>'Barge BQS Report'!P50</f>
        <v/>
      </c>
      <c r="P53" s="1064" t="str">
        <f>'Barge BQS Report'!Q50</f>
        <v/>
      </c>
      <c r="Q53" s="1044"/>
      <c r="R53" s="1044"/>
      <c r="S53" s="1044"/>
    </row>
    <row r="54" spans="1:19" hidden="1">
      <c r="A54" s="881" t="str">
        <f>'Barge BQS Report'!A51</f>
        <v>N</v>
      </c>
      <c r="C54" s="1057" t="str">
        <f>'Barge BQS Report'!C51</f>
        <v/>
      </c>
      <c r="D54" s="1058" t="str">
        <f>'Barge BQS Report'!D51</f>
        <v/>
      </c>
      <c r="E54" s="1059" t="str">
        <f>'Barge BQS Report'!N51</f>
        <v/>
      </c>
      <c r="F54" s="1060" t="str">
        <f>'Barge BQS Report'!F51</f>
        <v/>
      </c>
      <c r="G54" s="1061" t="str">
        <f>'Barge BQS Report'!E51</f>
        <v/>
      </c>
      <c r="H54" s="1060" t="str">
        <f>'Barge BQS Report'!G51</f>
        <v/>
      </c>
      <c r="I54" s="1159" t="str">
        <f>'Barge BQS Report'!H51</f>
        <v/>
      </c>
      <c r="J54" s="1062" t="str">
        <f>'Barge BQS Report'!I51</f>
        <v/>
      </c>
      <c r="K54" s="1063" t="str">
        <f>'Barge BQS Report'!J51</f>
        <v/>
      </c>
      <c r="L54" s="1064" t="str">
        <f>'Barge BQS Report'!L51</f>
        <v/>
      </c>
      <c r="M54" s="1064" t="str">
        <f>'Barge BQS Report'!O51</f>
        <v/>
      </c>
      <c r="N54" s="1065" t="str">
        <f>'Barge BQS Report'!M51</f>
        <v/>
      </c>
      <c r="O54" s="1065" t="str">
        <f>'Barge BQS Report'!P51</f>
        <v/>
      </c>
      <c r="P54" s="1064" t="str">
        <f>'Barge BQS Report'!Q51</f>
        <v/>
      </c>
      <c r="Q54" s="1044"/>
      <c r="R54" s="1044"/>
      <c r="S54" s="1044"/>
    </row>
    <row r="55" spans="1:19" hidden="1">
      <c r="A55" s="881" t="str">
        <f>'Barge BQS Report'!A52</f>
        <v>N</v>
      </c>
      <c r="C55" s="1057" t="str">
        <f>'Barge BQS Report'!C52</f>
        <v/>
      </c>
      <c r="D55" s="1058" t="str">
        <f>'Barge BQS Report'!D52</f>
        <v/>
      </c>
      <c r="E55" s="1059" t="str">
        <f>'Barge BQS Report'!N52</f>
        <v/>
      </c>
      <c r="F55" s="1060" t="str">
        <f>'Barge BQS Report'!F52</f>
        <v/>
      </c>
      <c r="G55" s="1061" t="str">
        <f>'Barge BQS Report'!E52</f>
        <v/>
      </c>
      <c r="H55" s="1060" t="str">
        <f>'Barge BQS Report'!G52</f>
        <v/>
      </c>
      <c r="I55" s="1159" t="str">
        <f>'Barge BQS Report'!H52</f>
        <v/>
      </c>
      <c r="J55" s="1062" t="str">
        <f>'Barge BQS Report'!I52</f>
        <v/>
      </c>
      <c r="K55" s="1063" t="str">
        <f>'Barge BQS Report'!J52</f>
        <v/>
      </c>
      <c r="L55" s="1064" t="str">
        <f>'Barge BQS Report'!L52</f>
        <v/>
      </c>
      <c r="M55" s="1064" t="str">
        <f>'Barge BQS Report'!O52</f>
        <v/>
      </c>
      <c r="N55" s="1065" t="str">
        <f>'Barge BQS Report'!M52</f>
        <v/>
      </c>
      <c r="O55" s="1065" t="str">
        <f>'Barge BQS Report'!P52</f>
        <v/>
      </c>
      <c r="P55" s="1064" t="str">
        <f>'Barge BQS Report'!Q52</f>
        <v/>
      </c>
      <c r="Q55" s="1044"/>
      <c r="R55" s="1044"/>
      <c r="S55" s="1044"/>
    </row>
    <row r="56" spans="1:19" hidden="1">
      <c r="A56" s="881" t="str">
        <f>'Barge BQS Report'!A53</f>
        <v>N</v>
      </c>
      <c r="C56" s="1057" t="str">
        <f>'Barge BQS Report'!C53</f>
        <v/>
      </c>
      <c r="D56" s="1058" t="str">
        <f>'Barge BQS Report'!D53</f>
        <v/>
      </c>
      <c r="E56" s="1059" t="str">
        <f>'Barge BQS Report'!N53</f>
        <v/>
      </c>
      <c r="F56" s="1060" t="str">
        <f>'Barge BQS Report'!F53</f>
        <v/>
      </c>
      <c r="G56" s="1061" t="str">
        <f>'Barge BQS Report'!E53</f>
        <v/>
      </c>
      <c r="H56" s="1060" t="str">
        <f>'Barge BQS Report'!G53</f>
        <v/>
      </c>
      <c r="I56" s="1159" t="str">
        <f>'Barge BQS Report'!H53</f>
        <v/>
      </c>
      <c r="J56" s="1062" t="str">
        <f>'Barge BQS Report'!I53</f>
        <v/>
      </c>
      <c r="K56" s="1063" t="str">
        <f>'Barge BQS Report'!J53</f>
        <v/>
      </c>
      <c r="L56" s="1064" t="str">
        <f>'Barge BQS Report'!L53</f>
        <v/>
      </c>
      <c r="M56" s="1064" t="str">
        <f>'Barge BQS Report'!O53</f>
        <v/>
      </c>
      <c r="N56" s="1065" t="str">
        <f>'Barge BQS Report'!M53</f>
        <v/>
      </c>
      <c r="O56" s="1065" t="str">
        <f>'Barge BQS Report'!P53</f>
        <v/>
      </c>
      <c r="P56" s="1064" t="str">
        <f>'Barge BQS Report'!Q53</f>
        <v/>
      </c>
      <c r="Q56" s="1044"/>
      <c r="R56" s="1044"/>
      <c r="S56" s="1044"/>
    </row>
    <row r="57" spans="1:19" hidden="1">
      <c r="A57" s="881" t="str">
        <f>'Barge BQS Report'!A54</f>
        <v>N</v>
      </c>
      <c r="C57" s="1057" t="str">
        <f>'Barge BQS Report'!C54</f>
        <v/>
      </c>
      <c r="D57" s="1058" t="str">
        <f>'Barge BQS Report'!D54</f>
        <v/>
      </c>
      <c r="E57" s="1059" t="str">
        <f>'Barge BQS Report'!N54</f>
        <v/>
      </c>
      <c r="F57" s="1060" t="str">
        <f>'Barge BQS Report'!F54</f>
        <v/>
      </c>
      <c r="G57" s="1061" t="str">
        <f>'Barge BQS Report'!E54</f>
        <v/>
      </c>
      <c r="H57" s="1060" t="str">
        <f>'Barge BQS Report'!G54</f>
        <v/>
      </c>
      <c r="I57" s="1159" t="str">
        <f>'Barge BQS Report'!H54</f>
        <v/>
      </c>
      <c r="J57" s="1062" t="str">
        <f>'Barge BQS Report'!I54</f>
        <v/>
      </c>
      <c r="K57" s="1063" t="str">
        <f>'Barge BQS Report'!J54</f>
        <v/>
      </c>
      <c r="L57" s="1064" t="str">
        <f>'Barge BQS Report'!L54</f>
        <v/>
      </c>
      <c r="M57" s="1064" t="str">
        <f>'Barge BQS Report'!O54</f>
        <v/>
      </c>
      <c r="N57" s="1065" t="str">
        <f>'Barge BQS Report'!M54</f>
        <v/>
      </c>
      <c r="O57" s="1065" t="str">
        <f>'Barge BQS Report'!P54</f>
        <v/>
      </c>
      <c r="P57" s="1064" t="str">
        <f>'Barge BQS Report'!Q54</f>
        <v/>
      </c>
      <c r="Q57" s="1044"/>
      <c r="R57" s="1044"/>
      <c r="S57" s="1044"/>
    </row>
    <row r="58" spans="1:19" hidden="1">
      <c r="A58" s="881" t="str">
        <f>'Barge BQS Report'!A55</f>
        <v>N</v>
      </c>
      <c r="C58" s="1057" t="str">
        <f>'Barge BQS Report'!C55</f>
        <v/>
      </c>
      <c r="D58" s="1058" t="str">
        <f>'Barge BQS Report'!D55</f>
        <v/>
      </c>
      <c r="E58" s="1059" t="str">
        <f>'Barge BQS Report'!N55</f>
        <v/>
      </c>
      <c r="F58" s="1060" t="str">
        <f>'Barge BQS Report'!F55</f>
        <v/>
      </c>
      <c r="G58" s="1061" t="str">
        <f>'Barge BQS Report'!E55</f>
        <v/>
      </c>
      <c r="H58" s="1060" t="str">
        <f>'Barge BQS Report'!G55</f>
        <v/>
      </c>
      <c r="I58" s="1159" t="str">
        <f>'Barge BQS Report'!H55</f>
        <v/>
      </c>
      <c r="J58" s="1062" t="str">
        <f>'Barge BQS Report'!I55</f>
        <v/>
      </c>
      <c r="K58" s="1063" t="str">
        <f>'Barge BQS Report'!J55</f>
        <v/>
      </c>
      <c r="L58" s="1064" t="str">
        <f>'Barge BQS Report'!L55</f>
        <v/>
      </c>
      <c r="M58" s="1064" t="str">
        <f>'Barge BQS Report'!O55</f>
        <v/>
      </c>
      <c r="N58" s="1065" t="str">
        <f>'Barge BQS Report'!M55</f>
        <v/>
      </c>
      <c r="O58" s="1065" t="str">
        <f>'Barge BQS Report'!P55</f>
        <v/>
      </c>
      <c r="P58" s="1064" t="str">
        <f>'Barge BQS Report'!Q55</f>
        <v/>
      </c>
      <c r="Q58" s="1044"/>
      <c r="R58" s="1044"/>
      <c r="S58" s="1044"/>
    </row>
    <row r="59" spans="1:19" hidden="1">
      <c r="A59" s="881" t="str">
        <f>'Barge BQS Report'!A56</f>
        <v>N</v>
      </c>
      <c r="C59" s="1057" t="str">
        <f>'Barge BQS Report'!C56</f>
        <v/>
      </c>
      <c r="D59" s="1058" t="str">
        <f>'Barge BQS Report'!D56</f>
        <v/>
      </c>
      <c r="E59" s="1059" t="str">
        <f>'Barge BQS Report'!N56</f>
        <v/>
      </c>
      <c r="F59" s="1060" t="str">
        <f>'Barge BQS Report'!F56</f>
        <v/>
      </c>
      <c r="G59" s="1061" t="str">
        <f>'Barge BQS Report'!E56</f>
        <v/>
      </c>
      <c r="H59" s="1060" t="str">
        <f>'Barge BQS Report'!G56</f>
        <v/>
      </c>
      <c r="I59" s="1159" t="str">
        <f>'Barge BQS Report'!H56</f>
        <v/>
      </c>
      <c r="J59" s="1062" t="str">
        <f>'Barge BQS Report'!I56</f>
        <v/>
      </c>
      <c r="K59" s="1063" t="str">
        <f>'Barge BQS Report'!J56</f>
        <v/>
      </c>
      <c r="L59" s="1064" t="str">
        <f>'Barge BQS Report'!L56</f>
        <v/>
      </c>
      <c r="M59" s="1064" t="str">
        <f>'Barge BQS Report'!O56</f>
        <v/>
      </c>
      <c r="N59" s="1065" t="str">
        <f>'Barge BQS Report'!M56</f>
        <v/>
      </c>
      <c r="O59" s="1065" t="str">
        <f>'Barge BQS Report'!P56</f>
        <v/>
      </c>
      <c r="P59" s="1064" t="str">
        <f>'Barge BQS Report'!Q56</f>
        <v/>
      </c>
      <c r="Q59" s="1044"/>
      <c r="R59" s="1044"/>
      <c r="S59" s="1044"/>
    </row>
    <row r="60" spans="1:19" hidden="1">
      <c r="A60" s="881" t="str">
        <f>'Barge BQS Report'!A57</f>
        <v>N</v>
      </c>
      <c r="C60" s="1057" t="str">
        <f>'Barge BQS Report'!C57</f>
        <v/>
      </c>
      <c r="D60" s="1058" t="str">
        <f>'Barge BQS Report'!D57</f>
        <v/>
      </c>
      <c r="E60" s="1059" t="str">
        <f>'Barge BQS Report'!N57</f>
        <v/>
      </c>
      <c r="F60" s="1060" t="str">
        <f>'Barge BQS Report'!F57</f>
        <v/>
      </c>
      <c r="G60" s="1061" t="str">
        <f>'Barge BQS Report'!E57</f>
        <v/>
      </c>
      <c r="H60" s="1060" t="str">
        <f>'Barge BQS Report'!G57</f>
        <v/>
      </c>
      <c r="I60" s="1159" t="str">
        <f>'Barge BQS Report'!H57</f>
        <v/>
      </c>
      <c r="J60" s="1062" t="str">
        <f>'Barge BQS Report'!I57</f>
        <v/>
      </c>
      <c r="K60" s="1063" t="str">
        <f>'Barge BQS Report'!J57</f>
        <v/>
      </c>
      <c r="L60" s="1064" t="str">
        <f>'Barge BQS Report'!L57</f>
        <v/>
      </c>
      <c r="M60" s="1064" t="str">
        <f>'Barge BQS Report'!O57</f>
        <v/>
      </c>
      <c r="N60" s="1065" t="str">
        <f>'Barge BQS Report'!M57</f>
        <v/>
      </c>
      <c r="O60" s="1065" t="str">
        <f>'Barge BQS Report'!P57</f>
        <v/>
      </c>
      <c r="P60" s="1064" t="str">
        <f>'Barge BQS Report'!Q57</f>
        <v/>
      </c>
      <c r="Q60" s="1044"/>
      <c r="R60" s="1044"/>
      <c r="S60" s="1044"/>
    </row>
    <row r="61" spans="1:19" hidden="1">
      <c r="A61" s="881" t="str">
        <f>'Barge BQS Report'!A58</f>
        <v>N</v>
      </c>
      <c r="C61" s="1057" t="str">
        <f>'Barge BQS Report'!C58</f>
        <v/>
      </c>
      <c r="D61" s="1058" t="str">
        <f>'Barge BQS Report'!D58</f>
        <v/>
      </c>
      <c r="E61" s="1059" t="str">
        <f>'Barge BQS Report'!N58</f>
        <v/>
      </c>
      <c r="F61" s="1060" t="str">
        <f>'Barge BQS Report'!F58</f>
        <v/>
      </c>
      <c r="G61" s="1061" t="str">
        <f>'Barge BQS Report'!E58</f>
        <v/>
      </c>
      <c r="H61" s="1060" t="str">
        <f>'Barge BQS Report'!G58</f>
        <v/>
      </c>
      <c r="I61" s="1159" t="str">
        <f>'Barge BQS Report'!H58</f>
        <v/>
      </c>
      <c r="J61" s="1062" t="str">
        <f>'Barge BQS Report'!I58</f>
        <v/>
      </c>
      <c r="K61" s="1063" t="str">
        <f>'Barge BQS Report'!J58</f>
        <v/>
      </c>
      <c r="L61" s="1064" t="str">
        <f>'Barge BQS Report'!L58</f>
        <v/>
      </c>
      <c r="M61" s="1064" t="str">
        <f>'Barge BQS Report'!O58</f>
        <v/>
      </c>
      <c r="N61" s="1065" t="str">
        <f>'Barge BQS Report'!M58</f>
        <v/>
      </c>
      <c r="O61" s="1065" t="str">
        <f>'Barge BQS Report'!P58</f>
        <v/>
      </c>
      <c r="P61" s="1064" t="str">
        <f>'Barge BQS Report'!Q58</f>
        <v/>
      </c>
      <c r="Q61" s="1044"/>
      <c r="R61" s="1044"/>
      <c r="S61" s="1044"/>
    </row>
    <row r="62" spans="1:19" hidden="1">
      <c r="A62" s="881" t="str">
        <f>'Barge BQS Report'!A59</f>
        <v>N</v>
      </c>
      <c r="C62" s="1057" t="str">
        <f>'Barge BQS Report'!C59</f>
        <v/>
      </c>
      <c r="D62" s="1058" t="str">
        <f>'Barge BQS Report'!D59</f>
        <v/>
      </c>
      <c r="E62" s="1059" t="str">
        <f>'Barge BQS Report'!N59</f>
        <v/>
      </c>
      <c r="F62" s="1060" t="str">
        <f>'Barge BQS Report'!F59</f>
        <v/>
      </c>
      <c r="G62" s="1061" t="str">
        <f>'Barge BQS Report'!E59</f>
        <v/>
      </c>
      <c r="H62" s="1060" t="str">
        <f>'Barge BQS Report'!G59</f>
        <v/>
      </c>
      <c r="I62" s="1159" t="str">
        <f>'Barge BQS Report'!H59</f>
        <v/>
      </c>
      <c r="J62" s="1062" t="str">
        <f>'Barge BQS Report'!I59</f>
        <v/>
      </c>
      <c r="K62" s="1063" t="str">
        <f>'Barge BQS Report'!J59</f>
        <v/>
      </c>
      <c r="L62" s="1064" t="str">
        <f>'Barge BQS Report'!L59</f>
        <v/>
      </c>
      <c r="M62" s="1064" t="str">
        <f>'Barge BQS Report'!O59</f>
        <v/>
      </c>
      <c r="N62" s="1065" t="str">
        <f>'Barge BQS Report'!M59</f>
        <v/>
      </c>
      <c r="O62" s="1065" t="str">
        <f>'Barge BQS Report'!P59</f>
        <v/>
      </c>
      <c r="P62" s="1064" t="str">
        <f>'Barge BQS Report'!Q59</f>
        <v/>
      </c>
      <c r="Q62" s="1044"/>
      <c r="R62" s="1044"/>
      <c r="S62" s="1044"/>
    </row>
    <row r="63" spans="1:19" hidden="1">
      <c r="A63" s="881" t="str">
        <f>'Barge BQS Report'!A60</f>
        <v>N</v>
      </c>
      <c r="C63" s="1057" t="str">
        <f>'Barge BQS Report'!C60</f>
        <v/>
      </c>
      <c r="D63" s="1058" t="str">
        <f>'Barge BQS Report'!D60</f>
        <v/>
      </c>
      <c r="E63" s="1059" t="str">
        <f>'Barge BQS Report'!N60</f>
        <v/>
      </c>
      <c r="F63" s="1060" t="str">
        <f>'Barge BQS Report'!F60</f>
        <v/>
      </c>
      <c r="G63" s="1061" t="str">
        <f>'Barge BQS Report'!E60</f>
        <v/>
      </c>
      <c r="H63" s="1060" t="str">
        <f>'Barge BQS Report'!G60</f>
        <v/>
      </c>
      <c r="I63" s="1159" t="str">
        <f>'Barge BQS Report'!H60</f>
        <v/>
      </c>
      <c r="J63" s="1062" t="str">
        <f>'Barge BQS Report'!I60</f>
        <v/>
      </c>
      <c r="K63" s="1063" t="str">
        <f>'Barge BQS Report'!J60</f>
        <v/>
      </c>
      <c r="L63" s="1064" t="str">
        <f>'Barge BQS Report'!L60</f>
        <v/>
      </c>
      <c r="M63" s="1064" t="str">
        <f>'Barge BQS Report'!O60</f>
        <v/>
      </c>
      <c r="N63" s="1065" t="str">
        <f>'Barge BQS Report'!M60</f>
        <v/>
      </c>
      <c r="O63" s="1065" t="str">
        <f>'Barge BQS Report'!P60</f>
        <v/>
      </c>
      <c r="P63" s="1064" t="str">
        <f>'Barge BQS Report'!Q60</f>
        <v/>
      </c>
      <c r="Q63" s="1044"/>
      <c r="R63" s="1044"/>
      <c r="S63" s="1044"/>
    </row>
    <row r="64" spans="1:19" hidden="1">
      <c r="A64" s="881" t="str">
        <f>'Barge BQS Report'!A61</f>
        <v>N</v>
      </c>
      <c r="C64" s="1057" t="str">
        <f>'Barge BQS Report'!C61</f>
        <v/>
      </c>
      <c r="D64" s="1058" t="str">
        <f>'Barge BQS Report'!D61</f>
        <v/>
      </c>
      <c r="E64" s="1059" t="str">
        <f>'Barge BQS Report'!N61</f>
        <v/>
      </c>
      <c r="F64" s="1060" t="str">
        <f>'Barge BQS Report'!F61</f>
        <v/>
      </c>
      <c r="G64" s="1061" t="str">
        <f>'Barge BQS Report'!E61</f>
        <v/>
      </c>
      <c r="H64" s="1060" t="str">
        <f>'Barge BQS Report'!G61</f>
        <v/>
      </c>
      <c r="I64" s="1159" t="str">
        <f>'Barge BQS Report'!H61</f>
        <v/>
      </c>
      <c r="J64" s="1062" t="str">
        <f>'Barge BQS Report'!I61</f>
        <v/>
      </c>
      <c r="K64" s="1063" t="str">
        <f>'Barge BQS Report'!J61</f>
        <v/>
      </c>
      <c r="L64" s="1064" t="str">
        <f>'Barge BQS Report'!L61</f>
        <v/>
      </c>
      <c r="M64" s="1064" t="str">
        <f>'Barge BQS Report'!O61</f>
        <v/>
      </c>
      <c r="N64" s="1065" t="str">
        <f>'Barge BQS Report'!M61</f>
        <v/>
      </c>
      <c r="O64" s="1065" t="str">
        <f>'Barge BQS Report'!P61</f>
        <v/>
      </c>
      <c r="P64" s="1064" t="str">
        <f>'Barge BQS Report'!Q61</f>
        <v/>
      </c>
      <c r="Q64" s="1044"/>
      <c r="R64" s="1044"/>
      <c r="S64" s="1044"/>
    </row>
    <row r="65" spans="1:19" hidden="1">
      <c r="A65" s="881" t="str">
        <f>'Barge BQS Report'!A62</f>
        <v>N</v>
      </c>
      <c r="C65" s="1057" t="str">
        <f>'Barge BQS Report'!C62</f>
        <v/>
      </c>
      <c r="D65" s="1058" t="str">
        <f>'Barge BQS Report'!D62</f>
        <v/>
      </c>
      <c r="E65" s="1059" t="str">
        <f>'Barge BQS Report'!N62</f>
        <v/>
      </c>
      <c r="F65" s="1060" t="str">
        <f>'Barge BQS Report'!F62</f>
        <v/>
      </c>
      <c r="G65" s="1061" t="str">
        <f>'Barge BQS Report'!E62</f>
        <v/>
      </c>
      <c r="H65" s="1060" t="str">
        <f>'Barge BQS Report'!G62</f>
        <v/>
      </c>
      <c r="I65" s="1159" t="str">
        <f>'Barge BQS Report'!H62</f>
        <v/>
      </c>
      <c r="J65" s="1062" t="str">
        <f>'Barge BQS Report'!I62</f>
        <v/>
      </c>
      <c r="K65" s="1063" t="str">
        <f>'Barge BQS Report'!J62</f>
        <v/>
      </c>
      <c r="L65" s="1064" t="str">
        <f>'Barge BQS Report'!L62</f>
        <v/>
      </c>
      <c r="M65" s="1064" t="str">
        <f>'Barge BQS Report'!O62</f>
        <v/>
      </c>
      <c r="N65" s="1065" t="str">
        <f>'Barge BQS Report'!M62</f>
        <v/>
      </c>
      <c r="O65" s="1065" t="str">
        <f>'Barge BQS Report'!P62</f>
        <v/>
      </c>
      <c r="P65" s="1064" t="str">
        <f>'Barge BQS Report'!Q62</f>
        <v/>
      </c>
      <c r="Q65" s="1044"/>
      <c r="R65" s="1044"/>
      <c r="S65" s="1044"/>
    </row>
    <row r="66" spans="1:19" hidden="1">
      <c r="A66" s="881" t="str">
        <f>'Barge BQS Report'!A63</f>
        <v>N</v>
      </c>
      <c r="C66" s="1057" t="str">
        <f>'Barge BQS Report'!C63</f>
        <v/>
      </c>
      <c r="D66" s="1058" t="str">
        <f>'Barge BQS Report'!D63</f>
        <v/>
      </c>
      <c r="E66" s="1059" t="str">
        <f>'Barge BQS Report'!N63</f>
        <v/>
      </c>
      <c r="F66" s="1060" t="str">
        <f>'Barge BQS Report'!F63</f>
        <v/>
      </c>
      <c r="G66" s="1061" t="str">
        <f>'Barge BQS Report'!E63</f>
        <v/>
      </c>
      <c r="H66" s="1060" t="str">
        <f>'Barge BQS Report'!G63</f>
        <v/>
      </c>
      <c r="I66" s="1159" t="str">
        <f>'Barge BQS Report'!H63</f>
        <v/>
      </c>
      <c r="J66" s="1062" t="str">
        <f>'Barge BQS Report'!I63</f>
        <v/>
      </c>
      <c r="K66" s="1063" t="str">
        <f>'Barge BQS Report'!J63</f>
        <v/>
      </c>
      <c r="L66" s="1064" t="str">
        <f>'Barge BQS Report'!L63</f>
        <v/>
      </c>
      <c r="M66" s="1064" t="str">
        <f>'Barge BQS Report'!O63</f>
        <v/>
      </c>
      <c r="N66" s="1065" t="str">
        <f>'Barge BQS Report'!M63</f>
        <v/>
      </c>
      <c r="O66" s="1065" t="str">
        <f>'Barge BQS Report'!P63</f>
        <v/>
      </c>
      <c r="P66" s="1064" t="str">
        <f>'Barge BQS Report'!Q63</f>
        <v/>
      </c>
      <c r="Q66" s="1044"/>
      <c r="R66" s="1044"/>
      <c r="S66" s="1044"/>
    </row>
    <row r="67" spans="1:19" hidden="1">
      <c r="A67" s="881" t="str">
        <f>'Barge BQS Report'!A64</f>
        <v>N</v>
      </c>
      <c r="C67" s="1066" t="str">
        <f>'Barge BQS Report'!C64</f>
        <v/>
      </c>
      <c r="D67" s="1067" t="str">
        <f>'Barge BQS Report'!D64</f>
        <v/>
      </c>
      <c r="E67" s="1068" t="str">
        <f>'Barge BQS Report'!N64</f>
        <v/>
      </c>
      <c r="F67" s="1069" t="str">
        <f>'Barge BQS Report'!F64</f>
        <v/>
      </c>
      <c r="G67" s="1070" t="str">
        <f>'Barge BQS Report'!E64</f>
        <v/>
      </c>
      <c r="H67" s="1069" t="str">
        <f>'Barge BQS Report'!G64</f>
        <v/>
      </c>
      <c r="I67" s="1160" t="str">
        <f>'Barge BQS Report'!H64</f>
        <v/>
      </c>
      <c r="J67" s="1071" t="str">
        <f>'Barge BQS Report'!I64</f>
        <v/>
      </c>
      <c r="K67" s="1072" t="str">
        <f>'Barge BQS Report'!J64</f>
        <v/>
      </c>
      <c r="L67" s="1073" t="str">
        <f>'Barge BQS Report'!L64</f>
        <v/>
      </c>
      <c r="M67" s="1073" t="str">
        <f>'Barge BQS Report'!O64</f>
        <v/>
      </c>
      <c r="N67" s="1107" t="str">
        <f>'Barge BQS Report'!M64</f>
        <v/>
      </c>
      <c r="O67" s="1074" t="str">
        <f>'Barge BQS Report'!P64</f>
        <v/>
      </c>
      <c r="P67" s="1073" t="str">
        <f>'Barge BQS Report'!Q64</f>
        <v/>
      </c>
      <c r="Q67" s="1044"/>
      <c r="R67" s="1044"/>
      <c r="S67" s="1044"/>
    </row>
    <row r="68" spans="1:19" hidden="1">
      <c r="A68" s="881" t="s">
        <v>270</v>
      </c>
      <c r="C68" s="1118"/>
      <c r="D68" s="1075"/>
      <c r="E68" s="1076"/>
      <c r="F68" s="1077"/>
      <c r="G68" s="1077"/>
      <c r="H68" s="1078"/>
      <c r="I68" s="1078"/>
      <c r="J68" s="1078"/>
      <c r="K68" s="1077"/>
      <c r="L68" s="1079"/>
      <c r="M68" s="2957" t="s">
        <v>801</v>
      </c>
      <c r="N68" s="2957"/>
      <c r="O68" s="2957">
        <f>SUM(P48:P67)</f>
        <v>272.178</v>
      </c>
      <c r="P68" s="2957"/>
      <c r="Q68" s="1044"/>
      <c r="R68" s="1044"/>
      <c r="S68" s="1044"/>
    </row>
    <row r="69" spans="1:19" s="1046" customFormat="1" ht="5.25" hidden="1">
      <c r="A69" s="1046" t="s">
        <v>270</v>
      </c>
      <c r="C69" s="1108"/>
      <c r="D69" s="1109"/>
      <c r="E69" s="1110"/>
      <c r="F69" s="1111"/>
      <c r="G69" s="1111"/>
      <c r="H69" s="1112"/>
      <c r="I69" s="1113"/>
      <c r="J69" s="1113"/>
      <c r="K69" s="1114"/>
      <c r="L69" s="1115"/>
      <c r="M69" s="1115"/>
      <c r="N69" s="1116"/>
      <c r="O69" s="1117"/>
      <c r="P69" s="1115"/>
      <c r="Q69" s="1045"/>
      <c r="R69" s="1045"/>
      <c r="S69" s="1045"/>
    </row>
    <row r="70" spans="1:19" hidden="1">
      <c r="A70" s="881" t="s">
        <v>270</v>
      </c>
      <c r="B70" s="881">
        <v>3</v>
      </c>
      <c r="C70" s="2959" t="str">
        <f>'Barge BQS Report'!C67</f>
        <v>NOMINATED TANKS</v>
      </c>
      <c r="D70" s="2960"/>
      <c r="E70" s="2960"/>
      <c r="F70" s="2961"/>
      <c r="G70" s="2962" t="str">
        <f>'Barge BQS Report'!E67</f>
        <v>MDO</v>
      </c>
      <c r="H70" s="2963"/>
      <c r="I70" s="1051"/>
      <c r="J70" s="1052"/>
      <c r="K70" s="1053"/>
      <c r="L70" s="1054"/>
      <c r="M70" s="1054"/>
      <c r="N70" s="1055"/>
      <c r="O70" s="1056"/>
      <c r="P70" s="1054"/>
      <c r="Q70" s="1044"/>
      <c r="R70" s="1044"/>
      <c r="S70" s="1044"/>
    </row>
    <row r="71" spans="1:19" hidden="1">
      <c r="A71" s="881" t="str">
        <f>'Barge BQS Report'!A68</f>
        <v>N</v>
      </c>
      <c r="C71" s="1057" t="str">
        <f>'Barge BQS Report'!C68</f>
        <v/>
      </c>
      <c r="D71" s="1058" t="str">
        <f>'Barge BQS Report'!D68</f>
        <v/>
      </c>
      <c r="E71" s="1059" t="str">
        <f>'Barge BQS Report'!N68</f>
        <v/>
      </c>
      <c r="F71" s="1060" t="str">
        <f>'Barge BQS Report'!F68</f>
        <v/>
      </c>
      <c r="G71" s="1061" t="str">
        <f>'Barge BQS Report'!E68</f>
        <v/>
      </c>
      <c r="H71" s="1060" t="str">
        <f>'Barge BQS Report'!G68</f>
        <v/>
      </c>
      <c r="I71" s="1159" t="str">
        <f>'Barge BQS Report'!H68</f>
        <v/>
      </c>
      <c r="J71" s="1062" t="str">
        <f>'Barge BQS Report'!I68</f>
        <v/>
      </c>
      <c r="K71" s="1063" t="str">
        <f>'Barge BQS Report'!J68</f>
        <v/>
      </c>
      <c r="L71" s="1064" t="str">
        <f>'Barge BQS Report'!L68</f>
        <v/>
      </c>
      <c r="M71" s="1064" t="str">
        <f>'Barge BQS Report'!O68</f>
        <v/>
      </c>
      <c r="N71" s="1065" t="str">
        <f>'Barge BQS Report'!M68</f>
        <v/>
      </c>
      <c r="O71" s="1065" t="str">
        <f>'Barge BQS Report'!P68</f>
        <v/>
      </c>
      <c r="P71" s="1064" t="str">
        <f>'Barge BQS Report'!Q68</f>
        <v/>
      </c>
      <c r="Q71" s="1044"/>
      <c r="R71" s="1044"/>
      <c r="S71" s="1044"/>
    </row>
    <row r="72" spans="1:19" hidden="1">
      <c r="A72" s="881" t="str">
        <f>'Barge BQS Report'!A69</f>
        <v>N</v>
      </c>
      <c r="C72" s="1057" t="str">
        <f>'Barge BQS Report'!C69</f>
        <v/>
      </c>
      <c r="D72" s="1058" t="str">
        <f>'Barge BQS Report'!D69</f>
        <v/>
      </c>
      <c r="E72" s="1059" t="str">
        <f>'Barge BQS Report'!N69</f>
        <v/>
      </c>
      <c r="F72" s="1060" t="str">
        <f>'Barge BQS Report'!F69</f>
        <v/>
      </c>
      <c r="G72" s="1061" t="str">
        <f>'Barge BQS Report'!E69</f>
        <v/>
      </c>
      <c r="H72" s="1060" t="str">
        <f>'Barge BQS Report'!G69</f>
        <v/>
      </c>
      <c r="I72" s="1159" t="str">
        <f>'Barge BQS Report'!H69</f>
        <v/>
      </c>
      <c r="J72" s="1062" t="str">
        <f>'Barge BQS Report'!I69</f>
        <v/>
      </c>
      <c r="K72" s="1063" t="str">
        <f>'Barge BQS Report'!J69</f>
        <v/>
      </c>
      <c r="L72" s="1064" t="str">
        <f>'Barge BQS Report'!L69</f>
        <v/>
      </c>
      <c r="M72" s="1064" t="str">
        <f>'Barge BQS Report'!O69</f>
        <v/>
      </c>
      <c r="N72" s="1065" t="str">
        <f>'Barge BQS Report'!M69</f>
        <v/>
      </c>
      <c r="O72" s="1065" t="str">
        <f>'Barge BQS Report'!P69</f>
        <v/>
      </c>
      <c r="P72" s="1064" t="str">
        <f>'Barge BQS Report'!Q69</f>
        <v/>
      </c>
      <c r="Q72" s="1044"/>
      <c r="R72" s="1044"/>
      <c r="S72" s="1044"/>
    </row>
    <row r="73" spans="1:19" hidden="1">
      <c r="A73" s="881" t="str">
        <f>'Barge BQS Report'!A70</f>
        <v>N</v>
      </c>
      <c r="C73" s="1057" t="str">
        <f>'Barge BQS Report'!C70</f>
        <v/>
      </c>
      <c r="D73" s="1058" t="str">
        <f>'Barge BQS Report'!D70</f>
        <v/>
      </c>
      <c r="E73" s="1059" t="str">
        <f>'Barge BQS Report'!N70</f>
        <v/>
      </c>
      <c r="F73" s="1060" t="str">
        <f>'Barge BQS Report'!F70</f>
        <v/>
      </c>
      <c r="G73" s="1061" t="str">
        <f>'Barge BQS Report'!E70</f>
        <v/>
      </c>
      <c r="H73" s="1060" t="str">
        <f>'Barge BQS Report'!G70</f>
        <v/>
      </c>
      <c r="I73" s="1159" t="str">
        <f>'Barge BQS Report'!H70</f>
        <v/>
      </c>
      <c r="J73" s="1062" t="str">
        <f>'Barge BQS Report'!I70</f>
        <v/>
      </c>
      <c r="K73" s="1063" t="str">
        <f>'Barge BQS Report'!J70</f>
        <v/>
      </c>
      <c r="L73" s="1064" t="str">
        <f>'Barge BQS Report'!L70</f>
        <v/>
      </c>
      <c r="M73" s="1064" t="str">
        <f>'Barge BQS Report'!O70</f>
        <v/>
      </c>
      <c r="N73" s="1065" t="str">
        <f>'Barge BQS Report'!M70</f>
        <v/>
      </c>
      <c r="O73" s="1065" t="str">
        <f>'Barge BQS Report'!P70</f>
        <v/>
      </c>
      <c r="P73" s="1064" t="str">
        <f>'Barge BQS Report'!Q70</f>
        <v/>
      </c>
      <c r="Q73" s="1044"/>
      <c r="R73" s="1044"/>
      <c r="S73" s="1044"/>
    </row>
    <row r="74" spans="1:19" hidden="1">
      <c r="A74" s="881" t="str">
        <f>'Barge BQS Report'!A71</f>
        <v>N</v>
      </c>
      <c r="C74" s="1057" t="str">
        <f>'Barge BQS Report'!C71</f>
        <v/>
      </c>
      <c r="D74" s="1058" t="str">
        <f>'Barge BQS Report'!D71</f>
        <v/>
      </c>
      <c r="E74" s="1059" t="str">
        <f>'Barge BQS Report'!N71</f>
        <v/>
      </c>
      <c r="F74" s="1060" t="str">
        <f>'Barge BQS Report'!F71</f>
        <v/>
      </c>
      <c r="G74" s="1061" t="str">
        <f>'Barge BQS Report'!E71</f>
        <v/>
      </c>
      <c r="H74" s="1060" t="str">
        <f>'Barge BQS Report'!G71</f>
        <v/>
      </c>
      <c r="I74" s="1159" t="str">
        <f>'Barge BQS Report'!H71</f>
        <v/>
      </c>
      <c r="J74" s="1062" t="str">
        <f>'Barge BQS Report'!I71</f>
        <v/>
      </c>
      <c r="K74" s="1063" t="str">
        <f>'Barge BQS Report'!J71</f>
        <v/>
      </c>
      <c r="L74" s="1064" t="str">
        <f>'Barge BQS Report'!L71</f>
        <v/>
      </c>
      <c r="M74" s="1064" t="str">
        <f>'Barge BQS Report'!O71</f>
        <v/>
      </c>
      <c r="N74" s="1065" t="str">
        <f>'Barge BQS Report'!M71</f>
        <v/>
      </c>
      <c r="O74" s="1065" t="str">
        <f>'Barge BQS Report'!P71</f>
        <v/>
      </c>
      <c r="P74" s="1064" t="str">
        <f>'Barge BQS Report'!Q71</f>
        <v/>
      </c>
      <c r="Q74" s="1044"/>
      <c r="R74" s="1044"/>
      <c r="S74" s="1044"/>
    </row>
    <row r="75" spans="1:19" hidden="1">
      <c r="A75" s="881" t="str">
        <f>'Barge BQS Report'!A72</f>
        <v>N</v>
      </c>
      <c r="C75" s="1057" t="str">
        <f>'Barge BQS Report'!C72</f>
        <v/>
      </c>
      <c r="D75" s="1058" t="str">
        <f>'Barge BQS Report'!D72</f>
        <v/>
      </c>
      <c r="E75" s="1059" t="str">
        <f>'Barge BQS Report'!N72</f>
        <v/>
      </c>
      <c r="F75" s="1060" t="str">
        <f>'Barge BQS Report'!F72</f>
        <v/>
      </c>
      <c r="G75" s="1061" t="str">
        <f>'Barge BQS Report'!E72</f>
        <v/>
      </c>
      <c r="H75" s="1060" t="str">
        <f>'Barge BQS Report'!G72</f>
        <v/>
      </c>
      <c r="I75" s="1159" t="str">
        <f>'Barge BQS Report'!H72</f>
        <v/>
      </c>
      <c r="J75" s="1062" t="str">
        <f>'Barge BQS Report'!I72</f>
        <v/>
      </c>
      <c r="K75" s="1063" t="str">
        <f>'Barge BQS Report'!J72</f>
        <v/>
      </c>
      <c r="L75" s="1064" t="str">
        <f>'Barge BQS Report'!L72</f>
        <v/>
      </c>
      <c r="M75" s="1064" t="str">
        <f>'Barge BQS Report'!O72</f>
        <v/>
      </c>
      <c r="N75" s="1065" t="str">
        <f>'Barge BQS Report'!M72</f>
        <v/>
      </c>
      <c r="O75" s="1065" t="str">
        <f>'Barge BQS Report'!P72</f>
        <v/>
      </c>
      <c r="P75" s="1064" t="str">
        <f>'Barge BQS Report'!Q72</f>
        <v/>
      </c>
      <c r="Q75" s="1044"/>
      <c r="R75" s="1044"/>
      <c r="S75" s="1044"/>
    </row>
    <row r="76" spans="1:19" hidden="1">
      <c r="A76" s="881" t="str">
        <f>'Barge BQS Report'!A73</f>
        <v>N</v>
      </c>
      <c r="C76" s="1057" t="str">
        <f>'Barge BQS Report'!C73</f>
        <v/>
      </c>
      <c r="D76" s="1058" t="str">
        <f>'Barge BQS Report'!D73</f>
        <v/>
      </c>
      <c r="E76" s="1059" t="str">
        <f>'Barge BQS Report'!N73</f>
        <v/>
      </c>
      <c r="F76" s="1060" t="str">
        <f>'Barge BQS Report'!F73</f>
        <v/>
      </c>
      <c r="G76" s="1061" t="str">
        <f>'Barge BQS Report'!E73</f>
        <v/>
      </c>
      <c r="H76" s="1060" t="str">
        <f>'Barge BQS Report'!G73</f>
        <v/>
      </c>
      <c r="I76" s="1159" t="str">
        <f>'Barge BQS Report'!H73</f>
        <v/>
      </c>
      <c r="J76" s="1062" t="str">
        <f>'Barge BQS Report'!I73</f>
        <v/>
      </c>
      <c r="K76" s="1063" t="str">
        <f>'Barge BQS Report'!J73</f>
        <v/>
      </c>
      <c r="L76" s="1064" t="str">
        <f>'Barge BQS Report'!L73</f>
        <v/>
      </c>
      <c r="M76" s="1064" t="str">
        <f>'Barge BQS Report'!O73</f>
        <v/>
      </c>
      <c r="N76" s="1065" t="str">
        <f>'Barge BQS Report'!M73</f>
        <v/>
      </c>
      <c r="O76" s="1065" t="str">
        <f>'Barge BQS Report'!P73</f>
        <v/>
      </c>
      <c r="P76" s="1064" t="str">
        <f>'Barge BQS Report'!Q73</f>
        <v/>
      </c>
      <c r="Q76" s="1044"/>
      <c r="R76" s="1044"/>
      <c r="S76" s="1044"/>
    </row>
    <row r="77" spans="1:19" hidden="1">
      <c r="A77" s="881" t="str">
        <f>'Barge BQS Report'!A74</f>
        <v>N</v>
      </c>
      <c r="C77" s="1057" t="str">
        <f>'Barge BQS Report'!C74</f>
        <v/>
      </c>
      <c r="D77" s="1058" t="str">
        <f>'Barge BQS Report'!D74</f>
        <v/>
      </c>
      <c r="E77" s="1059" t="str">
        <f>'Barge BQS Report'!N74</f>
        <v/>
      </c>
      <c r="F77" s="1060" t="str">
        <f>'Barge BQS Report'!F74</f>
        <v/>
      </c>
      <c r="G77" s="1061" t="str">
        <f>'Barge BQS Report'!E74</f>
        <v/>
      </c>
      <c r="H77" s="1060" t="str">
        <f>'Barge BQS Report'!G74</f>
        <v/>
      </c>
      <c r="I77" s="1159" t="str">
        <f>'Barge BQS Report'!H74</f>
        <v/>
      </c>
      <c r="J77" s="1062" t="str">
        <f>'Barge BQS Report'!I74</f>
        <v/>
      </c>
      <c r="K77" s="1063" t="str">
        <f>'Barge BQS Report'!J74</f>
        <v/>
      </c>
      <c r="L77" s="1064" t="str">
        <f>'Barge BQS Report'!L74</f>
        <v/>
      </c>
      <c r="M77" s="1064" t="str">
        <f>'Barge BQS Report'!O74</f>
        <v/>
      </c>
      <c r="N77" s="1065" t="str">
        <f>'Barge BQS Report'!M74</f>
        <v/>
      </c>
      <c r="O77" s="1065" t="str">
        <f>'Barge BQS Report'!P74</f>
        <v/>
      </c>
      <c r="P77" s="1064" t="str">
        <f>'Barge BQS Report'!Q74</f>
        <v/>
      </c>
      <c r="Q77" s="1044"/>
      <c r="R77" s="1044"/>
      <c r="S77" s="1044"/>
    </row>
    <row r="78" spans="1:19" hidden="1">
      <c r="A78" s="881" t="str">
        <f>'Barge BQS Report'!A75</f>
        <v>N</v>
      </c>
      <c r="C78" s="1057" t="str">
        <f>'Barge BQS Report'!C75</f>
        <v/>
      </c>
      <c r="D78" s="1058" t="str">
        <f>'Barge BQS Report'!D75</f>
        <v/>
      </c>
      <c r="E78" s="1059" t="str">
        <f>'Barge BQS Report'!N75</f>
        <v/>
      </c>
      <c r="F78" s="1060" t="str">
        <f>'Barge BQS Report'!F75</f>
        <v/>
      </c>
      <c r="G78" s="1061" t="str">
        <f>'Barge BQS Report'!E75</f>
        <v/>
      </c>
      <c r="H78" s="1060" t="str">
        <f>'Barge BQS Report'!G75</f>
        <v/>
      </c>
      <c r="I78" s="1159" t="str">
        <f>'Barge BQS Report'!H75</f>
        <v/>
      </c>
      <c r="J78" s="1062" t="str">
        <f>'Barge BQS Report'!I75</f>
        <v/>
      </c>
      <c r="K78" s="1063" t="str">
        <f>'Barge BQS Report'!J75</f>
        <v/>
      </c>
      <c r="L78" s="1064" t="str">
        <f>'Barge BQS Report'!L75</f>
        <v/>
      </c>
      <c r="M78" s="1064" t="str">
        <f>'Barge BQS Report'!O75</f>
        <v/>
      </c>
      <c r="N78" s="1065" t="str">
        <f>'Barge BQS Report'!M75</f>
        <v/>
      </c>
      <c r="O78" s="1065" t="str">
        <f>'Barge BQS Report'!P75</f>
        <v/>
      </c>
      <c r="P78" s="1064" t="str">
        <f>'Barge BQS Report'!Q75</f>
        <v/>
      </c>
      <c r="Q78" s="1044"/>
      <c r="R78" s="1044"/>
      <c r="S78" s="1044"/>
    </row>
    <row r="79" spans="1:19" hidden="1">
      <c r="A79" s="881" t="str">
        <f>'Barge BQS Report'!A76</f>
        <v>N</v>
      </c>
      <c r="C79" s="1057" t="str">
        <f>'Barge BQS Report'!C76</f>
        <v/>
      </c>
      <c r="D79" s="1058" t="str">
        <f>'Barge BQS Report'!D76</f>
        <v/>
      </c>
      <c r="E79" s="1059" t="str">
        <f>'Barge BQS Report'!N76</f>
        <v/>
      </c>
      <c r="F79" s="1060" t="str">
        <f>'Barge BQS Report'!F76</f>
        <v/>
      </c>
      <c r="G79" s="1061" t="str">
        <f>'Barge BQS Report'!E76</f>
        <v/>
      </c>
      <c r="H79" s="1060" t="str">
        <f>'Barge BQS Report'!G76</f>
        <v/>
      </c>
      <c r="I79" s="1159" t="str">
        <f>'Barge BQS Report'!H76</f>
        <v/>
      </c>
      <c r="J79" s="1062" t="str">
        <f>'Barge BQS Report'!I76</f>
        <v/>
      </c>
      <c r="K79" s="1063" t="str">
        <f>'Barge BQS Report'!J76</f>
        <v/>
      </c>
      <c r="L79" s="1064" t="str">
        <f>'Barge BQS Report'!L76</f>
        <v/>
      </c>
      <c r="M79" s="1064" t="str">
        <f>'Barge BQS Report'!O76</f>
        <v/>
      </c>
      <c r="N79" s="1065" t="str">
        <f>'Barge BQS Report'!M76</f>
        <v/>
      </c>
      <c r="O79" s="1065" t="str">
        <f>'Barge BQS Report'!P76</f>
        <v/>
      </c>
      <c r="P79" s="1064" t="str">
        <f>'Barge BQS Report'!Q76</f>
        <v/>
      </c>
      <c r="Q79" s="1044"/>
      <c r="R79" s="1044"/>
      <c r="S79" s="1044"/>
    </row>
    <row r="80" spans="1:19" hidden="1">
      <c r="A80" s="881" t="str">
        <f>'Barge BQS Report'!A77</f>
        <v>N</v>
      </c>
      <c r="C80" s="1057" t="str">
        <f>'Barge BQS Report'!C77</f>
        <v/>
      </c>
      <c r="D80" s="1058" t="str">
        <f>'Barge BQS Report'!D77</f>
        <v/>
      </c>
      <c r="E80" s="1059" t="str">
        <f>'Barge BQS Report'!N77</f>
        <v/>
      </c>
      <c r="F80" s="1060" t="str">
        <f>'Barge BQS Report'!F77</f>
        <v/>
      </c>
      <c r="G80" s="1061" t="str">
        <f>'Barge BQS Report'!E77</f>
        <v/>
      </c>
      <c r="H80" s="1060" t="str">
        <f>'Barge BQS Report'!G77</f>
        <v/>
      </c>
      <c r="I80" s="1159" t="str">
        <f>'Barge BQS Report'!H77</f>
        <v/>
      </c>
      <c r="J80" s="1062" t="str">
        <f>'Barge BQS Report'!I77</f>
        <v/>
      </c>
      <c r="K80" s="1063" t="str">
        <f>'Barge BQS Report'!J77</f>
        <v/>
      </c>
      <c r="L80" s="1064" t="str">
        <f>'Barge BQS Report'!L77</f>
        <v/>
      </c>
      <c r="M80" s="1064" t="str">
        <f>'Barge BQS Report'!O77</f>
        <v/>
      </c>
      <c r="N80" s="1065" t="str">
        <f>'Barge BQS Report'!M77</f>
        <v/>
      </c>
      <c r="O80" s="1065" t="str">
        <f>'Barge BQS Report'!P77</f>
        <v/>
      </c>
      <c r="P80" s="1064" t="str">
        <f>'Barge BQS Report'!Q77</f>
        <v/>
      </c>
      <c r="Q80" s="1044"/>
      <c r="R80" s="1044"/>
      <c r="S80" s="1044"/>
    </row>
    <row r="81" spans="1:19" hidden="1">
      <c r="A81" s="881" t="str">
        <f>'Barge BQS Report'!A78</f>
        <v>N</v>
      </c>
      <c r="C81" s="1057" t="str">
        <f>'Barge BQS Report'!C78</f>
        <v/>
      </c>
      <c r="D81" s="1058" t="str">
        <f>'Barge BQS Report'!D78</f>
        <v/>
      </c>
      <c r="E81" s="1059" t="str">
        <f>'Barge BQS Report'!N78</f>
        <v/>
      </c>
      <c r="F81" s="1060" t="str">
        <f>'Barge BQS Report'!F78</f>
        <v/>
      </c>
      <c r="G81" s="1061" t="str">
        <f>'Barge BQS Report'!E78</f>
        <v/>
      </c>
      <c r="H81" s="1060" t="str">
        <f>'Barge BQS Report'!G78</f>
        <v/>
      </c>
      <c r="I81" s="1159" t="str">
        <f>'Barge BQS Report'!H78</f>
        <v/>
      </c>
      <c r="J81" s="1062" t="str">
        <f>'Barge BQS Report'!I78</f>
        <v/>
      </c>
      <c r="K81" s="1063" t="str">
        <f>'Barge BQS Report'!J78</f>
        <v/>
      </c>
      <c r="L81" s="1064" t="str">
        <f>'Barge BQS Report'!L78</f>
        <v/>
      </c>
      <c r="M81" s="1064" t="str">
        <f>'Barge BQS Report'!O78</f>
        <v/>
      </c>
      <c r="N81" s="1065" t="str">
        <f>'Barge BQS Report'!M78</f>
        <v/>
      </c>
      <c r="O81" s="1065" t="str">
        <f>'Barge BQS Report'!P78</f>
        <v/>
      </c>
      <c r="P81" s="1064" t="str">
        <f>'Barge BQS Report'!Q78</f>
        <v/>
      </c>
      <c r="Q81" s="1044"/>
      <c r="R81" s="1044"/>
      <c r="S81" s="1044"/>
    </row>
    <row r="82" spans="1:19" hidden="1">
      <c r="A82" s="881" t="str">
        <f>'Barge BQS Report'!A79</f>
        <v>N</v>
      </c>
      <c r="C82" s="1057" t="str">
        <f>'Barge BQS Report'!C79</f>
        <v/>
      </c>
      <c r="D82" s="1058" t="str">
        <f>'Barge BQS Report'!D79</f>
        <v/>
      </c>
      <c r="E82" s="1059" t="str">
        <f>'Barge BQS Report'!N79</f>
        <v/>
      </c>
      <c r="F82" s="1060" t="str">
        <f>'Barge BQS Report'!F79</f>
        <v/>
      </c>
      <c r="G82" s="1061" t="str">
        <f>'Barge BQS Report'!E79</f>
        <v/>
      </c>
      <c r="H82" s="1060" t="str">
        <f>'Barge BQS Report'!G79</f>
        <v/>
      </c>
      <c r="I82" s="1159" t="str">
        <f>'Barge BQS Report'!H79</f>
        <v/>
      </c>
      <c r="J82" s="1062" t="str">
        <f>'Barge BQS Report'!I79</f>
        <v/>
      </c>
      <c r="K82" s="1063" t="str">
        <f>'Barge BQS Report'!J79</f>
        <v/>
      </c>
      <c r="L82" s="1064" t="str">
        <f>'Barge BQS Report'!L79</f>
        <v/>
      </c>
      <c r="M82" s="1064" t="str">
        <f>'Barge BQS Report'!O79</f>
        <v/>
      </c>
      <c r="N82" s="1065" t="str">
        <f>'Barge BQS Report'!M79</f>
        <v/>
      </c>
      <c r="O82" s="1065" t="str">
        <f>'Barge BQS Report'!P79</f>
        <v/>
      </c>
      <c r="P82" s="1064" t="str">
        <f>'Barge BQS Report'!Q79</f>
        <v/>
      </c>
      <c r="Q82" s="1044"/>
      <c r="R82" s="1044"/>
      <c r="S82" s="1044"/>
    </row>
    <row r="83" spans="1:19" hidden="1">
      <c r="A83" s="881" t="str">
        <f>'Barge BQS Report'!A80</f>
        <v>N</v>
      </c>
      <c r="C83" s="1057" t="str">
        <f>'Barge BQS Report'!C80</f>
        <v/>
      </c>
      <c r="D83" s="1058" t="str">
        <f>'Barge BQS Report'!D80</f>
        <v/>
      </c>
      <c r="E83" s="1059" t="str">
        <f>'Barge BQS Report'!N80</f>
        <v/>
      </c>
      <c r="F83" s="1060" t="str">
        <f>'Barge BQS Report'!F80</f>
        <v/>
      </c>
      <c r="G83" s="1061" t="str">
        <f>'Barge BQS Report'!E80</f>
        <v/>
      </c>
      <c r="H83" s="1060" t="str">
        <f>'Barge BQS Report'!G80</f>
        <v/>
      </c>
      <c r="I83" s="1159" t="str">
        <f>'Barge BQS Report'!H80</f>
        <v/>
      </c>
      <c r="J83" s="1062" t="str">
        <f>'Barge BQS Report'!I80</f>
        <v/>
      </c>
      <c r="K83" s="1063" t="str">
        <f>'Barge BQS Report'!J80</f>
        <v/>
      </c>
      <c r="L83" s="1064" t="str">
        <f>'Barge BQS Report'!L80</f>
        <v/>
      </c>
      <c r="M83" s="1064" t="str">
        <f>'Barge BQS Report'!O80</f>
        <v/>
      </c>
      <c r="N83" s="1065" t="str">
        <f>'Barge BQS Report'!M80</f>
        <v/>
      </c>
      <c r="O83" s="1065" t="str">
        <f>'Barge BQS Report'!P80</f>
        <v/>
      </c>
      <c r="P83" s="1064" t="str">
        <f>'Barge BQS Report'!Q80</f>
        <v/>
      </c>
      <c r="Q83" s="1044"/>
      <c r="R83" s="1044"/>
      <c r="S83" s="1044"/>
    </row>
    <row r="84" spans="1:19" hidden="1">
      <c r="A84" s="881" t="str">
        <f>'Barge BQS Report'!A81</f>
        <v>N</v>
      </c>
      <c r="C84" s="1057" t="str">
        <f>'Barge BQS Report'!C81</f>
        <v/>
      </c>
      <c r="D84" s="1058" t="str">
        <f>'Barge BQS Report'!D81</f>
        <v/>
      </c>
      <c r="E84" s="1059" t="str">
        <f>'Barge BQS Report'!N81</f>
        <v/>
      </c>
      <c r="F84" s="1060" t="str">
        <f>'Barge BQS Report'!F81</f>
        <v/>
      </c>
      <c r="G84" s="1061" t="str">
        <f>'Barge BQS Report'!E81</f>
        <v/>
      </c>
      <c r="H84" s="1060" t="str">
        <f>'Barge BQS Report'!G81</f>
        <v/>
      </c>
      <c r="I84" s="1159" t="str">
        <f>'Barge BQS Report'!H81</f>
        <v/>
      </c>
      <c r="J84" s="1062" t="str">
        <f>'Barge BQS Report'!I81</f>
        <v/>
      </c>
      <c r="K84" s="1063" t="str">
        <f>'Barge BQS Report'!J81</f>
        <v/>
      </c>
      <c r="L84" s="1064" t="str">
        <f>'Barge BQS Report'!L81</f>
        <v/>
      </c>
      <c r="M84" s="1064" t="str">
        <f>'Barge BQS Report'!O81</f>
        <v/>
      </c>
      <c r="N84" s="1065" t="str">
        <f>'Barge BQS Report'!M81</f>
        <v/>
      </c>
      <c r="O84" s="1065" t="str">
        <f>'Barge BQS Report'!P81</f>
        <v/>
      </c>
      <c r="P84" s="1064" t="str">
        <f>'Barge BQS Report'!Q81</f>
        <v/>
      </c>
      <c r="Q84" s="1044"/>
      <c r="R84" s="1044"/>
      <c r="S84" s="1044"/>
    </row>
    <row r="85" spans="1:19" hidden="1">
      <c r="A85" s="881" t="str">
        <f>'Barge BQS Report'!A82</f>
        <v>N</v>
      </c>
      <c r="C85" s="1057" t="str">
        <f>'Barge BQS Report'!C82</f>
        <v/>
      </c>
      <c r="D85" s="1058" t="str">
        <f>'Barge BQS Report'!D82</f>
        <v/>
      </c>
      <c r="E85" s="1059" t="str">
        <f>'Barge BQS Report'!N82</f>
        <v/>
      </c>
      <c r="F85" s="1060" t="str">
        <f>'Barge BQS Report'!F82</f>
        <v/>
      </c>
      <c r="G85" s="1061" t="str">
        <f>'Barge BQS Report'!E82</f>
        <v/>
      </c>
      <c r="H85" s="1060" t="str">
        <f>'Barge BQS Report'!G82</f>
        <v/>
      </c>
      <c r="I85" s="1159" t="str">
        <f>'Barge BQS Report'!H82</f>
        <v/>
      </c>
      <c r="J85" s="1062" t="str">
        <f>'Barge BQS Report'!I82</f>
        <v/>
      </c>
      <c r="K85" s="1063" t="str">
        <f>'Barge BQS Report'!J82</f>
        <v/>
      </c>
      <c r="L85" s="1064" t="str">
        <f>'Barge BQS Report'!L82</f>
        <v/>
      </c>
      <c r="M85" s="1064" t="str">
        <f>'Barge BQS Report'!O82</f>
        <v/>
      </c>
      <c r="N85" s="1065" t="str">
        <f>'Barge BQS Report'!M82</f>
        <v/>
      </c>
      <c r="O85" s="1065" t="str">
        <f>'Barge BQS Report'!P82</f>
        <v/>
      </c>
      <c r="P85" s="1064" t="str">
        <f>'Barge BQS Report'!Q82</f>
        <v/>
      </c>
      <c r="Q85" s="1044"/>
      <c r="R85" s="1044"/>
      <c r="S85" s="1044"/>
    </row>
    <row r="86" spans="1:19" hidden="1">
      <c r="A86" s="881" t="str">
        <f>'Barge BQS Report'!A83</f>
        <v>N</v>
      </c>
      <c r="C86" s="1057" t="str">
        <f>'Barge BQS Report'!C83</f>
        <v/>
      </c>
      <c r="D86" s="1058" t="str">
        <f>'Barge BQS Report'!D83</f>
        <v/>
      </c>
      <c r="E86" s="1059" t="str">
        <f>'Barge BQS Report'!N83</f>
        <v/>
      </c>
      <c r="F86" s="1060" t="str">
        <f>'Barge BQS Report'!F83</f>
        <v/>
      </c>
      <c r="G86" s="1061" t="str">
        <f>'Barge BQS Report'!E83</f>
        <v/>
      </c>
      <c r="H86" s="1060" t="str">
        <f>'Barge BQS Report'!G83</f>
        <v/>
      </c>
      <c r="I86" s="1159" t="str">
        <f>'Barge BQS Report'!H83</f>
        <v/>
      </c>
      <c r="J86" s="1062" t="str">
        <f>'Barge BQS Report'!I83</f>
        <v/>
      </c>
      <c r="K86" s="1063" t="str">
        <f>'Barge BQS Report'!J83</f>
        <v/>
      </c>
      <c r="L86" s="1064" t="str">
        <f>'Barge BQS Report'!L83</f>
        <v/>
      </c>
      <c r="M86" s="1064" t="str">
        <f>'Barge BQS Report'!O83</f>
        <v/>
      </c>
      <c r="N86" s="1065" t="str">
        <f>'Barge BQS Report'!M83</f>
        <v/>
      </c>
      <c r="O86" s="1065" t="str">
        <f>'Barge BQS Report'!P83</f>
        <v/>
      </c>
      <c r="P86" s="1064" t="str">
        <f>'Barge BQS Report'!Q83</f>
        <v/>
      </c>
      <c r="Q86" s="1044"/>
      <c r="R86" s="1044"/>
      <c r="S86" s="1044"/>
    </row>
    <row r="87" spans="1:19" hidden="1">
      <c r="A87" s="881" t="str">
        <f>'Barge BQS Report'!A84</f>
        <v>N</v>
      </c>
      <c r="C87" s="1057" t="str">
        <f>'Barge BQS Report'!C84</f>
        <v/>
      </c>
      <c r="D87" s="1058" t="str">
        <f>'Barge BQS Report'!D84</f>
        <v/>
      </c>
      <c r="E87" s="1059" t="str">
        <f>'Barge BQS Report'!N84</f>
        <v/>
      </c>
      <c r="F87" s="1060" t="str">
        <f>'Barge BQS Report'!F84</f>
        <v/>
      </c>
      <c r="G87" s="1061" t="str">
        <f>'Barge BQS Report'!E84</f>
        <v/>
      </c>
      <c r="H87" s="1060" t="str">
        <f>'Barge BQS Report'!G84</f>
        <v/>
      </c>
      <c r="I87" s="1159" t="str">
        <f>'Barge BQS Report'!H84</f>
        <v/>
      </c>
      <c r="J87" s="1062" t="str">
        <f>'Barge BQS Report'!I84</f>
        <v/>
      </c>
      <c r="K87" s="1063" t="str">
        <f>'Barge BQS Report'!J84</f>
        <v/>
      </c>
      <c r="L87" s="1064" t="str">
        <f>'Barge BQS Report'!L84</f>
        <v/>
      </c>
      <c r="M87" s="1064" t="str">
        <f>'Barge BQS Report'!O84</f>
        <v/>
      </c>
      <c r="N87" s="1065" t="str">
        <f>'Barge BQS Report'!M84</f>
        <v/>
      </c>
      <c r="O87" s="1065" t="str">
        <f>'Barge BQS Report'!P84</f>
        <v/>
      </c>
      <c r="P87" s="1064" t="str">
        <f>'Barge BQS Report'!Q84</f>
        <v/>
      </c>
      <c r="Q87" s="1044"/>
      <c r="R87" s="1044"/>
      <c r="S87" s="1044"/>
    </row>
    <row r="88" spans="1:19" hidden="1">
      <c r="A88" s="881" t="str">
        <f>'Barge BQS Report'!A85</f>
        <v>N</v>
      </c>
      <c r="C88" s="1057" t="str">
        <f>'Barge BQS Report'!C85</f>
        <v/>
      </c>
      <c r="D88" s="1058" t="str">
        <f>'Barge BQS Report'!D85</f>
        <v/>
      </c>
      <c r="E88" s="1059" t="str">
        <f>'Barge BQS Report'!N85</f>
        <v/>
      </c>
      <c r="F88" s="1060" t="str">
        <f>'Barge BQS Report'!F85</f>
        <v/>
      </c>
      <c r="G88" s="1061" t="str">
        <f>'Barge BQS Report'!E85</f>
        <v/>
      </c>
      <c r="H88" s="1060" t="str">
        <f>'Barge BQS Report'!G85</f>
        <v/>
      </c>
      <c r="I88" s="1159" t="str">
        <f>'Barge BQS Report'!H85</f>
        <v/>
      </c>
      <c r="J88" s="1062" t="str">
        <f>'Barge BQS Report'!I85</f>
        <v/>
      </c>
      <c r="K88" s="1063" t="str">
        <f>'Barge BQS Report'!J85</f>
        <v/>
      </c>
      <c r="L88" s="1064" t="str">
        <f>'Barge BQS Report'!L85</f>
        <v/>
      </c>
      <c r="M88" s="1064" t="str">
        <f>'Barge BQS Report'!O85</f>
        <v/>
      </c>
      <c r="N88" s="1065" t="str">
        <f>'Barge BQS Report'!M85</f>
        <v/>
      </c>
      <c r="O88" s="1065" t="str">
        <f>'Barge BQS Report'!P85</f>
        <v/>
      </c>
      <c r="P88" s="1064" t="str">
        <f>'Barge BQS Report'!Q85</f>
        <v/>
      </c>
      <c r="Q88" s="1044"/>
      <c r="R88" s="1044"/>
      <c r="S88" s="1044"/>
    </row>
    <row r="89" spans="1:19" hidden="1">
      <c r="A89" s="881" t="str">
        <f>'Barge BQS Report'!A86</f>
        <v>N</v>
      </c>
      <c r="C89" s="1057" t="str">
        <f>'Barge BQS Report'!C86</f>
        <v/>
      </c>
      <c r="D89" s="1058" t="str">
        <f>'Barge BQS Report'!D86</f>
        <v/>
      </c>
      <c r="E89" s="1059" t="str">
        <f>'Barge BQS Report'!N86</f>
        <v/>
      </c>
      <c r="F89" s="1060" t="str">
        <f>'Barge BQS Report'!F86</f>
        <v/>
      </c>
      <c r="G89" s="1061" t="str">
        <f>'Barge BQS Report'!E86</f>
        <v/>
      </c>
      <c r="H89" s="1060" t="str">
        <f>'Barge BQS Report'!G86</f>
        <v/>
      </c>
      <c r="I89" s="1159" t="str">
        <f>'Barge BQS Report'!H86</f>
        <v/>
      </c>
      <c r="J89" s="1062" t="str">
        <f>'Barge BQS Report'!I86</f>
        <v/>
      </c>
      <c r="K89" s="1063" t="str">
        <f>'Barge BQS Report'!J86</f>
        <v/>
      </c>
      <c r="L89" s="1064" t="str">
        <f>'Barge BQS Report'!L86</f>
        <v/>
      </c>
      <c r="M89" s="1064" t="str">
        <f>'Barge BQS Report'!O86</f>
        <v/>
      </c>
      <c r="N89" s="1065" t="str">
        <f>'Barge BQS Report'!M86</f>
        <v/>
      </c>
      <c r="O89" s="1065" t="str">
        <f>'Barge BQS Report'!P86</f>
        <v/>
      </c>
      <c r="P89" s="1064" t="str">
        <f>'Barge BQS Report'!Q86</f>
        <v/>
      </c>
      <c r="Q89" s="1044"/>
      <c r="R89" s="1044"/>
      <c r="S89" s="1044"/>
    </row>
    <row r="90" spans="1:19" hidden="1">
      <c r="A90" s="881" t="str">
        <f>'Barge BQS Report'!A87</f>
        <v>N</v>
      </c>
      <c r="C90" s="1066" t="str">
        <f>'Barge BQS Report'!C87</f>
        <v/>
      </c>
      <c r="D90" s="1067" t="str">
        <f>'Barge BQS Report'!D87</f>
        <v/>
      </c>
      <c r="E90" s="1068" t="str">
        <f>'Barge BQS Report'!N87</f>
        <v/>
      </c>
      <c r="F90" s="1069" t="str">
        <f>'Barge BQS Report'!F87</f>
        <v/>
      </c>
      <c r="G90" s="1070" t="str">
        <f>'Barge BQS Report'!E87</f>
        <v/>
      </c>
      <c r="H90" s="1069" t="str">
        <f>'Barge BQS Report'!G87</f>
        <v/>
      </c>
      <c r="I90" s="1160" t="str">
        <f>'Barge BQS Report'!H87</f>
        <v/>
      </c>
      <c r="J90" s="1071" t="str">
        <f>'Barge BQS Report'!I87</f>
        <v/>
      </c>
      <c r="K90" s="1072" t="str">
        <f>'Barge BQS Report'!J87</f>
        <v/>
      </c>
      <c r="L90" s="1073" t="str">
        <f>'Barge BQS Report'!L87</f>
        <v/>
      </c>
      <c r="M90" s="1073" t="str">
        <f>'Barge BQS Report'!O87</f>
        <v/>
      </c>
      <c r="N90" s="1107" t="str">
        <f>'Barge BQS Report'!M87</f>
        <v/>
      </c>
      <c r="O90" s="1074" t="str">
        <f>'Barge BQS Report'!P87</f>
        <v/>
      </c>
      <c r="P90" s="1073" t="str">
        <f>'Barge BQS Report'!Q87</f>
        <v/>
      </c>
      <c r="Q90" s="1044"/>
      <c r="R90" s="1044"/>
      <c r="S90" s="1044"/>
    </row>
    <row r="91" spans="1:19" hidden="1">
      <c r="A91" s="881" t="s">
        <v>270</v>
      </c>
      <c r="C91" s="1118"/>
      <c r="D91" s="1075"/>
      <c r="E91" s="1076"/>
      <c r="F91" s="1077"/>
      <c r="G91" s="1077"/>
      <c r="H91" s="1078"/>
      <c r="I91" s="1078"/>
      <c r="J91" s="1078"/>
      <c r="K91" s="1077"/>
      <c r="L91" s="1079"/>
      <c r="M91" s="2957" t="s">
        <v>801</v>
      </c>
      <c r="N91" s="2957"/>
      <c r="O91" s="3091">
        <f>SUM(P71:P90)</f>
        <v>0</v>
      </c>
      <c r="P91" s="3092"/>
      <c r="Q91" s="1044"/>
      <c r="R91" s="1044"/>
      <c r="S91" s="1044"/>
    </row>
    <row r="92" spans="1:19" s="1046" customFormat="1" ht="5.25" hidden="1">
      <c r="A92" s="1046" t="s">
        <v>270</v>
      </c>
      <c r="C92" s="1108"/>
      <c r="D92" s="1109"/>
      <c r="E92" s="1110"/>
      <c r="F92" s="1111"/>
      <c r="G92" s="1111"/>
      <c r="H92" s="1112"/>
      <c r="I92" s="1113"/>
      <c r="J92" s="1113"/>
      <c r="K92" s="1114"/>
      <c r="L92" s="1115"/>
      <c r="M92" s="1115"/>
      <c r="N92" s="1116"/>
      <c r="O92" s="1117"/>
      <c r="P92" s="1115"/>
      <c r="Q92" s="1045"/>
      <c r="R92" s="1045"/>
      <c r="S92" s="1045"/>
    </row>
    <row r="93" spans="1:19" hidden="1">
      <c r="A93" s="881" t="s">
        <v>270</v>
      </c>
      <c r="B93" s="881">
        <v>4</v>
      </c>
      <c r="C93" s="2959" t="str">
        <f>'Barge BQS Report'!C90</f>
        <v>NOMINATED TANKS</v>
      </c>
      <c r="D93" s="2960"/>
      <c r="E93" s="2960"/>
      <c r="F93" s="2961"/>
      <c r="G93" s="2962" t="str">
        <f>'Barge BQS Report'!E90</f>
        <v>LSMDO</v>
      </c>
      <c r="H93" s="2963"/>
      <c r="I93" s="1051"/>
      <c r="J93" s="1052"/>
      <c r="K93" s="1053"/>
      <c r="L93" s="1054"/>
      <c r="M93" s="1054"/>
      <c r="N93" s="1055"/>
      <c r="O93" s="1056"/>
      <c r="P93" s="1054"/>
      <c r="Q93" s="1044"/>
      <c r="R93" s="1044"/>
      <c r="S93" s="1044"/>
    </row>
    <row r="94" spans="1:19" hidden="1">
      <c r="A94" s="881" t="str">
        <f>'Barge BQS Report'!A91</f>
        <v>N</v>
      </c>
      <c r="C94" s="1057" t="str">
        <f>'Barge BQS Report'!C91</f>
        <v/>
      </c>
      <c r="D94" s="1058" t="str">
        <f>'Barge BQS Report'!D91</f>
        <v/>
      </c>
      <c r="E94" s="1059" t="str">
        <f>'Barge BQS Report'!N91</f>
        <v/>
      </c>
      <c r="F94" s="1060" t="str">
        <f>'Barge BQS Report'!F91</f>
        <v/>
      </c>
      <c r="G94" s="1061" t="str">
        <f>'Barge BQS Report'!E91</f>
        <v/>
      </c>
      <c r="H94" s="1060" t="str">
        <f>'Barge BQS Report'!G91</f>
        <v/>
      </c>
      <c r="I94" s="1159" t="str">
        <f>'Barge BQS Report'!H91</f>
        <v/>
      </c>
      <c r="J94" s="1062" t="str">
        <f>'Barge BQS Report'!I91</f>
        <v/>
      </c>
      <c r="K94" s="1063" t="str">
        <f>'Barge BQS Report'!J91</f>
        <v/>
      </c>
      <c r="L94" s="1064" t="str">
        <f>'Barge BQS Report'!L91</f>
        <v/>
      </c>
      <c r="M94" s="1064" t="str">
        <f>'Barge BQS Report'!O91</f>
        <v/>
      </c>
      <c r="N94" s="1065" t="str">
        <f>'Barge BQS Report'!M91</f>
        <v/>
      </c>
      <c r="O94" s="1065" t="str">
        <f>'Barge BQS Report'!P91</f>
        <v/>
      </c>
      <c r="P94" s="1064" t="str">
        <f>'Barge BQS Report'!Q91</f>
        <v/>
      </c>
      <c r="Q94" s="1044"/>
      <c r="R94" s="1044"/>
      <c r="S94" s="1044"/>
    </row>
    <row r="95" spans="1:19" hidden="1">
      <c r="A95" s="881" t="str">
        <f>'Barge BQS Report'!A92</f>
        <v>N</v>
      </c>
      <c r="C95" s="1057" t="str">
        <f>'Barge BQS Report'!C92</f>
        <v/>
      </c>
      <c r="D95" s="1058" t="str">
        <f>'Barge BQS Report'!D92</f>
        <v/>
      </c>
      <c r="E95" s="1059" t="str">
        <f>'Barge BQS Report'!N92</f>
        <v/>
      </c>
      <c r="F95" s="1060" t="str">
        <f>'Barge BQS Report'!F92</f>
        <v/>
      </c>
      <c r="G95" s="1061" t="str">
        <f>'Barge BQS Report'!E92</f>
        <v/>
      </c>
      <c r="H95" s="1060" t="str">
        <f>'Barge BQS Report'!G92</f>
        <v/>
      </c>
      <c r="I95" s="1159" t="str">
        <f>'Barge BQS Report'!H92</f>
        <v/>
      </c>
      <c r="J95" s="1062" t="str">
        <f>'Barge BQS Report'!I92</f>
        <v/>
      </c>
      <c r="K95" s="1063" t="str">
        <f>'Barge BQS Report'!J92</f>
        <v/>
      </c>
      <c r="L95" s="1064" t="str">
        <f>'Barge BQS Report'!L92</f>
        <v/>
      </c>
      <c r="M95" s="1064" t="str">
        <f>'Barge BQS Report'!O92</f>
        <v/>
      </c>
      <c r="N95" s="1065" t="str">
        <f>'Barge BQS Report'!M92</f>
        <v/>
      </c>
      <c r="O95" s="1065" t="str">
        <f>'Barge BQS Report'!P92</f>
        <v/>
      </c>
      <c r="P95" s="1064" t="str">
        <f>'Barge BQS Report'!Q92</f>
        <v/>
      </c>
      <c r="Q95" s="1044"/>
      <c r="R95" s="1044"/>
      <c r="S95" s="1044"/>
    </row>
    <row r="96" spans="1:19" hidden="1">
      <c r="A96" s="881" t="str">
        <f>'Barge BQS Report'!A93</f>
        <v>N</v>
      </c>
      <c r="C96" s="1057" t="str">
        <f>'Barge BQS Report'!C93</f>
        <v/>
      </c>
      <c r="D96" s="1058" t="str">
        <f>'Barge BQS Report'!D93</f>
        <v/>
      </c>
      <c r="E96" s="1059" t="str">
        <f>'Barge BQS Report'!N93</f>
        <v/>
      </c>
      <c r="F96" s="1060" t="str">
        <f>'Barge BQS Report'!F93</f>
        <v/>
      </c>
      <c r="G96" s="1061" t="str">
        <f>'Barge BQS Report'!E93</f>
        <v/>
      </c>
      <c r="H96" s="1060" t="str">
        <f>'Barge BQS Report'!G93</f>
        <v/>
      </c>
      <c r="I96" s="1159" t="str">
        <f>'Barge BQS Report'!H93</f>
        <v/>
      </c>
      <c r="J96" s="1062" t="str">
        <f>'Barge BQS Report'!I93</f>
        <v/>
      </c>
      <c r="K96" s="1063" t="str">
        <f>'Barge BQS Report'!J93</f>
        <v/>
      </c>
      <c r="L96" s="1064" t="str">
        <f>'Barge BQS Report'!L93</f>
        <v/>
      </c>
      <c r="M96" s="1064" t="str">
        <f>'Barge BQS Report'!O93</f>
        <v/>
      </c>
      <c r="N96" s="1065" t="str">
        <f>'Barge BQS Report'!M93</f>
        <v/>
      </c>
      <c r="O96" s="1065" t="str">
        <f>'Barge BQS Report'!P93</f>
        <v/>
      </c>
      <c r="P96" s="1064" t="str">
        <f>'Barge BQS Report'!Q93</f>
        <v/>
      </c>
      <c r="Q96" s="1044"/>
      <c r="R96" s="1044"/>
      <c r="S96" s="1044"/>
    </row>
    <row r="97" spans="1:19" hidden="1">
      <c r="A97" s="881" t="str">
        <f>'Barge BQS Report'!A94</f>
        <v>N</v>
      </c>
      <c r="C97" s="1057" t="str">
        <f>'Barge BQS Report'!C94</f>
        <v/>
      </c>
      <c r="D97" s="1058" t="str">
        <f>'Barge BQS Report'!D94</f>
        <v/>
      </c>
      <c r="E97" s="1059" t="str">
        <f>'Barge BQS Report'!N94</f>
        <v/>
      </c>
      <c r="F97" s="1060" t="str">
        <f>'Barge BQS Report'!F94</f>
        <v/>
      </c>
      <c r="G97" s="1061" t="str">
        <f>'Barge BQS Report'!E94</f>
        <v/>
      </c>
      <c r="H97" s="1060" t="str">
        <f>'Barge BQS Report'!G94</f>
        <v/>
      </c>
      <c r="I97" s="1159" t="str">
        <f>'Barge BQS Report'!H94</f>
        <v/>
      </c>
      <c r="J97" s="1062" t="str">
        <f>'Barge BQS Report'!I94</f>
        <v/>
      </c>
      <c r="K97" s="1063" t="str">
        <f>'Barge BQS Report'!J94</f>
        <v/>
      </c>
      <c r="L97" s="1064" t="str">
        <f>'Barge BQS Report'!L94</f>
        <v/>
      </c>
      <c r="M97" s="1064" t="str">
        <f>'Barge BQS Report'!O94</f>
        <v/>
      </c>
      <c r="N97" s="1065" t="str">
        <f>'Barge BQS Report'!M94</f>
        <v/>
      </c>
      <c r="O97" s="1065" t="str">
        <f>'Barge BQS Report'!P94</f>
        <v/>
      </c>
      <c r="P97" s="1064" t="str">
        <f>'Barge BQS Report'!Q94</f>
        <v/>
      </c>
      <c r="Q97" s="1044"/>
      <c r="R97" s="1044"/>
      <c r="S97" s="1044"/>
    </row>
    <row r="98" spans="1:19" hidden="1">
      <c r="A98" s="881" t="str">
        <f>'Barge BQS Report'!A95</f>
        <v>N</v>
      </c>
      <c r="C98" s="1057" t="str">
        <f>'Barge BQS Report'!C95</f>
        <v/>
      </c>
      <c r="D98" s="1058" t="str">
        <f>'Barge BQS Report'!D95</f>
        <v/>
      </c>
      <c r="E98" s="1059" t="str">
        <f>'Barge BQS Report'!N95</f>
        <v/>
      </c>
      <c r="F98" s="1060" t="str">
        <f>'Barge BQS Report'!F95</f>
        <v/>
      </c>
      <c r="G98" s="1061" t="str">
        <f>'Barge BQS Report'!E95</f>
        <v/>
      </c>
      <c r="H98" s="1060" t="str">
        <f>'Barge BQS Report'!G95</f>
        <v/>
      </c>
      <c r="I98" s="1159" t="str">
        <f>'Barge BQS Report'!H95</f>
        <v/>
      </c>
      <c r="J98" s="1062" t="str">
        <f>'Barge BQS Report'!I95</f>
        <v/>
      </c>
      <c r="K98" s="1063" t="str">
        <f>'Barge BQS Report'!J95</f>
        <v/>
      </c>
      <c r="L98" s="1064" t="str">
        <f>'Barge BQS Report'!L95</f>
        <v/>
      </c>
      <c r="M98" s="1064" t="str">
        <f>'Barge BQS Report'!O95</f>
        <v/>
      </c>
      <c r="N98" s="1065" t="str">
        <f>'Barge BQS Report'!M95</f>
        <v/>
      </c>
      <c r="O98" s="1065" t="str">
        <f>'Barge BQS Report'!P95</f>
        <v/>
      </c>
      <c r="P98" s="1064" t="str">
        <f>'Barge BQS Report'!Q95</f>
        <v/>
      </c>
      <c r="Q98" s="1044"/>
      <c r="R98" s="1044"/>
      <c r="S98" s="1044"/>
    </row>
    <row r="99" spans="1:19" hidden="1">
      <c r="A99" s="881" t="str">
        <f>'Barge BQS Report'!A96</f>
        <v>N</v>
      </c>
      <c r="C99" s="1057" t="str">
        <f>'Barge BQS Report'!C96</f>
        <v/>
      </c>
      <c r="D99" s="1058" t="str">
        <f>'Barge BQS Report'!D96</f>
        <v/>
      </c>
      <c r="E99" s="1059" t="str">
        <f>'Barge BQS Report'!N96</f>
        <v/>
      </c>
      <c r="F99" s="1060" t="str">
        <f>'Barge BQS Report'!F96</f>
        <v/>
      </c>
      <c r="G99" s="1061" t="str">
        <f>'Barge BQS Report'!E96</f>
        <v/>
      </c>
      <c r="H99" s="1060" t="str">
        <f>'Barge BQS Report'!G96</f>
        <v/>
      </c>
      <c r="I99" s="1159" t="str">
        <f>'Barge BQS Report'!H96</f>
        <v/>
      </c>
      <c r="J99" s="1062" t="str">
        <f>'Barge BQS Report'!I96</f>
        <v/>
      </c>
      <c r="K99" s="1063" t="str">
        <f>'Barge BQS Report'!J96</f>
        <v/>
      </c>
      <c r="L99" s="1064" t="str">
        <f>'Barge BQS Report'!L96</f>
        <v/>
      </c>
      <c r="M99" s="1064" t="str">
        <f>'Barge BQS Report'!O96</f>
        <v/>
      </c>
      <c r="N99" s="1065" t="str">
        <f>'Barge BQS Report'!M96</f>
        <v/>
      </c>
      <c r="O99" s="1065" t="str">
        <f>'Barge BQS Report'!P96</f>
        <v/>
      </c>
      <c r="P99" s="1064" t="str">
        <f>'Barge BQS Report'!Q96</f>
        <v/>
      </c>
      <c r="Q99" s="1044"/>
      <c r="R99" s="1044"/>
      <c r="S99" s="1044"/>
    </row>
    <row r="100" spans="1:19" hidden="1">
      <c r="A100" s="881" t="str">
        <f>'Barge BQS Report'!A97</f>
        <v>N</v>
      </c>
      <c r="C100" s="1057" t="str">
        <f>'Barge BQS Report'!C97</f>
        <v/>
      </c>
      <c r="D100" s="1058" t="str">
        <f>'Barge BQS Report'!D97</f>
        <v/>
      </c>
      <c r="E100" s="1059" t="str">
        <f>'Barge BQS Report'!N97</f>
        <v/>
      </c>
      <c r="F100" s="1060" t="str">
        <f>'Barge BQS Report'!F97</f>
        <v/>
      </c>
      <c r="G100" s="1061" t="str">
        <f>'Barge BQS Report'!E97</f>
        <v/>
      </c>
      <c r="H100" s="1060" t="str">
        <f>'Barge BQS Report'!G97</f>
        <v/>
      </c>
      <c r="I100" s="1159" t="str">
        <f>'Barge BQS Report'!H97</f>
        <v/>
      </c>
      <c r="J100" s="1062" t="str">
        <f>'Barge BQS Report'!I97</f>
        <v/>
      </c>
      <c r="K100" s="1063" t="str">
        <f>'Barge BQS Report'!J97</f>
        <v/>
      </c>
      <c r="L100" s="1064" t="str">
        <f>'Barge BQS Report'!L97</f>
        <v/>
      </c>
      <c r="M100" s="1064" t="str">
        <f>'Barge BQS Report'!O97</f>
        <v/>
      </c>
      <c r="N100" s="1065" t="str">
        <f>'Barge BQS Report'!M97</f>
        <v/>
      </c>
      <c r="O100" s="1065" t="str">
        <f>'Barge BQS Report'!P97</f>
        <v/>
      </c>
      <c r="P100" s="1064" t="str">
        <f>'Barge BQS Report'!Q97</f>
        <v/>
      </c>
      <c r="Q100" s="1044"/>
      <c r="R100" s="1044"/>
      <c r="S100" s="1044"/>
    </row>
    <row r="101" spans="1:19" hidden="1">
      <c r="A101" s="881" t="str">
        <f>'Barge BQS Report'!A98</f>
        <v>N</v>
      </c>
      <c r="C101" s="1057" t="str">
        <f>'Barge BQS Report'!C98</f>
        <v/>
      </c>
      <c r="D101" s="1058" t="str">
        <f>'Barge BQS Report'!D98</f>
        <v/>
      </c>
      <c r="E101" s="1059" t="str">
        <f>'Barge BQS Report'!N98</f>
        <v/>
      </c>
      <c r="F101" s="1060" t="str">
        <f>'Barge BQS Report'!F98</f>
        <v/>
      </c>
      <c r="G101" s="1061" t="str">
        <f>'Barge BQS Report'!E98</f>
        <v/>
      </c>
      <c r="H101" s="1060" t="str">
        <f>'Barge BQS Report'!G98</f>
        <v/>
      </c>
      <c r="I101" s="1159" t="str">
        <f>'Barge BQS Report'!H98</f>
        <v/>
      </c>
      <c r="J101" s="1062" t="str">
        <f>'Barge BQS Report'!I98</f>
        <v/>
      </c>
      <c r="K101" s="1063" t="str">
        <f>'Barge BQS Report'!J98</f>
        <v/>
      </c>
      <c r="L101" s="1064" t="str">
        <f>'Barge BQS Report'!L98</f>
        <v/>
      </c>
      <c r="M101" s="1064" t="str">
        <f>'Barge BQS Report'!O98</f>
        <v/>
      </c>
      <c r="N101" s="1065" t="str">
        <f>'Barge BQS Report'!M98</f>
        <v/>
      </c>
      <c r="O101" s="1065" t="str">
        <f>'Barge BQS Report'!P98</f>
        <v/>
      </c>
      <c r="P101" s="1064" t="str">
        <f>'Barge BQS Report'!Q98</f>
        <v/>
      </c>
      <c r="Q101" s="1044"/>
      <c r="R101" s="1044"/>
      <c r="S101" s="1044"/>
    </row>
    <row r="102" spans="1:19" hidden="1">
      <c r="A102" s="881" t="str">
        <f>'Barge BQS Report'!A99</f>
        <v>N</v>
      </c>
      <c r="C102" s="1057" t="str">
        <f>'Barge BQS Report'!C99</f>
        <v/>
      </c>
      <c r="D102" s="1058" t="str">
        <f>'Barge BQS Report'!D99</f>
        <v/>
      </c>
      <c r="E102" s="1059" t="str">
        <f>'Barge BQS Report'!N99</f>
        <v/>
      </c>
      <c r="F102" s="1060" t="str">
        <f>'Barge BQS Report'!F99</f>
        <v/>
      </c>
      <c r="G102" s="1061" t="str">
        <f>'Barge BQS Report'!E99</f>
        <v/>
      </c>
      <c r="H102" s="1060" t="str">
        <f>'Barge BQS Report'!G99</f>
        <v/>
      </c>
      <c r="I102" s="1159" t="str">
        <f>'Barge BQS Report'!H99</f>
        <v/>
      </c>
      <c r="J102" s="1062" t="str">
        <f>'Barge BQS Report'!I99</f>
        <v/>
      </c>
      <c r="K102" s="1063" t="str">
        <f>'Barge BQS Report'!J99</f>
        <v/>
      </c>
      <c r="L102" s="1064" t="str">
        <f>'Barge BQS Report'!L99</f>
        <v/>
      </c>
      <c r="M102" s="1064" t="str">
        <f>'Barge BQS Report'!O99</f>
        <v/>
      </c>
      <c r="N102" s="1065" t="str">
        <f>'Barge BQS Report'!M99</f>
        <v/>
      </c>
      <c r="O102" s="1065" t="str">
        <f>'Barge BQS Report'!P99</f>
        <v/>
      </c>
      <c r="P102" s="1064" t="str">
        <f>'Barge BQS Report'!Q99</f>
        <v/>
      </c>
      <c r="Q102" s="1044"/>
      <c r="R102" s="1044"/>
      <c r="S102" s="1044"/>
    </row>
    <row r="103" spans="1:19" hidden="1">
      <c r="A103" s="881" t="str">
        <f>'Barge BQS Report'!A100</f>
        <v>N</v>
      </c>
      <c r="C103" s="1057" t="str">
        <f>'Barge BQS Report'!C100</f>
        <v/>
      </c>
      <c r="D103" s="1058" t="str">
        <f>'Barge BQS Report'!D100</f>
        <v/>
      </c>
      <c r="E103" s="1059" t="str">
        <f>'Barge BQS Report'!N100</f>
        <v/>
      </c>
      <c r="F103" s="1060" t="str">
        <f>'Barge BQS Report'!F100</f>
        <v/>
      </c>
      <c r="G103" s="1061" t="str">
        <f>'Barge BQS Report'!E100</f>
        <v/>
      </c>
      <c r="H103" s="1060" t="str">
        <f>'Barge BQS Report'!G100</f>
        <v/>
      </c>
      <c r="I103" s="1159" t="str">
        <f>'Barge BQS Report'!H100</f>
        <v/>
      </c>
      <c r="J103" s="1062" t="str">
        <f>'Barge BQS Report'!I100</f>
        <v/>
      </c>
      <c r="K103" s="1063" t="str">
        <f>'Barge BQS Report'!J100</f>
        <v/>
      </c>
      <c r="L103" s="1064" t="str">
        <f>'Barge BQS Report'!L100</f>
        <v/>
      </c>
      <c r="M103" s="1064" t="str">
        <f>'Barge BQS Report'!O100</f>
        <v/>
      </c>
      <c r="N103" s="1065" t="str">
        <f>'Barge BQS Report'!M100</f>
        <v/>
      </c>
      <c r="O103" s="1065" t="str">
        <f>'Barge BQS Report'!P100</f>
        <v/>
      </c>
      <c r="P103" s="1064" t="str">
        <f>'Barge BQS Report'!Q100</f>
        <v/>
      </c>
      <c r="Q103" s="1044"/>
      <c r="R103" s="1044"/>
      <c r="S103" s="1044"/>
    </row>
    <row r="104" spans="1:19" hidden="1">
      <c r="A104" s="881" t="str">
        <f>'Barge BQS Report'!A101</f>
        <v>N</v>
      </c>
      <c r="C104" s="1057" t="str">
        <f>'Barge BQS Report'!C101</f>
        <v/>
      </c>
      <c r="D104" s="1058" t="str">
        <f>'Barge BQS Report'!D101</f>
        <v/>
      </c>
      <c r="E104" s="1059" t="str">
        <f>'Barge BQS Report'!N101</f>
        <v/>
      </c>
      <c r="F104" s="1060" t="str">
        <f>'Barge BQS Report'!F101</f>
        <v/>
      </c>
      <c r="G104" s="1061" t="str">
        <f>'Barge BQS Report'!E101</f>
        <v/>
      </c>
      <c r="H104" s="1060" t="str">
        <f>'Barge BQS Report'!G101</f>
        <v/>
      </c>
      <c r="I104" s="1159" t="str">
        <f>'Barge BQS Report'!H101</f>
        <v/>
      </c>
      <c r="J104" s="1062" t="str">
        <f>'Barge BQS Report'!I101</f>
        <v/>
      </c>
      <c r="K104" s="1063" t="str">
        <f>'Barge BQS Report'!J101</f>
        <v/>
      </c>
      <c r="L104" s="1064" t="str">
        <f>'Barge BQS Report'!L101</f>
        <v/>
      </c>
      <c r="M104" s="1064" t="str">
        <f>'Barge BQS Report'!O101</f>
        <v/>
      </c>
      <c r="N104" s="1065" t="str">
        <f>'Barge BQS Report'!M101</f>
        <v/>
      </c>
      <c r="O104" s="1065" t="str">
        <f>'Barge BQS Report'!P101</f>
        <v/>
      </c>
      <c r="P104" s="1064" t="str">
        <f>'Barge BQS Report'!Q101</f>
        <v/>
      </c>
      <c r="Q104" s="1044"/>
      <c r="R104" s="1044"/>
      <c r="S104" s="1044"/>
    </row>
    <row r="105" spans="1:19" hidden="1">
      <c r="A105" s="881" t="str">
        <f>'Barge BQS Report'!A102</f>
        <v>N</v>
      </c>
      <c r="C105" s="1057" t="str">
        <f>'Barge BQS Report'!C102</f>
        <v/>
      </c>
      <c r="D105" s="1058" t="str">
        <f>'Barge BQS Report'!D102</f>
        <v/>
      </c>
      <c r="E105" s="1059" t="str">
        <f>'Barge BQS Report'!N102</f>
        <v/>
      </c>
      <c r="F105" s="1060" t="str">
        <f>'Barge BQS Report'!F102</f>
        <v/>
      </c>
      <c r="G105" s="1061" t="str">
        <f>'Barge BQS Report'!E102</f>
        <v/>
      </c>
      <c r="H105" s="1060" t="str">
        <f>'Barge BQS Report'!G102</f>
        <v/>
      </c>
      <c r="I105" s="1159" t="str">
        <f>'Barge BQS Report'!H102</f>
        <v/>
      </c>
      <c r="J105" s="1062" t="str">
        <f>'Barge BQS Report'!I102</f>
        <v/>
      </c>
      <c r="K105" s="1063" t="str">
        <f>'Barge BQS Report'!J102</f>
        <v/>
      </c>
      <c r="L105" s="1064" t="str">
        <f>'Barge BQS Report'!L102</f>
        <v/>
      </c>
      <c r="M105" s="1064" t="str">
        <f>'Barge BQS Report'!O102</f>
        <v/>
      </c>
      <c r="N105" s="1065" t="str">
        <f>'Barge BQS Report'!M102</f>
        <v/>
      </c>
      <c r="O105" s="1065" t="str">
        <f>'Barge BQS Report'!P102</f>
        <v/>
      </c>
      <c r="P105" s="1064" t="str">
        <f>'Barge BQS Report'!Q102</f>
        <v/>
      </c>
      <c r="Q105" s="1044"/>
      <c r="R105" s="1044"/>
      <c r="S105" s="1044"/>
    </row>
    <row r="106" spans="1:19" hidden="1">
      <c r="A106" s="881" t="str">
        <f>'Barge BQS Report'!A103</f>
        <v>N</v>
      </c>
      <c r="C106" s="1057" t="str">
        <f>'Barge BQS Report'!C103</f>
        <v/>
      </c>
      <c r="D106" s="1058" t="str">
        <f>'Barge BQS Report'!D103</f>
        <v/>
      </c>
      <c r="E106" s="1059" t="str">
        <f>'Barge BQS Report'!N103</f>
        <v/>
      </c>
      <c r="F106" s="1060" t="str">
        <f>'Barge BQS Report'!F103</f>
        <v/>
      </c>
      <c r="G106" s="1061" t="str">
        <f>'Barge BQS Report'!E103</f>
        <v/>
      </c>
      <c r="H106" s="1060" t="str">
        <f>'Barge BQS Report'!G103</f>
        <v/>
      </c>
      <c r="I106" s="1159" t="str">
        <f>'Barge BQS Report'!H103</f>
        <v/>
      </c>
      <c r="J106" s="1062" t="str">
        <f>'Barge BQS Report'!I103</f>
        <v/>
      </c>
      <c r="K106" s="1063" t="str">
        <f>'Barge BQS Report'!J103</f>
        <v/>
      </c>
      <c r="L106" s="1064" t="str">
        <f>'Barge BQS Report'!L103</f>
        <v/>
      </c>
      <c r="M106" s="1064" t="str">
        <f>'Barge BQS Report'!O103</f>
        <v/>
      </c>
      <c r="N106" s="1065" t="str">
        <f>'Barge BQS Report'!M103</f>
        <v/>
      </c>
      <c r="O106" s="1065" t="str">
        <f>'Barge BQS Report'!P103</f>
        <v/>
      </c>
      <c r="P106" s="1064" t="str">
        <f>'Barge BQS Report'!Q103</f>
        <v/>
      </c>
      <c r="Q106" s="1044"/>
      <c r="R106" s="1044"/>
      <c r="S106" s="1044"/>
    </row>
    <row r="107" spans="1:19" hidden="1">
      <c r="A107" s="881" t="str">
        <f>'Barge BQS Report'!A104</f>
        <v>N</v>
      </c>
      <c r="C107" s="1057" t="str">
        <f>'Barge BQS Report'!C104</f>
        <v/>
      </c>
      <c r="D107" s="1058" t="str">
        <f>'Barge BQS Report'!D104</f>
        <v/>
      </c>
      <c r="E107" s="1059" t="str">
        <f>'Barge BQS Report'!N104</f>
        <v/>
      </c>
      <c r="F107" s="1060" t="str">
        <f>'Barge BQS Report'!F104</f>
        <v/>
      </c>
      <c r="G107" s="1061" t="str">
        <f>'Barge BQS Report'!E104</f>
        <v/>
      </c>
      <c r="H107" s="1060" t="str">
        <f>'Barge BQS Report'!G104</f>
        <v/>
      </c>
      <c r="I107" s="1159" t="str">
        <f>'Barge BQS Report'!H104</f>
        <v/>
      </c>
      <c r="J107" s="1062" t="str">
        <f>'Barge BQS Report'!I104</f>
        <v/>
      </c>
      <c r="K107" s="1063" t="str">
        <f>'Barge BQS Report'!J104</f>
        <v/>
      </c>
      <c r="L107" s="1064" t="str">
        <f>'Barge BQS Report'!L104</f>
        <v/>
      </c>
      <c r="M107" s="1064" t="str">
        <f>'Barge BQS Report'!O104</f>
        <v/>
      </c>
      <c r="N107" s="1065" t="str">
        <f>'Barge BQS Report'!M104</f>
        <v/>
      </c>
      <c r="O107" s="1065" t="str">
        <f>'Barge BQS Report'!P104</f>
        <v/>
      </c>
      <c r="P107" s="1064" t="str">
        <f>'Barge BQS Report'!Q104</f>
        <v/>
      </c>
      <c r="Q107" s="1044"/>
      <c r="R107" s="1044"/>
      <c r="S107" s="1044"/>
    </row>
    <row r="108" spans="1:19" hidden="1">
      <c r="A108" s="881" t="str">
        <f>'Barge BQS Report'!A105</f>
        <v>N</v>
      </c>
      <c r="C108" s="1057" t="str">
        <f>'Barge BQS Report'!C105</f>
        <v/>
      </c>
      <c r="D108" s="1058" t="str">
        <f>'Barge BQS Report'!D105</f>
        <v/>
      </c>
      <c r="E108" s="1059" t="str">
        <f>'Barge BQS Report'!N105</f>
        <v/>
      </c>
      <c r="F108" s="1060" t="str">
        <f>'Barge BQS Report'!F105</f>
        <v/>
      </c>
      <c r="G108" s="1061" t="str">
        <f>'Barge BQS Report'!E105</f>
        <v/>
      </c>
      <c r="H108" s="1060" t="str">
        <f>'Barge BQS Report'!G105</f>
        <v/>
      </c>
      <c r="I108" s="1159" t="str">
        <f>'Barge BQS Report'!H105</f>
        <v/>
      </c>
      <c r="J108" s="1062" t="str">
        <f>'Barge BQS Report'!I105</f>
        <v/>
      </c>
      <c r="K108" s="1063" t="str">
        <f>'Barge BQS Report'!J105</f>
        <v/>
      </c>
      <c r="L108" s="1064" t="str">
        <f>'Barge BQS Report'!L105</f>
        <v/>
      </c>
      <c r="M108" s="1064" t="str">
        <f>'Barge BQS Report'!O105</f>
        <v/>
      </c>
      <c r="N108" s="1065" t="str">
        <f>'Barge BQS Report'!M105</f>
        <v/>
      </c>
      <c r="O108" s="1065" t="str">
        <f>'Barge BQS Report'!P105</f>
        <v/>
      </c>
      <c r="P108" s="1064" t="str">
        <f>'Barge BQS Report'!Q105</f>
        <v/>
      </c>
      <c r="Q108" s="1044"/>
      <c r="R108" s="1044"/>
      <c r="S108" s="1044"/>
    </row>
    <row r="109" spans="1:19" hidden="1">
      <c r="A109" s="881" t="str">
        <f>'Barge BQS Report'!A106</f>
        <v>N</v>
      </c>
      <c r="C109" s="1057" t="str">
        <f>'Barge BQS Report'!C106</f>
        <v/>
      </c>
      <c r="D109" s="1058" t="str">
        <f>'Barge BQS Report'!D106</f>
        <v/>
      </c>
      <c r="E109" s="1059" t="str">
        <f>'Barge BQS Report'!N106</f>
        <v/>
      </c>
      <c r="F109" s="1060" t="str">
        <f>'Barge BQS Report'!F106</f>
        <v/>
      </c>
      <c r="G109" s="1061" t="str">
        <f>'Barge BQS Report'!E106</f>
        <v/>
      </c>
      <c r="H109" s="1060" t="str">
        <f>'Barge BQS Report'!G106</f>
        <v/>
      </c>
      <c r="I109" s="1159" t="str">
        <f>'Barge BQS Report'!H106</f>
        <v/>
      </c>
      <c r="J109" s="1062" t="str">
        <f>'Barge BQS Report'!I106</f>
        <v/>
      </c>
      <c r="K109" s="1063" t="str">
        <f>'Barge BQS Report'!J106</f>
        <v/>
      </c>
      <c r="L109" s="1064" t="str">
        <f>'Barge BQS Report'!L106</f>
        <v/>
      </c>
      <c r="M109" s="1064" t="str">
        <f>'Barge BQS Report'!O106</f>
        <v/>
      </c>
      <c r="N109" s="1065" t="str">
        <f>'Barge BQS Report'!M106</f>
        <v/>
      </c>
      <c r="O109" s="1065" t="str">
        <f>'Barge BQS Report'!P106</f>
        <v/>
      </c>
      <c r="P109" s="1064" t="str">
        <f>'Barge BQS Report'!Q106</f>
        <v/>
      </c>
      <c r="Q109" s="1044"/>
      <c r="R109" s="1044"/>
      <c r="S109" s="1044"/>
    </row>
    <row r="110" spans="1:19" hidden="1">
      <c r="A110" s="881" t="str">
        <f>'Barge BQS Report'!A107</f>
        <v>N</v>
      </c>
      <c r="C110" s="1057" t="str">
        <f>'Barge BQS Report'!C107</f>
        <v/>
      </c>
      <c r="D110" s="1058" t="str">
        <f>'Barge BQS Report'!D107</f>
        <v/>
      </c>
      <c r="E110" s="1059" t="str">
        <f>'Barge BQS Report'!N107</f>
        <v/>
      </c>
      <c r="F110" s="1060" t="str">
        <f>'Barge BQS Report'!F107</f>
        <v/>
      </c>
      <c r="G110" s="1061" t="str">
        <f>'Barge BQS Report'!E107</f>
        <v/>
      </c>
      <c r="H110" s="1060" t="str">
        <f>'Barge BQS Report'!G107</f>
        <v/>
      </c>
      <c r="I110" s="1159" t="str">
        <f>'Barge BQS Report'!H107</f>
        <v/>
      </c>
      <c r="J110" s="1062" t="str">
        <f>'Barge BQS Report'!I107</f>
        <v/>
      </c>
      <c r="K110" s="1063" t="str">
        <f>'Barge BQS Report'!J107</f>
        <v/>
      </c>
      <c r="L110" s="1064" t="str">
        <f>'Barge BQS Report'!L107</f>
        <v/>
      </c>
      <c r="M110" s="1064" t="str">
        <f>'Barge BQS Report'!O107</f>
        <v/>
      </c>
      <c r="N110" s="1065" t="str">
        <f>'Barge BQS Report'!M107</f>
        <v/>
      </c>
      <c r="O110" s="1065" t="str">
        <f>'Barge BQS Report'!P107</f>
        <v/>
      </c>
      <c r="P110" s="1064" t="str">
        <f>'Barge BQS Report'!Q107</f>
        <v/>
      </c>
      <c r="Q110" s="1044"/>
      <c r="R110" s="1044"/>
      <c r="S110" s="1044"/>
    </row>
    <row r="111" spans="1:19" hidden="1">
      <c r="A111" s="881" t="str">
        <f>'Barge BQS Report'!A108</f>
        <v>N</v>
      </c>
      <c r="C111" s="1057" t="str">
        <f>'Barge BQS Report'!C108</f>
        <v/>
      </c>
      <c r="D111" s="1058" t="str">
        <f>'Barge BQS Report'!D108</f>
        <v/>
      </c>
      <c r="E111" s="1059" t="str">
        <f>'Barge BQS Report'!N108</f>
        <v/>
      </c>
      <c r="F111" s="1060" t="str">
        <f>'Barge BQS Report'!F108</f>
        <v/>
      </c>
      <c r="G111" s="1061" t="str">
        <f>'Barge BQS Report'!E108</f>
        <v/>
      </c>
      <c r="H111" s="1060" t="str">
        <f>'Barge BQS Report'!G108</f>
        <v/>
      </c>
      <c r="I111" s="1159" t="str">
        <f>'Barge BQS Report'!H108</f>
        <v/>
      </c>
      <c r="J111" s="1062" t="str">
        <f>'Barge BQS Report'!I108</f>
        <v/>
      </c>
      <c r="K111" s="1063" t="str">
        <f>'Barge BQS Report'!J108</f>
        <v/>
      </c>
      <c r="L111" s="1064" t="str">
        <f>'Barge BQS Report'!L108</f>
        <v/>
      </c>
      <c r="M111" s="1064" t="str">
        <f>'Barge BQS Report'!O108</f>
        <v/>
      </c>
      <c r="N111" s="1065" t="str">
        <f>'Barge BQS Report'!M108</f>
        <v/>
      </c>
      <c r="O111" s="1065" t="str">
        <f>'Barge BQS Report'!P108</f>
        <v/>
      </c>
      <c r="P111" s="1064" t="str">
        <f>'Barge BQS Report'!Q108</f>
        <v/>
      </c>
      <c r="Q111" s="1044"/>
      <c r="R111" s="1044"/>
      <c r="S111" s="1044"/>
    </row>
    <row r="112" spans="1:19" hidden="1">
      <c r="A112" s="881" t="str">
        <f>'Barge BQS Report'!A109</f>
        <v>N</v>
      </c>
      <c r="C112" s="1057" t="str">
        <f>'Barge BQS Report'!C109</f>
        <v/>
      </c>
      <c r="D112" s="1058" t="str">
        <f>'Barge BQS Report'!D109</f>
        <v/>
      </c>
      <c r="E112" s="1059" t="str">
        <f>'Barge BQS Report'!N109</f>
        <v/>
      </c>
      <c r="F112" s="1060" t="str">
        <f>'Barge BQS Report'!F109</f>
        <v/>
      </c>
      <c r="G112" s="1061" t="str">
        <f>'Barge BQS Report'!E109</f>
        <v/>
      </c>
      <c r="H112" s="1060" t="str">
        <f>'Barge BQS Report'!G109</f>
        <v/>
      </c>
      <c r="I112" s="1159" t="str">
        <f>'Barge BQS Report'!H109</f>
        <v/>
      </c>
      <c r="J112" s="1062" t="str">
        <f>'Barge BQS Report'!I109</f>
        <v/>
      </c>
      <c r="K112" s="1063" t="str">
        <f>'Barge BQS Report'!J109</f>
        <v/>
      </c>
      <c r="L112" s="1064" t="str">
        <f>'Barge BQS Report'!L109</f>
        <v/>
      </c>
      <c r="M112" s="1064" t="str">
        <f>'Barge BQS Report'!O109</f>
        <v/>
      </c>
      <c r="N112" s="1065" t="str">
        <f>'Barge BQS Report'!M109</f>
        <v/>
      </c>
      <c r="O112" s="1065" t="str">
        <f>'Barge BQS Report'!P109</f>
        <v/>
      </c>
      <c r="P112" s="1064" t="str">
        <f>'Barge BQS Report'!Q109</f>
        <v/>
      </c>
      <c r="Q112" s="1044"/>
      <c r="R112" s="1044"/>
      <c r="S112" s="1044"/>
    </row>
    <row r="113" spans="1:19" hidden="1">
      <c r="A113" s="881" t="str">
        <f>'Barge BQS Report'!A110</f>
        <v>N</v>
      </c>
      <c r="C113" s="1066" t="str">
        <f>'Barge BQS Report'!C110</f>
        <v/>
      </c>
      <c r="D113" s="1067" t="str">
        <f>'Barge BQS Report'!D110</f>
        <v/>
      </c>
      <c r="E113" s="1068" t="str">
        <f>'Barge BQS Report'!N110</f>
        <v/>
      </c>
      <c r="F113" s="1069" t="str">
        <f>'Barge BQS Report'!F110</f>
        <v/>
      </c>
      <c r="G113" s="1070" t="str">
        <f>'Barge BQS Report'!E110</f>
        <v/>
      </c>
      <c r="H113" s="1069" t="str">
        <f>'Barge BQS Report'!G110</f>
        <v/>
      </c>
      <c r="I113" s="1160" t="str">
        <f>'Barge BQS Report'!H110</f>
        <v/>
      </c>
      <c r="J113" s="1071" t="str">
        <f>'Barge BQS Report'!I110</f>
        <v/>
      </c>
      <c r="K113" s="1072" t="str">
        <f>'Barge BQS Report'!J110</f>
        <v/>
      </c>
      <c r="L113" s="1073" t="str">
        <f>'Barge BQS Report'!L110</f>
        <v/>
      </c>
      <c r="M113" s="1073" t="str">
        <f>'Barge BQS Report'!O110</f>
        <v/>
      </c>
      <c r="N113" s="1107" t="str">
        <f>'Barge BQS Report'!M110</f>
        <v/>
      </c>
      <c r="O113" s="1074" t="str">
        <f>'Barge BQS Report'!P110</f>
        <v/>
      </c>
      <c r="P113" s="1073" t="str">
        <f>'Barge BQS Report'!Q110</f>
        <v/>
      </c>
      <c r="Q113" s="1044"/>
      <c r="R113" s="1044"/>
      <c r="S113" s="1044"/>
    </row>
    <row r="114" spans="1:19" hidden="1">
      <c r="A114" s="881" t="s">
        <v>270</v>
      </c>
      <c r="C114" s="1118"/>
      <c r="D114" s="1075"/>
      <c r="E114" s="1076"/>
      <c r="F114" s="1077"/>
      <c r="G114" s="1077"/>
      <c r="H114" s="1078"/>
      <c r="I114" s="1078"/>
      <c r="J114" s="1078"/>
      <c r="K114" s="1077"/>
      <c r="L114" s="1079"/>
      <c r="M114" s="2957" t="s">
        <v>801</v>
      </c>
      <c r="N114" s="2957"/>
      <c r="O114" s="3091">
        <f>SUM(P94:P113)</f>
        <v>0</v>
      </c>
      <c r="P114" s="3092"/>
      <c r="Q114" s="1044"/>
      <c r="R114" s="1044"/>
      <c r="S114" s="1044"/>
    </row>
    <row r="115" spans="1:19" s="1046" customFormat="1" ht="5.25" hidden="1">
      <c r="A115" s="1046" t="s">
        <v>270</v>
      </c>
      <c r="C115" s="1108"/>
      <c r="D115" s="1109"/>
      <c r="E115" s="1110"/>
      <c r="F115" s="1111"/>
      <c r="G115" s="1111"/>
      <c r="H115" s="1112"/>
      <c r="I115" s="1113"/>
      <c r="J115" s="1113"/>
      <c r="K115" s="1114"/>
      <c r="L115" s="1115"/>
      <c r="M115" s="1115"/>
      <c r="N115" s="1116"/>
      <c r="O115" s="1117"/>
      <c r="P115" s="1115"/>
      <c r="Q115" s="1045"/>
      <c r="R115" s="1045"/>
      <c r="S115" s="1045"/>
    </row>
    <row r="116" spans="1:19" hidden="1">
      <c r="A116" s="881" t="s">
        <v>270</v>
      </c>
      <c r="B116" s="881">
        <v>5</v>
      </c>
      <c r="C116" s="2959" t="str">
        <f>'Barge BQS Report'!C113</f>
        <v>NOMINATED TANKS</v>
      </c>
      <c r="D116" s="2960"/>
      <c r="E116" s="2960"/>
      <c r="F116" s="2961"/>
      <c r="G116" s="2962" t="str">
        <f>'Barge BQS Report'!E113</f>
        <v>MGO</v>
      </c>
      <c r="H116" s="2963"/>
      <c r="I116" s="1051"/>
      <c r="J116" s="1052"/>
      <c r="K116" s="1053"/>
      <c r="L116" s="1054"/>
      <c r="M116" s="1054"/>
      <c r="N116" s="1055"/>
      <c r="O116" s="1056"/>
      <c r="P116" s="1054"/>
      <c r="Q116" s="1044"/>
      <c r="R116" s="1044"/>
      <c r="S116" s="1044"/>
    </row>
    <row r="117" spans="1:19" hidden="1">
      <c r="A117" s="881" t="str">
        <f>'Barge BQS Report'!A114</f>
        <v>N</v>
      </c>
      <c r="C117" s="1057" t="str">
        <f>'Barge BQS Report'!C114</f>
        <v/>
      </c>
      <c r="D117" s="1058" t="str">
        <f>'Barge BQS Report'!D114</f>
        <v/>
      </c>
      <c r="E117" s="1059" t="str">
        <f>'Barge BQS Report'!N114</f>
        <v/>
      </c>
      <c r="F117" s="1060" t="str">
        <f>'Barge BQS Report'!F114</f>
        <v/>
      </c>
      <c r="G117" s="1061" t="str">
        <f>'Barge BQS Report'!E114</f>
        <v/>
      </c>
      <c r="H117" s="1060" t="str">
        <f>'Barge BQS Report'!G114</f>
        <v/>
      </c>
      <c r="I117" s="1159" t="str">
        <f>'Barge BQS Report'!H114</f>
        <v/>
      </c>
      <c r="J117" s="1062" t="str">
        <f>'Barge BQS Report'!I114</f>
        <v/>
      </c>
      <c r="K117" s="1063" t="str">
        <f>'Barge BQS Report'!J114</f>
        <v/>
      </c>
      <c r="L117" s="1064" t="str">
        <f>'Barge BQS Report'!L114</f>
        <v/>
      </c>
      <c r="M117" s="1064" t="str">
        <f>'Barge BQS Report'!O114</f>
        <v/>
      </c>
      <c r="N117" s="1065" t="str">
        <f>'Barge BQS Report'!M114</f>
        <v/>
      </c>
      <c r="O117" s="1065" t="str">
        <f>'Barge BQS Report'!P114</f>
        <v/>
      </c>
      <c r="P117" s="1064" t="str">
        <f>'Barge BQS Report'!Q114</f>
        <v/>
      </c>
      <c r="Q117" s="1044"/>
      <c r="R117" s="1044"/>
      <c r="S117" s="1044"/>
    </row>
    <row r="118" spans="1:19" hidden="1">
      <c r="A118" s="881" t="str">
        <f>'Barge BQS Report'!A115</f>
        <v>N</v>
      </c>
      <c r="C118" s="1057" t="str">
        <f>'Barge BQS Report'!C115</f>
        <v/>
      </c>
      <c r="D118" s="1058" t="str">
        <f>'Barge BQS Report'!D115</f>
        <v/>
      </c>
      <c r="E118" s="1059" t="str">
        <f>'Barge BQS Report'!N115</f>
        <v/>
      </c>
      <c r="F118" s="1060" t="str">
        <f>'Barge BQS Report'!F115</f>
        <v/>
      </c>
      <c r="G118" s="1061" t="str">
        <f>'Barge BQS Report'!E115</f>
        <v/>
      </c>
      <c r="H118" s="1060" t="str">
        <f>'Barge BQS Report'!G115</f>
        <v/>
      </c>
      <c r="I118" s="1159" t="str">
        <f>'Barge BQS Report'!H115</f>
        <v/>
      </c>
      <c r="J118" s="1062" t="str">
        <f>'Barge BQS Report'!I115</f>
        <v/>
      </c>
      <c r="K118" s="1063" t="str">
        <f>'Barge BQS Report'!J115</f>
        <v/>
      </c>
      <c r="L118" s="1064" t="str">
        <f>'Barge BQS Report'!L115</f>
        <v/>
      </c>
      <c r="M118" s="1064" t="str">
        <f>'Barge BQS Report'!O115</f>
        <v/>
      </c>
      <c r="N118" s="1065" t="str">
        <f>'Barge BQS Report'!M115</f>
        <v/>
      </c>
      <c r="O118" s="1065" t="str">
        <f>'Barge BQS Report'!P115</f>
        <v/>
      </c>
      <c r="P118" s="1064" t="str">
        <f>'Barge BQS Report'!Q115</f>
        <v/>
      </c>
      <c r="Q118" s="1044"/>
      <c r="R118" s="1044"/>
      <c r="S118" s="1044"/>
    </row>
    <row r="119" spans="1:19" hidden="1">
      <c r="A119" s="881" t="str">
        <f>'Barge BQS Report'!A116</f>
        <v>N</v>
      </c>
      <c r="C119" s="1057" t="str">
        <f>'Barge BQS Report'!C116</f>
        <v/>
      </c>
      <c r="D119" s="1058" t="str">
        <f>'Barge BQS Report'!D116</f>
        <v/>
      </c>
      <c r="E119" s="1059" t="str">
        <f>'Barge BQS Report'!N116</f>
        <v/>
      </c>
      <c r="F119" s="1060" t="str">
        <f>'Barge BQS Report'!F116</f>
        <v/>
      </c>
      <c r="G119" s="1061" t="str">
        <f>'Barge BQS Report'!E116</f>
        <v/>
      </c>
      <c r="H119" s="1060" t="str">
        <f>'Barge BQS Report'!G116</f>
        <v/>
      </c>
      <c r="I119" s="1159" t="str">
        <f>'Barge BQS Report'!H116</f>
        <v/>
      </c>
      <c r="J119" s="1062" t="str">
        <f>'Barge BQS Report'!I116</f>
        <v/>
      </c>
      <c r="K119" s="1063" t="str">
        <f>'Barge BQS Report'!J116</f>
        <v/>
      </c>
      <c r="L119" s="1064" t="str">
        <f>'Barge BQS Report'!L116</f>
        <v/>
      </c>
      <c r="M119" s="1064" t="str">
        <f>'Barge BQS Report'!O116</f>
        <v/>
      </c>
      <c r="N119" s="1065" t="str">
        <f>'Barge BQS Report'!M116</f>
        <v/>
      </c>
      <c r="O119" s="1065" t="str">
        <f>'Barge BQS Report'!P116</f>
        <v/>
      </c>
      <c r="P119" s="1064" t="str">
        <f>'Barge BQS Report'!Q116</f>
        <v/>
      </c>
      <c r="Q119" s="1044"/>
      <c r="R119" s="1044"/>
      <c r="S119" s="1044"/>
    </row>
    <row r="120" spans="1:19" hidden="1">
      <c r="A120" s="881" t="str">
        <f>'Barge BQS Report'!A117</f>
        <v>N</v>
      </c>
      <c r="C120" s="1057" t="str">
        <f>'Barge BQS Report'!C117</f>
        <v/>
      </c>
      <c r="D120" s="1058" t="str">
        <f>'Barge BQS Report'!D117</f>
        <v/>
      </c>
      <c r="E120" s="1059" t="str">
        <f>'Barge BQS Report'!N117</f>
        <v/>
      </c>
      <c r="F120" s="1060" t="str">
        <f>'Barge BQS Report'!F117</f>
        <v/>
      </c>
      <c r="G120" s="1061" t="str">
        <f>'Barge BQS Report'!E117</f>
        <v/>
      </c>
      <c r="H120" s="1060" t="str">
        <f>'Barge BQS Report'!G117</f>
        <v/>
      </c>
      <c r="I120" s="1159" t="str">
        <f>'Barge BQS Report'!H117</f>
        <v/>
      </c>
      <c r="J120" s="1062" t="str">
        <f>'Barge BQS Report'!I117</f>
        <v/>
      </c>
      <c r="K120" s="1063" t="str">
        <f>'Barge BQS Report'!J117</f>
        <v/>
      </c>
      <c r="L120" s="1064" t="str">
        <f>'Barge BQS Report'!L117</f>
        <v/>
      </c>
      <c r="M120" s="1064" t="str">
        <f>'Barge BQS Report'!O117</f>
        <v/>
      </c>
      <c r="N120" s="1065" t="str">
        <f>'Barge BQS Report'!M117</f>
        <v/>
      </c>
      <c r="O120" s="1065" t="str">
        <f>'Barge BQS Report'!P117</f>
        <v/>
      </c>
      <c r="P120" s="1064" t="str">
        <f>'Barge BQS Report'!Q117</f>
        <v/>
      </c>
      <c r="Q120" s="1044"/>
      <c r="R120" s="1044"/>
      <c r="S120" s="1044"/>
    </row>
    <row r="121" spans="1:19" hidden="1">
      <c r="A121" s="881" t="str">
        <f>'Barge BQS Report'!A118</f>
        <v>N</v>
      </c>
      <c r="C121" s="1057" t="str">
        <f>'Barge BQS Report'!C118</f>
        <v/>
      </c>
      <c r="D121" s="1058" t="str">
        <f>'Barge BQS Report'!D118</f>
        <v/>
      </c>
      <c r="E121" s="1059" t="str">
        <f>'Barge BQS Report'!N118</f>
        <v/>
      </c>
      <c r="F121" s="1060" t="str">
        <f>'Barge BQS Report'!F118</f>
        <v/>
      </c>
      <c r="G121" s="1061" t="str">
        <f>'Barge BQS Report'!E118</f>
        <v/>
      </c>
      <c r="H121" s="1060" t="str">
        <f>'Barge BQS Report'!G118</f>
        <v/>
      </c>
      <c r="I121" s="1159" t="str">
        <f>'Barge BQS Report'!H118</f>
        <v/>
      </c>
      <c r="J121" s="1062" t="str">
        <f>'Barge BQS Report'!I118</f>
        <v/>
      </c>
      <c r="K121" s="1063" t="str">
        <f>'Barge BQS Report'!J118</f>
        <v/>
      </c>
      <c r="L121" s="1064" t="str">
        <f>'Barge BQS Report'!L118</f>
        <v/>
      </c>
      <c r="M121" s="1064" t="str">
        <f>'Barge BQS Report'!O118</f>
        <v/>
      </c>
      <c r="N121" s="1065" t="str">
        <f>'Barge BQS Report'!M118</f>
        <v/>
      </c>
      <c r="O121" s="1065" t="str">
        <f>'Barge BQS Report'!P118</f>
        <v/>
      </c>
      <c r="P121" s="1064" t="str">
        <f>'Barge BQS Report'!Q118</f>
        <v/>
      </c>
      <c r="Q121" s="1044"/>
      <c r="R121" s="1044"/>
      <c r="S121" s="1044"/>
    </row>
    <row r="122" spans="1:19" hidden="1">
      <c r="A122" s="881" t="str">
        <f>'Barge BQS Report'!A119</f>
        <v>N</v>
      </c>
      <c r="C122" s="1057" t="str">
        <f>'Barge BQS Report'!C119</f>
        <v/>
      </c>
      <c r="D122" s="1058" t="str">
        <f>'Barge BQS Report'!D119</f>
        <v/>
      </c>
      <c r="E122" s="1059" t="str">
        <f>'Barge BQS Report'!N119</f>
        <v/>
      </c>
      <c r="F122" s="1060" t="str">
        <f>'Barge BQS Report'!F119</f>
        <v/>
      </c>
      <c r="G122" s="1061" t="str">
        <f>'Barge BQS Report'!E119</f>
        <v/>
      </c>
      <c r="H122" s="1060" t="str">
        <f>'Barge BQS Report'!G119</f>
        <v/>
      </c>
      <c r="I122" s="1159" t="str">
        <f>'Barge BQS Report'!H119</f>
        <v/>
      </c>
      <c r="J122" s="1062" t="str">
        <f>'Barge BQS Report'!I119</f>
        <v/>
      </c>
      <c r="K122" s="1063" t="str">
        <f>'Barge BQS Report'!J119</f>
        <v/>
      </c>
      <c r="L122" s="1064" t="str">
        <f>'Barge BQS Report'!L119</f>
        <v/>
      </c>
      <c r="M122" s="1064" t="str">
        <f>'Barge BQS Report'!O119</f>
        <v/>
      </c>
      <c r="N122" s="1065" t="str">
        <f>'Barge BQS Report'!M119</f>
        <v/>
      </c>
      <c r="O122" s="1065" t="str">
        <f>'Barge BQS Report'!P119</f>
        <v/>
      </c>
      <c r="P122" s="1064" t="str">
        <f>'Barge BQS Report'!Q119</f>
        <v/>
      </c>
      <c r="Q122" s="1044"/>
      <c r="R122" s="1044"/>
      <c r="S122" s="1044"/>
    </row>
    <row r="123" spans="1:19" hidden="1">
      <c r="A123" s="881" t="str">
        <f>'Barge BQS Report'!A120</f>
        <v>N</v>
      </c>
      <c r="C123" s="1057" t="str">
        <f>'Barge BQS Report'!C120</f>
        <v/>
      </c>
      <c r="D123" s="1058" t="str">
        <f>'Barge BQS Report'!D120</f>
        <v/>
      </c>
      <c r="E123" s="1059" t="str">
        <f>'Barge BQS Report'!N120</f>
        <v/>
      </c>
      <c r="F123" s="1060" t="str">
        <f>'Barge BQS Report'!F120</f>
        <v/>
      </c>
      <c r="G123" s="1061" t="str">
        <f>'Barge BQS Report'!E120</f>
        <v/>
      </c>
      <c r="H123" s="1060" t="str">
        <f>'Barge BQS Report'!G120</f>
        <v/>
      </c>
      <c r="I123" s="1159" t="str">
        <f>'Barge BQS Report'!H120</f>
        <v/>
      </c>
      <c r="J123" s="1062" t="str">
        <f>'Barge BQS Report'!I120</f>
        <v/>
      </c>
      <c r="K123" s="1063" t="str">
        <f>'Barge BQS Report'!J120</f>
        <v/>
      </c>
      <c r="L123" s="1064" t="str">
        <f>'Barge BQS Report'!L120</f>
        <v/>
      </c>
      <c r="M123" s="1064" t="str">
        <f>'Barge BQS Report'!O120</f>
        <v/>
      </c>
      <c r="N123" s="1065" t="str">
        <f>'Barge BQS Report'!M120</f>
        <v/>
      </c>
      <c r="O123" s="1065" t="str">
        <f>'Barge BQS Report'!P120</f>
        <v/>
      </c>
      <c r="P123" s="1064" t="str">
        <f>'Barge BQS Report'!Q120</f>
        <v/>
      </c>
      <c r="Q123" s="1044"/>
      <c r="R123" s="1044"/>
      <c r="S123" s="1044"/>
    </row>
    <row r="124" spans="1:19" hidden="1">
      <c r="A124" s="881" t="str">
        <f>'Barge BQS Report'!A121</f>
        <v>N</v>
      </c>
      <c r="C124" s="1057" t="str">
        <f>'Barge BQS Report'!C121</f>
        <v/>
      </c>
      <c r="D124" s="1058" t="str">
        <f>'Barge BQS Report'!D121</f>
        <v/>
      </c>
      <c r="E124" s="1059" t="str">
        <f>'Barge BQS Report'!N121</f>
        <v/>
      </c>
      <c r="F124" s="1060" t="str">
        <f>'Barge BQS Report'!F121</f>
        <v/>
      </c>
      <c r="G124" s="1061" t="str">
        <f>'Barge BQS Report'!E121</f>
        <v/>
      </c>
      <c r="H124" s="1060" t="str">
        <f>'Barge BQS Report'!G121</f>
        <v/>
      </c>
      <c r="I124" s="1159" t="str">
        <f>'Barge BQS Report'!H121</f>
        <v/>
      </c>
      <c r="J124" s="1062" t="str">
        <f>'Barge BQS Report'!I121</f>
        <v/>
      </c>
      <c r="K124" s="1063" t="str">
        <f>'Barge BQS Report'!J121</f>
        <v/>
      </c>
      <c r="L124" s="1064" t="str">
        <f>'Barge BQS Report'!L121</f>
        <v/>
      </c>
      <c r="M124" s="1064" t="str">
        <f>'Barge BQS Report'!O121</f>
        <v/>
      </c>
      <c r="N124" s="1065" t="str">
        <f>'Barge BQS Report'!M121</f>
        <v/>
      </c>
      <c r="O124" s="1065" t="str">
        <f>'Barge BQS Report'!P121</f>
        <v/>
      </c>
      <c r="P124" s="1064" t="str">
        <f>'Barge BQS Report'!Q121</f>
        <v/>
      </c>
      <c r="Q124" s="1044"/>
      <c r="R124" s="1044"/>
      <c r="S124" s="1044"/>
    </row>
    <row r="125" spans="1:19" hidden="1">
      <c r="A125" s="881" t="str">
        <f>'Barge BQS Report'!A122</f>
        <v>N</v>
      </c>
      <c r="C125" s="1057" t="str">
        <f>'Barge BQS Report'!C122</f>
        <v/>
      </c>
      <c r="D125" s="1058" t="str">
        <f>'Barge BQS Report'!D122</f>
        <v/>
      </c>
      <c r="E125" s="1059" t="str">
        <f>'Barge BQS Report'!N122</f>
        <v/>
      </c>
      <c r="F125" s="1060" t="str">
        <f>'Barge BQS Report'!F122</f>
        <v/>
      </c>
      <c r="G125" s="1061" t="str">
        <f>'Barge BQS Report'!E122</f>
        <v/>
      </c>
      <c r="H125" s="1060" t="str">
        <f>'Barge BQS Report'!G122</f>
        <v/>
      </c>
      <c r="I125" s="1159" t="str">
        <f>'Barge BQS Report'!H122</f>
        <v/>
      </c>
      <c r="J125" s="1062" t="str">
        <f>'Barge BQS Report'!I122</f>
        <v/>
      </c>
      <c r="K125" s="1063" t="str">
        <f>'Barge BQS Report'!J122</f>
        <v/>
      </c>
      <c r="L125" s="1064" t="str">
        <f>'Barge BQS Report'!L122</f>
        <v/>
      </c>
      <c r="M125" s="1064" t="str">
        <f>'Barge BQS Report'!O122</f>
        <v/>
      </c>
      <c r="N125" s="1065" t="str">
        <f>'Barge BQS Report'!M122</f>
        <v/>
      </c>
      <c r="O125" s="1065" t="str">
        <f>'Barge BQS Report'!P122</f>
        <v/>
      </c>
      <c r="P125" s="1064" t="str">
        <f>'Barge BQS Report'!Q122</f>
        <v/>
      </c>
      <c r="Q125" s="1044"/>
      <c r="R125" s="1044"/>
      <c r="S125" s="1044"/>
    </row>
    <row r="126" spans="1:19" hidden="1">
      <c r="A126" s="881" t="str">
        <f>'Barge BQS Report'!A123</f>
        <v>N</v>
      </c>
      <c r="C126" s="1057" t="str">
        <f>'Barge BQS Report'!C123</f>
        <v/>
      </c>
      <c r="D126" s="1058" t="str">
        <f>'Barge BQS Report'!D123</f>
        <v/>
      </c>
      <c r="E126" s="1059" t="str">
        <f>'Barge BQS Report'!N123</f>
        <v/>
      </c>
      <c r="F126" s="1060" t="str">
        <f>'Barge BQS Report'!F123</f>
        <v/>
      </c>
      <c r="G126" s="1061" t="str">
        <f>'Barge BQS Report'!E123</f>
        <v/>
      </c>
      <c r="H126" s="1060" t="str">
        <f>'Barge BQS Report'!G123</f>
        <v/>
      </c>
      <c r="I126" s="1159" t="str">
        <f>'Barge BQS Report'!H123</f>
        <v/>
      </c>
      <c r="J126" s="1062" t="str">
        <f>'Barge BQS Report'!I123</f>
        <v/>
      </c>
      <c r="K126" s="1063" t="str">
        <f>'Barge BQS Report'!J123</f>
        <v/>
      </c>
      <c r="L126" s="1064" t="str">
        <f>'Barge BQS Report'!L123</f>
        <v/>
      </c>
      <c r="M126" s="1064" t="str">
        <f>'Barge BQS Report'!O123</f>
        <v/>
      </c>
      <c r="N126" s="1065" t="str">
        <f>'Barge BQS Report'!M123</f>
        <v/>
      </c>
      <c r="O126" s="1065" t="str">
        <f>'Barge BQS Report'!P123</f>
        <v/>
      </c>
      <c r="P126" s="1064" t="str">
        <f>'Barge BQS Report'!Q123</f>
        <v/>
      </c>
      <c r="Q126" s="1044"/>
      <c r="R126" s="1044"/>
      <c r="S126" s="1044"/>
    </row>
    <row r="127" spans="1:19" hidden="1">
      <c r="A127" s="881" t="str">
        <f>'Barge BQS Report'!A124</f>
        <v>N</v>
      </c>
      <c r="C127" s="1057" t="str">
        <f>'Barge BQS Report'!C124</f>
        <v/>
      </c>
      <c r="D127" s="1058" t="str">
        <f>'Barge BQS Report'!D124</f>
        <v/>
      </c>
      <c r="E127" s="1059" t="str">
        <f>'Barge BQS Report'!N124</f>
        <v/>
      </c>
      <c r="F127" s="1060" t="str">
        <f>'Barge BQS Report'!F124</f>
        <v/>
      </c>
      <c r="G127" s="1061" t="str">
        <f>'Barge BQS Report'!E124</f>
        <v/>
      </c>
      <c r="H127" s="1060" t="str">
        <f>'Barge BQS Report'!G124</f>
        <v/>
      </c>
      <c r="I127" s="1159" t="str">
        <f>'Barge BQS Report'!H124</f>
        <v/>
      </c>
      <c r="J127" s="1062" t="str">
        <f>'Barge BQS Report'!I124</f>
        <v/>
      </c>
      <c r="K127" s="1063" t="str">
        <f>'Barge BQS Report'!J124</f>
        <v/>
      </c>
      <c r="L127" s="1064" t="str">
        <f>'Barge BQS Report'!L124</f>
        <v/>
      </c>
      <c r="M127" s="1064" t="str">
        <f>'Barge BQS Report'!O124</f>
        <v/>
      </c>
      <c r="N127" s="1065" t="str">
        <f>'Barge BQS Report'!M124</f>
        <v/>
      </c>
      <c r="O127" s="1065" t="str">
        <f>'Barge BQS Report'!P124</f>
        <v/>
      </c>
      <c r="P127" s="1064" t="str">
        <f>'Barge BQS Report'!Q124</f>
        <v/>
      </c>
      <c r="Q127" s="1044"/>
      <c r="R127" s="1044"/>
      <c r="S127" s="1044"/>
    </row>
    <row r="128" spans="1:19" hidden="1">
      <c r="A128" s="881" t="str">
        <f>'Barge BQS Report'!A125</f>
        <v>N</v>
      </c>
      <c r="C128" s="1057" t="str">
        <f>'Barge BQS Report'!C125</f>
        <v/>
      </c>
      <c r="D128" s="1058" t="str">
        <f>'Barge BQS Report'!D125</f>
        <v/>
      </c>
      <c r="E128" s="1059" t="str">
        <f>'Barge BQS Report'!N125</f>
        <v/>
      </c>
      <c r="F128" s="1060" t="str">
        <f>'Barge BQS Report'!F125</f>
        <v/>
      </c>
      <c r="G128" s="1061" t="str">
        <f>'Barge BQS Report'!E125</f>
        <v/>
      </c>
      <c r="H128" s="1060" t="str">
        <f>'Barge BQS Report'!G125</f>
        <v/>
      </c>
      <c r="I128" s="1159" t="str">
        <f>'Barge BQS Report'!H125</f>
        <v/>
      </c>
      <c r="J128" s="1062" t="str">
        <f>'Barge BQS Report'!I125</f>
        <v/>
      </c>
      <c r="K128" s="1063" t="str">
        <f>'Barge BQS Report'!J125</f>
        <v/>
      </c>
      <c r="L128" s="1064" t="str">
        <f>'Barge BQS Report'!L125</f>
        <v/>
      </c>
      <c r="M128" s="1064" t="str">
        <f>'Barge BQS Report'!O125</f>
        <v/>
      </c>
      <c r="N128" s="1065" t="str">
        <f>'Barge BQS Report'!M125</f>
        <v/>
      </c>
      <c r="O128" s="1065" t="str">
        <f>'Barge BQS Report'!P125</f>
        <v/>
      </c>
      <c r="P128" s="1064" t="str">
        <f>'Barge BQS Report'!Q125</f>
        <v/>
      </c>
      <c r="Q128" s="1044"/>
      <c r="R128" s="1044"/>
      <c r="S128" s="1044"/>
    </row>
    <row r="129" spans="1:19" hidden="1">
      <c r="A129" s="881" t="str">
        <f>'Barge BQS Report'!A126</f>
        <v>N</v>
      </c>
      <c r="C129" s="1057" t="str">
        <f>'Barge BQS Report'!C126</f>
        <v/>
      </c>
      <c r="D129" s="1058" t="str">
        <f>'Barge BQS Report'!D126</f>
        <v/>
      </c>
      <c r="E129" s="1059" t="str">
        <f>'Barge BQS Report'!N126</f>
        <v/>
      </c>
      <c r="F129" s="1060" t="str">
        <f>'Barge BQS Report'!F126</f>
        <v/>
      </c>
      <c r="G129" s="1061" t="str">
        <f>'Barge BQS Report'!E126</f>
        <v/>
      </c>
      <c r="H129" s="1060" t="str">
        <f>'Barge BQS Report'!G126</f>
        <v/>
      </c>
      <c r="I129" s="1159" t="str">
        <f>'Barge BQS Report'!H126</f>
        <v/>
      </c>
      <c r="J129" s="1062" t="str">
        <f>'Barge BQS Report'!I126</f>
        <v/>
      </c>
      <c r="K129" s="1063" t="str">
        <f>'Barge BQS Report'!J126</f>
        <v/>
      </c>
      <c r="L129" s="1064" t="str">
        <f>'Barge BQS Report'!L126</f>
        <v/>
      </c>
      <c r="M129" s="1064" t="str">
        <f>'Barge BQS Report'!O126</f>
        <v/>
      </c>
      <c r="N129" s="1065" t="str">
        <f>'Barge BQS Report'!M126</f>
        <v/>
      </c>
      <c r="O129" s="1065" t="str">
        <f>'Barge BQS Report'!P126</f>
        <v/>
      </c>
      <c r="P129" s="1064" t="str">
        <f>'Barge BQS Report'!Q126</f>
        <v/>
      </c>
      <c r="Q129" s="1044"/>
      <c r="R129" s="1044"/>
      <c r="S129" s="1044"/>
    </row>
    <row r="130" spans="1:19" hidden="1">
      <c r="A130" s="881" t="str">
        <f>'Barge BQS Report'!A127</f>
        <v>N</v>
      </c>
      <c r="C130" s="1057" t="str">
        <f>'Barge BQS Report'!C127</f>
        <v/>
      </c>
      <c r="D130" s="1058" t="str">
        <f>'Barge BQS Report'!D127</f>
        <v/>
      </c>
      <c r="E130" s="1059" t="str">
        <f>'Barge BQS Report'!N127</f>
        <v/>
      </c>
      <c r="F130" s="1060" t="str">
        <f>'Barge BQS Report'!F127</f>
        <v/>
      </c>
      <c r="G130" s="1061" t="str">
        <f>'Barge BQS Report'!E127</f>
        <v/>
      </c>
      <c r="H130" s="1060" t="str">
        <f>'Barge BQS Report'!G127</f>
        <v/>
      </c>
      <c r="I130" s="1159" t="str">
        <f>'Barge BQS Report'!H127</f>
        <v/>
      </c>
      <c r="J130" s="1062" t="str">
        <f>'Barge BQS Report'!I127</f>
        <v/>
      </c>
      <c r="K130" s="1063" t="str">
        <f>'Barge BQS Report'!J127</f>
        <v/>
      </c>
      <c r="L130" s="1064" t="str">
        <f>'Barge BQS Report'!L127</f>
        <v/>
      </c>
      <c r="M130" s="1064" t="str">
        <f>'Barge BQS Report'!O127</f>
        <v/>
      </c>
      <c r="N130" s="1065" t="str">
        <f>'Barge BQS Report'!M127</f>
        <v/>
      </c>
      <c r="O130" s="1065" t="str">
        <f>'Barge BQS Report'!P127</f>
        <v/>
      </c>
      <c r="P130" s="1064" t="str">
        <f>'Barge BQS Report'!Q127</f>
        <v/>
      </c>
      <c r="Q130" s="1044"/>
      <c r="R130" s="1044"/>
      <c r="S130" s="1044"/>
    </row>
    <row r="131" spans="1:19" hidden="1">
      <c r="A131" s="881" t="str">
        <f>'Barge BQS Report'!A128</f>
        <v>N</v>
      </c>
      <c r="C131" s="1057" t="str">
        <f>'Barge BQS Report'!C128</f>
        <v/>
      </c>
      <c r="D131" s="1058" t="str">
        <f>'Barge BQS Report'!D128</f>
        <v/>
      </c>
      <c r="E131" s="1059" t="str">
        <f>'Barge BQS Report'!N128</f>
        <v/>
      </c>
      <c r="F131" s="1060" t="str">
        <f>'Barge BQS Report'!F128</f>
        <v/>
      </c>
      <c r="G131" s="1061" t="str">
        <f>'Barge BQS Report'!E128</f>
        <v/>
      </c>
      <c r="H131" s="1060" t="str">
        <f>'Barge BQS Report'!G128</f>
        <v/>
      </c>
      <c r="I131" s="1159" t="str">
        <f>'Barge BQS Report'!H128</f>
        <v/>
      </c>
      <c r="J131" s="1062" t="str">
        <f>'Barge BQS Report'!I128</f>
        <v/>
      </c>
      <c r="K131" s="1063" t="str">
        <f>'Barge BQS Report'!J128</f>
        <v/>
      </c>
      <c r="L131" s="1064" t="str">
        <f>'Barge BQS Report'!L128</f>
        <v/>
      </c>
      <c r="M131" s="1064" t="str">
        <f>'Barge BQS Report'!O128</f>
        <v/>
      </c>
      <c r="N131" s="1065" t="str">
        <f>'Barge BQS Report'!M128</f>
        <v/>
      </c>
      <c r="O131" s="1065" t="str">
        <f>'Barge BQS Report'!P128</f>
        <v/>
      </c>
      <c r="P131" s="1064" t="str">
        <f>'Barge BQS Report'!Q128</f>
        <v/>
      </c>
      <c r="Q131" s="1044"/>
      <c r="R131" s="1044"/>
      <c r="S131" s="1044"/>
    </row>
    <row r="132" spans="1:19" hidden="1">
      <c r="A132" s="881" t="str">
        <f>'Barge BQS Report'!A129</f>
        <v>N</v>
      </c>
      <c r="C132" s="1057" t="str">
        <f>'Barge BQS Report'!C129</f>
        <v/>
      </c>
      <c r="D132" s="1058" t="str">
        <f>'Barge BQS Report'!D129</f>
        <v/>
      </c>
      <c r="E132" s="1059" t="str">
        <f>'Barge BQS Report'!N129</f>
        <v/>
      </c>
      <c r="F132" s="1060" t="str">
        <f>'Barge BQS Report'!F129</f>
        <v/>
      </c>
      <c r="G132" s="1061" t="str">
        <f>'Barge BQS Report'!E129</f>
        <v/>
      </c>
      <c r="H132" s="1060" t="str">
        <f>'Barge BQS Report'!G129</f>
        <v/>
      </c>
      <c r="I132" s="1159" t="str">
        <f>'Barge BQS Report'!H129</f>
        <v/>
      </c>
      <c r="J132" s="1062" t="str">
        <f>'Barge BQS Report'!I129</f>
        <v/>
      </c>
      <c r="K132" s="1063" t="str">
        <f>'Barge BQS Report'!J129</f>
        <v/>
      </c>
      <c r="L132" s="1064" t="str">
        <f>'Barge BQS Report'!L129</f>
        <v/>
      </c>
      <c r="M132" s="1064" t="str">
        <f>'Barge BQS Report'!O129</f>
        <v/>
      </c>
      <c r="N132" s="1065" t="str">
        <f>'Barge BQS Report'!M129</f>
        <v/>
      </c>
      <c r="O132" s="1065" t="str">
        <f>'Barge BQS Report'!P129</f>
        <v/>
      </c>
      <c r="P132" s="1064" t="str">
        <f>'Barge BQS Report'!Q129</f>
        <v/>
      </c>
      <c r="Q132" s="1044"/>
      <c r="R132" s="1044"/>
      <c r="S132" s="1044"/>
    </row>
    <row r="133" spans="1:19" hidden="1">
      <c r="A133" s="881" t="str">
        <f>'Barge BQS Report'!A130</f>
        <v>N</v>
      </c>
      <c r="C133" s="1057" t="str">
        <f>'Barge BQS Report'!C130</f>
        <v/>
      </c>
      <c r="D133" s="1058" t="str">
        <f>'Barge BQS Report'!D130</f>
        <v/>
      </c>
      <c r="E133" s="1059" t="str">
        <f>'Barge BQS Report'!N130</f>
        <v/>
      </c>
      <c r="F133" s="1060" t="str">
        <f>'Barge BQS Report'!F130</f>
        <v/>
      </c>
      <c r="G133" s="1061" t="str">
        <f>'Barge BQS Report'!E130</f>
        <v/>
      </c>
      <c r="H133" s="1060" t="str">
        <f>'Barge BQS Report'!G130</f>
        <v/>
      </c>
      <c r="I133" s="1159" t="str">
        <f>'Barge BQS Report'!H130</f>
        <v/>
      </c>
      <c r="J133" s="1062" t="str">
        <f>'Barge BQS Report'!I130</f>
        <v/>
      </c>
      <c r="K133" s="1063" t="str">
        <f>'Barge BQS Report'!J130</f>
        <v/>
      </c>
      <c r="L133" s="1064" t="str">
        <f>'Barge BQS Report'!L130</f>
        <v/>
      </c>
      <c r="M133" s="1064" t="str">
        <f>'Barge BQS Report'!O130</f>
        <v/>
      </c>
      <c r="N133" s="1065" t="str">
        <f>'Barge BQS Report'!M130</f>
        <v/>
      </c>
      <c r="O133" s="1065" t="str">
        <f>'Barge BQS Report'!P130</f>
        <v/>
      </c>
      <c r="P133" s="1064" t="str">
        <f>'Barge BQS Report'!Q130</f>
        <v/>
      </c>
      <c r="Q133" s="1044"/>
      <c r="R133" s="1044"/>
      <c r="S133" s="1044"/>
    </row>
    <row r="134" spans="1:19" hidden="1">
      <c r="A134" s="881" t="str">
        <f>'Barge BQS Report'!A131</f>
        <v>N</v>
      </c>
      <c r="C134" s="1057" t="str">
        <f>'Barge BQS Report'!C131</f>
        <v/>
      </c>
      <c r="D134" s="1058" t="str">
        <f>'Barge BQS Report'!D131</f>
        <v/>
      </c>
      <c r="E134" s="1059" t="str">
        <f>'Barge BQS Report'!N131</f>
        <v/>
      </c>
      <c r="F134" s="1060" t="str">
        <f>'Barge BQS Report'!F131</f>
        <v/>
      </c>
      <c r="G134" s="1061" t="str">
        <f>'Barge BQS Report'!E131</f>
        <v/>
      </c>
      <c r="H134" s="1060" t="str">
        <f>'Barge BQS Report'!G131</f>
        <v/>
      </c>
      <c r="I134" s="1159" t="str">
        <f>'Barge BQS Report'!H131</f>
        <v/>
      </c>
      <c r="J134" s="1062" t="str">
        <f>'Barge BQS Report'!I131</f>
        <v/>
      </c>
      <c r="K134" s="1063" t="str">
        <f>'Barge BQS Report'!J131</f>
        <v/>
      </c>
      <c r="L134" s="1064" t="str">
        <f>'Barge BQS Report'!L131</f>
        <v/>
      </c>
      <c r="M134" s="1064" t="str">
        <f>'Barge BQS Report'!O131</f>
        <v/>
      </c>
      <c r="N134" s="1065" t="str">
        <f>'Barge BQS Report'!M131</f>
        <v/>
      </c>
      <c r="O134" s="1065" t="str">
        <f>'Barge BQS Report'!P131</f>
        <v/>
      </c>
      <c r="P134" s="1064" t="str">
        <f>'Barge BQS Report'!Q131</f>
        <v/>
      </c>
      <c r="Q134" s="1044"/>
      <c r="R134" s="1044"/>
      <c r="S134" s="1044"/>
    </row>
    <row r="135" spans="1:19" hidden="1">
      <c r="A135" s="881" t="str">
        <f>'Barge BQS Report'!A132</f>
        <v>N</v>
      </c>
      <c r="C135" s="1057" t="str">
        <f>'Barge BQS Report'!C132</f>
        <v/>
      </c>
      <c r="D135" s="1058" t="str">
        <f>'Barge BQS Report'!D132</f>
        <v/>
      </c>
      <c r="E135" s="1059" t="str">
        <f>'Barge BQS Report'!N132</f>
        <v/>
      </c>
      <c r="F135" s="1060" t="str">
        <f>'Barge BQS Report'!F132</f>
        <v/>
      </c>
      <c r="G135" s="1061" t="str">
        <f>'Barge BQS Report'!E132</f>
        <v/>
      </c>
      <c r="H135" s="1060" t="str">
        <f>'Barge BQS Report'!G132</f>
        <v/>
      </c>
      <c r="I135" s="1159" t="str">
        <f>'Barge BQS Report'!H132</f>
        <v/>
      </c>
      <c r="J135" s="1062" t="str">
        <f>'Barge BQS Report'!I132</f>
        <v/>
      </c>
      <c r="K135" s="1063" t="str">
        <f>'Barge BQS Report'!J132</f>
        <v/>
      </c>
      <c r="L135" s="1064" t="str">
        <f>'Barge BQS Report'!L132</f>
        <v/>
      </c>
      <c r="M135" s="1064" t="str">
        <f>'Barge BQS Report'!O132</f>
        <v/>
      </c>
      <c r="N135" s="1065" t="str">
        <f>'Barge BQS Report'!M132</f>
        <v/>
      </c>
      <c r="O135" s="1065" t="str">
        <f>'Barge BQS Report'!P132</f>
        <v/>
      </c>
      <c r="P135" s="1064" t="str">
        <f>'Barge BQS Report'!Q132</f>
        <v/>
      </c>
      <c r="Q135" s="1044"/>
      <c r="R135" s="1044"/>
      <c r="S135" s="1044"/>
    </row>
    <row r="136" spans="1:19" hidden="1">
      <c r="A136" s="881" t="str">
        <f>'Barge BQS Report'!A133</f>
        <v>N</v>
      </c>
      <c r="C136" s="1066" t="str">
        <f>'Barge BQS Report'!C133</f>
        <v/>
      </c>
      <c r="D136" s="1067" t="str">
        <f>'Barge BQS Report'!D133</f>
        <v/>
      </c>
      <c r="E136" s="1068" t="str">
        <f>'Barge BQS Report'!N133</f>
        <v/>
      </c>
      <c r="F136" s="1069" t="str">
        <f>'Barge BQS Report'!F133</f>
        <v/>
      </c>
      <c r="G136" s="1070" t="str">
        <f>'Barge BQS Report'!E133</f>
        <v/>
      </c>
      <c r="H136" s="1069" t="str">
        <f>'Barge BQS Report'!G133</f>
        <v/>
      </c>
      <c r="I136" s="1160" t="str">
        <f>'Barge BQS Report'!H133</f>
        <v/>
      </c>
      <c r="J136" s="1071" t="str">
        <f>'Barge BQS Report'!I133</f>
        <v/>
      </c>
      <c r="K136" s="1072" t="str">
        <f>'Barge BQS Report'!J133</f>
        <v/>
      </c>
      <c r="L136" s="1073" t="str">
        <f>'Barge BQS Report'!L133</f>
        <v/>
      </c>
      <c r="M136" s="1073" t="str">
        <f>'Barge BQS Report'!O133</f>
        <v/>
      </c>
      <c r="N136" s="1107" t="str">
        <f>'Barge BQS Report'!M133</f>
        <v/>
      </c>
      <c r="O136" s="1074" t="str">
        <f>'Barge BQS Report'!P133</f>
        <v/>
      </c>
      <c r="P136" s="1073" t="str">
        <f>'Barge BQS Report'!Q133</f>
        <v/>
      </c>
      <c r="Q136" s="1044"/>
      <c r="R136" s="1044"/>
      <c r="S136" s="1044"/>
    </row>
    <row r="137" spans="1:19" hidden="1">
      <c r="A137" s="881" t="s">
        <v>270</v>
      </c>
      <c r="C137" s="1118"/>
      <c r="D137" s="1075"/>
      <c r="E137" s="1076"/>
      <c r="F137" s="1077"/>
      <c r="G137" s="1077"/>
      <c r="H137" s="1078"/>
      <c r="I137" s="1078"/>
      <c r="J137" s="1078"/>
      <c r="K137" s="1077"/>
      <c r="L137" s="1079"/>
      <c r="M137" s="2957" t="s">
        <v>801</v>
      </c>
      <c r="N137" s="2957"/>
      <c r="O137" s="3091">
        <f>SUM(P117:P136)</f>
        <v>0</v>
      </c>
      <c r="P137" s="3092"/>
      <c r="Q137" s="1044"/>
      <c r="R137" s="1044"/>
      <c r="S137" s="1044"/>
    </row>
    <row r="138" spans="1:19" s="1046" customFormat="1" ht="5.25" hidden="1">
      <c r="A138" s="1046" t="s">
        <v>270</v>
      </c>
      <c r="C138" s="1108"/>
      <c r="D138" s="1109"/>
      <c r="E138" s="1110"/>
      <c r="F138" s="1111"/>
      <c r="G138" s="1111"/>
      <c r="H138" s="1112"/>
      <c r="I138" s="1113"/>
      <c r="J138" s="1113"/>
      <c r="K138" s="1114"/>
      <c r="L138" s="1115"/>
      <c r="M138" s="1115"/>
      <c r="N138" s="1116"/>
      <c r="O138" s="1117"/>
      <c r="P138" s="1115"/>
      <c r="Q138" s="1045"/>
      <c r="R138" s="1045"/>
      <c r="S138" s="1045"/>
    </row>
    <row r="139" spans="1:19" hidden="1">
      <c r="A139" s="881" t="s">
        <v>270</v>
      </c>
      <c r="B139" s="881">
        <v>6</v>
      </c>
      <c r="C139" s="2959" t="str">
        <f>'Barge BQS Report'!C136</f>
        <v>NOMINATED TANKS</v>
      </c>
      <c r="D139" s="2960"/>
      <c r="E139" s="2960"/>
      <c r="F139" s="2961"/>
      <c r="G139" s="2962" t="str">
        <f>'Barge BQS Report'!E136</f>
        <v>LSMGO</v>
      </c>
      <c r="H139" s="2963"/>
      <c r="I139" s="1051"/>
      <c r="J139" s="1052"/>
      <c r="K139" s="1053"/>
      <c r="L139" s="1054"/>
      <c r="M139" s="1054"/>
      <c r="N139" s="1055"/>
      <c r="O139" s="1056"/>
      <c r="P139" s="1054"/>
      <c r="Q139" s="1044"/>
      <c r="R139" s="1044"/>
      <c r="S139" s="1044"/>
    </row>
    <row r="140" spans="1:19">
      <c r="A140" s="881" t="str">
        <f>'Barge BQS Report'!A137</f>
        <v>Y</v>
      </c>
      <c r="C140" s="1615" t="str">
        <f>'Barge BQS Report'!C137</f>
        <v>3P</v>
      </c>
      <c r="D140" s="1616" t="str">
        <f>'Barge BQS Report'!D137</f>
        <v>LSMGO</v>
      </c>
      <c r="E140" s="1617">
        <f>'Barge BQS Report'!N137</f>
        <v>24</v>
      </c>
      <c r="F140" s="1618">
        <f>'Barge BQS Report'!F137</f>
        <v>4.05</v>
      </c>
      <c r="G140" s="1619">
        <f>'Barge BQS Report'!E137</f>
        <v>4.05</v>
      </c>
      <c r="H140" s="1618">
        <f>'Barge BQS Report'!G137</f>
        <v>2.62</v>
      </c>
      <c r="I140" s="1620">
        <f>'Barge BQS Report'!H137</f>
        <v>2.69</v>
      </c>
      <c r="J140" s="1621" t="str">
        <f>'Barge BQS Report'!I137</f>
        <v>U</v>
      </c>
      <c r="K140" s="1622">
        <f>'Barge BQS Report'!J137</f>
        <v>39.856999999999999</v>
      </c>
      <c r="L140" s="1623">
        <f>'Barge BQS Report'!L137</f>
        <v>0</v>
      </c>
      <c r="M140" s="1623">
        <f>'Barge BQS Report'!O137</f>
        <v>39.856999999999999</v>
      </c>
      <c r="N140" s="1624">
        <f>'Barge BQS Report'!M137</f>
        <v>0.83520000000000005</v>
      </c>
      <c r="O140" s="1624">
        <f>'Barge BQS Report'!P137</f>
        <v>0.99234</v>
      </c>
      <c r="P140" s="1623">
        <f>'Barge BQS Report'!Q137</f>
        <v>39.552</v>
      </c>
      <c r="Q140" s="1600"/>
      <c r="R140" s="1044"/>
      <c r="S140" s="1044"/>
    </row>
    <row r="141" spans="1:19">
      <c r="A141" s="881" t="str">
        <f>'Barge BQS Report'!A138</f>
        <v>Y</v>
      </c>
      <c r="C141" s="1615" t="str">
        <f>'Barge BQS Report'!C138</f>
        <v>3S</v>
      </c>
      <c r="D141" s="1616" t="str">
        <f>'Barge BQS Report'!D138</f>
        <v>LSMGO</v>
      </c>
      <c r="E141" s="1617">
        <f>'Barge BQS Report'!N138</f>
        <v>24</v>
      </c>
      <c r="F141" s="1618">
        <f>'Barge BQS Report'!F138</f>
        <v>4.05</v>
      </c>
      <c r="G141" s="1619">
        <f>'Barge BQS Report'!E138</f>
        <v>4.05</v>
      </c>
      <c r="H141" s="1618">
        <f>'Barge BQS Report'!G138</f>
        <v>2.68</v>
      </c>
      <c r="I141" s="1620">
        <f>'Barge BQS Report'!H138</f>
        <v>2.75</v>
      </c>
      <c r="J141" s="1621" t="str">
        <f>'Barge BQS Report'!I138</f>
        <v>U</v>
      </c>
      <c r="K141" s="1622">
        <f>'Barge BQS Report'!J138</f>
        <v>39.271000000000001</v>
      </c>
      <c r="L141" s="1623">
        <f>'Barge BQS Report'!L138</f>
        <v>0</v>
      </c>
      <c r="M141" s="1623">
        <f>'Barge BQS Report'!O138</f>
        <v>39.271000000000001</v>
      </c>
      <c r="N141" s="1624">
        <f>'Barge BQS Report'!M138</f>
        <v>0.83520000000000005</v>
      </c>
      <c r="O141" s="1624">
        <f>'Barge BQS Report'!P138</f>
        <v>0.99234</v>
      </c>
      <c r="P141" s="1623">
        <f>'Barge BQS Report'!Q138</f>
        <v>38.97</v>
      </c>
      <c r="Q141" s="1600"/>
      <c r="R141" s="1044"/>
      <c r="S141" s="1044"/>
    </row>
    <row r="142" spans="1:19" hidden="1">
      <c r="A142" s="881" t="str">
        <f>'Barge BQS Report'!A139</f>
        <v>N</v>
      </c>
      <c r="C142" s="1057" t="str">
        <f>'Barge BQS Report'!C139</f>
        <v/>
      </c>
      <c r="D142" s="1058" t="str">
        <f>'Barge BQS Report'!D139</f>
        <v/>
      </c>
      <c r="E142" s="1059" t="str">
        <f>'Barge BQS Report'!N139</f>
        <v/>
      </c>
      <c r="F142" s="1060" t="str">
        <f>'Barge BQS Report'!F139</f>
        <v/>
      </c>
      <c r="G142" s="1061" t="str">
        <f>'Barge BQS Report'!E139</f>
        <v/>
      </c>
      <c r="H142" s="1060" t="str">
        <f>'Barge BQS Report'!G139</f>
        <v/>
      </c>
      <c r="I142" s="1159" t="str">
        <f>'Barge BQS Report'!H139</f>
        <v/>
      </c>
      <c r="J142" s="1062" t="str">
        <f>'Barge BQS Report'!I139</f>
        <v/>
      </c>
      <c r="K142" s="1063" t="str">
        <f>'Barge BQS Report'!J139</f>
        <v/>
      </c>
      <c r="L142" s="1064" t="str">
        <f>'Barge BQS Report'!L139</f>
        <v/>
      </c>
      <c r="M142" s="1064" t="str">
        <f>'Barge BQS Report'!O139</f>
        <v/>
      </c>
      <c r="N142" s="1065" t="str">
        <f>'Barge BQS Report'!M139</f>
        <v/>
      </c>
      <c r="O142" s="1065" t="str">
        <f>'Barge BQS Report'!P139</f>
        <v/>
      </c>
      <c r="P142" s="1064" t="str">
        <f>'Barge BQS Report'!Q139</f>
        <v/>
      </c>
      <c r="Q142" s="1044"/>
      <c r="R142" s="1044"/>
      <c r="S142" s="1044"/>
    </row>
    <row r="143" spans="1:19" hidden="1">
      <c r="A143" s="881" t="str">
        <f>'Barge BQS Report'!A140</f>
        <v>N</v>
      </c>
      <c r="C143" s="1057" t="str">
        <f>'Barge BQS Report'!C140</f>
        <v/>
      </c>
      <c r="D143" s="1058" t="str">
        <f>'Barge BQS Report'!D140</f>
        <v/>
      </c>
      <c r="E143" s="1059" t="str">
        <f>'Barge BQS Report'!N140</f>
        <v/>
      </c>
      <c r="F143" s="1060" t="str">
        <f>'Barge BQS Report'!F140</f>
        <v/>
      </c>
      <c r="G143" s="1061" t="str">
        <f>'Barge BQS Report'!E140</f>
        <v/>
      </c>
      <c r="H143" s="1060" t="str">
        <f>'Barge BQS Report'!G140</f>
        <v/>
      </c>
      <c r="I143" s="1159" t="str">
        <f>'Barge BQS Report'!H140</f>
        <v/>
      </c>
      <c r="J143" s="1062" t="str">
        <f>'Barge BQS Report'!I140</f>
        <v/>
      </c>
      <c r="K143" s="1063" t="str">
        <f>'Barge BQS Report'!J140</f>
        <v/>
      </c>
      <c r="L143" s="1064" t="str">
        <f>'Barge BQS Report'!L140</f>
        <v/>
      </c>
      <c r="M143" s="1064" t="str">
        <f>'Barge BQS Report'!O140</f>
        <v/>
      </c>
      <c r="N143" s="1065" t="str">
        <f>'Barge BQS Report'!M140</f>
        <v/>
      </c>
      <c r="O143" s="1065" t="str">
        <f>'Barge BQS Report'!P140</f>
        <v/>
      </c>
      <c r="P143" s="1064" t="str">
        <f>'Barge BQS Report'!Q140</f>
        <v/>
      </c>
      <c r="Q143" s="1044"/>
      <c r="R143" s="1044"/>
      <c r="S143" s="1044"/>
    </row>
    <row r="144" spans="1:19" hidden="1">
      <c r="A144" s="881" t="str">
        <f>'Barge BQS Report'!A141</f>
        <v>N</v>
      </c>
      <c r="C144" s="1057" t="str">
        <f>'Barge BQS Report'!C141</f>
        <v/>
      </c>
      <c r="D144" s="1058" t="str">
        <f>'Barge BQS Report'!D141</f>
        <v/>
      </c>
      <c r="E144" s="1059" t="str">
        <f>'Barge BQS Report'!N141</f>
        <v/>
      </c>
      <c r="F144" s="1060" t="str">
        <f>'Barge BQS Report'!F141</f>
        <v/>
      </c>
      <c r="G144" s="1061" t="str">
        <f>'Barge BQS Report'!E141</f>
        <v/>
      </c>
      <c r="H144" s="1060" t="str">
        <f>'Barge BQS Report'!G141</f>
        <v/>
      </c>
      <c r="I144" s="1159" t="str">
        <f>'Barge BQS Report'!H141</f>
        <v/>
      </c>
      <c r="J144" s="1062" t="str">
        <f>'Barge BQS Report'!I141</f>
        <v/>
      </c>
      <c r="K144" s="1063" t="str">
        <f>'Barge BQS Report'!J141</f>
        <v/>
      </c>
      <c r="L144" s="1064" t="str">
        <f>'Barge BQS Report'!L141</f>
        <v/>
      </c>
      <c r="M144" s="1064" t="str">
        <f>'Barge BQS Report'!O141</f>
        <v/>
      </c>
      <c r="N144" s="1065" t="str">
        <f>'Barge BQS Report'!M141</f>
        <v/>
      </c>
      <c r="O144" s="1065" t="str">
        <f>'Barge BQS Report'!P141</f>
        <v/>
      </c>
      <c r="P144" s="1064" t="str">
        <f>'Barge BQS Report'!Q141</f>
        <v/>
      </c>
      <c r="Q144" s="1044"/>
      <c r="R144" s="1044"/>
      <c r="S144" s="1044"/>
    </row>
    <row r="145" spans="1:19" hidden="1">
      <c r="A145" s="881" t="str">
        <f>'Barge BQS Report'!A142</f>
        <v>N</v>
      </c>
      <c r="C145" s="1057" t="str">
        <f>'Barge BQS Report'!C142</f>
        <v/>
      </c>
      <c r="D145" s="1058" t="str">
        <f>'Barge BQS Report'!D142</f>
        <v/>
      </c>
      <c r="E145" s="1059" t="str">
        <f>'Barge BQS Report'!N142</f>
        <v/>
      </c>
      <c r="F145" s="1060" t="str">
        <f>'Barge BQS Report'!F142</f>
        <v/>
      </c>
      <c r="G145" s="1061" t="str">
        <f>'Barge BQS Report'!E142</f>
        <v/>
      </c>
      <c r="H145" s="1060" t="str">
        <f>'Barge BQS Report'!G142</f>
        <v/>
      </c>
      <c r="I145" s="1159" t="str">
        <f>'Barge BQS Report'!H142</f>
        <v/>
      </c>
      <c r="J145" s="1062" t="str">
        <f>'Barge BQS Report'!I142</f>
        <v/>
      </c>
      <c r="K145" s="1063" t="str">
        <f>'Barge BQS Report'!J142</f>
        <v/>
      </c>
      <c r="L145" s="1064" t="str">
        <f>'Barge BQS Report'!L142</f>
        <v/>
      </c>
      <c r="M145" s="1064" t="str">
        <f>'Barge BQS Report'!O142</f>
        <v/>
      </c>
      <c r="N145" s="1065" t="str">
        <f>'Barge BQS Report'!M142</f>
        <v/>
      </c>
      <c r="O145" s="1065" t="str">
        <f>'Barge BQS Report'!P142</f>
        <v/>
      </c>
      <c r="P145" s="1064" t="str">
        <f>'Barge BQS Report'!Q142</f>
        <v/>
      </c>
      <c r="Q145" s="1044"/>
      <c r="R145" s="1044"/>
      <c r="S145" s="1044"/>
    </row>
    <row r="146" spans="1:19" hidden="1">
      <c r="A146" s="881" t="str">
        <f>'Barge BQS Report'!A143</f>
        <v>N</v>
      </c>
      <c r="C146" s="1057" t="str">
        <f>'Barge BQS Report'!C143</f>
        <v/>
      </c>
      <c r="D146" s="1058" t="str">
        <f>'Barge BQS Report'!D143</f>
        <v/>
      </c>
      <c r="E146" s="1059" t="str">
        <f>'Barge BQS Report'!N143</f>
        <v/>
      </c>
      <c r="F146" s="1060" t="str">
        <f>'Barge BQS Report'!F143</f>
        <v/>
      </c>
      <c r="G146" s="1061" t="str">
        <f>'Barge BQS Report'!E143</f>
        <v/>
      </c>
      <c r="H146" s="1060" t="str">
        <f>'Barge BQS Report'!G143</f>
        <v/>
      </c>
      <c r="I146" s="1159" t="str">
        <f>'Barge BQS Report'!H143</f>
        <v/>
      </c>
      <c r="J146" s="1062" t="str">
        <f>'Barge BQS Report'!I143</f>
        <v/>
      </c>
      <c r="K146" s="1063" t="str">
        <f>'Barge BQS Report'!J143</f>
        <v/>
      </c>
      <c r="L146" s="1064" t="str">
        <f>'Barge BQS Report'!L143</f>
        <v/>
      </c>
      <c r="M146" s="1064" t="str">
        <f>'Barge BQS Report'!O143</f>
        <v/>
      </c>
      <c r="N146" s="1065" t="str">
        <f>'Barge BQS Report'!M143</f>
        <v/>
      </c>
      <c r="O146" s="1065" t="str">
        <f>'Barge BQS Report'!P143</f>
        <v/>
      </c>
      <c r="P146" s="1064" t="str">
        <f>'Barge BQS Report'!Q143</f>
        <v/>
      </c>
      <c r="Q146" s="1044"/>
      <c r="R146" s="1044"/>
      <c r="S146" s="1044"/>
    </row>
    <row r="147" spans="1:19" hidden="1">
      <c r="A147" s="881" t="str">
        <f>'Barge BQS Report'!A144</f>
        <v>N</v>
      </c>
      <c r="C147" s="1057" t="str">
        <f>'Barge BQS Report'!C144</f>
        <v/>
      </c>
      <c r="D147" s="1058" t="str">
        <f>'Barge BQS Report'!D144</f>
        <v/>
      </c>
      <c r="E147" s="1059" t="str">
        <f>'Barge BQS Report'!N144</f>
        <v/>
      </c>
      <c r="F147" s="1060" t="str">
        <f>'Barge BQS Report'!F144</f>
        <v/>
      </c>
      <c r="G147" s="1061" t="str">
        <f>'Barge BQS Report'!E144</f>
        <v/>
      </c>
      <c r="H147" s="1060" t="str">
        <f>'Barge BQS Report'!G144</f>
        <v/>
      </c>
      <c r="I147" s="1159" t="str">
        <f>'Barge BQS Report'!H144</f>
        <v/>
      </c>
      <c r="J147" s="1062" t="str">
        <f>'Barge BQS Report'!I144</f>
        <v/>
      </c>
      <c r="K147" s="1063" t="str">
        <f>'Barge BQS Report'!J144</f>
        <v/>
      </c>
      <c r="L147" s="1064" t="str">
        <f>'Barge BQS Report'!L144</f>
        <v/>
      </c>
      <c r="M147" s="1064" t="str">
        <f>'Barge BQS Report'!O144</f>
        <v/>
      </c>
      <c r="N147" s="1065" t="str">
        <f>'Barge BQS Report'!M144</f>
        <v/>
      </c>
      <c r="O147" s="1065" t="str">
        <f>'Barge BQS Report'!P144</f>
        <v/>
      </c>
      <c r="P147" s="1064" t="str">
        <f>'Barge BQS Report'!Q144</f>
        <v/>
      </c>
      <c r="Q147" s="1044"/>
      <c r="R147" s="1044"/>
      <c r="S147" s="1044"/>
    </row>
    <row r="148" spans="1:19" hidden="1">
      <c r="A148" s="881" t="str">
        <f>'Barge BQS Report'!A145</f>
        <v>N</v>
      </c>
      <c r="C148" s="1057" t="str">
        <f>'Barge BQS Report'!C145</f>
        <v/>
      </c>
      <c r="D148" s="1058" t="str">
        <f>'Barge BQS Report'!D145</f>
        <v/>
      </c>
      <c r="E148" s="1059" t="str">
        <f>'Barge BQS Report'!N145</f>
        <v/>
      </c>
      <c r="F148" s="1060" t="str">
        <f>'Barge BQS Report'!F145</f>
        <v/>
      </c>
      <c r="G148" s="1061" t="str">
        <f>'Barge BQS Report'!E145</f>
        <v/>
      </c>
      <c r="H148" s="1060" t="str">
        <f>'Barge BQS Report'!G145</f>
        <v/>
      </c>
      <c r="I148" s="1159" t="str">
        <f>'Barge BQS Report'!H145</f>
        <v/>
      </c>
      <c r="J148" s="1062" t="str">
        <f>'Barge BQS Report'!I145</f>
        <v/>
      </c>
      <c r="K148" s="1063" t="str">
        <f>'Barge BQS Report'!J145</f>
        <v/>
      </c>
      <c r="L148" s="1064" t="str">
        <f>'Barge BQS Report'!L145</f>
        <v/>
      </c>
      <c r="M148" s="1064" t="str">
        <f>'Barge BQS Report'!O145</f>
        <v/>
      </c>
      <c r="N148" s="1065" t="str">
        <f>'Barge BQS Report'!M145</f>
        <v/>
      </c>
      <c r="O148" s="1065" t="str">
        <f>'Barge BQS Report'!P145</f>
        <v/>
      </c>
      <c r="P148" s="1064" t="str">
        <f>'Barge BQS Report'!Q145</f>
        <v/>
      </c>
      <c r="Q148" s="1044"/>
      <c r="R148" s="1044"/>
      <c r="S148" s="1044"/>
    </row>
    <row r="149" spans="1:19" hidden="1">
      <c r="A149" s="881" t="str">
        <f>'Barge BQS Report'!A146</f>
        <v>N</v>
      </c>
      <c r="C149" s="1057" t="str">
        <f>'Barge BQS Report'!C146</f>
        <v/>
      </c>
      <c r="D149" s="1058" t="str">
        <f>'Barge BQS Report'!D146</f>
        <v/>
      </c>
      <c r="E149" s="1059" t="str">
        <f>'Barge BQS Report'!N146</f>
        <v/>
      </c>
      <c r="F149" s="1060" t="str">
        <f>'Barge BQS Report'!F146</f>
        <v/>
      </c>
      <c r="G149" s="1061" t="str">
        <f>'Barge BQS Report'!E146</f>
        <v/>
      </c>
      <c r="H149" s="1060" t="str">
        <f>'Barge BQS Report'!G146</f>
        <v/>
      </c>
      <c r="I149" s="1159" t="str">
        <f>'Barge BQS Report'!H146</f>
        <v/>
      </c>
      <c r="J149" s="1062" t="str">
        <f>'Barge BQS Report'!I146</f>
        <v/>
      </c>
      <c r="K149" s="1063" t="str">
        <f>'Barge BQS Report'!J146</f>
        <v/>
      </c>
      <c r="L149" s="1064" t="str">
        <f>'Barge BQS Report'!L146</f>
        <v/>
      </c>
      <c r="M149" s="1064" t="str">
        <f>'Barge BQS Report'!O146</f>
        <v/>
      </c>
      <c r="N149" s="1065" t="str">
        <f>'Barge BQS Report'!M146</f>
        <v/>
      </c>
      <c r="O149" s="1065" t="str">
        <f>'Barge BQS Report'!P146</f>
        <v/>
      </c>
      <c r="P149" s="1064" t="str">
        <f>'Barge BQS Report'!Q146</f>
        <v/>
      </c>
      <c r="Q149" s="1044"/>
      <c r="R149" s="1044"/>
      <c r="S149" s="1044"/>
    </row>
    <row r="150" spans="1:19" hidden="1">
      <c r="A150" s="881" t="str">
        <f>'Barge BQS Report'!A147</f>
        <v>N</v>
      </c>
      <c r="C150" s="1057" t="str">
        <f>'Barge BQS Report'!C147</f>
        <v/>
      </c>
      <c r="D150" s="1058" t="str">
        <f>'Barge BQS Report'!D147</f>
        <v/>
      </c>
      <c r="E150" s="1059" t="str">
        <f>'Barge BQS Report'!N147</f>
        <v/>
      </c>
      <c r="F150" s="1060" t="str">
        <f>'Barge BQS Report'!F147</f>
        <v/>
      </c>
      <c r="G150" s="1061" t="str">
        <f>'Barge BQS Report'!E147</f>
        <v/>
      </c>
      <c r="H150" s="1060" t="str">
        <f>'Barge BQS Report'!G147</f>
        <v/>
      </c>
      <c r="I150" s="1159" t="str">
        <f>'Barge BQS Report'!H147</f>
        <v/>
      </c>
      <c r="J150" s="1062" t="str">
        <f>'Barge BQS Report'!I147</f>
        <v/>
      </c>
      <c r="K150" s="1063" t="str">
        <f>'Barge BQS Report'!J147</f>
        <v/>
      </c>
      <c r="L150" s="1064" t="str">
        <f>'Barge BQS Report'!L147</f>
        <v/>
      </c>
      <c r="M150" s="1064" t="str">
        <f>'Barge BQS Report'!O147</f>
        <v/>
      </c>
      <c r="N150" s="1065" t="str">
        <f>'Barge BQS Report'!M147</f>
        <v/>
      </c>
      <c r="O150" s="1065" t="str">
        <f>'Barge BQS Report'!P147</f>
        <v/>
      </c>
      <c r="P150" s="1064" t="str">
        <f>'Barge BQS Report'!Q147</f>
        <v/>
      </c>
      <c r="Q150" s="1044"/>
      <c r="R150" s="1044"/>
      <c r="S150" s="1044"/>
    </row>
    <row r="151" spans="1:19" hidden="1">
      <c r="A151" s="881" t="str">
        <f>'Barge BQS Report'!A148</f>
        <v>N</v>
      </c>
      <c r="C151" s="1057" t="str">
        <f>'Barge BQS Report'!C148</f>
        <v/>
      </c>
      <c r="D151" s="1058" t="str">
        <f>'Barge BQS Report'!D148</f>
        <v/>
      </c>
      <c r="E151" s="1059" t="str">
        <f>'Barge BQS Report'!N148</f>
        <v/>
      </c>
      <c r="F151" s="1060" t="str">
        <f>'Barge BQS Report'!F148</f>
        <v/>
      </c>
      <c r="G151" s="1061" t="str">
        <f>'Barge BQS Report'!E148</f>
        <v/>
      </c>
      <c r="H151" s="1060" t="str">
        <f>'Barge BQS Report'!G148</f>
        <v/>
      </c>
      <c r="I151" s="1159" t="str">
        <f>'Barge BQS Report'!H148</f>
        <v/>
      </c>
      <c r="J151" s="1062" t="str">
        <f>'Barge BQS Report'!I148</f>
        <v/>
      </c>
      <c r="K151" s="1063" t="str">
        <f>'Barge BQS Report'!J148</f>
        <v/>
      </c>
      <c r="L151" s="1064" t="str">
        <f>'Barge BQS Report'!L148</f>
        <v/>
      </c>
      <c r="M151" s="1064" t="str">
        <f>'Barge BQS Report'!O148</f>
        <v/>
      </c>
      <c r="N151" s="1065" t="str">
        <f>'Barge BQS Report'!M148</f>
        <v/>
      </c>
      <c r="O151" s="1065" t="str">
        <f>'Barge BQS Report'!P148</f>
        <v/>
      </c>
      <c r="P151" s="1064" t="str">
        <f>'Barge BQS Report'!Q148</f>
        <v/>
      </c>
      <c r="Q151" s="1044"/>
      <c r="R151" s="1044"/>
      <c r="S151" s="1044"/>
    </row>
    <row r="152" spans="1:19" hidden="1">
      <c r="A152" s="881" t="str">
        <f>'Barge BQS Report'!A149</f>
        <v>N</v>
      </c>
      <c r="C152" s="1057" t="str">
        <f>'Barge BQS Report'!C149</f>
        <v/>
      </c>
      <c r="D152" s="1058" t="str">
        <f>'Barge BQS Report'!D149</f>
        <v/>
      </c>
      <c r="E152" s="1059" t="str">
        <f>'Barge BQS Report'!N149</f>
        <v/>
      </c>
      <c r="F152" s="1060" t="str">
        <f>'Barge BQS Report'!F149</f>
        <v/>
      </c>
      <c r="G152" s="1061" t="str">
        <f>'Barge BQS Report'!E149</f>
        <v/>
      </c>
      <c r="H152" s="1060" t="str">
        <f>'Barge BQS Report'!G149</f>
        <v/>
      </c>
      <c r="I152" s="1159" t="str">
        <f>'Barge BQS Report'!H149</f>
        <v/>
      </c>
      <c r="J152" s="1062" t="str">
        <f>'Barge BQS Report'!I149</f>
        <v/>
      </c>
      <c r="K152" s="1063" t="str">
        <f>'Barge BQS Report'!J149</f>
        <v/>
      </c>
      <c r="L152" s="1064" t="str">
        <f>'Barge BQS Report'!L149</f>
        <v/>
      </c>
      <c r="M152" s="1064" t="str">
        <f>'Barge BQS Report'!O149</f>
        <v/>
      </c>
      <c r="N152" s="1065" t="str">
        <f>'Barge BQS Report'!M149</f>
        <v/>
      </c>
      <c r="O152" s="1065" t="str">
        <f>'Barge BQS Report'!P149</f>
        <v/>
      </c>
      <c r="P152" s="1064" t="str">
        <f>'Barge BQS Report'!Q149</f>
        <v/>
      </c>
      <c r="Q152" s="1044"/>
      <c r="R152" s="1044"/>
      <c r="S152" s="1044"/>
    </row>
    <row r="153" spans="1:19" hidden="1">
      <c r="A153" s="881" t="str">
        <f>'Barge BQS Report'!A150</f>
        <v>N</v>
      </c>
      <c r="C153" s="1057" t="str">
        <f>'Barge BQS Report'!C150</f>
        <v/>
      </c>
      <c r="D153" s="1058" t="str">
        <f>'Barge BQS Report'!D150</f>
        <v/>
      </c>
      <c r="E153" s="1059" t="str">
        <f>'Barge BQS Report'!N150</f>
        <v/>
      </c>
      <c r="F153" s="1060" t="str">
        <f>'Barge BQS Report'!F150</f>
        <v/>
      </c>
      <c r="G153" s="1061" t="str">
        <f>'Barge BQS Report'!E150</f>
        <v/>
      </c>
      <c r="H153" s="1060" t="str">
        <f>'Barge BQS Report'!G150</f>
        <v/>
      </c>
      <c r="I153" s="1159" t="str">
        <f>'Barge BQS Report'!H150</f>
        <v/>
      </c>
      <c r="J153" s="1062" t="str">
        <f>'Barge BQS Report'!I150</f>
        <v/>
      </c>
      <c r="K153" s="1063" t="str">
        <f>'Barge BQS Report'!J150</f>
        <v/>
      </c>
      <c r="L153" s="1064" t="str">
        <f>'Barge BQS Report'!L150</f>
        <v/>
      </c>
      <c r="M153" s="1064" t="str">
        <f>'Barge BQS Report'!O150</f>
        <v/>
      </c>
      <c r="N153" s="1065" t="str">
        <f>'Barge BQS Report'!M150</f>
        <v/>
      </c>
      <c r="O153" s="1065" t="str">
        <f>'Barge BQS Report'!P150</f>
        <v/>
      </c>
      <c r="P153" s="1064" t="str">
        <f>'Barge BQS Report'!Q150</f>
        <v/>
      </c>
      <c r="Q153" s="1044"/>
      <c r="R153" s="1044"/>
      <c r="S153" s="1044"/>
    </row>
    <row r="154" spans="1:19" hidden="1">
      <c r="A154" s="881" t="str">
        <f>'Barge BQS Report'!A151</f>
        <v>N</v>
      </c>
      <c r="C154" s="1057" t="str">
        <f>'Barge BQS Report'!C151</f>
        <v/>
      </c>
      <c r="D154" s="1058" t="str">
        <f>'Barge BQS Report'!D151</f>
        <v/>
      </c>
      <c r="E154" s="1059" t="str">
        <f>'Barge BQS Report'!N151</f>
        <v/>
      </c>
      <c r="F154" s="1060" t="str">
        <f>'Barge BQS Report'!F151</f>
        <v/>
      </c>
      <c r="G154" s="1061" t="str">
        <f>'Barge BQS Report'!E151</f>
        <v/>
      </c>
      <c r="H154" s="1060" t="str">
        <f>'Barge BQS Report'!G151</f>
        <v/>
      </c>
      <c r="I154" s="1159" t="str">
        <f>'Barge BQS Report'!H151</f>
        <v/>
      </c>
      <c r="J154" s="1062" t="str">
        <f>'Barge BQS Report'!I151</f>
        <v/>
      </c>
      <c r="K154" s="1063" t="str">
        <f>'Barge BQS Report'!J151</f>
        <v/>
      </c>
      <c r="L154" s="1064" t="str">
        <f>'Barge BQS Report'!L151</f>
        <v/>
      </c>
      <c r="M154" s="1064" t="str">
        <f>'Barge BQS Report'!O151</f>
        <v/>
      </c>
      <c r="N154" s="1065" t="str">
        <f>'Barge BQS Report'!M151</f>
        <v/>
      </c>
      <c r="O154" s="1065" t="str">
        <f>'Barge BQS Report'!P151</f>
        <v/>
      </c>
      <c r="P154" s="1064" t="str">
        <f>'Barge BQS Report'!Q151</f>
        <v/>
      </c>
      <c r="Q154" s="1044"/>
      <c r="R154" s="1044"/>
      <c r="S154" s="1044"/>
    </row>
    <row r="155" spans="1:19" hidden="1">
      <c r="A155" s="881" t="str">
        <f>'Barge BQS Report'!A152</f>
        <v>N</v>
      </c>
      <c r="C155" s="1057" t="str">
        <f>'Barge BQS Report'!C152</f>
        <v/>
      </c>
      <c r="D155" s="1058" t="str">
        <f>'Barge BQS Report'!D152</f>
        <v/>
      </c>
      <c r="E155" s="1059" t="str">
        <f>'Barge BQS Report'!N152</f>
        <v/>
      </c>
      <c r="F155" s="1060" t="str">
        <f>'Barge BQS Report'!F152</f>
        <v/>
      </c>
      <c r="G155" s="1061" t="str">
        <f>'Barge BQS Report'!E152</f>
        <v/>
      </c>
      <c r="H155" s="1060" t="str">
        <f>'Barge BQS Report'!G152</f>
        <v/>
      </c>
      <c r="I155" s="1159" t="str">
        <f>'Barge BQS Report'!H152</f>
        <v/>
      </c>
      <c r="J155" s="1062" t="str">
        <f>'Barge BQS Report'!I152</f>
        <v/>
      </c>
      <c r="K155" s="1063" t="str">
        <f>'Barge BQS Report'!J152</f>
        <v/>
      </c>
      <c r="L155" s="1064" t="str">
        <f>'Barge BQS Report'!L152</f>
        <v/>
      </c>
      <c r="M155" s="1064" t="str">
        <f>'Barge BQS Report'!O152</f>
        <v/>
      </c>
      <c r="N155" s="1065" t="str">
        <f>'Barge BQS Report'!M152</f>
        <v/>
      </c>
      <c r="O155" s="1065" t="str">
        <f>'Barge BQS Report'!P152</f>
        <v/>
      </c>
      <c r="P155" s="1064" t="str">
        <f>'Barge BQS Report'!Q152</f>
        <v/>
      </c>
      <c r="Q155" s="1044"/>
      <c r="R155" s="1044"/>
      <c r="S155" s="1044"/>
    </row>
    <row r="156" spans="1:19" hidden="1">
      <c r="A156" s="881" t="str">
        <f>'Barge BQS Report'!A153</f>
        <v>N</v>
      </c>
      <c r="C156" s="1057" t="str">
        <f>'Barge BQS Report'!C153</f>
        <v/>
      </c>
      <c r="D156" s="1058" t="str">
        <f>'Barge BQS Report'!D153</f>
        <v/>
      </c>
      <c r="E156" s="1059" t="str">
        <f>'Barge BQS Report'!N153</f>
        <v/>
      </c>
      <c r="F156" s="1060" t="str">
        <f>'Barge BQS Report'!F153</f>
        <v/>
      </c>
      <c r="G156" s="1061" t="str">
        <f>'Barge BQS Report'!E153</f>
        <v/>
      </c>
      <c r="H156" s="1060" t="str">
        <f>'Barge BQS Report'!G153</f>
        <v/>
      </c>
      <c r="I156" s="1159" t="str">
        <f>'Barge BQS Report'!H153</f>
        <v/>
      </c>
      <c r="J156" s="1062" t="str">
        <f>'Barge BQS Report'!I153</f>
        <v/>
      </c>
      <c r="K156" s="1063" t="str">
        <f>'Barge BQS Report'!J153</f>
        <v/>
      </c>
      <c r="L156" s="1064" t="str">
        <f>'Barge BQS Report'!L153</f>
        <v/>
      </c>
      <c r="M156" s="1064" t="str">
        <f>'Barge BQS Report'!O153</f>
        <v/>
      </c>
      <c r="N156" s="1065" t="str">
        <f>'Barge BQS Report'!M153</f>
        <v/>
      </c>
      <c r="O156" s="1065" t="str">
        <f>'Barge BQS Report'!P153</f>
        <v/>
      </c>
      <c r="P156" s="1064" t="str">
        <f>'Barge BQS Report'!Q153</f>
        <v/>
      </c>
      <c r="Q156" s="1044"/>
      <c r="R156" s="1044"/>
      <c r="S156" s="1044"/>
    </row>
    <row r="157" spans="1:19" hidden="1">
      <c r="A157" s="881" t="str">
        <f>'Barge BQS Report'!A154</f>
        <v>N</v>
      </c>
      <c r="C157" s="1057" t="str">
        <f>'Barge BQS Report'!C154</f>
        <v/>
      </c>
      <c r="D157" s="1058" t="str">
        <f>'Barge BQS Report'!D154</f>
        <v/>
      </c>
      <c r="E157" s="1059" t="str">
        <f>'Barge BQS Report'!N154</f>
        <v/>
      </c>
      <c r="F157" s="1060" t="str">
        <f>'Barge BQS Report'!F154</f>
        <v/>
      </c>
      <c r="G157" s="1061" t="str">
        <f>'Barge BQS Report'!E154</f>
        <v/>
      </c>
      <c r="H157" s="1060" t="str">
        <f>'Barge BQS Report'!G154</f>
        <v/>
      </c>
      <c r="I157" s="1159" t="str">
        <f>'Barge BQS Report'!H154</f>
        <v/>
      </c>
      <c r="J157" s="1062" t="str">
        <f>'Barge BQS Report'!I154</f>
        <v/>
      </c>
      <c r="K157" s="1063" t="str">
        <f>'Barge BQS Report'!J154</f>
        <v/>
      </c>
      <c r="L157" s="1064" t="str">
        <f>'Barge BQS Report'!L154</f>
        <v/>
      </c>
      <c r="M157" s="1064" t="str">
        <f>'Barge BQS Report'!O154</f>
        <v/>
      </c>
      <c r="N157" s="1065" t="str">
        <f>'Barge BQS Report'!M154</f>
        <v/>
      </c>
      <c r="O157" s="1065" t="str">
        <f>'Barge BQS Report'!P154</f>
        <v/>
      </c>
      <c r="P157" s="1064" t="str">
        <f>'Barge BQS Report'!Q154</f>
        <v/>
      </c>
      <c r="Q157" s="1044"/>
      <c r="R157" s="1044"/>
      <c r="S157" s="1044"/>
    </row>
    <row r="158" spans="1:19" hidden="1">
      <c r="A158" s="881" t="str">
        <f>'Barge BQS Report'!A155</f>
        <v>N</v>
      </c>
      <c r="C158" s="1057" t="str">
        <f>'Barge BQS Report'!C155</f>
        <v/>
      </c>
      <c r="D158" s="1058" t="str">
        <f>'Barge BQS Report'!D155</f>
        <v/>
      </c>
      <c r="E158" s="1059" t="str">
        <f>'Barge BQS Report'!N155</f>
        <v/>
      </c>
      <c r="F158" s="1060" t="str">
        <f>'Barge BQS Report'!F155</f>
        <v/>
      </c>
      <c r="G158" s="1061" t="str">
        <f>'Barge BQS Report'!E155</f>
        <v/>
      </c>
      <c r="H158" s="1060" t="str">
        <f>'Barge BQS Report'!G155</f>
        <v/>
      </c>
      <c r="I158" s="1159" t="str">
        <f>'Barge BQS Report'!H155</f>
        <v/>
      </c>
      <c r="J158" s="1062" t="str">
        <f>'Barge BQS Report'!I155</f>
        <v/>
      </c>
      <c r="K158" s="1063" t="str">
        <f>'Barge BQS Report'!J155</f>
        <v/>
      </c>
      <c r="L158" s="1064" t="str">
        <f>'Barge BQS Report'!L155</f>
        <v/>
      </c>
      <c r="M158" s="1064" t="str">
        <f>'Barge BQS Report'!O155</f>
        <v/>
      </c>
      <c r="N158" s="1065" t="str">
        <f>'Barge BQS Report'!M155</f>
        <v/>
      </c>
      <c r="O158" s="1065" t="str">
        <f>'Barge BQS Report'!P155</f>
        <v/>
      </c>
      <c r="P158" s="1064" t="str">
        <f>'Barge BQS Report'!Q155</f>
        <v/>
      </c>
      <c r="Q158" s="1044"/>
      <c r="R158" s="1044"/>
      <c r="S158" s="1044"/>
    </row>
    <row r="159" spans="1:19" hidden="1">
      <c r="A159" s="881" t="str">
        <f>'Barge BQS Report'!A156</f>
        <v>N</v>
      </c>
      <c r="C159" s="1066" t="str">
        <f>'Barge BQS Report'!C156</f>
        <v/>
      </c>
      <c r="D159" s="1067" t="str">
        <f>'Barge BQS Report'!D156</f>
        <v/>
      </c>
      <c r="E159" s="1068" t="str">
        <f>'Barge BQS Report'!N156</f>
        <v/>
      </c>
      <c r="F159" s="1069" t="str">
        <f>'Barge BQS Report'!F156</f>
        <v/>
      </c>
      <c r="G159" s="1070" t="str">
        <f>'Barge BQS Report'!E156</f>
        <v/>
      </c>
      <c r="H159" s="1069" t="str">
        <f>'Barge BQS Report'!G156</f>
        <v/>
      </c>
      <c r="I159" s="1160" t="str">
        <f>'Barge BQS Report'!H156</f>
        <v/>
      </c>
      <c r="J159" s="1071" t="str">
        <f>'Barge BQS Report'!I156</f>
        <v/>
      </c>
      <c r="K159" s="1072" t="str">
        <f>'Barge BQS Report'!J156</f>
        <v/>
      </c>
      <c r="L159" s="1073" t="str">
        <f>'Barge BQS Report'!L156</f>
        <v/>
      </c>
      <c r="M159" s="1073" t="str">
        <f>'Barge BQS Report'!O156</f>
        <v/>
      </c>
      <c r="N159" s="1107" t="str">
        <f>'Barge BQS Report'!M156</f>
        <v/>
      </c>
      <c r="O159" s="1074" t="str">
        <f>'Barge BQS Report'!P156</f>
        <v/>
      </c>
      <c r="P159" s="1073" t="str">
        <f>'Barge BQS Report'!Q156</f>
        <v/>
      </c>
      <c r="Q159" s="1044"/>
      <c r="R159" s="1044"/>
      <c r="S159" s="1044"/>
    </row>
    <row r="160" spans="1:19" hidden="1">
      <c r="A160" s="881" t="s">
        <v>270</v>
      </c>
      <c r="C160" s="1118"/>
      <c r="D160" s="1075"/>
      <c r="E160" s="1076"/>
      <c r="F160" s="1077"/>
      <c r="G160" s="1077"/>
      <c r="H160" s="1078"/>
      <c r="I160" s="1078"/>
      <c r="J160" s="1078"/>
      <c r="K160" s="1077"/>
      <c r="L160" s="1079"/>
      <c r="M160" s="2957" t="s">
        <v>801</v>
      </c>
      <c r="N160" s="2957"/>
      <c r="O160" s="3091">
        <f>SUM(P140:P159)</f>
        <v>78.521999999999991</v>
      </c>
      <c r="P160" s="3092"/>
      <c r="Q160" s="1044"/>
      <c r="R160" s="1044"/>
      <c r="S160" s="1044"/>
    </row>
    <row r="161" spans="1:19">
      <c r="A161" s="881" t="str">
        <f>IF(COUNTIF(A24:A160,"Y")=0,"N","Y")</f>
        <v>Y</v>
      </c>
      <c r="C161" s="1625"/>
      <c r="D161" s="1626"/>
      <c r="E161" s="1627"/>
      <c r="F161" s="1628"/>
      <c r="G161" s="1628"/>
      <c r="H161" s="1629"/>
      <c r="I161" s="1629"/>
      <c r="J161" s="1629"/>
      <c r="K161" s="1630"/>
      <c r="L161" s="1630"/>
      <c r="M161" s="2976" t="s">
        <v>403</v>
      </c>
      <c r="N161" s="2977"/>
      <c r="O161" s="2971">
        <f>SUM(P25:P159)</f>
        <v>350.70000000000005</v>
      </c>
      <c r="P161" s="2972"/>
      <c r="Q161" s="1600"/>
      <c r="R161" s="1044"/>
      <c r="S161" s="1044"/>
    </row>
    <row r="162" spans="1:19" s="1046" customFormat="1" ht="5.25" hidden="1">
      <c r="A162" s="1046" t="s">
        <v>270</v>
      </c>
      <c r="C162" s="1083"/>
      <c r="D162" s="1084"/>
      <c r="E162" s="1085"/>
      <c r="F162" s="1081"/>
      <c r="G162" s="1081"/>
      <c r="H162" s="1080"/>
      <c r="I162" s="1080"/>
      <c r="J162" s="1080"/>
      <c r="M162" s="1086"/>
      <c r="N162" s="1086"/>
      <c r="O162" s="1087"/>
      <c r="P162" s="1087"/>
      <c r="Q162" s="1045"/>
      <c r="R162" s="1045"/>
      <c r="S162" s="1045"/>
    </row>
    <row r="163" spans="1:19">
      <c r="A163" s="881" t="str">
        <f>'Barge BQS Report'!A159</f>
        <v>N</v>
      </c>
      <c r="C163" s="3044" t="str">
        <f>'Barge BQS Report'!C159</f>
        <v>NON-NOMINATED TANKS</v>
      </c>
      <c r="D163" s="3045"/>
      <c r="E163" s="3045"/>
      <c r="F163" s="3046"/>
      <c r="G163" s="3047" t="str">
        <f>'Barge BQS Report'!E159</f>
        <v>(Distillates)</v>
      </c>
      <c r="H163" s="3048"/>
      <c r="I163" s="1631"/>
      <c r="J163" s="1632"/>
      <c r="K163" s="1633"/>
      <c r="L163" s="1634"/>
      <c r="M163" s="1634"/>
      <c r="N163" s="1635"/>
      <c r="O163" s="1636"/>
      <c r="P163" s="1634"/>
      <c r="Q163" s="1600"/>
      <c r="R163" s="1044"/>
      <c r="S163" s="1044"/>
    </row>
    <row r="164" spans="1:19">
      <c r="A164" s="881" t="str">
        <f>'Barge BQS Report'!A160</f>
        <v>N</v>
      </c>
      <c r="C164" s="1615" t="str">
        <f>'Barge BQS Report'!C160</f>
        <v/>
      </c>
      <c r="D164" s="1616" t="str">
        <f>'Barge BQS Report'!D160</f>
        <v/>
      </c>
      <c r="E164" s="1617" t="str">
        <f>'Barge BQS Report'!N160</f>
        <v/>
      </c>
      <c r="F164" s="1618" t="str">
        <f>'Barge BQS Report'!F160</f>
        <v/>
      </c>
      <c r="G164" s="1619" t="str">
        <f>'Barge BQS Report'!E160</f>
        <v/>
      </c>
      <c r="H164" s="1618" t="str">
        <f>'Barge BQS Report'!G160</f>
        <v/>
      </c>
      <c r="I164" s="1620" t="str">
        <f>'Barge BQS Report'!H160</f>
        <v/>
      </c>
      <c r="J164" s="1621" t="str">
        <f>'Barge BQS Report'!I160</f>
        <v/>
      </c>
      <c r="K164" s="1622" t="str">
        <f>'Barge BQS Report'!J160</f>
        <v/>
      </c>
      <c r="L164" s="1623" t="str">
        <f>'Barge BQS Report'!L160</f>
        <v/>
      </c>
      <c r="M164" s="1623" t="str">
        <f>'Barge BQS Report'!O160</f>
        <v/>
      </c>
      <c r="N164" s="1624" t="str">
        <f>'Barge BQS Report'!M160</f>
        <v/>
      </c>
      <c r="O164" s="1624" t="str">
        <f>'Barge BQS Report'!P160</f>
        <v/>
      </c>
      <c r="P164" s="1623" t="str">
        <f>'Barge BQS Report'!Q160</f>
        <v/>
      </c>
      <c r="Q164" s="1600"/>
      <c r="R164" s="1044"/>
      <c r="S164" s="1044"/>
    </row>
    <row r="165" spans="1:19">
      <c r="A165" s="881" t="str">
        <f>'Barge BQS Report'!A161</f>
        <v>N</v>
      </c>
      <c r="C165" s="1615" t="str">
        <f>'Barge BQS Report'!C161</f>
        <v/>
      </c>
      <c r="D165" s="1616" t="str">
        <f>'Barge BQS Report'!D161</f>
        <v/>
      </c>
      <c r="E165" s="1617" t="str">
        <f>'Barge BQS Report'!N161</f>
        <v/>
      </c>
      <c r="F165" s="1618" t="str">
        <f>'Barge BQS Report'!F161</f>
        <v/>
      </c>
      <c r="G165" s="1619" t="str">
        <f>'Barge BQS Report'!E161</f>
        <v/>
      </c>
      <c r="H165" s="1618" t="str">
        <f>'Barge BQS Report'!G161</f>
        <v/>
      </c>
      <c r="I165" s="1620" t="str">
        <f>'Barge BQS Report'!H161</f>
        <v/>
      </c>
      <c r="J165" s="1621" t="str">
        <f>'Barge BQS Report'!I161</f>
        <v/>
      </c>
      <c r="K165" s="1622" t="str">
        <f>'Barge BQS Report'!J161</f>
        <v/>
      </c>
      <c r="L165" s="1623" t="str">
        <f>'Barge BQS Report'!L161</f>
        <v/>
      </c>
      <c r="M165" s="1623" t="str">
        <f>'Barge BQS Report'!O161</f>
        <v/>
      </c>
      <c r="N165" s="1624" t="str">
        <f>'Barge BQS Report'!M161</f>
        <v/>
      </c>
      <c r="O165" s="1624" t="str">
        <f>'Barge BQS Report'!P161</f>
        <v/>
      </c>
      <c r="P165" s="1623" t="str">
        <f>'Barge BQS Report'!Q161</f>
        <v/>
      </c>
      <c r="Q165" s="1600"/>
      <c r="R165" s="1044"/>
      <c r="S165" s="1044"/>
    </row>
    <row r="166" spans="1:19">
      <c r="A166" s="881" t="str">
        <f>'Barge BQS Report'!A162</f>
        <v>N</v>
      </c>
      <c r="C166" s="1615" t="str">
        <f>'Barge BQS Report'!C162</f>
        <v/>
      </c>
      <c r="D166" s="1616" t="str">
        <f>'Barge BQS Report'!D162</f>
        <v/>
      </c>
      <c r="E166" s="1617" t="str">
        <f>'Barge BQS Report'!N162</f>
        <v/>
      </c>
      <c r="F166" s="1618" t="str">
        <f>'Barge BQS Report'!F162</f>
        <v/>
      </c>
      <c r="G166" s="1619" t="str">
        <f>'Barge BQS Report'!E162</f>
        <v/>
      </c>
      <c r="H166" s="1618" t="str">
        <f>'Barge BQS Report'!G162</f>
        <v/>
      </c>
      <c r="I166" s="1620" t="str">
        <f>'Barge BQS Report'!H162</f>
        <v/>
      </c>
      <c r="J166" s="1621" t="str">
        <f>'Barge BQS Report'!I162</f>
        <v/>
      </c>
      <c r="K166" s="1622" t="str">
        <f>'Barge BQS Report'!J162</f>
        <v/>
      </c>
      <c r="L166" s="1623" t="str">
        <f>'Barge BQS Report'!L162</f>
        <v/>
      </c>
      <c r="M166" s="1623" t="str">
        <f>'Barge BQS Report'!O162</f>
        <v/>
      </c>
      <c r="N166" s="1624" t="str">
        <f>'Barge BQS Report'!M162</f>
        <v/>
      </c>
      <c r="O166" s="1624" t="str">
        <f>'Barge BQS Report'!P162</f>
        <v/>
      </c>
      <c r="P166" s="1623" t="str">
        <f>'Barge BQS Report'!Q162</f>
        <v/>
      </c>
      <c r="Q166" s="1600"/>
      <c r="R166" s="1044"/>
      <c r="S166" s="1044"/>
    </row>
    <row r="167" spans="1:19">
      <c r="A167" s="881" t="str">
        <f>'Barge BQS Report'!A163</f>
        <v>N</v>
      </c>
      <c r="C167" s="1615" t="str">
        <f>'Barge BQS Report'!C163</f>
        <v/>
      </c>
      <c r="D167" s="1616" t="str">
        <f>'Barge BQS Report'!D163</f>
        <v/>
      </c>
      <c r="E167" s="1617" t="str">
        <f>'Barge BQS Report'!N163</f>
        <v/>
      </c>
      <c r="F167" s="1618" t="str">
        <f>'Barge BQS Report'!F163</f>
        <v/>
      </c>
      <c r="G167" s="1619" t="str">
        <f>'Barge BQS Report'!E163</f>
        <v/>
      </c>
      <c r="H167" s="1618" t="str">
        <f>'Barge BQS Report'!G163</f>
        <v/>
      </c>
      <c r="I167" s="1620" t="str">
        <f>'Barge BQS Report'!H163</f>
        <v/>
      </c>
      <c r="J167" s="1621" t="str">
        <f>'Barge BQS Report'!I163</f>
        <v/>
      </c>
      <c r="K167" s="1622" t="str">
        <f>'Barge BQS Report'!J163</f>
        <v/>
      </c>
      <c r="L167" s="1623" t="str">
        <f>'Barge BQS Report'!L163</f>
        <v/>
      </c>
      <c r="M167" s="1623" t="str">
        <f>'Barge BQS Report'!O163</f>
        <v/>
      </c>
      <c r="N167" s="1624" t="str">
        <f>'Barge BQS Report'!M163</f>
        <v/>
      </c>
      <c r="O167" s="1624" t="str">
        <f>'Barge BQS Report'!P163</f>
        <v/>
      </c>
      <c r="P167" s="1623" t="str">
        <f>'Barge BQS Report'!Q163</f>
        <v/>
      </c>
      <c r="Q167" s="1600"/>
      <c r="R167" s="1044"/>
      <c r="S167" s="1044"/>
    </row>
    <row r="168" spans="1:19">
      <c r="A168" s="881" t="str">
        <f>'Barge BQS Report'!A164</f>
        <v>N</v>
      </c>
      <c r="C168" s="1615" t="str">
        <f>'Barge BQS Report'!C164</f>
        <v/>
      </c>
      <c r="D168" s="1616" t="str">
        <f>'Barge BQS Report'!D164</f>
        <v/>
      </c>
      <c r="E168" s="1617" t="str">
        <f>'Barge BQS Report'!N164</f>
        <v/>
      </c>
      <c r="F168" s="1618" t="str">
        <f>'Barge BQS Report'!F164</f>
        <v/>
      </c>
      <c r="G168" s="1619" t="str">
        <f>'Barge BQS Report'!E164</f>
        <v/>
      </c>
      <c r="H168" s="1618" t="str">
        <f>'Barge BQS Report'!G164</f>
        <v/>
      </c>
      <c r="I168" s="1620" t="str">
        <f>'Barge BQS Report'!H164</f>
        <v/>
      </c>
      <c r="J168" s="1621" t="str">
        <f>'Barge BQS Report'!I164</f>
        <v/>
      </c>
      <c r="K168" s="1622" t="str">
        <f>'Barge BQS Report'!J164</f>
        <v/>
      </c>
      <c r="L168" s="1623" t="str">
        <f>'Barge BQS Report'!L164</f>
        <v/>
      </c>
      <c r="M168" s="1623" t="str">
        <f>'Barge BQS Report'!O164</f>
        <v/>
      </c>
      <c r="N168" s="1624" t="str">
        <f>'Barge BQS Report'!M164</f>
        <v/>
      </c>
      <c r="O168" s="1624" t="str">
        <f>'Barge BQS Report'!P164</f>
        <v/>
      </c>
      <c r="P168" s="1623" t="str">
        <f>'Barge BQS Report'!Q164</f>
        <v/>
      </c>
      <c r="Q168" s="1600"/>
      <c r="R168" s="1044"/>
      <c r="S168" s="1044"/>
    </row>
    <row r="169" spans="1:19">
      <c r="A169" s="881" t="str">
        <f>'Barge BQS Report'!A165</f>
        <v>N</v>
      </c>
      <c r="C169" s="1615" t="str">
        <f>'Barge BQS Report'!C165</f>
        <v/>
      </c>
      <c r="D169" s="1616" t="str">
        <f>'Barge BQS Report'!D165</f>
        <v/>
      </c>
      <c r="E169" s="1617" t="str">
        <f>'Barge BQS Report'!N165</f>
        <v/>
      </c>
      <c r="F169" s="1618" t="str">
        <f>'Barge BQS Report'!F165</f>
        <v/>
      </c>
      <c r="G169" s="1619" t="str">
        <f>'Barge BQS Report'!E165</f>
        <v/>
      </c>
      <c r="H169" s="1618" t="str">
        <f>'Barge BQS Report'!G165</f>
        <v/>
      </c>
      <c r="I169" s="1620" t="str">
        <f>'Barge BQS Report'!H165</f>
        <v/>
      </c>
      <c r="J169" s="1621" t="str">
        <f>'Barge BQS Report'!I165</f>
        <v/>
      </c>
      <c r="K169" s="1622" t="str">
        <f>'Barge BQS Report'!J165</f>
        <v/>
      </c>
      <c r="L169" s="1623" t="str">
        <f>'Barge BQS Report'!L165</f>
        <v/>
      </c>
      <c r="M169" s="1623" t="str">
        <f>'Barge BQS Report'!O165</f>
        <v/>
      </c>
      <c r="N169" s="1624" t="str">
        <f>'Barge BQS Report'!M165</f>
        <v/>
      </c>
      <c r="O169" s="1624" t="str">
        <f>'Barge BQS Report'!P165</f>
        <v/>
      </c>
      <c r="P169" s="1623" t="str">
        <f>'Barge BQS Report'!Q165</f>
        <v/>
      </c>
      <c r="Q169" s="1600"/>
      <c r="R169" s="1044"/>
      <c r="S169" s="1044"/>
    </row>
    <row r="170" spans="1:19" hidden="1">
      <c r="A170" s="881" t="str">
        <f>'Barge BQS Report'!A166</f>
        <v>N</v>
      </c>
      <c r="C170" s="1057" t="str">
        <f>'Barge BQS Report'!C166</f>
        <v/>
      </c>
      <c r="D170" s="1058" t="str">
        <f>'Barge BQS Report'!D166</f>
        <v/>
      </c>
      <c r="E170" s="1059" t="str">
        <f>'Barge BQS Report'!N166</f>
        <v/>
      </c>
      <c r="F170" s="1060" t="str">
        <f>'Barge BQS Report'!F166</f>
        <v/>
      </c>
      <c r="G170" s="1061" t="str">
        <f>'Barge BQS Report'!E166</f>
        <v/>
      </c>
      <c r="H170" s="1060" t="str">
        <f>'Barge BQS Report'!G166</f>
        <v/>
      </c>
      <c r="I170" s="1159" t="str">
        <f>'Barge BQS Report'!H166</f>
        <v/>
      </c>
      <c r="J170" s="1062" t="str">
        <f>'Barge BQS Report'!I166</f>
        <v/>
      </c>
      <c r="K170" s="1063" t="str">
        <f>'Barge BQS Report'!J166</f>
        <v/>
      </c>
      <c r="L170" s="1064" t="str">
        <f>'Barge BQS Report'!L166</f>
        <v/>
      </c>
      <c r="M170" s="1064" t="str">
        <f>'Barge BQS Report'!O166</f>
        <v/>
      </c>
      <c r="N170" s="1065" t="str">
        <f>'Barge BQS Report'!M166</f>
        <v/>
      </c>
      <c r="O170" s="1065" t="str">
        <f>'Barge BQS Report'!P166</f>
        <v/>
      </c>
      <c r="P170" s="1064" t="str">
        <f>'Barge BQS Report'!Q166</f>
        <v/>
      </c>
      <c r="Q170" s="1044"/>
      <c r="R170" s="1044"/>
      <c r="S170" s="1044"/>
    </row>
    <row r="171" spans="1:19" hidden="1">
      <c r="A171" s="881" t="str">
        <f>'Barge BQS Report'!A167</f>
        <v>N</v>
      </c>
      <c r="C171" s="1057" t="str">
        <f>'Barge BQS Report'!C167</f>
        <v/>
      </c>
      <c r="D171" s="1058" t="str">
        <f>'Barge BQS Report'!D167</f>
        <v/>
      </c>
      <c r="E171" s="1059" t="str">
        <f>'Barge BQS Report'!N167</f>
        <v/>
      </c>
      <c r="F171" s="1060" t="str">
        <f>'Barge BQS Report'!F167</f>
        <v/>
      </c>
      <c r="G171" s="1061" t="str">
        <f>'Barge BQS Report'!E167</f>
        <v/>
      </c>
      <c r="H171" s="1060" t="str">
        <f>'Barge BQS Report'!G167</f>
        <v/>
      </c>
      <c r="I171" s="1159" t="str">
        <f>'Barge BQS Report'!H167</f>
        <v/>
      </c>
      <c r="J171" s="1062" t="str">
        <f>'Barge BQS Report'!I167</f>
        <v/>
      </c>
      <c r="K171" s="1063" t="str">
        <f>'Barge BQS Report'!J167</f>
        <v/>
      </c>
      <c r="L171" s="1064" t="str">
        <f>'Barge BQS Report'!L167</f>
        <v/>
      </c>
      <c r="M171" s="1064" t="str">
        <f>'Barge BQS Report'!O167</f>
        <v/>
      </c>
      <c r="N171" s="1065" t="str">
        <f>'Barge BQS Report'!M167</f>
        <v/>
      </c>
      <c r="O171" s="1065" t="str">
        <f>'Barge BQS Report'!P167</f>
        <v/>
      </c>
      <c r="P171" s="1064" t="str">
        <f>'Barge BQS Report'!Q167</f>
        <v/>
      </c>
      <c r="Q171" s="1044"/>
      <c r="R171" s="1044"/>
      <c r="S171" s="1044"/>
    </row>
    <row r="172" spans="1:19" hidden="1">
      <c r="A172" s="881" t="str">
        <f>'Barge BQS Report'!A168</f>
        <v>N</v>
      </c>
      <c r="C172" s="1057" t="str">
        <f>'Barge BQS Report'!C168</f>
        <v/>
      </c>
      <c r="D172" s="1058" t="str">
        <f>'Barge BQS Report'!D168</f>
        <v/>
      </c>
      <c r="E172" s="1059" t="str">
        <f>'Barge BQS Report'!N168</f>
        <v/>
      </c>
      <c r="F172" s="1060" t="str">
        <f>'Barge BQS Report'!F168</f>
        <v/>
      </c>
      <c r="G172" s="1061" t="str">
        <f>'Barge BQS Report'!E168</f>
        <v/>
      </c>
      <c r="H172" s="1060" t="str">
        <f>'Barge BQS Report'!G168</f>
        <v/>
      </c>
      <c r="I172" s="1159" t="str">
        <f>'Barge BQS Report'!H168</f>
        <v/>
      </c>
      <c r="J172" s="1062" t="str">
        <f>'Barge BQS Report'!I168</f>
        <v/>
      </c>
      <c r="K172" s="1063" t="str">
        <f>'Barge BQS Report'!J168</f>
        <v/>
      </c>
      <c r="L172" s="1064" t="str">
        <f>'Barge BQS Report'!L168</f>
        <v/>
      </c>
      <c r="M172" s="1064" t="str">
        <f>'Barge BQS Report'!O168</f>
        <v/>
      </c>
      <c r="N172" s="1065" t="str">
        <f>'Barge BQS Report'!M168</f>
        <v/>
      </c>
      <c r="O172" s="1065" t="str">
        <f>'Barge BQS Report'!P168</f>
        <v/>
      </c>
      <c r="P172" s="1064" t="str">
        <f>'Barge BQS Report'!Q168</f>
        <v/>
      </c>
      <c r="Q172" s="1044"/>
      <c r="R172" s="1044"/>
      <c r="S172" s="1044"/>
    </row>
    <row r="173" spans="1:19" hidden="1">
      <c r="A173" s="881" t="str">
        <f>'Barge BQS Report'!A169</f>
        <v>N</v>
      </c>
      <c r="C173" s="1057" t="str">
        <f>'Barge BQS Report'!C169</f>
        <v/>
      </c>
      <c r="D173" s="1058" t="str">
        <f>'Barge BQS Report'!D169</f>
        <v/>
      </c>
      <c r="E173" s="1059" t="str">
        <f>'Barge BQS Report'!N169</f>
        <v/>
      </c>
      <c r="F173" s="1060" t="str">
        <f>'Barge BQS Report'!F169</f>
        <v/>
      </c>
      <c r="G173" s="1061" t="str">
        <f>'Barge BQS Report'!E169</f>
        <v/>
      </c>
      <c r="H173" s="1060" t="str">
        <f>'Barge BQS Report'!G169</f>
        <v/>
      </c>
      <c r="I173" s="1159" t="str">
        <f>'Barge BQS Report'!H169</f>
        <v/>
      </c>
      <c r="J173" s="1062" t="str">
        <f>'Barge BQS Report'!I169</f>
        <v/>
      </c>
      <c r="K173" s="1063" t="str">
        <f>'Barge BQS Report'!J169</f>
        <v/>
      </c>
      <c r="L173" s="1064" t="str">
        <f>'Barge BQS Report'!L169</f>
        <v/>
      </c>
      <c r="M173" s="1064" t="str">
        <f>'Barge BQS Report'!O169</f>
        <v/>
      </c>
      <c r="N173" s="1065" t="str">
        <f>'Barge BQS Report'!M169</f>
        <v/>
      </c>
      <c r="O173" s="1065" t="str">
        <f>'Barge BQS Report'!P169</f>
        <v/>
      </c>
      <c r="P173" s="1064" t="str">
        <f>'Barge BQS Report'!Q169</f>
        <v/>
      </c>
      <c r="Q173" s="1044"/>
      <c r="R173" s="1044"/>
      <c r="S173" s="1044"/>
    </row>
    <row r="174" spans="1:19" hidden="1">
      <c r="A174" s="881" t="str">
        <f>'Barge BQS Report'!A170</f>
        <v>N</v>
      </c>
      <c r="C174" s="1057" t="str">
        <f>'Barge BQS Report'!C170</f>
        <v/>
      </c>
      <c r="D174" s="1058" t="str">
        <f>'Barge BQS Report'!D170</f>
        <v/>
      </c>
      <c r="E174" s="1059" t="str">
        <f>'Barge BQS Report'!N170</f>
        <v/>
      </c>
      <c r="F174" s="1060" t="str">
        <f>'Barge BQS Report'!F170</f>
        <v/>
      </c>
      <c r="G174" s="1061" t="str">
        <f>'Barge BQS Report'!E170</f>
        <v/>
      </c>
      <c r="H174" s="1060" t="str">
        <f>'Barge BQS Report'!G170</f>
        <v/>
      </c>
      <c r="I174" s="1159" t="str">
        <f>'Barge BQS Report'!H170</f>
        <v/>
      </c>
      <c r="J174" s="1062" t="str">
        <f>'Barge BQS Report'!I170</f>
        <v/>
      </c>
      <c r="K174" s="1063" t="str">
        <f>'Barge BQS Report'!J170</f>
        <v/>
      </c>
      <c r="L174" s="1064" t="str">
        <f>'Barge BQS Report'!L170</f>
        <v/>
      </c>
      <c r="M174" s="1064" t="str">
        <f>'Barge BQS Report'!O170</f>
        <v/>
      </c>
      <c r="N174" s="1065" t="str">
        <f>'Barge BQS Report'!M170</f>
        <v/>
      </c>
      <c r="O174" s="1065" t="str">
        <f>'Barge BQS Report'!P170</f>
        <v/>
      </c>
      <c r="P174" s="1064" t="str">
        <f>'Barge BQS Report'!Q170</f>
        <v/>
      </c>
      <c r="Q174" s="1044"/>
      <c r="R174" s="1044"/>
      <c r="S174" s="1044"/>
    </row>
    <row r="175" spans="1:19" hidden="1">
      <c r="A175" s="881" t="str">
        <f>'Barge BQS Report'!A171</f>
        <v>N</v>
      </c>
      <c r="C175" s="1057" t="str">
        <f>'Barge BQS Report'!C171</f>
        <v/>
      </c>
      <c r="D175" s="1058" t="str">
        <f>'Barge BQS Report'!D171</f>
        <v/>
      </c>
      <c r="E175" s="1059" t="str">
        <f>'Barge BQS Report'!N171</f>
        <v/>
      </c>
      <c r="F175" s="1060" t="str">
        <f>'Barge BQS Report'!F171</f>
        <v/>
      </c>
      <c r="G175" s="1061" t="str">
        <f>'Barge BQS Report'!E171</f>
        <v/>
      </c>
      <c r="H175" s="1060" t="str">
        <f>'Barge BQS Report'!G171</f>
        <v/>
      </c>
      <c r="I175" s="1159" t="str">
        <f>'Barge BQS Report'!H171</f>
        <v/>
      </c>
      <c r="J175" s="1062" t="str">
        <f>'Barge BQS Report'!I171</f>
        <v/>
      </c>
      <c r="K175" s="1063" t="str">
        <f>'Barge BQS Report'!J171</f>
        <v/>
      </c>
      <c r="L175" s="1064" t="str">
        <f>'Barge BQS Report'!L171</f>
        <v/>
      </c>
      <c r="M175" s="1064" t="str">
        <f>'Barge BQS Report'!O171</f>
        <v/>
      </c>
      <c r="N175" s="1065" t="str">
        <f>'Barge BQS Report'!M171</f>
        <v/>
      </c>
      <c r="O175" s="1065" t="str">
        <f>'Barge BQS Report'!P171</f>
        <v/>
      </c>
      <c r="P175" s="1064" t="str">
        <f>'Barge BQS Report'!Q171</f>
        <v/>
      </c>
      <c r="Q175" s="1044"/>
      <c r="R175" s="1044"/>
      <c r="S175" s="1044"/>
    </row>
    <row r="176" spans="1:19" hidden="1">
      <c r="A176" s="881" t="str">
        <f>'Barge BQS Report'!A172</f>
        <v>N</v>
      </c>
      <c r="C176" s="1057" t="str">
        <f>'Barge BQS Report'!C172</f>
        <v/>
      </c>
      <c r="D176" s="1058" t="str">
        <f>'Barge BQS Report'!D172</f>
        <v/>
      </c>
      <c r="E176" s="1059" t="str">
        <f>'Barge BQS Report'!N172</f>
        <v/>
      </c>
      <c r="F176" s="1060" t="str">
        <f>'Barge BQS Report'!F172</f>
        <v/>
      </c>
      <c r="G176" s="1061" t="str">
        <f>'Barge BQS Report'!E172</f>
        <v/>
      </c>
      <c r="H176" s="1060" t="str">
        <f>'Barge BQS Report'!G172</f>
        <v/>
      </c>
      <c r="I176" s="1159" t="str">
        <f>'Barge BQS Report'!H172</f>
        <v/>
      </c>
      <c r="J176" s="1062" t="str">
        <f>'Barge BQS Report'!I172</f>
        <v/>
      </c>
      <c r="K176" s="1063" t="str">
        <f>'Barge BQS Report'!J172</f>
        <v/>
      </c>
      <c r="L176" s="1064" t="str">
        <f>'Barge BQS Report'!L172</f>
        <v/>
      </c>
      <c r="M176" s="1064" t="str">
        <f>'Barge BQS Report'!O172</f>
        <v/>
      </c>
      <c r="N176" s="1065" t="str">
        <f>'Barge BQS Report'!M172</f>
        <v/>
      </c>
      <c r="O176" s="1065" t="str">
        <f>'Barge BQS Report'!P172</f>
        <v/>
      </c>
      <c r="P176" s="1064" t="str">
        <f>'Barge BQS Report'!Q172</f>
        <v/>
      </c>
      <c r="Q176" s="1044"/>
      <c r="R176" s="1044"/>
      <c r="S176" s="1044"/>
    </row>
    <row r="177" spans="1:19" hidden="1">
      <c r="A177" s="881" t="str">
        <f>'Barge BQS Report'!A173</f>
        <v>N</v>
      </c>
      <c r="C177" s="1057" t="str">
        <f>'Barge BQS Report'!C173</f>
        <v/>
      </c>
      <c r="D177" s="1058" t="str">
        <f>'Barge BQS Report'!D173</f>
        <v/>
      </c>
      <c r="E177" s="1059" t="str">
        <f>'Barge BQS Report'!N173</f>
        <v/>
      </c>
      <c r="F177" s="1060" t="str">
        <f>'Barge BQS Report'!F173</f>
        <v/>
      </c>
      <c r="G177" s="1061" t="str">
        <f>'Barge BQS Report'!E173</f>
        <v/>
      </c>
      <c r="H177" s="1060" t="str">
        <f>'Barge BQS Report'!G173</f>
        <v/>
      </c>
      <c r="I177" s="1159" t="str">
        <f>'Barge BQS Report'!H173</f>
        <v/>
      </c>
      <c r="J177" s="1062" t="str">
        <f>'Barge BQS Report'!I173</f>
        <v/>
      </c>
      <c r="K177" s="1063" t="str">
        <f>'Barge BQS Report'!J173</f>
        <v/>
      </c>
      <c r="L177" s="1064" t="str">
        <f>'Barge BQS Report'!L173</f>
        <v/>
      </c>
      <c r="M177" s="1064" t="str">
        <f>'Barge BQS Report'!O173</f>
        <v/>
      </c>
      <c r="N177" s="1065" t="str">
        <f>'Barge BQS Report'!M173</f>
        <v/>
      </c>
      <c r="O177" s="1065" t="str">
        <f>'Barge BQS Report'!P173</f>
        <v/>
      </c>
      <c r="P177" s="1064" t="str">
        <f>'Barge BQS Report'!Q173</f>
        <v/>
      </c>
      <c r="Q177" s="1044"/>
      <c r="R177" s="1044"/>
      <c r="S177" s="1044"/>
    </row>
    <row r="178" spans="1:19" hidden="1">
      <c r="A178" s="881" t="str">
        <f>'Barge BQS Report'!A174</f>
        <v>N</v>
      </c>
      <c r="C178" s="1057" t="str">
        <f>'Barge BQS Report'!C174</f>
        <v/>
      </c>
      <c r="D178" s="1058" t="str">
        <f>'Barge BQS Report'!D174</f>
        <v/>
      </c>
      <c r="E178" s="1059" t="str">
        <f>'Barge BQS Report'!N174</f>
        <v/>
      </c>
      <c r="F178" s="1060" t="str">
        <f>'Barge BQS Report'!F174</f>
        <v/>
      </c>
      <c r="G178" s="1061" t="str">
        <f>'Barge BQS Report'!E174</f>
        <v/>
      </c>
      <c r="H178" s="1060" t="str">
        <f>'Barge BQS Report'!G174</f>
        <v/>
      </c>
      <c r="I178" s="1159" t="str">
        <f>'Barge BQS Report'!H174</f>
        <v/>
      </c>
      <c r="J178" s="1062" t="str">
        <f>'Barge BQS Report'!I174</f>
        <v/>
      </c>
      <c r="K178" s="1063" t="str">
        <f>'Barge BQS Report'!J174</f>
        <v/>
      </c>
      <c r="L178" s="1064" t="str">
        <f>'Barge BQS Report'!L174</f>
        <v/>
      </c>
      <c r="M178" s="1064" t="str">
        <f>'Barge BQS Report'!O174</f>
        <v/>
      </c>
      <c r="N178" s="1065" t="str">
        <f>'Barge BQS Report'!M174</f>
        <v/>
      </c>
      <c r="O178" s="1065" t="str">
        <f>'Barge BQS Report'!P174</f>
        <v/>
      </c>
      <c r="P178" s="1064" t="str">
        <f>'Barge BQS Report'!Q174</f>
        <v/>
      </c>
      <c r="Q178" s="1044"/>
      <c r="R178" s="1044"/>
      <c r="S178" s="1044"/>
    </row>
    <row r="179" spans="1:19" hidden="1">
      <c r="A179" s="881" t="str">
        <f>'Barge BQS Report'!A175</f>
        <v>N</v>
      </c>
      <c r="C179" s="1057" t="str">
        <f>'Barge BQS Report'!C175</f>
        <v/>
      </c>
      <c r="D179" s="1058" t="str">
        <f>'Barge BQS Report'!D175</f>
        <v/>
      </c>
      <c r="E179" s="1059" t="str">
        <f>'Barge BQS Report'!N175</f>
        <v/>
      </c>
      <c r="F179" s="1060" t="str">
        <f>'Barge BQS Report'!F175</f>
        <v/>
      </c>
      <c r="G179" s="1061" t="str">
        <f>'Barge BQS Report'!E175</f>
        <v/>
      </c>
      <c r="H179" s="1060" t="str">
        <f>'Barge BQS Report'!G175</f>
        <v/>
      </c>
      <c r="I179" s="1159" t="str">
        <f>'Barge BQS Report'!H175</f>
        <v/>
      </c>
      <c r="J179" s="1062" t="str">
        <f>'Barge BQS Report'!I175</f>
        <v/>
      </c>
      <c r="K179" s="1063" t="str">
        <f>'Barge BQS Report'!J175</f>
        <v/>
      </c>
      <c r="L179" s="1064" t="str">
        <f>'Barge BQS Report'!L175</f>
        <v/>
      </c>
      <c r="M179" s="1064" t="str">
        <f>'Barge BQS Report'!O175</f>
        <v/>
      </c>
      <c r="N179" s="1065" t="str">
        <f>'Barge BQS Report'!M175</f>
        <v/>
      </c>
      <c r="O179" s="1065" t="str">
        <f>'Barge BQS Report'!P175</f>
        <v/>
      </c>
      <c r="P179" s="1064" t="str">
        <f>'Barge BQS Report'!Q175</f>
        <v/>
      </c>
      <c r="Q179" s="1044"/>
      <c r="R179" s="1044"/>
      <c r="S179" s="1044"/>
    </row>
    <row r="180" spans="1:19" hidden="1">
      <c r="A180" s="881" t="str">
        <f>'Barge BQS Report'!A176</f>
        <v>N</v>
      </c>
      <c r="C180" s="1057" t="str">
        <f>'Barge BQS Report'!C176</f>
        <v/>
      </c>
      <c r="D180" s="1058" t="str">
        <f>'Barge BQS Report'!D176</f>
        <v/>
      </c>
      <c r="E180" s="1059" t="str">
        <f>'Barge BQS Report'!N176</f>
        <v/>
      </c>
      <c r="F180" s="1060" t="str">
        <f>'Barge BQS Report'!F176</f>
        <v/>
      </c>
      <c r="G180" s="1061" t="str">
        <f>'Barge BQS Report'!E176</f>
        <v/>
      </c>
      <c r="H180" s="1060" t="str">
        <f>'Barge BQS Report'!G176</f>
        <v/>
      </c>
      <c r="I180" s="1159" t="str">
        <f>'Barge BQS Report'!H176</f>
        <v/>
      </c>
      <c r="J180" s="1062" t="str">
        <f>'Barge BQS Report'!I176</f>
        <v/>
      </c>
      <c r="K180" s="1063" t="str">
        <f>'Barge BQS Report'!J176</f>
        <v/>
      </c>
      <c r="L180" s="1064" t="str">
        <f>'Barge BQS Report'!L176</f>
        <v/>
      </c>
      <c r="M180" s="1064" t="str">
        <f>'Barge BQS Report'!O176</f>
        <v/>
      </c>
      <c r="N180" s="1065" t="str">
        <f>'Barge BQS Report'!M176</f>
        <v/>
      </c>
      <c r="O180" s="1065" t="str">
        <f>'Barge BQS Report'!P176</f>
        <v/>
      </c>
      <c r="P180" s="1064" t="str">
        <f>'Barge BQS Report'!Q176</f>
        <v/>
      </c>
      <c r="Q180" s="1044"/>
      <c r="R180" s="1044"/>
      <c r="S180" s="1044"/>
    </row>
    <row r="181" spans="1:19" hidden="1">
      <c r="A181" s="881" t="str">
        <f>'Barge BQS Report'!A177</f>
        <v>N</v>
      </c>
      <c r="C181" s="1309" t="str">
        <f>'Barge BQS Report'!C177</f>
        <v/>
      </c>
      <c r="D181" s="1310" t="str">
        <f>'Barge BQS Report'!D177</f>
        <v/>
      </c>
      <c r="E181" s="1311" t="str">
        <f>'Barge BQS Report'!N177</f>
        <v/>
      </c>
      <c r="F181" s="1312" t="str">
        <f>'Barge BQS Report'!F177</f>
        <v/>
      </c>
      <c r="G181" s="1313" t="str">
        <f>'Barge BQS Report'!E177</f>
        <v/>
      </c>
      <c r="H181" s="1312" t="str">
        <f>'Barge BQS Report'!G177</f>
        <v/>
      </c>
      <c r="I181" s="1159" t="str">
        <f>'Barge BQS Report'!H177</f>
        <v/>
      </c>
      <c r="J181" s="1062" t="str">
        <f>'Barge BQS Report'!I177</f>
        <v/>
      </c>
      <c r="K181" s="1314" t="str">
        <f>'Barge BQS Report'!J177</f>
        <v/>
      </c>
      <c r="L181" s="1315" t="str">
        <f>'Barge BQS Report'!L177</f>
        <v/>
      </c>
      <c r="M181" s="1315" t="str">
        <f>'Barge BQS Report'!O177</f>
        <v/>
      </c>
      <c r="N181" s="1316" t="str">
        <f>'Barge BQS Report'!M177</f>
        <v/>
      </c>
      <c r="O181" s="1316" t="str">
        <f>'Barge BQS Report'!P177</f>
        <v/>
      </c>
      <c r="P181" s="1315" t="str">
        <f>'Barge BQS Report'!Q177</f>
        <v/>
      </c>
      <c r="Q181" s="1044"/>
      <c r="R181" s="1044"/>
      <c r="S181" s="1044"/>
    </row>
    <row r="182" spans="1:19" hidden="1">
      <c r="A182" s="881" t="str">
        <f>'Barge BQS Report'!A178</f>
        <v>N</v>
      </c>
      <c r="C182" s="1309" t="str">
        <f>'Barge BQS Report'!C178</f>
        <v/>
      </c>
      <c r="D182" s="1310" t="str">
        <f>'Barge BQS Report'!D178</f>
        <v/>
      </c>
      <c r="E182" s="1311" t="str">
        <f>'Barge BQS Report'!N178</f>
        <v/>
      </c>
      <c r="F182" s="1312" t="str">
        <f>'Barge BQS Report'!F178</f>
        <v/>
      </c>
      <c r="G182" s="1313" t="str">
        <f>'Barge BQS Report'!E178</f>
        <v/>
      </c>
      <c r="H182" s="1312" t="str">
        <f>'Barge BQS Report'!G178</f>
        <v/>
      </c>
      <c r="I182" s="1159" t="str">
        <f>'Barge BQS Report'!H178</f>
        <v/>
      </c>
      <c r="J182" s="1062" t="str">
        <f>'Barge BQS Report'!I178</f>
        <v/>
      </c>
      <c r="K182" s="1314" t="str">
        <f>'Barge BQS Report'!J178</f>
        <v/>
      </c>
      <c r="L182" s="1315" t="str">
        <f>'Barge BQS Report'!L178</f>
        <v/>
      </c>
      <c r="M182" s="1315" t="str">
        <f>'Barge BQS Report'!O178</f>
        <v/>
      </c>
      <c r="N182" s="1316" t="str">
        <f>'Barge BQS Report'!M178</f>
        <v/>
      </c>
      <c r="O182" s="1316" t="str">
        <f>'Barge BQS Report'!P178</f>
        <v/>
      </c>
      <c r="P182" s="1315" t="str">
        <f>'Barge BQS Report'!Q178</f>
        <v/>
      </c>
      <c r="Q182" s="1044"/>
      <c r="R182" s="1044"/>
      <c r="S182" s="1044"/>
    </row>
    <row r="183" spans="1:19" hidden="1">
      <c r="A183" s="881" t="str">
        <f>'Barge BQS Report'!A179</f>
        <v>N</v>
      </c>
      <c r="C183" s="1309" t="str">
        <f>'Barge BQS Report'!C179</f>
        <v/>
      </c>
      <c r="D183" s="1310" t="str">
        <f>'Barge BQS Report'!D179</f>
        <v/>
      </c>
      <c r="E183" s="1311" t="str">
        <f>'Barge BQS Report'!N179</f>
        <v/>
      </c>
      <c r="F183" s="1312" t="str">
        <f>'Barge BQS Report'!F179</f>
        <v/>
      </c>
      <c r="G183" s="1313" t="str">
        <f>'Barge BQS Report'!E179</f>
        <v/>
      </c>
      <c r="H183" s="1312" t="str">
        <f>'Barge BQS Report'!G179</f>
        <v/>
      </c>
      <c r="I183" s="1159" t="str">
        <f>'Barge BQS Report'!H179</f>
        <v/>
      </c>
      <c r="J183" s="1062" t="str">
        <f>'Barge BQS Report'!I179</f>
        <v/>
      </c>
      <c r="K183" s="1314" t="str">
        <f>'Barge BQS Report'!J179</f>
        <v/>
      </c>
      <c r="L183" s="1315" t="str">
        <f>'Barge BQS Report'!L179</f>
        <v/>
      </c>
      <c r="M183" s="1315" t="str">
        <f>'Barge BQS Report'!O179</f>
        <v/>
      </c>
      <c r="N183" s="1316" t="str">
        <f>'Barge BQS Report'!M179</f>
        <v/>
      </c>
      <c r="O183" s="1316" t="str">
        <f>'Barge BQS Report'!P179</f>
        <v/>
      </c>
      <c r="P183" s="1315" t="str">
        <f>'Barge BQS Report'!Q179</f>
        <v/>
      </c>
      <c r="Q183" s="1044"/>
      <c r="R183" s="1044"/>
      <c r="S183" s="1044"/>
    </row>
    <row r="184" spans="1:19" hidden="1">
      <c r="A184" s="881" t="str">
        <f>'Barge BQS Report'!A180</f>
        <v>N</v>
      </c>
      <c r="C184" s="1309" t="str">
        <f>'Barge BQS Report'!C180</f>
        <v/>
      </c>
      <c r="D184" s="1310" t="str">
        <f>'Barge BQS Report'!D180</f>
        <v/>
      </c>
      <c r="E184" s="1311" t="str">
        <f>'Barge BQS Report'!N180</f>
        <v/>
      </c>
      <c r="F184" s="1312" t="str">
        <f>'Barge BQS Report'!F180</f>
        <v/>
      </c>
      <c r="G184" s="1313" t="str">
        <f>'Barge BQS Report'!E180</f>
        <v/>
      </c>
      <c r="H184" s="1312" t="str">
        <f>'Barge BQS Report'!G180</f>
        <v/>
      </c>
      <c r="I184" s="1159" t="str">
        <f>'Barge BQS Report'!H180</f>
        <v/>
      </c>
      <c r="J184" s="1062" t="str">
        <f>'Barge BQS Report'!I180</f>
        <v/>
      </c>
      <c r="K184" s="1314" t="str">
        <f>'Barge BQS Report'!J180</f>
        <v/>
      </c>
      <c r="L184" s="1315" t="str">
        <f>'Barge BQS Report'!L180</f>
        <v/>
      </c>
      <c r="M184" s="1315" t="str">
        <f>'Barge BQS Report'!O180</f>
        <v/>
      </c>
      <c r="N184" s="1316" t="str">
        <f>'Barge BQS Report'!M180</f>
        <v/>
      </c>
      <c r="O184" s="1316" t="str">
        <f>'Barge BQS Report'!P180</f>
        <v/>
      </c>
      <c r="P184" s="1315" t="str">
        <f>'Barge BQS Report'!Q180</f>
        <v/>
      </c>
      <c r="Q184" s="1044"/>
      <c r="R184" s="1044"/>
      <c r="S184" s="1044"/>
    </row>
    <row r="185" spans="1:19" hidden="1">
      <c r="A185" s="881" t="str">
        <f>'Barge BQS Report'!A181</f>
        <v>N</v>
      </c>
      <c r="C185" s="1309" t="str">
        <f>'Barge BQS Report'!C181</f>
        <v/>
      </c>
      <c r="D185" s="1310" t="str">
        <f>'Barge BQS Report'!D181</f>
        <v/>
      </c>
      <c r="E185" s="1311" t="str">
        <f>'Barge BQS Report'!N181</f>
        <v/>
      </c>
      <c r="F185" s="1312" t="str">
        <f>'Barge BQS Report'!F181</f>
        <v/>
      </c>
      <c r="G185" s="1313" t="str">
        <f>'Barge BQS Report'!E181</f>
        <v/>
      </c>
      <c r="H185" s="1312" t="str">
        <f>'Barge BQS Report'!G181</f>
        <v/>
      </c>
      <c r="I185" s="1159" t="str">
        <f>'Barge BQS Report'!H181</f>
        <v/>
      </c>
      <c r="J185" s="1062" t="str">
        <f>'Barge BQS Report'!I181</f>
        <v/>
      </c>
      <c r="K185" s="1314" t="str">
        <f>'Barge BQS Report'!J181</f>
        <v/>
      </c>
      <c r="L185" s="1315" t="str">
        <f>'Barge BQS Report'!L181</f>
        <v/>
      </c>
      <c r="M185" s="1315" t="str">
        <f>'Barge BQS Report'!O181</f>
        <v/>
      </c>
      <c r="N185" s="1316" t="str">
        <f>'Barge BQS Report'!M181</f>
        <v/>
      </c>
      <c r="O185" s="1316" t="str">
        <f>'Barge BQS Report'!P181</f>
        <v/>
      </c>
      <c r="P185" s="1315" t="str">
        <f>'Barge BQS Report'!Q181</f>
        <v/>
      </c>
      <c r="Q185" s="1044"/>
      <c r="R185" s="1044"/>
      <c r="S185" s="1044"/>
    </row>
    <row r="186" spans="1:19" hidden="1">
      <c r="A186" s="881" t="str">
        <f>'Barge BQS Report'!A182</f>
        <v>N</v>
      </c>
      <c r="C186" s="1309" t="str">
        <f>'Barge BQS Report'!C182</f>
        <v/>
      </c>
      <c r="D186" s="1310" t="str">
        <f>'Barge BQS Report'!D182</f>
        <v/>
      </c>
      <c r="E186" s="1311" t="str">
        <f>'Barge BQS Report'!N182</f>
        <v/>
      </c>
      <c r="F186" s="1312" t="str">
        <f>'Barge BQS Report'!F182</f>
        <v/>
      </c>
      <c r="G186" s="1313" t="str">
        <f>'Barge BQS Report'!E182</f>
        <v/>
      </c>
      <c r="H186" s="1312" t="str">
        <f>'Barge BQS Report'!G182</f>
        <v/>
      </c>
      <c r="I186" s="1159" t="str">
        <f>'Barge BQS Report'!H182</f>
        <v/>
      </c>
      <c r="J186" s="1062" t="str">
        <f>'Barge BQS Report'!I182</f>
        <v/>
      </c>
      <c r="K186" s="1314" t="str">
        <f>'Barge BQS Report'!J182</f>
        <v/>
      </c>
      <c r="L186" s="1315" t="str">
        <f>'Barge BQS Report'!L182</f>
        <v/>
      </c>
      <c r="M186" s="1315" t="str">
        <f>'Barge BQS Report'!O182</f>
        <v/>
      </c>
      <c r="N186" s="1316" t="str">
        <f>'Barge BQS Report'!M182</f>
        <v/>
      </c>
      <c r="O186" s="1316" t="str">
        <f>'Barge BQS Report'!P182</f>
        <v/>
      </c>
      <c r="P186" s="1315" t="str">
        <f>'Barge BQS Report'!Q182</f>
        <v/>
      </c>
      <c r="Q186" s="1044"/>
      <c r="R186" s="1044"/>
      <c r="S186" s="1044"/>
    </row>
    <row r="187" spans="1:19" hidden="1">
      <c r="A187" s="881" t="str">
        <f>'Barge BQS Report'!A183</f>
        <v>N</v>
      </c>
      <c r="C187" s="1309" t="str">
        <f>'Barge BQS Report'!C183</f>
        <v/>
      </c>
      <c r="D187" s="1310" t="str">
        <f>'Barge BQS Report'!D183</f>
        <v/>
      </c>
      <c r="E187" s="1311" t="str">
        <f>'Barge BQS Report'!N183</f>
        <v/>
      </c>
      <c r="F187" s="1312" t="str">
        <f>'Barge BQS Report'!F183</f>
        <v/>
      </c>
      <c r="G187" s="1313" t="str">
        <f>'Barge BQS Report'!E183</f>
        <v/>
      </c>
      <c r="H187" s="1312" t="str">
        <f>'Barge BQS Report'!G183</f>
        <v/>
      </c>
      <c r="I187" s="1159" t="str">
        <f>'Barge BQS Report'!H183</f>
        <v/>
      </c>
      <c r="J187" s="1062" t="str">
        <f>'Barge BQS Report'!I183</f>
        <v/>
      </c>
      <c r="K187" s="1314" t="str">
        <f>'Barge BQS Report'!J183</f>
        <v/>
      </c>
      <c r="L187" s="1315" t="str">
        <f>'Barge BQS Report'!L183</f>
        <v/>
      </c>
      <c r="M187" s="1315" t="str">
        <f>'Barge BQS Report'!O183</f>
        <v/>
      </c>
      <c r="N187" s="1316" t="str">
        <f>'Barge BQS Report'!M183</f>
        <v/>
      </c>
      <c r="O187" s="1316" t="str">
        <f>'Barge BQS Report'!P183</f>
        <v/>
      </c>
      <c r="P187" s="1315" t="str">
        <f>'Barge BQS Report'!Q183</f>
        <v/>
      </c>
      <c r="Q187" s="1044"/>
      <c r="R187" s="1044"/>
      <c r="S187" s="1044"/>
    </row>
    <row r="188" spans="1:19" hidden="1">
      <c r="A188" s="881" t="str">
        <f>'Barge BQS Report'!A184</f>
        <v>N</v>
      </c>
      <c r="C188" s="1309" t="str">
        <f>'Barge BQS Report'!C184</f>
        <v/>
      </c>
      <c r="D188" s="1310" t="str">
        <f>'Barge BQS Report'!D184</f>
        <v/>
      </c>
      <c r="E188" s="1311" t="str">
        <f>'Barge BQS Report'!N184</f>
        <v/>
      </c>
      <c r="F188" s="1312" t="str">
        <f>'Barge BQS Report'!F184</f>
        <v/>
      </c>
      <c r="G188" s="1313" t="str">
        <f>'Barge BQS Report'!E184</f>
        <v/>
      </c>
      <c r="H188" s="1312" t="str">
        <f>'Barge BQS Report'!G184</f>
        <v/>
      </c>
      <c r="I188" s="1159" t="str">
        <f>'Barge BQS Report'!H184</f>
        <v/>
      </c>
      <c r="J188" s="1062" t="str">
        <f>'Barge BQS Report'!I184</f>
        <v/>
      </c>
      <c r="K188" s="1314" t="str">
        <f>'Barge BQS Report'!J184</f>
        <v/>
      </c>
      <c r="L188" s="1315" t="str">
        <f>'Barge BQS Report'!L184</f>
        <v/>
      </c>
      <c r="M188" s="1315" t="str">
        <f>'Barge BQS Report'!O184</f>
        <v/>
      </c>
      <c r="N188" s="1316" t="str">
        <f>'Barge BQS Report'!M184</f>
        <v/>
      </c>
      <c r="O188" s="1316" t="str">
        <f>'Barge BQS Report'!P184</f>
        <v/>
      </c>
      <c r="P188" s="1315" t="str">
        <f>'Barge BQS Report'!Q184</f>
        <v/>
      </c>
      <c r="Q188" s="1044"/>
      <c r="R188" s="1044"/>
      <c r="S188" s="1044"/>
    </row>
    <row r="189" spans="1:19" hidden="1">
      <c r="A189" s="881" t="str">
        <f>'Barge BQS Report'!A185</f>
        <v>N</v>
      </c>
      <c r="C189" s="1309" t="str">
        <f>'Barge BQS Report'!C185</f>
        <v/>
      </c>
      <c r="D189" s="1310" t="str">
        <f>'Barge BQS Report'!D185</f>
        <v/>
      </c>
      <c r="E189" s="1311" t="str">
        <f>'Barge BQS Report'!N185</f>
        <v/>
      </c>
      <c r="F189" s="1312" t="str">
        <f>'Barge BQS Report'!F185</f>
        <v/>
      </c>
      <c r="G189" s="1313" t="str">
        <f>'Barge BQS Report'!E185</f>
        <v/>
      </c>
      <c r="H189" s="1312" t="str">
        <f>'Barge BQS Report'!G185</f>
        <v/>
      </c>
      <c r="I189" s="1159" t="str">
        <f>'Barge BQS Report'!H185</f>
        <v/>
      </c>
      <c r="J189" s="1062" t="str">
        <f>'Barge BQS Report'!I185</f>
        <v/>
      </c>
      <c r="K189" s="1314" t="str">
        <f>'Barge BQS Report'!J185</f>
        <v/>
      </c>
      <c r="L189" s="1315" t="str">
        <f>'Barge BQS Report'!L185</f>
        <v/>
      </c>
      <c r="M189" s="1315" t="str">
        <f>'Barge BQS Report'!O185</f>
        <v/>
      </c>
      <c r="N189" s="1316" t="str">
        <f>'Barge BQS Report'!M185</f>
        <v/>
      </c>
      <c r="O189" s="1316" t="str">
        <f>'Barge BQS Report'!P185</f>
        <v/>
      </c>
      <c r="P189" s="1315" t="str">
        <f>'Barge BQS Report'!Q185</f>
        <v/>
      </c>
      <c r="Q189" s="1044"/>
      <c r="R189" s="1044"/>
      <c r="S189" s="1044"/>
    </row>
    <row r="190" spans="1:19" hidden="1">
      <c r="A190" s="881" t="str">
        <f>'Barge BQS Report'!A186</f>
        <v>N</v>
      </c>
      <c r="C190" s="1309" t="str">
        <f>'Barge BQS Report'!C186</f>
        <v/>
      </c>
      <c r="D190" s="1310" t="str">
        <f>'Barge BQS Report'!D186</f>
        <v/>
      </c>
      <c r="E190" s="1311" t="str">
        <f>'Barge BQS Report'!N186</f>
        <v/>
      </c>
      <c r="F190" s="1312" t="str">
        <f>'Barge BQS Report'!F186</f>
        <v/>
      </c>
      <c r="G190" s="1313" t="str">
        <f>'Barge BQS Report'!E186</f>
        <v/>
      </c>
      <c r="H190" s="1312" t="str">
        <f>'Barge BQS Report'!G186</f>
        <v/>
      </c>
      <c r="I190" s="1159" t="str">
        <f>'Barge BQS Report'!H186</f>
        <v/>
      </c>
      <c r="J190" s="1062" t="str">
        <f>'Barge BQS Report'!I186</f>
        <v/>
      </c>
      <c r="K190" s="1314" t="str">
        <f>'Barge BQS Report'!J186</f>
        <v/>
      </c>
      <c r="L190" s="1315" t="str">
        <f>'Barge BQS Report'!L186</f>
        <v/>
      </c>
      <c r="M190" s="1315" t="str">
        <f>'Barge BQS Report'!O186</f>
        <v/>
      </c>
      <c r="N190" s="1316" t="str">
        <f>'Barge BQS Report'!M186</f>
        <v/>
      </c>
      <c r="O190" s="1316" t="str">
        <f>'Barge BQS Report'!P186</f>
        <v/>
      </c>
      <c r="P190" s="1315" t="str">
        <f>'Barge BQS Report'!Q186</f>
        <v/>
      </c>
      <c r="Q190" s="1044"/>
      <c r="R190" s="1044"/>
      <c r="S190" s="1044"/>
    </row>
    <row r="191" spans="1:19" hidden="1">
      <c r="A191" s="881" t="str">
        <f>'Barge BQS Report'!A187</f>
        <v>N</v>
      </c>
      <c r="C191" s="1309" t="str">
        <f>'Barge BQS Report'!C187</f>
        <v/>
      </c>
      <c r="D191" s="1310" t="str">
        <f>'Barge BQS Report'!D187</f>
        <v/>
      </c>
      <c r="E191" s="1311" t="str">
        <f>'Barge BQS Report'!N187</f>
        <v/>
      </c>
      <c r="F191" s="1312" t="str">
        <f>'Barge BQS Report'!F187</f>
        <v/>
      </c>
      <c r="G191" s="1313" t="str">
        <f>'Barge BQS Report'!E187</f>
        <v/>
      </c>
      <c r="H191" s="1312" t="str">
        <f>'Barge BQS Report'!G187</f>
        <v/>
      </c>
      <c r="I191" s="1159" t="str">
        <f>'Barge BQS Report'!H187</f>
        <v/>
      </c>
      <c r="J191" s="1062" t="str">
        <f>'Barge BQS Report'!I187</f>
        <v/>
      </c>
      <c r="K191" s="1314" t="str">
        <f>'Barge BQS Report'!J187</f>
        <v/>
      </c>
      <c r="L191" s="1315" t="str">
        <f>'Barge BQS Report'!L187</f>
        <v/>
      </c>
      <c r="M191" s="1315" t="str">
        <f>'Barge BQS Report'!O187</f>
        <v/>
      </c>
      <c r="N191" s="1316" t="str">
        <f>'Barge BQS Report'!M187</f>
        <v/>
      </c>
      <c r="O191" s="1316" t="str">
        <f>'Barge BQS Report'!P187</f>
        <v/>
      </c>
      <c r="P191" s="1315" t="str">
        <f>'Barge BQS Report'!Q187</f>
        <v/>
      </c>
      <c r="Q191" s="1044"/>
      <c r="R191" s="1044"/>
      <c r="S191" s="1044"/>
    </row>
    <row r="192" spans="1:19" hidden="1">
      <c r="A192" s="881" t="str">
        <f>'Barge BQS Report'!A188</f>
        <v>N</v>
      </c>
      <c r="C192" s="1309" t="str">
        <f>'Barge BQS Report'!C188</f>
        <v/>
      </c>
      <c r="D192" s="1310" t="str">
        <f>'Barge BQS Report'!D188</f>
        <v/>
      </c>
      <c r="E192" s="1311" t="str">
        <f>'Barge BQS Report'!N188</f>
        <v/>
      </c>
      <c r="F192" s="1312" t="str">
        <f>'Barge BQS Report'!F188</f>
        <v/>
      </c>
      <c r="G192" s="1313" t="str">
        <f>'Barge BQS Report'!E188</f>
        <v/>
      </c>
      <c r="H192" s="1312" t="str">
        <f>'Barge BQS Report'!G188</f>
        <v/>
      </c>
      <c r="I192" s="1159" t="str">
        <f>'Barge BQS Report'!H188</f>
        <v/>
      </c>
      <c r="J192" s="1062" t="str">
        <f>'Barge BQS Report'!I188</f>
        <v/>
      </c>
      <c r="K192" s="1314" t="str">
        <f>'Barge BQS Report'!J188</f>
        <v/>
      </c>
      <c r="L192" s="1315" t="str">
        <f>'Barge BQS Report'!L188</f>
        <v/>
      </c>
      <c r="M192" s="1315" t="str">
        <f>'Barge BQS Report'!O188</f>
        <v/>
      </c>
      <c r="N192" s="1316" t="str">
        <f>'Barge BQS Report'!M188</f>
        <v/>
      </c>
      <c r="O192" s="1316" t="str">
        <f>'Barge BQS Report'!P188</f>
        <v/>
      </c>
      <c r="P192" s="1315" t="str">
        <f>'Barge BQS Report'!Q188</f>
        <v/>
      </c>
      <c r="Q192" s="1044"/>
      <c r="R192" s="1044"/>
      <c r="S192" s="1044"/>
    </row>
    <row r="193" spans="1:19" hidden="1">
      <c r="A193" s="881" t="str">
        <f>'Barge BQS Report'!A189</f>
        <v>N</v>
      </c>
      <c r="C193" s="1317" t="str">
        <f>'Barge BQS Report'!C189</f>
        <v/>
      </c>
      <c r="D193" s="1318" t="str">
        <f>'Barge BQS Report'!D189</f>
        <v/>
      </c>
      <c r="E193" s="1319" t="str">
        <f>'Barge BQS Report'!N189</f>
        <v/>
      </c>
      <c r="F193" s="1162" t="str">
        <f>'Barge BQS Report'!F189</f>
        <v/>
      </c>
      <c r="G193" s="1320" t="str">
        <f>'Barge BQS Report'!E189</f>
        <v/>
      </c>
      <c r="H193" s="1162" t="str">
        <f>'Barge BQS Report'!G189</f>
        <v/>
      </c>
      <c r="I193" s="1160" t="str">
        <f>'Barge BQS Report'!H189</f>
        <v/>
      </c>
      <c r="J193" s="1062" t="str">
        <f>'Barge BQS Report'!I189</f>
        <v/>
      </c>
      <c r="K193" s="1321" t="str">
        <f>'Barge BQS Report'!J189</f>
        <v/>
      </c>
      <c r="L193" s="1322" t="str">
        <f>'Barge BQS Report'!L189</f>
        <v/>
      </c>
      <c r="M193" s="1322" t="str">
        <f>'Barge BQS Report'!O189</f>
        <v/>
      </c>
      <c r="N193" s="1323" t="str">
        <f>'Barge BQS Report'!M189</f>
        <v/>
      </c>
      <c r="O193" s="1323" t="str">
        <f>'Barge BQS Report'!P189</f>
        <v/>
      </c>
      <c r="P193" s="1322" t="str">
        <f>'Barge BQS Report'!Q189</f>
        <v/>
      </c>
      <c r="Q193" s="1044"/>
      <c r="R193" s="1044"/>
      <c r="S193" s="1044"/>
    </row>
    <row r="194" spans="1:19">
      <c r="A194" s="881" t="s">
        <v>284</v>
      </c>
      <c r="C194" s="1637"/>
      <c r="D194" s="1637"/>
      <c r="E194" s="1638"/>
      <c r="F194" s="1638"/>
      <c r="G194" s="1638"/>
      <c r="H194" s="1638"/>
      <c r="I194" s="1637"/>
      <c r="J194" s="1637"/>
      <c r="K194" s="1637"/>
      <c r="L194" s="1639"/>
      <c r="M194" s="2973" t="s">
        <v>916</v>
      </c>
      <c r="N194" s="2973"/>
      <c r="O194" s="2974">
        <f>SUM(P164:P193)</f>
        <v>0</v>
      </c>
      <c r="P194" s="2975"/>
      <c r="Q194" s="1600"/>
      <c r="R194" s="1044"/>
      <c r="S194" s="1044"/>
    </row>
    <row r="195" spans="1:19" s="1046" customFormat="1" ht="5.25" hidden="1">
      <c r="A195" s="1046" t="s">
        <v>270</v>
      </c>
      <c r="C195" s="1045"/>
      <c r="D195" s="1045"/>
      <c r="E195" s="1045"/>
      <c r="F195" s="1045"/>
      <c r="G195" s="1045"/>
      <c r="H195" s="1045"/>
      <c r="I195" s="1045"/>
      <c r="J195" s="1045"/>
      <c r="K195" s="1045"/>
      <c r="L195" s="1045"/>
      <c r="M195" s="1045"/>
      <c r="N195" s="1045"/>
      <c r="O195" s="1045"/>
      <c r="P195" s="1045"/>
      <c r="Q195" s="1045"/>
      <c r="R195" s="1045"/>
      <c r="S195" s="1045"/>
    </row>
    <row r="196" spans="1:19" ht="15">
      <c r="A196" s="881" t="s">
        <v>284</v>
      </c>
      <c r="C196" s="1604" t="s">
        <v>802</v>
      </c>
      <c r="D196" s="1640"/>
      <c r="E196" s="1640"/>
      <c r="F196" s="1641"/>
      <c r="G196" s="1641"/>
      <c r="H196" s="1641"/>
      <c r="I196" s="1641"/>
      <c r="J196" s="1641"/>
      <c r="K196" s="1641"/>
      <c r="L196" s="1641"/>
      <c r="M196" s="1641"/>
      <c r="N196" s="1641"/>
      <c r="O196" s="1641"/>
      <c r="P196" s="1641"/>
      <c r="Q196" s="1600"/>
      <c r="R196" s="1044"/>
      <c r="S196" s="1044"/>
    </row>
    <row r="197" spans="1:19">
      <c r="A197" s="881" t="s">
        <v>284</v>
      </c>
      <c r="C197" s="3093" t="s">
        <v>1234</v>
      </c>
      <c r="D197" s="3094"/>
      <c r="E197" s="3000">
        <f>'Barge Gauging Data'!O18</f>
        <v>1</v>
      </c>
      <c r="F197" s="3001"/>
      <c r="G197" s="3001"/>
      <c r="H197" s="1642" t="s">
        <v>793</v>
      </c>
      <c r="I197" s="3002">
        <f>'Barge Gauging Data'!O20</f>
        <v>1</v>
      </c>
      <c r="J197" s="3003"/>
      <c r="K197" s="3003"/>
      <c r="L197" s="3095" t="s">
        <v>794</v>
      </c>
      <c r="M197" s="3096"/>
      <c r="N197" s="1607" t="s">
        <v>772</v>
      </c>
      <c r="O197" s="3097" t="s">
        <v>795</v>
      </c>
      <c r="P197" s="2983" t="s">
        <v>796</v>
      </c>
      <c r="Q197" s="1600"/>
      <c r="R197" s="1044"/>
      <c r="S197" s="1044"/>
    </row>
    <row r="198" spans="1:19">
      <c r="A198" s="881" t="s">
        <v>284</v>
      </c>
      <c r="C198" s="3098" t="s">
        <v>1235</v>
      </c>
      <c r="D198" s="3099"/>
      <c r="E198" s="3006">
        <f>'Barge Gauging Data'!O19</f>
        <v>2</v>
      </c>
      <c r="F198" s="3007"/>
      <c r="G198" s="3007"/>
      <c r="H198" s="1643" t="s">
        <v>798</v>
      </c>
      <c r="I198" s="3008">
        <f>'Barge Gauging Data'!O21</f>
        <v>0</v>
      </c>
      <c r="J198" s="3009"/>
      <c r="K198" s="3009"/>
      <c r="L198" s="3100" t="s">
        <v>799</v>
      </c>
      <c r="M198" s="3101"/>
      <c r="N198" s="1609" t="s">
        <v>621</v>
      </c>
      <c r="O198" s="3097"/>
      <c r="P198" s="2983"/>
      <c r="Q198" s="1600"/>
      <c r="R198" s="1044"/>
      <c r="S198" s="1044"/>
    </row>
    <row r="199" spans="1:19" ht="24.95" customHeight="1">
      <c r="A199" s="881" t="s">
        <v>284</v>
      </c>
      <c r="C199" s="2994" t="s">
        <v>800</v>
      </c>
      <c r="D199" s="2978" t="s">
        <v>764</v>
      </c>
      <c r="E199" s="2969" t="s">
        <v>36</v>
      </c>
      <c r="F199" s="2994" t="str">
        <f>F20</f>
        <v>Actual Height as Measured</v>
      </c>
      <c r="G199" s="2978" t="str">
        <f>G20</f>
        <v>Reference Height from Table</v>
      </c>
      <c r="H199" s="2990" t="str">
        <f>H20</f>
        <v>Observed Ullage Sounding Gauge</v>
      </c>
      <c r="I199" s="2992" t="str">
        <f>I20</f>
        <v>Corrected Ullage Sounding Gauge</v>
      </c>
      <c r="J199" s="2980" t="str">
        <f>J20</f>
        <v>U-S-G-E</v>
      </c>
      <c r="K199" s="2969" t="s">
        <v>913</v>
      </c>
      <c r="L199" s="2969" t="s">
        <v>912</v>
      </c>
      <c r="M199" s="2969" t="s">
        <v>914</v>
      </c>
      <c r="N199" s="2969" t="str">
        <f>N20</f>
        <v>Density
 @ 15°C</v>
      </c>
      <c r="O199" s="2969" t="s">
        <v>168</v>
      </c>
      <c r="P199" s="2969" t="str">
        <f>P20</f>
        <v>G.S.V.
 @ 15° C</v>
      </c>
      <c r="Q199" s="1600"/>
      <c r="R199" s="1044"/>
      <c r="S199" s="1044"/>
    </row>
    <row r="200" spans="1:19" ht="24.95" customHeight="1">
      <c r="A200" s="881" t="s">
        <v>284</v>
      </c>
      <c r="C200" s="2995"/>
      <c r="D200" s="2979"/>
      <c r="E200" s="2970"/>
      <c r="F200" s="2995"/>
      <c r="G200" s="2979"/>
      <c r="H200" s="2991"/>
      <c r="I200" s="2993"/>
      <c r="J200" s="2981"/>
      <c r="K200" s="2970"/>
      <c r="L200" s="2970"/>
      <c r="M200" s="2970"/>
      <c r="N200" s="2970"/>
      <c r="O200" s="2970"/>
      <c r="P200" s="2970"/>
      <c r="Q200" s="1600"/>
      <c r="R200" s="1044"/>
      <c r="S200" s="1044"/>
    </row>
    <row r="201" spans="1:19" ht="24">
      <c r="A201" s="881" t="s">
        <v>284</v>
      </c>
      <c r="C201" s="2996"/>
      <c r="D201" s="2997"/>
      <c r="E201" s="1610" t="str">
        <f>E22</f>
        <v>° C</v>
      </c>
      <c r="F201" s="1611" t="str">
        <f>F22</f>
        <v>m</v>
      </c>
      <c r="G201" s="1612" t="str">
        <f>G22</f>
        <v>m</v>
      </c>
      <c r="H201" s="1613" t="str">
        <f>H22</f>
        <v>m</v>
      </c>
      <c r="I201" s="1614" t="str">
        <f>I22</f>
        <v>m</v>
      </c>
      <c r="J201" s="2982"/>
      <c r="K201" s="1610" t="str">
        <f t="shared" ref="K201:P201" si="0">K22</f>
        <v>m3</v>
      </c>
      <c r="L201" s="1610" t="str">
        <f t="shared" si="0"/>
        <v>m3</v>
      </c>
      <c r="M201" s="1610" t="str">
        <f t="shared" si="0"/>
        <v>m3</v>
      </c>
      <c r="N201" s="1610" t="str">
        <f t="shared" si="0"/>
        <v>kg/L</v>
      </c>
      <c r="O201" s="1610" t="str">
        <f t="shared" si="0"/>
        <v>Table 54B</v>
      </c>
      <c r="P201" s="1610" t="str">
        <f t="shared" si="0"/>
        <v>m3</v>
      </c>
      <c r="Q201" s="1600"/>
      <c r="R201" s="1044"/>
      <c r="S201" s="1044"/>
    </row>
    <row r="202" spans="1:19" s="1046" customFormat="1" ht="5.25" hidden="1">
      <c r="A202" s="1046" t="s">
        <v>270</v>
      </c>
      <c r="C202" s="1049"/>
      <c r="D202" s="1049"/>
      <c r="E202" s="1049"/>
      <c r="F202" s="1050"/>
      <c r="G202" s="1050"/>
      <c r="H202" s="1049"/>
      <c r="I202" s="1049"/>
      <c r="J202" s="1049"/>
      <c r="K202" s="1049"/>
      <c r="L202" s="1049"/>
      <c r="M202" s="1049"/>
      <c r="N202" s="1049"/>
      <c r="O202" s="1049"/>
      <c r="P202" s="1049"/>
      <c r="Q202" s="1045"/>
      <c r="R202" s="1045"/>
      <c r="S202" s="1045"/>
    </row>
    <row r="203" spans="1:19" hidden="1">
      <c r="A203" s="881" t="s">
        <v>270</v>
      </c>
      <c r="B203" s="881">
        <v>1</v>
      </c>
      <c r="C203" s="2959" t="str">
        <f>'Barge BQS Report'!C198</f>
        <v>NOMINATED TANKS</v>
      </c>
      <c r="D203" s="2960">
        <f>'Vessel BQS Report'!D198</f>
        <v>0</v>
      </c>
      <c r="E203" s="2960">
        <f>'Vessel BQS Report'!N198</f>
        <v>0</v>
      </c>
      <c r="F203" s="2961">
        <f>'Vessel BQS Report'!F198</f>
        <v>0</v>
      </c>
      <c r="G203" s="2962" t="str">
        <f>'Barge BQS Report'!E198</f>
        <v>HSFO</v>
      </c>
      <c r="H203" s="2963">
        <f>'Vessel BQS Report'!G198</f>
        <v>0</v>
      </c>
      <c r="I203" s="1051"/>
      <c r="J203" s="1052"/>
      <c r="K203" s="1053"/>
      <c r="L203" s="1054"/>
      <c r="M203" s="1054"/>
      <c r="N203" s="1055"/>
      <c r="O203" s="1056"/>
      <c r="P203" s="1054"/>
      <c r="Q203" s="1044"/>
      <c r="R203" s="1044"/>
      <c r="S203" s="1044"/>
    </row>
    <row r="204" spans="1:19" hidden="1">
      <c r="A204" s="881" t="str">
        <f>'Barge BQS Report'!A199</f>
        <v>N</v>
      </c>
      <c r="C204" s="1057" t="str">
        <f>'Barge BQS Report'!C199</f>
        <v/>
      </c>
      <c r="D204" s="1058" t="str">
        <f>'Barge BQS Report'!D199</f>
        <v/>
      </c>
      <c r="E204" s="1059" t="str">
        <f>'Barge BQS Report'!N199</f>
        <v/>
      </c>
      <c r="F204" s="1060" t="str">
        <f>'Barge BQS Report'!F199</f>
        <v/>
      </c>
      <c r="G204" s="1061" t="str">
        <f>'Barge BQS Report'!E199</f>
        <v/>
      </c>
      <c r="H204" s="1060" t="str">
        <f>'Barge BQS Report'!G199</f>
        <v/>
      </c>
      <c r="I204" s="1159" t="str">
        <f>'Barge BQS Report'!H199</f>
        <v/>
      </c>
      <c r="J204" s="1062" t="str">
        <f>'Barge BQS Report'!I199</f>
        <v/>
      </c>
      <c r="K204" s="1063" t="str">
        <f>'Barge BQS Report'!J199</f>
        <v/>
      </c>
      <c r="L204" s="1064" t="str">
        <f>'Barge BQS Report'!L199</f>
        <v/>
      </c>
      <c r="M204" s="1064" t="str">
        <f>'Barge BQS Report'!O199</f>
        <v/>
      </c>
      <c r="N204" s="1065" t="str">
        <f>'Barge BQS Report'!M199</f>
        <v/>
      </c>
      <c r="O204" s="1065" t="str">
        <f>'Barge BQS Report'!P199</f>
        <v/>
      </c>
      <c r="P204" s="1064" t="str">
        <f>'Barge BQS Report'!Q199</f>
        <v/>
      </c>
      <c r="Q204" s="1044"/>
      <c r="R204" s="1044"/>
      <c r="S204" s="1044"/>
    </row>
    <row r="205" spans="1:19" hidden="1">
      <c r="A205" s="881" t="str">
        <f>'Barge BQS Report'!A200</f>
        <v>N</v>
      </c>
      <c r="C205" s="1057" t="str">
        <f>'Barge BQS Report'!C200</f>
        <v/>
      </c>
      <c r="D205" s="1058" t="str">
        <f>'Barge BQS Report'!D200</f>
        <v/>
      </c>
      <c r="E205" s="1059" t="str">
        <f>'Barge BQS Report'!N200</f>
        <v/>
      </c>
      <c r="F205" s="1060" t="str">
        <f>'Barge BQS Report'!F200</f>
        <v/>
      </c>
      <c r="G205" s="1061" t="str">
        <f>'Barge BQS Report'!E200</f>
        <v/>
      </c>
      <c r="H205" s="1060" t="str">
        <f>'Barge BQS Report'!G200</f>
        <v/>
      </c>
      <c r="I205" s="1159" t="str">
        <f>'Barge BQS Report'!H200</f>
        <v/>
      </c>
      <c r="J205" s="1062" t="str">
        <f>'Barge BQS Report'!I200</f>
        <v/>
      </c>
      <c r="K205" s="1063" t="str">
        <f>'Barge BQS Report'!J200</f>
        <v/>
      </c>
      <c r="L205" s="1064" t="str">
        <f>'Barge BQS Report'!L200</f>
        <v/>
      </c>
      <c r="M205" s="1064" t="str">
        <f>'Barge BQS Report'!O200</f>
        <v/>
      </c>
      <c r="N205" s="1065" t="str">
        <f>'Barge BQS Report'!M200</f>
        <v/>
      </c>
      <c r="O205" s="1065" t="str">
        <f>'Barge BQS Report'!P200</f>
        <v/>
      </c>
      <c r="P205" s="1064" t="str">
        <f>'Barge BQS Report'!Q200</f>
        <v/>
      </c>
      <c r="Q205" s="1044"/>
      <c r="R205" s="1044"/>
      <c r="S205" s="1044"/>
    </row>
    <row r="206" spans="1:19" hidden="1">
      <c r="A206" s="881" t="str">
        <f>'Barge BQS Report'!A201</f>
        <v>N</v>
      </c>
      <c r="C206" s="1057" t="str">
        <f>'Barge BQS Report'!C201</f>
        <v/>
      </c>
      <c r="D206" s="1058" t="str">
        <f>'Barge BQS Report'!D201</f>
        <v/>
      </c>
      <c r="E206" s="1059" t="str">
        <f>'Barge BQS Report'!N201</f>
        <v/>
      </c>
      <c r="F206" s="1060" t="str">
        <f>'Barge BQS Report'!F201</f>
        <v/>
      </c>
      <c r="G206" s="1061" t="str">
        <f>'Barge BQS Report'!E201</f>
        <v/>
      </c>
      <c r="H206" s="1060" t="str">
        <f>'Barge BQS Report'!G201</f>
        <v/>
      </c>
      <c r="I206" s="1159" t="str">
        <f>'Barge BQS Report'!H201</f>
        <v/>
      </c>
      <c r="J206" s="1062" t="str">
        <f>'Barge BQS Report'!I201</f>
        <v/>
      </c>
      <c r="K206" s="1063" t="str">
        <f>'Barge BQS Report'!J201</f>
        <v/>
      </c>
      <c r="L206" s="1064" t="str">
        <f>'Barge BQS Report'!L201</f>
        <v/>
      </c>
      <c r="M206" s="1064" t="str">
        <f>'Barge BQS Report'!O201</f>
        <v/>
      </c>
      <c r="N206" s="1065" t="str">
        <f>'Barge BQS Report'!M201</f>
        <v/>
      </c>
      <c r="O206" s="1065" t="str">
        <f>'Barge BQS Report'!P201</f>
        <v/>
      </c>
      <c r="P206" s="1064" t="str">
        <f>'Barge BQS Report'!Q201</f>
        <v/>
      </c>
      <c r="Q206" s="1044"/>
      <c r="R206" s="1044"/>
      <c r="S206" s="1044"/>
    </row>
    <row r="207" spans="1:19" hidden="1">
      <c r="A207" s="881" t="str">
        <f>'Barge BQS Report'!A202</f>
        <v>N</v>
      </c>
      <c r="C207" s="1057" t="str">
        <f>'Barge BQS Report'!C202</f>
        <v/>
      </c>
      <c r="D207" s="1058" t="str">
        <f>'Barge BQS Report'!D202</f>
        <v/>
      </c>
      <c r="E207" s="1059" t="str">
        <f>'Barge BQS Report'!N202</f>
        <v/>
      </c>
      <c r="F207" s="1060" t="str">
        <f>'Barge BQS Report'!F202</f>
        <v/>
      </c>
      <c r="G207" s="1061" t="str">
        <f>'Barge BQS Report'!E202</f>
        <v/>
      </c>
      <c r="H207" s="1060" t="str">
        <f>'Barge BQS Report'!G202</f>
        <v/>
      </c>
      <c r="I207" s="1159" t="str">
        <f>'Barge BQS Report'!H202</f>
        <v/>
      </c>
      <c r="J207" s="1062" t="str">
        <f>'Barge BQS Report'!I202</f>
        <v/>
      </c>
      <c r="K207" s="1063" t="str">
        <f>'Barge BQS Report'!J202</f>
        <v/>
      </c>
      <c r="L207" s="1064" t="str">
        <f>'Barge BQS Report'!L202</f>
        <v/>
      </c>
      <c r="M207" s="1064" t="str">
        <f>'Barge BQS Report'!O202</f>
        <v/>
      </c>
      <c r="N207" s="1065" t="str">
        <f>'Barge BQS Report'!M202</f>
        <v/>
      </c>
      <c r="O207" s="1065" t="str">
        <f>'Barge BQS Report'!P202</f>
        <v/>
      </c>
      <c r="P207" s="1064" t="str">
        <f>'Barge BQS Report'!Q202</f>
        <v/>
      </c>
      <c r="Q207" s="1044"/>
      <c r="R207" s="1044"/>
      <c r="S207" s="1044"/>
    </row>
    <row r="208" spans="1:19" hidden="1">
      <c r="A208" s="881" t="str">
        <f>'Barge BQS Report'!A203</f>
        <v>N</v>
      </c>
      <c r="C208" s="1057" t="str">
        <f>'Barge BQS Report'!C203</f>
        <v/>
      </c>
      <c r="D208" s="1058" t="str">
        <f>'Barge BQS Report'!D203</f>
        <v/>
      </c>
      <c r="E208" s="1059" t="str">
        <f>'Barge BQS Report'!N203</f>
        <v/>
      </c>
      <c r="F208" s="1060" t="str">
        <f>'Barge BQS Report'!F203</f>
        <v/>
      </c>
      <c r="G208" s="1061" t="str">
        <f>'Barge BQS Report'!E203</f>
        <v/>
      </c>
      <c r="H208" s="1060" t="str">
        <f>'Barge BQS Report'!G203</f>
        <v/>
      </c>
      <c r="I208" s="1159" t="str">
        <f>'Barge BQS Report'!H203</f>
        <v/>
      </c>
      <c r="J208" s="1062" t="str">
        <f>'Barge BQS Report'!I203</f>
        <v/>
      </c>
      <c r="K208" s="1063" t="str">
        <f>'Barge BQS Report'!J203</f>
        <v/>
      </c>
      <c r="L208" s="1064" t="str">
        <f>'Barge BQS Report'!L203</f>
        <v/>
      </c>
      <c r="M208" s="1064" t="str">
        <f>'Barge BQS Report'!O203</f>
        <v/>
      </c>
      <c r="N208" s="1065" t="str">
        <f>'Barge BQS Report'!M203</f>
        <v/>
      </c>
      <c r="O208" s="1065" t="str">
        <f>'Barge BQS Report'!P203</f>
        <v/>
      </c>
      <c r="P208" s="1064" t="str">
        <f>'Barge BQS Report'!Q203</f>
        <v/>
      </c>
      <c r="Q208" s="1044"/>
      <c r="R208" s="1044"/>
      <c r="S208" s="1044"/>
    </row>
    <row r="209" spans="1:19" hidden="1">
      <c r="A209" s="881" t="str">
        <f>'Barge BQS Report'!A204</f>
        <v>N</v>
      </c>
      <c r="C209" s="1057" t="str">
        <f>'Barge BQS Report'!C204</f>
        <v/>
      </c>
      <c r="D209" s="1058" t="str">
        <f>'Barge BQS Report'!D204</f>
        <v/>
      </c>
      <c r="E209" s="1059" t="str">
        <f>'Barge BQS Report'!N204</f>
        <v/>
      </c>
      <c r="F209" s="1060" t="str">
        <f>'Barge BQS Report'!F204</f>
        <v/>
      </c>
      <c r="G209" s="1061" t="str">
        <f>'Barge BQS Report'!E204</f>
        <v/>
      </c>
      <c r="H209" s="1060" t="str">
        <f>'Barge BQS Report'!G204</f>
        <v/>
      </c>
      <c r="I209" s="1159" t="str">
        <f>'Barge BQS Report'!H204</f>
        <v/>
      </c>
      <c r="J209" s="1062" t="str">
        <f>'Barge BQS Report'!I204</f>
        <v/>
      </c>
      <c r="K209" s="1063" t="str">
        <f>'Barge BQS Report'!J204</f>
        <v/>
      </c>
      <c r="L209" s="1064" t="str">
        <f>'Barge BQS Report'!L204</f>
        <v/>
      </c>
      <c r="M209" s="1064" t="str">
        <f>'Barge BQS Report'!O204</f>
        <v/>
      </c>
      <c r="N209" s="1065" t="str">
        <f>'Barge BQS Report'!M204</f>
        <v/>
      </c>
      <c r="O209" s="1065" t="str">
        <f>'Barge BQS Report'!P204</f>
        <v/>
      </c>
      <c r="P209" s="1064" t="str">
        <f>'Barge BQS Report'!Q204</f>
        <v/>
      </c>
      <c r="Q209" s="1044"/>
      <c r="R209" s="1044"/>
      <c r="S209" s="1044"/>
    </row>
    <row r="210" spans="1:19" hidden="1">
      <c r="A210" s="881" t="str">
        <f>'Barge BQS Report'!A205</f>
        <v>N</v>
      </c>
      <c r="C210" s="1057" t="str">
        <f>'Barge BQS Report'!C205</f>
        <v/>
      </c>
      <c r="D210" s="1058" t="str">
        <f>'Barge BQS Report'!D205</f>
        <v/>
      </c>
      <c r="E210" s="1059" t="str">
        <f>'Barge BQS Report'!N205</f>
        <v/>
      </c>
      <c r="F210" s="1060" t="str">
        <f>'Barge BQS Report'!F205</f>
        <v/>
      </c>
      <c r="G210" s="1061" t="str">
        <f>'Barge BQS Report'!E205</f>
        <v/>
      </c>
      <c r="H210" s="1060" t="str">
        <f>'Barge BQS Report'!G205</f>
        <v/>
      </c>
      <c r="I210" s="1159" t="str">
        <f>'Barge BQS Report'!H205</f>
        <v/>
      </c>
      <c r="J210" s="1062" t="str">
        <f>'Barge BQS Report'!I205</f>
        <v/>
      </c>
      <c r="K210" s="1063" t="str">
        <f>'Barge BQS Report'!J205</f>
        <v/>
      </c>
      <c r="L210" s="1064" t="str">
        <f>'Barge BQS Report'!L205</f>
        <v/>
      </c>
      <c r="M210" s="1064" t="str">
        <f>'Barge BQS Report'!O205</f>
        <v/>
      </c>
      <c r="N210" s="1065" t="str">
        <f>'Barge BQS Report'!M205</f>
        <v/>
      </c>
      <c r="O210" s="1065" t="str">
        <f>'Barge BQS Report'!P205</f>
        <v/>
      </c>
      <c r="P210" s="1064" t="str">
        <f>'Barge BQS Report'!Q205</f>
        <v/>
      </c>
      <c r="Q210" s="1044"/>
      <c r="R210" s="1044"/>
      <c r="S210" s="1044"/>
    </row>
    <row r="211" spans="1:19" hidden="1">
      <c r="A211" s="881" t="str">
        <f>'Barge BQS Report'!A206</f>
        <v>N</v>
      </c>
      <c r="C211" s="1057" t="str">
        <f>'Barge BQS Report'!C206</f>
        <v/>
      </c>
      <c r="D211" s="1058" t="str">
        <f>'Barge BQS Report'!D206</f>
        <v/>
      </c>
      <c r="E211" s="1059" t="str">
        <f>'Barge BQS Report'!N206</f>
        <v/>
      </c>
      <c r="F211" s="1060" t="str">
        <f>'Barge BQS Report'!F206</f>
        <v/>
      </c>
      <c r="G211" s="1061" t="str">
        <f>'Barge BQS Report'!E206</f>
        <v/>
      </c>
      <c r="H211" s="1060" t="str">
        <f>'Barge BQS Report'!G206</f>
        <v/>
      </c>
      <c r="I211" s="1159" t="str">
        <f>'Barge BQS Report'!H206</f>
        <v/>
      </c>
      <c r="J211" s="1062" t="str">
        <f>'Barge BQS Report'!I206</f>
        <v/>
      </c>
      <c r="K211" s="1063" t="str">
        <f>'Barge BQS Report'!J206</f>
        <v/>
      </c>
      <c r="L211" s="1064" t="str">
        <f>'Barge BQS Report'!L206</f>
        <v/>
      </c>
      <c r="M211" s="1064" t="str">
        <f>'Barge BQS Report'!O206</f>
        <v/>
      </c>
      <c r="N211" s="1065" t="str">
        <f>'Barge BQS Report'!M206</f>
        <v/>
      </c>
      <c r="O211" s="1065" t="str">
        <f>'Barge BQS Report'!P206</f>
        <v/>
      </c>
      <c r="P211" s="1064" t="str">
        <f>'Barge BQS Report'!Q206</f>
        <v/>
      </c>
      <c r="Q211" s="1044"/>
      <c r="R211" s="1044"/>
      <c r="S211" s="1044"/>
    </row>
    <row r="212" spans="1:19" hidden="1">
      <c r="A212" s="881" t="str">
        <f>'Barge BQS Report'!A207</f>
        <v>N</v>
      </c>
      <c r="C212" s="1057" t="str">
        <f>'Barge BQS Report'!C207</f>
        <v/>
      </c>
      <c r="D212" s="1058" t="str">
        <f>'Barge BQS Report'!D207</f>
        <v/>
      </c>
      <c r="E212" s="1059" t="str">
        <f>'Barge BQS Report'!N207</f>
        <v/>
      </c>
      <c r="F212" s="1060" t="str">
        <f>'Barge BQS Report'!F207</f>
        <v/>
      </c>
      <c r="G212" s="1061" t="str">
        <f>'Barge BQS Report'!E207</f>
        <v/>
      </c>
      <c r="H212" s="1060" t="str">
        <f>'Barge BQS Report'!G207</f>
        <v/>
      </c>
      <c r="I212" s="1159" t="str">
        <f>'Barge BQS Report'!H207</f>
        <v/>
      </c>
      <c r="J212" s="1062" t="str">
        <f>'Barge BQS Report'!I207</f>
        <v/>
      </c>
      <c r="K212" s="1063" t="str">
        <f>'Barge BQS Report'!J207</f>
        <v/>
      </c>
      <c r="L212" s="1064" t="str">
        <f>'Barge BQS Report'!L207</f>
        <v/>
      </c>
      <c r="M212" s="1064" t="str">
        <f>'Barge BQS Report'!O207</f>
        <v/>
      </c>
      <c r="N212" s="1065" t="str">
        <f>'Barge BQS Report'!M207</f>
        <v/>
      </c>
      <c r="O212" s="1065" t="str">
        <f>'Barge BQS Report'!P207</f>
        <v/>
      </c>
      <c r="P212" s="1064" t="str">
        <f>'Barge BQS Report'!Q207</f>
        <v/>
      </c>
      <c r="Q212" s="1044"/>
      <c r="R212" s="1044"/>
      <c r="S212" s="1044"/>
    </row>
    <row r="213" spans="1:19" hidden="1">
      <c r="A213" s="881" t="str">
        <f>'Barge BQS Report'!A208</f>
        <v>N</v>
      </c>
      <c r="C213" s="1057" t="str">
        <f>'Barge BQS Report'!C208</f>
        <v/>
      </c>
      <c r="D213" s="1058" t="str">
        <f>'Barge BQS Report'!D208</f>
        <v/>
      </c>
      <c r="E213" s="1059" t="str">
        <f>'Barge BQS Report'!N208</f>
        <v/>
      </c>
      <c r="F213" s="1060" t="str">
        <f>'Barge BQS Report'!F208</f>
        <v/>
      </c>
      <c r="G213" s="1061" t="str">
        <f>'Barge BQS Report'!E208</f>
        <v/>
      </c>
      <c r="H213" s="1060" t="str">
        <f>'Barge BQS Report'!G208</f>
        <v/>
      </c>
      <c r="I213" s="1159" t="str">
        <f>'Barge BQS Report'!H208</f>
        <v/>
      </c>
      <c r="J213" s="1062" t="str">
        <f>'Barge BQS Report'!I208</f>
        <v/>
      </c>
      <c r="K213" s="1063" t="str">
        <f>'Barge BQS Report'!J208</f>
        <v/>
      </c>
      <c r="L213" s="1064" t="str">
        <f>'Barge BQS Report'!L208</f>
        <v/>
      </c>
      <c r="M213" s="1064" t="str">
        <f>'Barge BQS Report'!O208</f>
        <v/>
      </c>
      <c r="N213" s="1065" t="str">
        <f>'Barge BQS Report'!M208</f>
        <v/>
      </c>
      <c r="O213" s="1065" t="str">
        <f>'Barge BQS Report'!P208</f>
        <v/>
      </c>
      <c r="P213" s="1064" t="str">
        <f>'Barge BQS Report'!Q208</f>
        <v/>
      </c>
      <c r="Q213" s="1044"/>
      <c r="R213" s="1044"/>
      <c r="S213" s="1044"/>
    </row>
    <row r="214" spans="1:19" hidden="1">
      <c r="A214" s="881" t="str">
        <f>'Barge BQS Report'!A209</f>
        <v>N</v>
      </c>
      <c r="C214" s="1057" t="str">
        <f>'Barge BQS Report'!C209</f>
        <v/>
      </c>
      <c r="D214" s="1058" t="str">
        <f>'Barge BQS Report'!D209</f>
        <v/>
      </c>
      <c r="E214" s="1059" t="str">
        <f>'Barge BQS Report'!N209</f>
        <v/>
      </c>
      <c r="F214" s="1060" t="str">
        <f>'Barge BQS Report'!F209</f>
        <v/>
      </c>
      <c r="G214" s="1061" t="str">
        <f>'Barge BQS Report'!E209</f>
        <v/>
      </c>
      <c r="H214" s="1060" t="str">
        <f>'Barge BQS Report'!G209</f>
        <v/>
      </c>
      <c r="I214" s="1159" t="str">
        <f>'Barge BQS Report'!H209</f>
        <v/>
      </c>
      <c r="J214" s="1062" t="str">
        <f>'Barge BQS Report'!I209</f>
        <v/>
      </c>
      <c r="K214" s="1063" t="str">
        <f>'Barge BQS Report'!J209</f>
        <v/>
      </c>
      <c r="L214" s="1064" t="str">
        <f>'Barge BQS Report'!L209</f>
        <v/>
      </c>
      <c r="M214" s="1064" t="str">
        <f>'Barge BQS Report'!O209</f>
        <v/>
      </c>
      <c r="N214" s="1065" t="str">
        <f>'Barge BQS Report'!M209</f>
        <v/>
      </c>
      <c r="O214" s="1065" t="str">
        <f>'Barge BQS Report'!P209</f>
        <v/>
      </c>
      <c r="P214" s="1064" t="str">
        <f>'Barge BQS Report'!Q209</f>
        <v/>
      </c>
      <c r="Q214" s="1044"/>
      <c r="R214" s="1044"/>
      <c r="S214" s="1044"/>
    </row>
    <row r="215" spans="1:19" hidden="1">
      <c r="A215" s="881" t="str">
        <f>'Barge BQS Report'!A210</f>
        <v>N</v>
      </c>
      <c r="C215" s="1057" t="str">
        <f>'Barge BQS Report'!C210</f>
        <v/>
      </c>
      <c r="D215" s="1058" t="str">
        <f>'Barge BQS Report'!D210</f>
        <v/>
      </c>
      <c r="E215" s="1059" t="str">
        <f>'Barge BQS Report'!N210</f>
        <v/>
      </c>
      <c r="F215" s="1060" t="str">
        <f>'Barge BQS Report'!F210</f>
        <v/>
      </c>
      <c r="G215" s="1061" t="str">
        <f>'Barge BQS Report'!E210</f>
        <v/>
      </c>
      <c r="H215" s="1060" t="str">
        <f>'Barge BQS Report'!G210</f>
        <v/>
      </c>
      <c r="I215" s="1159" t="str">
        <f>'Barge BQS Report'!H210</f>
        <v/>
      </c>
      <c r="J215" s="1062" t="str">
        <f>'Barge BQS Report'!I210</f>
        <v/>
      </c>
      <c r="K215" s="1063" t="str">
        <f>'Barge BQS Report'!J210</f>
        <v/>
      </c>
      <c r="L215" s="1064" t="str">
        <f>'Barge BQS Report'!L210</f>
        <v/>
      </c>
      <c r="M215" s="1064" t="str">
        <f>'Barge BQS Report'!O210</f>
        <v/>
      </c>
      <c r="N215" s="1065" t="str">
        <f>'Barge BQS Report'!M210</f>
        <v/>
      </c>
      <c r="O215" s="1065" t="str">
        <f>'Barge BQS Report'!P210</f>
        <v/>
      </c>
      <c r="P215" s="1064" t="str">
        <f>'Barge BQS Report'!Q210</f>
        <v/>
      </c>
      <c r="Q215" s="1044"/>
      <c r="R215" s="1044"/>
      <c r="S215" s="1044"/>
    </row>
    <row r="216" spans="1:19" hidden="1">
      <c r="A216" s="881" t="str">
        <f>'Barge BQS Report'!A211</f>
        <v>N</v>
      </c>
      <c r="C216" s="1057" t="str">
        <f>'Barge BQS Report'!C211</f>
        <v/>
      </c>
      <c r="D216" s="1058" t="str">
        <f>'Barge BQS Report'!D211</f>
        <v/>
      </c>
      <c r="E216" s="1059" t="str">
        <f>'Barge BQS Report'!N211</f>
        <v/>
      </c>
      <c r="F216" s="1060" t="str">
        <f>'Barge BQS Report'!F211</f>
        <v/>
      </c>
      <c r="G216" s="1061" t="str">
        <f>'Barge BQS Report'!E211</f>
        <v/>
      </c>
      <c r="H216" s="1060" t="str">
        <f>'Barge BQS Report'!G211</f>
        <v/>
      </c>
      <c r="I216" s="1159" t="str">
        <f>'Barge BQS Report'!H211</f>
        <v/>
      </c>
      <c r="J216" s="1062" t="str">
        <f>'Barge BQS Report'!I211</f>
        <v/>
      </c>
      <c r="K216" s="1063" t="str">
        <f>'Barge BQS Report'!J211</f>
        <v/>
      </c>
      <c r="L216" s="1064" t="str">
        <f>'Barge BQS Report'!L211</f>
        <v/>
      </c>
      <c r="M216" s="1064" t="str">
        <f>'Barge BQS Report'!O211</f>
        <v/>
      </c>
      <c r="N216" s="1065" t="str">
        <f>'Barge BQS Report'!M211</f>
        <v/>
      </c>
      <c r="O216" s="1065" t="str">
        <f>'Barge BQS Report'!P211</f>
        <v/>
      </c>
      <c r="P216" s="1064" t="str">
        <f>'Barge BQS Report'!Q211</f>
        <v/>
      </c>
      <c r="Q216" s="1044"/>
      <c r="R216" s="1044"/>
      <c r="S216" s="1044"/>
    </row>
    <row r="217" spans="1:19" hidden="1">
      <c r="A217" s="881" t="str">
        <f>'Barge BQS Report'!A212</f>
        <v>N</v>
      </c>
      <c r="C217" s="1057" t="str">
        <f>'Barge BQS Report'!C212</f>
        <v/>
      </c>
      <c r="D217" s="1058" t="str">
        <f>'Barge BQS Report'!D212</f>
        <v/>
      </c>
      <c r="E217" s="1059" t="str">
        <f>'Barge BQS Report'!N212</f>
        <v/>
      </c>
      <c r="F217" s="1060" t="str">
        <f>'Barge BQS Report'!F212</f>
        <v/>
      </c>
      <c r="G217" s="1061" t="str">
        <f>'Barge BQS Report'!E212</f>
        <v/>
      </c>
      <c r="H217" s="1060" t="str">
        <f>'Barge BQS Report'!G212</f>
        <v/>
      </c>
      <c r="I217" s="1159" t="str">
        <f>'Barge BQS Report'!H212</f>
        <v/>
      </c>
      <c r="J217" s="1062" t="str">
        <f>'Barge BQS Report'!I212</f>
        <v/>
      </c>
      <c r="K217" s="1063" t="str">
        <f>'Barge BQS Report'!J212</f>
        <v/>
      </c>
      <c r="L217" s="1064" t="str">
        <f>'Barge BQS Report'!L212</f>
        <v/>
      </c>
      <c r="M217" s="1064" t="str">
        <f>'Barge BQS Report'!O212</f>
        <v/>
      </c>
      <c r="N217" s="1065" t="str">
        <f>'Barge BQS Report'!M212</f>
        <v/>
      </c>
      <c r="O217" s="1065" t="str">
        <f>'Barge BQS Report'!P212</f>
        <v/>
      </c>
      <c r="P217" s="1064" t="str">
        <f>'Barge BQS Report'!Q212</f>
        <v/>
      </c>
      <c r="Q217" s="1044"/>
      <c r="R217" s="1044"/>
      <c r="S217" s="1044"/>
    </row>
    <row r="218" spans="1:19" hidden="1">
      <c r="A218" s="881" t="str">
        <f>'Barge BQS Report'!A213</f>
        <v>N</v>
      </c>
      <c r="C218" s="1057" t="str">
        <f>'Barge BQS Report'!C213</f>
        <v/>
      </c>
      <c r="D218" s="1058" t="str">
        <f>'Barge BQS Report'!D213</f>
        <v/>
      </c>
      <c r="E218" s="1059" t="str">
        <f>'Barge BQS Report'!N213</f>
        <v/>
      </c>
      <c r="F218" s="1060" t="str">
        <f>'Barge BQS Report'!F213</f>
        <v/>
      </c>
      <c r="G218" s="1061" t="str">
        <f>'Barge BQS Report'!E213</f>
        <v/>
      </c>
      <c r="H218" s="1060" t="str">
        <f>'Barge BQS Report'!G213</f>
        <v/>
      </c>
      <c r="I218" s="1159" t="str">
        <f>'Barge BQS Report'!H213</f>
        <v/>
      </c>
      <c r="J218" s="1062" t="str">
        <f>'Barge BQS Report'!I213</f>
        <v/>
      </c>
      <c r="K218" s="1063" t="str">
        <f>'Barge BQS Report'!J213</f>
        <v/>
      </c>
      <c r="L218" s="1064" t="str">
        <f>'Barge BQS Report'!L213</f>
        <v/>
      </c>
      <c r="M218" s="1064" t="str">
        <f>'Barge BQS Report'!O213</f>
        <v/>
      </c>
      <c r="N218" s="1065" t="str">
        <f>'Barge BQS Report'!M213</f>
        <v/>
      </c>
      <c r="O218" s="1065" t="str">
        <f>'Barge BQS Report'!P213</f>
        <v/>
      </c>
      <c r="P218" s="1064" t="str">
        <f>'Barge BQS Report'!Q213</f>
        <v/>
      </c>
      <c r="Q218" s="1044"/>
      <c r="R218" s="1044"/>
      <c r="S218" s="1044"/>
    </row>
    <row r="219" spans="1:19" hidden="1">
      <c r="A219" s="881" t="str">
        <f>'Barge BQS Report'!A214</f>
        <v>N</v>
      </c>
      <c r="C219" s="1057" t="str">
        <f>'Barge BQS Report'!C214</f>
        <v/>
      </c>
      <c r="D219" s="1058" t="str">
        <f>'Barge BQS Report'!D214</f>
        <v/>
      </c>
      <c r="E219" s="1059" t="str">
        <f>'Barge BQS Report'!N214</f>
        <v/>
      </c>
      <c r="F219" s="1060" t="str">
        <f>'Barge BQS Report'!F214</f>
        <v/>
      </c>
      <c r="G219" s="1061" t="str">
        <f>'Barge BQS Report'!E214</f>
        <v/>
      </c>
      <c r="H219" s="1060" t="str">
        <f>'Barge BQS Report'!G214</f>
        <v/>
      </c>
      <c r="I219" s="1159" t="str">
        <f>'Barge BQS Report'!H214</f>
        <v/>
      </c>
      <c r="J219" s="1062" t="str">
        <f>'Barge BQS Report'!I214</f>
        <v/>
      </c>
      <c r="K219" s="1063" t="str">
        <f>'Barge BQS Report'!J214</f>
        <v/>
      </c>
      <c r="L219" s="1064" t="str">
        <f>'Barge BQS Report'!L214</f>
        <v/>
      </c>
      <c r="M219" s="1064" t="str">
        <f>'Barge BQS Report'!O214</f>
        <v/>
      </c>
      <c r="N219" s="1065" t="str">
        <f>'Barge BQS Report'!M214</f>
        <v/>
      </c>
      <c r="O219" s="1065" t="str">
        <f>'Barge BQS Report'!P214</f>
        <v/>
      </c>
      <c r="P219" s="1064" t="str">
        <f>'Barge BQS Report'!Q214</f>
        <v/>
      </c>
      <c r="Q219" s="1044"/>
      <c r="R219" s="1044"/>
      <c r="S219" s="1044"/>
    </row>
    <row r="220" spans="1:19" hidden="1">
      <c r="A220" s="881" t="str">
        <f>'Barge BQS Report'!A215</f>
        <v>N</v>
      </c>
      <c r="C220" s="1057" t="str">
        <f>'Barge BQS Report'!C215</f>
        <v/>
      </c>
      <c r="D220" s="1058" t="str">
        <f>'Barge BQS Report'!D215</f>
        <v/>
      </c>
      <c r="E220" s="1059" t="str">
        <f>'Barge BQS Report'!N215</f>
        <v/>
      </c>
      <c r="F220" s="1060" t="str">
        <f>'Barge BQS Report'!F215</f>
        <v/>
      </c>
      <c r="G220" s="1061" t="str">
        <f>'Barge BQS Report'!E215</f>
        <v/>
      </c>
      <c r="H220" s="1060" t="str">
        <f>'Barge BQS Report'!G215</f>
        <v/>
      </c>
      <c r="I220" s="1159" t="str">
        <f>'Barge BQS Report'!H215</f>
        <v/>
      </c>
      <c r="J220" s="1062" t="str">
        <f>'Barge BQS Report'!I215</f>
        <v/>
      </c>
      <c r="K220" s="1063" t="str">
        <f>'Barge BQS Report'!J215</f>
        <v/>
      </c>
      <c r="L220" s="1064" t="str">
        <f>'Barge BQS Report'!L215</f>
        <v/>
      </c>
      <c r="M220" s="1064" t="str">
        <f>'Barge BQS Report'!O215</f>
        <v/>
      </c>
      <c r="N220" s="1065" t="str">
        <f>'Barge BQS Report'!M215</f>
        <v/>
      </c>
      <c r="O220" s="1065" t="str">
        <f>'Barge BQS Report'!P215</f>
        <v/>
      </c>
      <c r="P220" s="1064" t="str">
        <f>'Barge BQS Report'!Q215</f>
        <v/>
      </c>
      <c r="Q220" s="1044"/>
      <c r="R220" s="1044"/>
      <c r="S220" s="1044"/>
    </row>
    <row r="221" spans="1:19" hidden="1">
      <c r="A221" s="881" t="str">
        <f>'Barge BQS Report'!A216</f>
        <v>N</v>
      </c>
      <c r="C221" s="1057" t="str">
        <f>'Barge BQS Report'!C216</f>
        <v/>
      </c>
      <c r="D221" s="1058" t="str">
        <f>'Barge BQS Report'!D216</f>
        <v/>
      </c>
      <c r="E221" s="1059" t="str">
        <f>'Barge BQS Report'!N216</f>
        <v/>
      </c>
      <c r="F221" s="1060" t="str">
        <f>'Barge BQS Report'!F216</f>
        <v/>
      </c>
      <c r="G221" s="1061" t="str">
        <f>'Barge BQS Report'!E216</f>
        <v/>
      </c>
      <c r="H221" s="1060" t="str">
        <f>'Barge BQS Report'!G216</f>
        <v/>
      </c>
      <c r="I221" s="1159" t="str">
        <f>'Barge BQS Report'!H216</f>
        <v/>
      </c>
      <c r="J221" s="1062" t="str">
        <f>'Barge BQS Report'!I216</f>
        <v/>
      </c>
      <c r="K221" s="1063" t="str">
        <f>'Barge BQS Report'!J216</f>
        <v/>
      </c>
      <c r="L221" s="1064" t="str">
        <f>'Barge BQS Report'!L216</f>
        <v/>
      </c>
      <c r="M221" s="1064" t="str">
        <f>'Barge BQS Report'!O216</f>
        <v/>
      </c>
      <c r="N221" s="1065" t="str">
        <f>'Barge BQS Report'!M216</f>
        <v/>
      </c>
      <c r="O221" s="1065" t="str">
        <f>'Barge BQS Report'!P216</f>
        <v/>
      </c>
      <c r="P221" s="1064" t="str">
        <f>'Barge BQS Report'!Q216</f>
        <v/>
      </c>
      <c r="Q221" s="1044"/>
      <c r="R221" s="1044"/>
      <c r="S221" s="1044"/>
    </row>
    <row r="222" spans="1:19" hidden="1">
      <c r="A222" s="881" t="str">
        <f>'Barge BQS Report'!A217</f>
        <v>N</v>
      </c>
      <c r="C222" s="1057" t="str">
        <f>'Barge BQS Report'!C217</f>
        <v/>
      </c>
      <c r="D222" s="1058" t="str">
        <f>'Barge BQS Report'!D217</f>
        <v/>
      </c>
      <c r="E222" s="1059" t="str">
        <f>'Barge BQS Report'!N217</f>
        <v/>
      </c>
      <c r="F222" s="1060" t="str">
        <f>'Barge BQS Report'!F217</f>
        <v/>
      </c>
      <c r="G222" s="1061" t="str">
        <f>'Barge BQS Report'!E217</f>
        <v/>
      </c>
      <c r="H222" s="1060" t="str">
        <f>'Barge BQS Report'!G217</f>
        <v/>
      </c>
      <c r="I222" s="1159" t="str">
        <f>'Barge BQS Report'!H217</f>
        <v/>
      </c>
      <c r="J222" s="1062" t="str">
        <f>'Barge BQS Report'!I217</f>
        <v/>
      </c>
      <c r="K222" s="1063" t="str">
        <f>'Barge BQS Report'!J217</f>
        <v/>
      </c>
      <c r="L222" s="1064" t="str">
        <f>'Barge BQS Report'!L217</f>
        <v/>
      </c>
      <c r="M222" s="1064" t="str">
        <f>'Barge BQS Report'!O217</f>
        <v/>
      </c>
      <c r="N222" s="1065" t="str">
        <f>'Barge BQS Report'!M217</f>
        <v/>
      </c>
      <c r="O222" s="1065" t="str">
        <f>'Barge BQS Report'!P217</f>
        <v/>
      </c>
      <c r="P222" s="1064" t="str">
        <f>'Barge BQS Report'!Q217</f>
        <v/>
      </c>
      <c r="Q222" s="1044"/>
      <c r="R222" s="1044"/>
      <c r="S222" s="1044"/>
    </row>
    <row r="223" spans="1:19" hidden="1">
      <c r="A223" s="881" t="str">
        <f>'Barge BQS Report'!A218</f>
        <v>N</v>
      </c>
      <c r="C223" s="1066" t="str">
        <f>'Barge BQS Report'!C218</f>
        <v/>
      </c>
      <c r="D223" s="1067" t="str">
        <f>'Barge BQS Report'!D218</f>
        <v/>
      </c>
      <c r="E223" s="1068" t="str">
        <f>'Barge BQS Report'!N218</f>
        <v/>
      </c>
      <c r="F223" s="1069" t="str">
        <f>'Barge BQS Report'!F218</f>
        <v/>
      </c>
      <c r="G223" s="1070" t="str">
        <f>'Barge BQS Report'!E218</f>
        <v/>
      </c>
      <c r="H223" s="1069" t="str">
        <f>'Barge BQS Report'!G218</f>
        <v/>
      </c>
      <c r="I223" s="1160" t="str">
        <f>'Barge BQS Report'!H218</f>
        <v/>
      </c>
      <c r="J223" s="1071" t="str">
        <f>'Barge BQS Report'!I218</f>
        <v/>
      </c>
      <c r="K223" s="1072" t="str">
        <f>'Barge BQS Report'!J218</f>
        <v/>
      </c>
      <c r="L223" s="1073" t="str">
        <f>'Barge BQS Report'!L218</f>
        <v/>
      </c>
      <c r="M223" s="1073" t="str">
        <f>'Barge BQS Report'!O218</f>
        <v/>
      </c>
      <c r="N223" s="1074" t="str">
        <f>'Barge BQS Report'!M218</f>
        <v/>
      </c>
      <c r="O223" s="1074" t="str">
        <f>'Barge BQS Report'!P218</f>
        <v/>
      </c>
      <c r="P223" s="1073" t="str">
        <f>'Barge BQS Report'!Q218</f>
        <v/>
      </c>
      <c r="Q223" s="1044"/>
      <c r="R223" s="1044"/>
      <c r="S223" s="1044"/>
    </row>
    <row r="224" spans="1:19" hidden="1">
      <c r="A224" s="881" t="s">
        <v>270</v>
      </c>
      <c r="C224" s="1118"/>
      <c r="D224" s="1075"/>
      <c r="E224" s="1076"/>
      <c r="F224" s="1077"/>
      <c r="G224" s="1077"/>
      <c r="H224" s="1078"/>
      <c r="I224" s="1078"/>
      <c r="J224" s="1078"/>
      <c r="K224" s="1077"/>
      <c r="L224" s="1079"/>
      <c r="M224" s="2957" t="s">
        <v>801</v>
      </c>
      <c r="N224" s="2957"/>
      <c r="O224" s="3091">
        <f>SUM(P204:P223)</f>
        <v>0</v>
      </c>
      <c r="P224" s="3092"/>
      <c r="Q224" s="1044"/>
      <c r="R224" s="1044"/>
      <c r="S224" s="1044"/>
    </row>
    <row r="225" spans="1:19" s="1046" customFormat="1" ht="5.25" hidden="1">
      <c r="A225" s="1046" t="s">
        <v>270</v>
      </c>
      <c r="C225" s="1108"/>
      <c r="D225" s="1109"/>
      <c r="E225" s="1110"/>
      <c r="F225" s="1111"/>
      <c r="G225" s="1111"/>
      <c r="H225" s="1112"/>
      <c r="I225" s="1113"/>
      <c r="J225" s="1113"/>
      <c r="K225" s="1114"/>
      <c r="L225" s="1115"/>
      <c r="M225" s="1115"/>
      <c r="N225" s="1116"/>
      <c r="O225" s="1117"/>
      <c r="P225" s="1115"/>
      <c r="Q225" s="1045"/>
      <c r="R225" s="1045"/>
      <c r="S225" s="1045"/>
    </row>
    <row r="226" spans="1:19" hidden="1">
      <c r="A226" s="881" t="s">
        <v>270</v>
      </c>
      <c r="B226" s="881">
        <v>2</v>
      </c>
      <c r="C226" s="2959" t="str">
        <f>'Barge BQS Report'!C221</f>
        <v>NOMINATED TANKS</v>
      </c>
      <c r="D226" s="2960">
        <f>'Vessel BQS Report'!D221</f>
        <v>0</v>
      </c>
      <c r="E226" s="2960">
        <f>'Vessel BQS Report'!N221</f>
        <v>0</v>
      </c>
      <c r="F226" s="2961">
        <f>'Vessel BQS Report'!F221</f>
        <v>0</v>
      </c>
      <c r="G226" s="2962" t="str">
        <f>'Barge BQS Report'!E221</f>
        <v>LSFO</v>
      </c>
      <c r="H226" s="2963">
        <f>'Vessel BQS Report'!G221</f>
        <v>0</v>
      </c>
      <c r="I226" s="1051"/>
      <c r="J226" s="1052"/>
      <c r="K226" s="1053"/>
      <c r="L226" s="1054"/>
      <c r="M226" s="1054"/>
      <c r="N226" s="1055"/>
      <c r="O226" s="1056"/>
      <c r="P226" s="1054"/>
      <c r="Q226" s="1044"/>
      <c r="R226" s="1044"/>
      <c r="S226" s="1044"/>
    </row>
    <row r="227" spans="1:19" hidden="1">
      <c r="A227" s="881" t="str">
        <f>'Barge BQS Report'!A222</f>
        <v>N</v>
      </c>
      <c r="C227" s="1057" t="str">
        <f>'Barge BQS Report'!C222</f>
        <v>2P</v>
      </c>
      <c r="D227" s="1058" t="str">
        <f>'Barge BQS Report'!D222</f>
        <v>LSFO</v>
      </c>
      <c r="E227" s="1059">
        <f>'Barge BQS Report'!N222</f>
        <v>15</v>
      </c>
      <c r="F227" s="1060">
        <f>'Barge BQS Report'!F222</f>
        <v>4.8150000000000004</v>
      </c>
      <c r="G227" s="1061">
        <f>'Barge BQS Report'!E222</f>
        <v>4.8150000000000004</v>
      </c>
      <c r="H227" s="1060">
        <f>'Barge BQS Report'!G222</f>
        <v>0</v>
      </c>
      <c r="I227" s="1159">
        <f>'Barge BQS Report'!H222</f>
        <v>0</v>
      </c>
      <c r="J227" s="1062" t="str">
        <f>'Barge BQS Report'!I222</f>
        <v>S</v>
      </c>
      <c r="K227" s="1063">
        <f>'Barge BQS Report'!J222</f>
        <v>0</v>
      </c>
      <c r="L227" s="1064">
        <f>'Barge BQS Report'!L222</f>
        <v>0</v>
      </c>
      <c r="M227" s="1064">
        <f>'Barge BQS Report'!O222</f>
        <v>0</v>
      </c>
      <c r="N227" s="1065">
        <f>'Barge BQS Report'!M222</f>
        <v>0.92059999999999997</v>
      </c>
      <c r="O227" s="1065">
        <f>'Barge BQS Report'!P222</f>
        <v>1</v>
      </c>
      <c r="P227" s="1064">
        <f>'Barge BQS Report'!Q222</f>
        <v>0</v>
      </c>
      <c r="Q227" s="1044"/>
      <c r="R227" s="1044"/>
      <c r="S227" s="1044"/>
    </row>
    <row r="228" spans="1:19" hidden="1">
      <c r="A228" s="881" t="str">
        <f>'Barge BQS Report'!A223</f>
        <v>N</v>
      </c>
      <c r="C228" s="1057" t="str">
        <f>'Barge BQS Report'!C223</f>
        <v>5P</v>
      </c>
      <c r="D228" s="1058" t="str">
        <f>'Barge BQS Report'!D223</f>
        <v>LSFO</v>
      </c>
      <c r="E228" s="1059">
        <f>'Barge BQS Report'!N223</f>
        <v>15</v>
      </c>
      <c r="F228" s="1060">
        <f>'Barge BQS Report'!F223</f>
        <v>4.8150000000000004</v>
      </c>
      <c r="G228" s="1061">
        <f>'Barge BQS Report'!E223</f>
        <v>4.8150000000000004</v>
      </c>
      <c r="H228" s="1060">
        <f>'Barge BQS Report'!G223</f>
        <v>0</v>
      </c>
      <c r="I228" s="1159">
        <f>'Barge BQS Report'!H223</f>
        <v>0</v>
      </c>
      <c r="J228" s="1062" t="str">
        <f>'Barge BQS Report'!I223</f>
        <v>S</v>
      </c>
      <c r="K228" s="1063">
        <f>'Barge BQS Report'!J223</f>
        <v>0</v>
      </c>
      <c r="L228" s="1064">
        <f>'Barge BQS Report'!L223</f>
        <v>0</v>
      </c>
      <c r="M228" s="1064">
        <f>'Barge BQS Report'!O223</f>
        <v>0</v>
      </c>
      <c r="N228" s="1065">
        <f>'Barge BQS Report'!M223</f>
        <v>0.92059999999999997</v>
      </c>
      <c r="O228" s="1065">
        <f>'Barge BQS Report'!P223</f>
        <v>1</v>
      </c>
      <c r="P228" s="1064">
        <f>'Barge BQS Report'!Q223</f>
        <v>0</v>
      </c>
      <c r="Q228" s="1044"/>
      <c r="R228" s="1044"/>
      <c r="S228" s="1044"/>
    </row>
    <row r="229" spans="1:19" hidden="1">
      <c r="A229" s="881" t="str">
        <f>'Barge BQS Report'!A224</f>
        <v>N</v>
      </c>
      <c r="C229" s="1057" t="str">
        <f>'Barge BQS Report'!C224</f>
        <v>5S</v>
      </c>
      <c r="D229" s="1058" t="str">
        <f>'Barge BQS Report'!D224</f>
        <v>LSFO</v>
      </c>
      <c r="E229" s="1059">
        <f>'Barge BQS Report'!N224</f>
        <v>15</v>
      </c>
      <c r="F229" s="1060">
        <f>'Barge BQS Report'!F224</f>
        <v>4.84</v>
      </c>
      <c r="G229" s="1061">
        <f>'Barge BQS Report'!E224</f>
        <v>4.84</v>
      </c>
      <c r="H229" s="1060">
        <f>'Barge BQS Report'!G224</f>
        <v>0</v>
      </c>
      <c r="I229" s="1159">
        <f>'Barge BQS Report'!H224</f>
        <v>0</v>
      </c>
      <c r="J229" s="1062" t="str">
        <f>'Barge BQS Report'!I224</f>
        <v>S</v>
      </c>
      <c r="K229" s="1063">
        <f>'Barge BQS Report'!J224</f>
        <v>0</v>
      </c>
      <c r="L229" s="1064">
        <f>'Barge BQS Report'!L224</f>
        <v>0</v>
      </c>
      <c r="M229" s="1064">
        <f>'Barge BQS Report'!O224</f>
        <v>0</v>
      </c>
      <c r="N229" s="1065">
        <f>'Barge BQS Report'!M224</f>
        <v>0.92059999999999997</v>
      </c>
      <c r="O229" s="1065">
        <f>'Barge BQS Report'!P224</f>
        <v>1</v>
      </c>
      <c r="P229" s="1064">
        <f>'Barge BQS Report'!Q224</f>
        <v>0</v>
      </c>
      <c r="Q229" s="1044"/>
      <c r="R229" s="1044"/>
      <c r="S229" s="1044"/>
    </row>
    <row r="230" spans="1:19" hidden="1">
      <c r="A230" s="881" t="str">
        <f>'Barge BQS Report'!A225</f>
        <v>N</v>
      </c>
      <c r="C230" s="1057" t="str">
        <f>'Barge BQS Report'!C225</f>
        <v>6S</v>
      </c>
      <c r="D230" s="1058" t="str">
        <f>'Barge BQS Report'!D225</f>
        <v>LSFO</v>
      </c>
      <c r="E230" s="1059">
        <f>'Barge BQS Report'!N225</f>
        <v>15</v>
      </c>
      <c r="F230" s="1060">
        <f>'Barge BQS Report'!F225</f>
        <v>4.05</v>
      </c>
      <c r="G230" s="1061">
        <f>'Barge BQS Report'!E225</f>
        <v>4.05</v>
      </c>
      <c r="H230" s="1060">
        <f>'Barge BQS Report'!G225</f>
        <v>0</v>
      </c>
      <c r="I230" s="1159">
        <f>'Barge BQS Report'!H225</f>
        <v>0</v>
      </c>
      <c r="J230" s="1062" t="str">
        <f>'Barge BQS Report'!I225</f>
        <v>S</v>
      </c>
      <c r="K230" s="1063">
        <f>'Barge BQS Report'!J225</f>
        <v>0</v>
      </c>
      <c r="L230" s="1064">
        <f>'Barge BQS Report'!L225</f>
        <v>0</v>
      </c>
      <c r="M230" s="1064">
        <f>'Barge BQS Report'!O225</f>
        <v>0</v>
      </c>
      <c r="N230" s="1065">
        <f>'Barge BQS Report'!M225</f>
        <v>0.92059999999999997</v>
      </c>
      <c r="O230" s="1065">
        <f>'Barge BQS Report'!P225</f>
        <v>1</v>
      </c>
      <c r="P230" s="1064">
        <f>'Barge BQS Report'!Q225</f>
        <v>0</v>
      </c>
      <c r="Q230" s="1044"/>
      <c r="R230" s="1044"/>
      <c r="S230" s="1044"/>
    </row>
    <row r="231" spans="1:19" hidden="1">
      <c r="A231" s="881" t="str">
        <f>'Barge BQS Report'!A226</f>
        <v>N</v>
      </c>
      <c r="C231" s="1057" t="str">
        <f>'Barge BQS Report'!C226</f>
        <v/>
      </c>
      <c r="D231" s="1058" t="str">
        <f>'Barge BQS Report'!D226</f>
        <v/>
      </c>
      <c r="E231" s="1059" t="str">
        <f>'Barge BQS Report'!N226</f>
        <v/>
      </c>
      <c r="F231" s="1060" t="str">
        <f>'Barge BQS Report'!F226</f>
        <v/>
      </c>
      <c r="G231" s="1061" t="str">
        <f>'Barge BQS Report'!E226</f>
        <v/>
      </c>
      <c r="H231" s="1060" t="str">
        <f>'Barge BQS Report'!G226</f>
        <v/>
      </c>
      <c r="I231" s="1159" t="str">
        <f>'Barge BQS Report'!H226</f>
        <v/>
      </c>
      <c r="J231" s="1062" t="str">
        <f>'Barge BQS Report'!I226</f>
        <v/>
      </c>
      <c r="K231" s="1063" t="str">
        <f>'Barge BQS Report'!J226</f>
        <v/>
      </c>
      <c r="L231" s="1064" t="str">
        <f>'Barge BQS Report'!L226</f>
        <v/>
      </c>
      <c r="M231" s="1064" t="str">
        <f>'Barge BQS Report'!O226</f>
        <v/>
      </c>
      <c r="N231" s="1065" t="str">
        <f>'Barge BQS Report'!M226</f>
        <v/>
      </c>
      <c r="O231" s="1065" t="str">
        <f>'Barge BQS Report'!P226</f>
        <v/>
      </c>
      <c r="P231" s="1064" t="str">
        <f>'Barge BQS Report'!Q226</f>
        <v/>
      </c>
      <c r="Q231" s="1044"/>
      <c r="R231" s="1044"/>
      <c r="S231" s="1044"/>
    </row>
    <row r="232" spans="1:19" hidden="1">
      <c r="A232" s="881" t="str">
        <f>'Barge BQS Report'!A227</f>
        <v>N</v>
      </c>
      <c r="C232" s="1057" t="str">
        <f>'Barge BQS Report'!C227</f>
        <v/>
      </c>
      <c r="D232" s="1058" t="str">
        <f>'Barge BQS Report'!D227</f>
        <v/>
      </c>
      <c r="E232" s="1059" t="str">
        <f>'Barge BQS Report'!N227</f>
        <v/>
      </c>
      <c r="F232" s="1060" t="str">
        <f>'Barge BQS Report'!F227</f>
        <v/>
      </c>
      <c r="G232" s="1061" t="str">
        <f>'Barge BQS Report'!E227</f>
        <v/>
      </c>
      <c r="H232" s="1060" t="str">
        <f>'Barge BQS Report'!G227</f>
        <v/>
      </c>
      <c r="I232" s="1159" t="str">
        <f>'Barge BQS Report'!H227</f>
        <v/>
      </c>
      <c r="J232" s="1062" t="str">
        <f>'Barge BQS Report'!I227</f>
        <v/>
      </c>
      <c r="K232" s="1063" t="str">
        <f>'Barge BQS Report'!J227</f>
        <v/>
      </c>
      <c r="L232" s="1064" t="str">
        <f>'Barge BQS Report'!L227</f>
        <v/>
      </c>
      <c r="M232" s="1064" t="str">
        <f>'Barge BQS Report'!O227</f>
        <v/>
      </c>
      <c r="N232" s="1065" t="str">
        <f>'Barge BQS Report'!M227</f>
        <v/>
      </c>
      <c r="O232" s="1065" t="str">
        <f>'Barge BQS Report'!P227</f>
        <v/>
      </c>
      <c r="P232" s="1064" t="str">
        <f>'Barge BQS Report'!Q227</f>
        <v/>
      </c>
      <c r="Q232" s="1044"/>
      <c r="R232" s="1044"/>
      <c r="S232" s="1044"/>
    </row>
    <row r="233" spans="1:19" hidden="1">
      <c r="A233" s="881" t="str">
        <f>'Barge BQS Report'!A228</f>
        <v>N</v>
      </c>
      <c r="C233" s="1057" t="str">
        <f>'Barge BQS Report'!C228</f>
        <v/>
      </c>
      <c r="D233" s="1058" t="str">
        <f>'Barge BQS Report'!D228</f>
        <v/>
      </c>
      <c r="E233" s="1059" t="str">
        <f>'Barge BQS Report'!N228</f>
        <v/>
      </c>
      <c r="F233" s="1060" t="str">
        <f>'Barge BQS Report'!F228</f>
        <v/>
      </c>
      <c r="G233" s="1061" t="str">
        <f>'Barge BQS Report'!E228</f>
        <v/>
      </c>
      <c r="H233" s="1060" t="str">
        <f>'Barge BQS Report'!G228</f>
        <v/>
      </c>
      <c r="I233" s="1159" t="str">
        <f>'Barge BQS Report'!H228</f>
        <v/>
      </c>
      <c r="J233" s="1062" t="str">
        <f>'Barge BQS Report'!I228</f>
        <v/>
      </c>
      <c r="K233" s="1063" t="str">
        <f>'Barge BQS Report'!J228</f>
        <v/>
      </c>
      <c r="L233" s="1064" t="str">
        <f>'Barge BQS Report'!L228</f>
        <v/>
      </c>
      <c r="M233" s="1064" t="str">
        <f>'Barge BQS Report'!O228</f>
        <v/>
      </c>
      <c r="N233" s="1065" t="str">
        <f>'Barge BQS Report'!M228</f>
        <v/>
      </c>
      <c r="O233" s="1065" t="str">
        <f>'Barge BQS Report'!P228</f>
        <v/>
      </c>
      <c r="P233" s="1064" t="str">
        <f>'Barge BQS Report'!Q228</f>
        <v/>
      </c>
      <c r="Q233" s="1044"/>
      <c r="R233" s="1044"/>
      <c r="S233" s="1044"/>
    </row>
    <row r="234" spans="1:19" hidden="1">
      <c r="A234" s="881" t="str">
        <f>'Barge BQS Report'!A229</f>
        <v>N</v>
      </c>
      <c r="C234" s="1057" t="str">
        <f>'Barge BQS Report'!C229</f>
        <v/>
      </c>
      <c r="D234" s="1058" t="str">
        <f>'Barge BQS Report'!D229</f>
        <v/>
      </c>
      <c r="E234" s="1059" t="str">
        <f>'Barge BQS Report'!N229</f>
        <v/>
      </c>
      <c r="F234" s="1060" t="str">
        <f>'Barge BQS Report'!F229</f>
        <v/>
      </c>
      <c r="G234" s="1061" t="str">
        <f>'Barge BQS Report'!E229</f>
        <v/>
      </c>
      <c r="H234" s="1060" t="str">
        <f>'Barge BQS Report'!G229</f>
        <v/>
      </c>
      <c r="I234" s="1159" t="str">
        <f>'Barge BQS Report'!H229</f>
        <v/>
      </c>
      <c r="J234" s="1062" t="str">
        <f>'Barge BQS Report'!I229</f>
        <v/>
      </c>
      <c r="K234" s="1063" t="str">
        <f>'Barge BQS Report'!J229</f>
        <v/>
      </c>
      <c r="L234" s="1064" t="str">
        <f>'Barge BQS Report'!L229</f>
        <v/>
      </c>
      <c r="M234" s="1064" t="str">
        <f>'Barge BQS Report'!O229</f>
        <v/>
      </c>
      <c r="N234" s="1065" t="str">
        <f>'Barge BQS Report'!M229</f>
        <v/>
      </c>
      <c r="O234" s="1065" t="str">
        <f>'Barge BQS Report'!P229</f>
        <v/>
      </c>
      <c r="P234" s="1064" t="str">
        <f>'Barge BQS Report'!Q229</f>
        <v/>
      </c>
      <c r="Q234" s="1044"/>
      <c r="R234" s="1044"/>
      <c r="S234" s="1044"/>
    </row>
    <row r="235" spans="1:19" hidden="1">
      <c r="A235" s="881" t="str">
        <f>'Barge BQS Report'!A230</f>
        <v>N</v>
      </c>
      <c r="C235" s="1057" t="str">
        <f>'Barge BQS Report'!C230</f>
        <v/>
      </c>
      <c r="D235" s="1058" t="str">
        <f>'Barge BQS Report'!D230</f>
        <v/>
      </c>
      <c r="E235" s="1059" t="str">
        <f>'Barge BQS Report'!N230</f>
        <v/>
      </c>
      <c r="F235" s="1060" t="str">
        <f>'Barge BQS Report'!F230</f>
        <v/>
      </c>
      <c r="G235" s="1061" t="str">
        <f>'Barge BQS Report'!E230</f>
        <v/>
      </c>
      <c r="H235" s="1060" t="str">
        <f>'Barge BQS Report'!G230</f>
        <v/>
      </c>
      <c r="I235" s="1159" t="str">
        <f>'Barge BQS Report'!H230</f>
        <v/>
      </c>
      <c r="J235" s="1062" t="str">
        <f>'Barge BQS Report'!I230</f>
        <v/>
      </c>
      <c r="K235" s="1063" t="str">
        <f>'Barge BQS Report'!J230</f>
        <v/>
      </c>
      <c r="L235" s="1064" t="str">
        <f>'Barge BQS Report'!L230</f>
        <v/>
      </c>
      <c r="M235" s="1064" t="str">
        <f>'Barge BQS Report'!O230</f>
        <v/>
      </c>
      <c r="N235" s="1065" t="str">
        <f>'Barge BQS Report'!M230</f>
        <v/>
      </c>
      <c r="O235" s="1065" t="str">
        <f>'Barge BQS Report'!P230</f>
        <v/>
      </c>
      <c r="P235" s="1064" t="str">
        <f>'Barge BQS Report'!Q230</f>
        <v/>
      </c>
      <c r="Q235" s="1044"/>
      <c r="R235" s="1044"/>
      <c r="S235" s="1044"/>
    </row>
    <row r="236" spans="1:19" hidden="1">
      <c r="A236" s="881" t="str">
        <f>'Barge BQS Report'!A231</f>
        <v>N</v>
      </c>
      <c r="C236" s="1057" t="str">
        <f>'Barge BQS Report'!C231</f>
        <v/>
      </c>
      <c r="D236" s="1058" t="str">
        <f>'Barge BQS Report'!D231</f>
        <v/>
      </c>
      <c r="E236" s="1059" t="str">
        <f>'Barge BQS Report'!N231</f>
        <v/>
      </c>
      <c r="F236" s="1060" t="str">
        <f>'Barge BQS Report'!F231</f>
        <v/>
      </c>
      <c r="G236" s="1061" t="str">
        <f>'Barge BQS Report'!E231</f>
        <v/>
      </c>
      <c r="H236" s="1060" t="str">
        <f>'Barge BQS Report'!G231</f>
        <v/>
      </c>
      <c r="I236" s="1159" t="str">
        <f>'Barge BQS Report'!H231</f>
        <v/>
      </c>
      <c r="J236" s="1062" t="str">
        <f>'Barge BQS Report'!I231</f>
        <v/>
      </c>
      <c r="K236" s="1063" t="str">
        <f>'Barge BQS Report'!J231</f>
        <v/>
      </c>
      <c r="L236" s="1064" t="str">
        <f>'Barge BQS Report'!L231</f>
        <v/>
      </c>
      <c r="M236" s="1064" t="str">
        <f>'Barge BQS Report'!O231</f>
        <v/>
      </c>
      <c r="N236" s="1065" t="str">
        <f>'Barge BQS Report'!M231</f>
        <v/>
      </c>
      <c r="O236" s="1065" t="str">
        <f>'Barge BQS Report'!P231</f>
        <v/>
      </c>
      <c r="P236" s="1064" t="str">
        <f>'Barge BQS Report'!Q231</f>
        <v/>
      </c>
      <c r="Q236" s="1044"/>
      <c r="R236" s="1044"/>
      <c r="S236" s="1044"/>
    </row>
    <row r="237" spans="1:19" hidden="1">
      <c r="A237" s="881" t="str">
        <f>'Barge BQS Report'!A232</f>
        <v>N</v>
      </c>
      <c r="C237" s="1057" t="str">
        <f>'Barge BQS Report'!C232</f>
        <v/>
      </c>
      <c r="D237" s="1058" t="str">
        <f>'Barge BQS Report'!D232</f>
        <v/>
      </c>
      <c r="E237" s="1059" t="str">
        <f>'Barge BQS Report'!N232</f>
        <v/>
      </c>
      <c r="F237" s="1060" t="str">
        <f>'Barge BQS Report'!F232</f>
        <v/>
      </c>
      <c r="G237" s="1061" t="str">
        <f>'Barge BQS Report'!E232</f>
        <v/>
      </c>
      <c r="H237" s="1060" t="str">
        <f>'Barge BQS Report'!G232</f>
        <v/>
      </c>
      <c r="I237" s="1159" t="str">
        <f>'Barge BQS Report'!H232</f>
        <v/>
      </c>
      <c r="J237" s="1062" t="str">
        <f>'Barge BQS Report'!I232</f>
        <v/>
      </c>
      <c r="K237" s="1063" t="str">
        <f>'Barge BQS Report'!J232</f>
        <v/>
      </c>
      <c r="L237" s="1064" t="str">
        <f>'Barge BQS Report'!L232</f>
        <v/>
      </c>
      <c r="M237" s="1064" t="str">
        <f>'Barge BQS Report'!O232</f>
        <v/>
      </c>
      <c r="N237" s="1065" t="str">
        <f>'Barge BQS Report'!M232</f>
        <v/>
      </c>
      <c r="O237" s="1065" t="str">
        <f>'Barge BQS Report'!P232</f>
        <v/>
      </c>
      <c r="P237" s="1064" t="str">
        <f>'Barge BQS Report'!Q232</f>
        <v/>
      </c>
      <c r="Q237" s="1044"/>
      <c r="R237" s="1044"/>
      <c r="S237" s="1044"/>
    </row>
    <row r="238" spans="1:19" hidden="1">
      <c r="A238" s="881" t="str">
        <f>'Barge BQS Report'!A233</f>
        <v>N</v>
      </c>
      <c r="C238" s="1057" t="str">
        <f>'Barge BQS Report'!C233</f>
        <v/>
      </c>
      <c r="D238" s="1058" t="str">
        <f>'Barge BQS Report'!D233</f>
        <v/>
      </c>
      <c r="E238" s="1059" t="str">
        <f>'Barge BQS Report'!N233</f>
        <v/>
      </c>
      <c r="F238" s="1060" t="str">
        <f>'Barge BQS Report'!F233</f>
        <v/>
      </c>
      <c r="G238" s="1061" t="str">
        <f>'Barge BQS Report'!E233</f>
        <v/>
      </c>
      <c r="H238" s="1060" t="str">
        <f>'Barge BQS Report'!G233</f>
        <v/>
      </c>
      <c r="I238" s="1159" t="str">
        <f>'Barge BQS Report'!H233</f>
        <v/>
      </c>
      <c r="J238" s="1062" t="str">
        <f>'Barge BQS Report'!I233</f>
        <v/>
      </c>
      <c r="K238" s="1063" t="str">
        <f>'Barge BQS Report'!J233</f>
        <v/>
      </c>
      <c r="L238" s="1064" t="str">
        <f>'Barge BQS Report'!L233</f>
        <v/>
      </c>
      <c r="M238" s="1064" t="str">
        <f>'Barge BQS Report'!O233</f>
        <v/>
      </c>
      <c r="N238" s="1065" t="str">
        <f>'Barge BQS Report'!M233</f>
        <v/>
      </c>
      <c r="O238" s="1065" t="str">
        <f>'Barge BQS Report'!P233</f>
        <v/>
      </c>
      <c r="P238" s="1064" t="str">
        <f>'Barge BQS Report'!Q233</f>
        <v/>
      </c>
      <c r="Q238" s="1044"/>
      <c r="R238" s="1044"/>
      <c r="S238" s="1044"/>
    </row>
    <row r="239" spans="1:19" hidden="1">
      <c r="A239" s="881" t="str">
        <f>'Barge BQS Report'!A234</f>
        <v>N</v>
      </c>
      <c r="C239" s="1057" t="str">
        <f>'Barge BQS Report'!C234</f>
        <v/>
      </c>
      <c r="D239" s="1058" t="str">
        <f>'Barge BQS Report'!D234</f>
        <v/>
      </c>
      <c r="E239" s="1059" t="str">
        <f>'Barge BQS Report'!N234</f>
        <v/>
      </c>
      <c r="F239" s="1060" t="str">
        <f>'Barge BQS Report'!F234</f>
        <v/>
      </c>
      <c r="G239" s="1061" t="str">
        <f>'Barge BQS Report'!E234</f>
        <v/>
      </c>
      <c r="H239" s="1060" t="str">
        <f>'Barge BQS Report'!G234</f>
        <v/>
      </c>
      <c r="I239" s="1159" t="str">
        <f>'Barge BQS Report'!H234</f>
        <v/>
      </c>
      <c r="J239" s="1062" t="str">
        <f>'Barge BQS Report'!I234</f>
        <v/>
      </c>
      <c r="K239" s="1063" t="str">
        <f>'Barge BQS Report'!J234</f>
        <v/>
      </c>
      <c r="L239" s="1064" t="str">
        <f>'Barge BQS Report'!L234</f>
        <v/>
      </c>
      <c r="M239" s="1064" t="str">
        <f>'Barge BQS Report'!O234</f>
        <v/>
      </c>
      <c r="N239" s="1065" t="str">
        <f>'Barge BQS Report'!M234</f>
        <v/>
      </c>
      <c r="O239" s="1065" t="str">
        <f>'Barge BQS Report'!P234</f>
        <v/>
      </c>
      <c r="P239" s="1064" t="str">
        <f>'Barge BQS Report'!Q234</f>
        <v/>
      </c>
      <c r="Q239" s="1044"/>
      <c r="R239" s="1044"/>
      <c r="S239" s="1044"/>
    </row>
    <row r="240" spans="1:19" hidden="1">
      <c r="A240" s="881" t="str">
        <f>'Barge BQS Report'!A235</f>
        <v>N</v>
      </c>
      <c r="C240" s="1057" t="str">
        <f>'Barge BQS Report'!C235</f>
        <v/>
      </c>
      <c r="D240" s="1058" t="str">
        <f>'Barge BQS Report'!D235</f>
        <v/>
      </c>
      <c r="E240" s="1059" t="str">
        <f>'Barge BQS Report'!N235</f>
        <v/>
      </c>
      <c r="F240" s="1060" t="str">
        <f>'Barge BQS Report'!F235</f>
        <v/>
      </c>
      <c r="G240" s="1061" t="str">
        <f>'Barge BQS Report'!E235</f>
        <v/>
      </c>
      <c r="H240" s="1060" t="str">
        <f>'Barge BQS Report'!G235</f>
        <v/>
      </c>
      <c r="I240" s="1159" t="str">
        <f>'Barge BQS Report'!H235</f>
        <v/>
      </c>
      <c r="J240" s="1062" t="str">
        <f>'Barge BQS Report'!I235</f>
        <v/>
      </c>
      <c r="K240" s="1063" t="str">
        <f>'Barge BQS Report'!J235</f>
        <v/>
      </c>
      <c r="L240" s="1064" t="str">
        <f>'Barge BQS Report'!L235</f>
        <v/>
      </c>
      <c r="M240" s="1064" t="str">
        <f>'Barge BQS Report'!O235</f>
        <v/>
      </c>
      <c r="N240" s="1065" t="str">
        <f>'Barge BQS Report'!M235</f>
        <v/>
      </c>
      <c r="O240" s="1065" t="str">
        <f>'Barge BQS Report'!P235</f>
        <v/>
      </c>
      <c r="P240" s="1064" t="str">
        <f>'Barge BQS Report'!Q235</f>
        <v/>
      </c>
      <c r="Q240" s="1044"/>
      <c r="R240" s="1044"/>
      <c r="S240" s="1044"/>
    </row>
    <row r="241" spans="1:19" hidden="1">
      <c r="A241" s="881" t="str">
        <f>'Barge BQS Report'!A236</f>
        <v>N</v>
      </c>
      <c r="C241" s="1057" t="str">
        <f>'Barge BQS Report'!C236</f>
        <v/>
      </c>
      <c r="D241" s="1058" t="str">
        <f>'Barge BQS Report'!D236</f>
        <v/>
      </c>
      <c r="E241" s="1059" t="str">
        <f>'Barge BQS Report'!N236</f>
        <v/>
      </c>
      <c r="F241" s="1060" t="str">
        <f>'Barge BQS Report'!F236</f>
        <v/>
      </c>
      <c r="G241" s="1061" t="str">
        <f>'Barge BQS Report'!E236</f>
        <v/>
      </c>
      <c r="H241" s="1060" t="str">
        <f>'Barge BQS Report'!G236</f>
        <v/>
      </c>
      <c r="I241" s="1159" t="str">
        <f>'Barge BQS Report'!H236</f>
        <v/>
      </c>
      <c r="J241" s="1062" t="str">
        <f>'Barge BQS Report'!I236</f>
        <v/>
      </c>
      <c r="K241" s="1063" t="str">
        <f>'Barge BQS Report'!J236</f>
        <v/>
      </c>
      <c r="L241" s="1064" t="str">
        <f>'Barge BQS Report'!L236</f>
        <v/>
      </c>
      <c r="M241" s="1064" t="str">
        <f>'Barge BQS Report'!O236</f>
        <v/>
      </c>
      <c r="N241" s="1065" t="str">
        <f>'Barge BQS Report'!M236</f>
        <v/>
      </c>
      <c r="O241" s="1065" t="str">
        <f>'Barge BQS Report'!P236</f>
        <v/>
      </c>
      <c r="P241" s="1064" t="str">
        <f>'Barge BQS Report'!Q236</f>
        <v/>
      </c>
      <c r="Q241" s="1044"/>
      <c r="R241" s="1044"/>
      <c r="S241" s="1044"/>
    </row>
    <row r="242" spans="1:19" hidden="1">
      <c r="A242" s="881" t="str">
        <f>'Barge BQS Report'!A237</f>
        <v>N</v>
      </c>
      <c r="C242" s="1057" t="str">
        <f>'Barge BQS Report'!C237</f>
        <v/>
      </c>
      <c r="D242" s="1058" t="str">
        <f>'Barge BQS Report'!D237</f>
        <v/>
      </c>
      <c r="E242" s="1059" t="str">
        <f>'Barge BQS Report'!N237</f>
        <v/>
      </c>
      <c r="F242" s="1060" t="str">
        <f>'Barge BQS Report'!F237</f>
        <v/>
      </c>
      <c r="G242" s="1061" t="str">
        <f>'Barge BQS Report'!E237</f>
        <v/>
      </c>
      <c r="H242" s="1060" t="str">
        <f>'Barge BQS Report'!G237</f>
        <v/>
      </c>
      <c r="I242" s="1159" t="str">
        <f>'Barge BQS Report'!H237</f>
        <v/>
      </c>
      <c r="J242" s="1062" t="str">
        <f>'Barge BQS Report'!I237</f>
        <v/>
      </c>
      <c r="K242" s="1063" t="str">
        <f>'Barge BQS Report'!J237</f>
        <v/>
      </c>
      <c r="L242" s="1064" t="str">
        <f>'Barge BQS Report'!L237</f>
        <v/>
      </c>
      <c r="M242" s="1064" t="str">
        <f>'Barge BQS Report'!O237</f>
        <v/>
      </c>
      <c r="N242" s="1065" t="str">
        <f>'Barge BQS Report'!M237</f>
        <v/>
      </c>
      <c r="O242" s="1065" t="str">
        <f>'Barge BQS Report'!P237</f>
        <v/>
      </c>
      <c r="P242" s="1064" t="str">
        <f>'Barge BQS Report'!Q237</f>
        <v/>
      </c>
      <c r="Q242" s="1044"/>
      <c r="R242" s="1044"/>
      <c r="S242" s="1044"/>
    </row>
    <row r="243" spans="1:19" hidden="1">
      <c r="A243" s="881" t="str">
        <f>'Barge BQS Report'!A238</f>
        <v>N</v>
      </c>
      <c r="C243" s="1057" t="str">
        <f>'Barge BQS Report'!C238</f>
        <v/>
      </c>
      <c r="D243" s="1058" t="str">
        <f>'Barge BQS Report'!D238</f>
        <v/>
      </c>
      <c r="E243" s="1059" t="str">
        <f>'Barge BQS Report'!N238</f>
        <v/>
      </c>
      <c r="F243" s="1060" t="str">
        <f>'Barge BQS Report'!F238</f>
        <v/>
      </c>
      <c r="G243" s="1061" t="str">
        <f>'Barge BQS Report'!E238</f>
        <v/>
      </c>
      <c r="H243" s="1060" t="str">
        <f>'Barge BQS Report'!G238</f>
        <v/>
      </c>
      <c r="I243" s="1159" t="str">
        <f>'Barge BQS Report'!H238</f>
        <v/>
      </c>
      <c r="J243" s="1062" t="str">
        <f>'Barge BQS Report'!I238</f>
        <v/>
      </c>
      <c r="K243" s="1063" t="str">
        <f>'Barge BQS Report'!J238</f>
        <v/>
      </c>
      <c r="L243" s="1064" t="str">
        <f>'Barge BQS Report'!L238</f>
        <v/>
      </c>
      <c r="M243" s="1064" t="str">
        <f>'Barge BQS Report'!O238</f>
        <v/>
      </c>
      <c r="N243" s="1065" t="str">
        <f>'Barge BQS Report'!M238</f>
        <v/>
      </c>
      <c r="O243" s="1065" t="str">
        <f>'Barge BQS Report'!P238</f>
        <v/>
      </c>
      <c r="P243" s="1064" t="str">
        <f>'Barge BQS Report'!Q238</f>
        <v/>
      </c>
      <c r="Q243" s="1044"/>
      <c r="R243" s="1044"/>
      <c r="S243" s="1044"/>
    </row>
    <row r="244" spans="1:19" hidden="1">
      <c r="A244" s="881" t="str">
        <f>'Barge BQS Report'!A239</f>
        <v>N</v>
      </c>
      <c r="C244" s="1057" t="str">
        <f>'Barge BQS Report'!C239</f>
        <v/>
      </c>
      <c r="D244" s="1058" t="str">
        <f>'Barge BQS Report'!D239</f>
        <v/>
      </c>
      <c r="E244" s="1059" t="str">
        <f>'Barge BQS Report'!N239</f>
        <v/>
      </c>
      <c r="F244" s="1060" t="str">
        <f>'Barge BQS Report'!F239</f>
        <v/>
      </c>
      <c r="G244" s="1061" t="str">
        <f>'Barge BQS Report'!E239</f>
        <v/>
      </c>
      <c r="H244" s="1060" t="str">
        <f>'Barge BQS Report'!G239</f>
        <v/>
      </c>
      <c r="I244" s="1159" t="str">
        <f>'Barge BQS Report'!H239</f>
        <v/>
      </c>
      <c r="J244" s="1062" t="str">
        <f>'Barge BQS Report'!I239</f>
        <v/>
      </c>
      <c r="K244" s="1063" t="str">
        <f>'Barge BQS Report'!J239</f>
        <v/>
      </c>
      <c r="L244" s="1064" t="str">
        <f>'Barge BQS Report'!L239</f>
        <v/>
      </c>
      <c r="M244" s="1064" t="str">
        <f>'Barge BQS Report'!O239</f>
        <v/>
      </c>
      <c r="N244" s="1065" t="str">
        <f>'Barge BQS Report'!M239</f>
        <v/>
      </c>
      <c r="O244" s="1065" t="str">
        <f>'Barge BQS Report'!P239</f>
        <v/>
      </c>
      <c r="P244" s="1064" t="str">
        <f>'Barge BQS Report'!Q239</f>
        <v/>
      </c>
      <c r="Q244" s="1044"/>
      <c r="R244" s="1044"/>
      <c r="S244" s="1044"/>
    </row>
    <row r="245" spans="1:19" hidden="1">
      <c r="A245" s="881" t="str">
        <f>'Barge BQS Report'!A240</f>
        <v>N</v>
      </c>
      <c r="C245" s="1057" t="str">
        <f>'Barge BQS Report'!C240</f>
        <v/>
      </c>
      <c r="D245" s="1058" t="str">
        <f>'Barge BQS Report'!D240</f>
        <v/>
      </c>
      <c r="E245" s="1059" t="str">
        <f>'Barge BQS Report'!N240</f>
        <v/>
      </c>
      <c r="F245" s="1060" t="str">
        <f>'Barge BQS Report'!F240</f>
        <v/>
      </c>
      <c r="G245" s="1061" t="str">
        <f>'Barge BQS Report'!E240</f>
        <v/>
      </c>
      <c r="H245" s="1060" t="str">
        <f>'Barge BQS Report'!G240</f>
        <v/>
      </c>
      <c r="I245" s="1159" t="str">
        <f>'Barge BQS Report'!H240</f>
        <v/>
      </c>
      <c r="J245" s="1062" t="str">
        <f>'Barge BQS Report'!I240</f>
        <v/>
      </c>
      <c r="K245" s="1063" t="str">
        <f>'Barge BQS Report'!J240</f>
        <v/>
      </c>
      <c r="L245" s="1064" t="str">
        <f>'Barge BQS Report'!L240</f>
        <v/>
      </c>
      <c r="M245" s="1064" t="str">
        <f>'Barge BQS Report'!O240</f>
        <v/>
      </c>
      <c r="N245" s="1065" t="str">
        <f>'Barge BQS Report'!M240</f>
        <v/>
      </c>
      <c r="O245" s="1065" t="str">
        <f>'Barge BQS Report'!P240</f>
        <v/>
      </c>
      <c r="P245" s="1064" t="str">
        <f>'Barge BQS Report'!Q240</f>
        <v/>
      </c>
      <c r="Q245" s="1044"/>
      <c r="R245" s="1044"/>
      <c r="S245" s="1044"/>
    </row>
    <row r="246" spans="1:19" hidden="1">
      <c r="A246" s="881" t="str">
        <f>'Barge BQS Report'!A241</f>
        <v>N</v>
      </c>
      <c r="C246" s="1066" t="str">
        <f>'Barge BQS Report'!C241</f>
        <v/>
      </c>
      <c r="D246" s="1067" t="str">
        <f>'Barge BQS Report'!D241</f>
        <v/>
      </c>
      <c r="E246" s="1068" t="str">
        <f>'Barge BQS Report'!N241</f>
        <v/>
      </c>
      <c r="F246" s="1069" t="str">
        <f>'Barge BQS Report'!F241</f>
        <v/>
      </c>
      <c r="G246" s="1070" t="str">
        <f>'Barge BQS Report'!E241</f>
        <v/>
      </c>
      <c r="H246" s="1069" t="str">
        <f>'Barge BQS Report'!G241</f>
        <v/>
      </c>
      <c r="I246" s="1160" t="str">
        <f>'Barge BQS Report'!H241</f>
        <v/>
      </c>
      <c r="J246" s="1071" t="str">
        <f>'Barge BQS Report'!I241</f>
        <v/>
      </c>
      <c r="K246" s="1072" t="str">
        <f>'Barge BQS Report'!J241</f>
        <v/>
      </c>
      <c r="L246" s="1073" t="str">
        <f>'Barge BQS Report'!L241</f>
        <v/>
      </c>
      <c r="M246" s="1073" t="str">
        <f>'Barge BQS Report'!O241</f>
        <v/>
      </c>
      <c r="N246" s="1074" t="str">
        <f>'Barge BQS Report'!M241</f>
        <v/>
      </c>
      <c r="O246" s="1074" t="str">
        <f>'Barge BQS Report'!P241</f>
        <v/>
      </c>
      <c r="P246" s="1073" t="str">
        <f>'Barge BQS Report'!Q241</f>
        <v/>
      </c>
      <c r="Q246" s="1044"/>
      <c r="R246" s="1044"/>
      <c r="S246" s="1044"/>
    </row>
    <row r="247" spans="1:19" hidden="1">
      <c r="A247" s="881" t="s">
        <v>270</v>
      </c>
      <c r="C247" s="1118"/>
      <c r="D247" s="1075"/>
      <c r="E247" s="1076"/>
      <c r="F247" s="1077"/>
      <c r="G247" s="1077"/>
      <c r="H247" s="1078"/>
      <c r="I247" s="1078"/>
      <c r="J247" s="1078"/>
      <c r="K247" s="1077"/>
      <c r="L247" s="1079"/>
      <c r="M247" s="2957" t="s">
        <v>801</v>
      </c>
      <c r="N247" s="2957"/>
      <c r="O247" s="3091">
        <f>SUM(P227:P246)</f>
        <v>0</v>
      </c>
      <c r="P247" s="3092"/>
      <c r="Q247" s="1044"/>
      <c r="R247" s="1044"/>
      <c r="S247" s="1044"/>
    </row>
    <row r="248" spans="1:19" s="1046" customFormat="1" ht="5.25" hidden="1">
      <c r="A248" s="1046" t="s">
        <v>270</v>
      </c>
      <c r="C248" s="1108"/>
      <c r="D248" s="1109"/>
      <c r="E248" s="1110"/>
      <c r="F248" s="1111"/>
      <c r="G248" s="1111"/>
      <c r="H248" s="1112"/>
      <c r="I248" s="1113"/>
      <c r="J248" s="1113"/>
      <c r="K248" s="1114"/>
      <c r="L248" s="1115"/>
      <c r="M248" s="1115"/>
      <c r="N248" s="1116"/>
      <c r="O248" s="1117"/>
      <c r="P248" s="1115"/>
      <c r="Q248" s="1045"/>
      <c r="R248" s="1045"/>
      <c r="S248" s="1045"/>
    </row>
    <row r="249" spans="1:19" hidden="1">
      <c r="A249" s="881" t="s">
        <v>270</v>
      </c>
      <c r="B249" s="881">
        <v>3</v>
      </c>
      <c r="C249" s="2959" t="str">
        <f>'Barge BQS Report'!C244</f>
        <v>NOMINATED TANKS</v>
      </c>
      <c r="D249" s="2960">
        <f>'Vessel BQS Report'!D244</f>
        <v>0</v>
      </c>
      <c r="E249" s="2960">
        <f>'Vessel BQS Report'!N244</f>
        <v>0</v>
      </c>
      <c r="F249" s="2961">
        <f>'Vessel BQS Report'!F244</f>
        <v>0</v>
      </c>
      <c r="G249" s="2962" t="str">
        <f>'Barge BQS Report'!E244</f>
        <v>MDO</v>
      </c>
      <c r="H249" s="2963">
        <f>'Vessel BQS Report'!G244</f>
        <v>0</v>
      </c>
      <c r="I249" s="1051"/>
      <c r="J249" s="1052"/>
      <c r="K249" s="1053"/>
      <c r="L249" s="1054"/>
      <c r="M249" s="1054"/>
      <c r="N249" s="1055"/>
      <c r="O249" s="1056"/>
      <c r="P249" s="1054"/>
      <c r="Q249" s="1044"/>
      <c r="R249" s="1044"/>
      <c r="S249" s="1044"/>
    </row>
    <row r="250" spans="1:19" hidden="1">
      <c r="A250" s="881" t="str">
        <f>'Barge BQS Report'!A245</f>
        <v>N</v>
      </c>
      <c r="C250" s="1057" t="str">
        <f>'Barge BQS Report'!C245</f>
        <v/>
      </c>
      <c r="D250" s="1058" t="str">
        <f>'Barge BQS Report'!D245</f>
        <v/>
      </c>
      <c r="E250" s="1059" t="str">
        <f>'Barge BQS Report'!N245</f>
        <v/>
      </c>
      <c r="F250" s="1060" t="str">
        <f>'Barge BQS Report'!F245</f>
        <v/>
      </c>
      <c r="G250" s="1061" t="str">
        <f>'Barge BQS Report'!E245</f>
        <v/>
      </c>
      <c r="H250" s="1060" t="str">
        <f>'Barge BQS Report'!G245</f>
        <v/>
      </c>
      <c r="I250" s="1159" t="str">
        <f>'Barge BQS Report'!H245</f>
        <v/>
      </c>
      <c r="J250" s="1062" t="str">
        <f>'Barge BQS Report'!I245</f>
        <v/>
      </c>
      <c r="K250" s="1063" t="str">
        <f>'Barge BQS Report'!J245</f>
        <v/>
      </c>
      <c r="L250" s="1064" t="str">
        <f>'Barge BQS Report'!L245</f>
        <v/>
      </c>
      <c r="M250" s="1064" t="str">
        <f>'Barge BQS Report'!O245</f>
        <v/>
      </c>
      <c r="N250" s="1065" t="str">
        <f>'Barge BQS Report'!M245</f>
        <v/>
      </c>
      <c r="O250" s="1065" t="str">
        <f>'Barge BQS Report'!P245</f>
        <v/>
      </c>
      <c r="P250" s="1064" t="str">
        <f>'Barge BQS Report'!Q245</f>
        <v/>
      </c>
      <c r="Q250" s="1044"/>
      <c r="R250" s="1044"/>
      <c r="S250" s="1044"/>
    </row>
    <row r="251" spans="1:19" hidden="1">
      <c r="A251" s="881" t="str">
        <f>'Barge BQS Report'!A246</f>
        <v>N</v>
      </c>
      <c r="C251" s="1057" t="str">
        <f>'Barge BQS Report'!C246</f>
        <v/>
      </c>
      <c r="D251" s="1058" t="str">
        <f>'Barge BQS Report'!D246</f>
        <v/>
      </c>
      <c r="E251" s="1059" t="str">
        <f>'Barge BQS Report'!N246</f>
        <v/>
      </c>
      <c r="F251" s="1060" t="str">
        <f>'Barge BQS Report'!F246</f>
        <v/>
      </c>
      <c r="G251" s="1061" t="str">
        <f>'Barge BQS Report'!E246</f>
        <v/>
      </c>
      <c r="H251" s="1060" t="str">
        <f>'Barge BQS Report'!G246</f>
        <v/>
      </c>
      <c r="I251" s="1159" t="str">
        <f>'Barge BQS Report'!H246</f>
        <v/>
      </c>
      <c r="J251" s="1062" t="str">
        <f>'Barge BQS Report'!I246</f>
        <v/>
      </c>
      <c r="K251" s="1063" t="str">
        <f>'Barge BQS Report'!J246</f>
        <v/>
      </c>
      <c r="L251" s="1064" t="str">
        <f>'Barge BQS Report'!L246</f>
        <v/>
      </c>
      <c r="M251" s="1064" t="str">
        <f>'Barge BQS Report'!O246</f>
        <v/>
      </c>
      <c r="N251" s="1065" t="str">
        <f>'Barge BQS Report'!M246</f>
        <v/>
      </c>
      <c r="O251" s="1065" t="str">
        <f>'Barge BQS Report'!P246</f>
        <v/>
      </c>
      <c r="P251" s="1064" t="str">
        <f>'Barge BQS Report'!Q246</f>
        <v/>
      </c>
      <c r="Q251" s="1044"/>
      <c r="R251" s="1044"/>
      <c r="S251" s="1044"/>
    </row>
    <row r="252" spans="1:19" hidden="1">
      <c r="A252" s="881" t="str">
        <f>'Barge BQS Report'!A247</f>
        <v>N</v>
      </c>
      <c r="C252" s="1057" t="str">
        <f>'Barge BQS Report'!C247</f>
        <v/>
      </c>
      <c r="D252" s="1058" t="str">
        <f>'Barge BQS Report'!D247</f>
        <v/>
      </c>
      <c r="E252" s="1059" t="str">
        <f>'Barge BQS Report'!N247</f>
        <v/>
      </c>
      <c r="F252" s="1060" t="str">
        <f>'Barge BQS Report'!F247</f>
        <v/>
      </c>
      <c r="G252" s="1061" t="str">
        <f>'Barge BQS Report'!E247</f>
        <v/>
      </c>
      <c r="H252" s="1060" t="str">
        <f>'Barge BQS Report'!G247</f>
        <v/>
      </c>
      <c r="I252" s="1159" t="str">
        <f>'Barge BQS Report'!H247</f>
        <v/>
      </c>
      <c r="J252" s="1062" t="str">
        <f>'Barge BQS Report'!I247</f>
        <v/>
      </c>
      <c r="K252" s="1063" t="str">
        <f>'Barge BQS Report'!J247</f>
        <v/>
      </c>
      <c r="L252" s="1064" t="str">
        <f>'Barge BQS Report'!L247</f>
        <v/>
      </c>
      <c r="M252" s="1064" t="str">
        <f>'Barge BQS Report'!O247</f>
        <v/>
      </c>
      <c r="N252" s="1065" t="str">
        <f>'Barge BQS Report'!M247</f>
        <v/>
      </c>
      <c r="O252" s="1065" t="str">
        <f>'Barge BQS Report'!P247</f>
        <v/>
      </c>
      <c r="P252" s="1064" t="str">
        <f>'Barge BQS Report'!Q247</f>
        <v/>
      </c>
      <c r="Q252" s="1044"/>
      <c r="R252" s="1044"/>
      <c r="S252" s="1044"/>
    </row>
    <row r="253" spans="1:19" hidden="1">
      <c r="A253" s="881" t="str">
        <f>'Barge BQS Report'!A248</f>
        <v>N</v>
      </c>
      <c r="C253" s="1057" t="str">
        <f>'Barge BQS Report'!C248</f>
        <v/>
      </c>
      <c r="D253" s="1058" t="str">
        <f>'Barge BQS Report'!D248</f>
        <v/>
      </c>
      <c r="E253" s="1059" t="str">
        <f>'Barge BQS Report'!N248</f>
        <v/>
      </c>
      <c r="F253" s="1060" t="str">
        <f>'Barge BQS Report'!F248</f>
        <v/>
      </c>
      <c r="G253" s="1061" t="str">
        <f>'Barge BQS Report'!E248</f>
        <v/>
      </c>
      <c r="H253" s="1060" t="str">
        <f>'Barge BQS Report'!G248</f>
        <v/>
      </c>
      <c r="I253" s="1159" t="str">
        <f>'Barge BQS Report'!H248</f>
        <v/>
      </c>
      <c r="J253" s="1062" t="str">
        <f>'Barge BQS Report'!I248</f>
        <v/>
      </c>
      <c r="K253" s="1063" t="str">
        <f>'Barge BQS Report'!J248</f>
        <v/>
      </c>
      <c r="L253" s="1064" t="str">
        <f>'Barge BQS Report'!L248</f>
        <v/>
      </c>
      <c r="M253" s="1064" t="str">
        <f>'Barge BQS Report'!O248</f>
        <v/>
      </c>
      <c r="N253" s="1065" t="str">
        <f>'Barge BQS Report'!M248</f>
        <v/>
      </c>
      <c r="O253" s="1065" t="str">
        <f>'Barge BQS Report'!P248</f>
        <v/>
      </c>
      <c r="P253" s="1064" t="str">
        <f>'Barge BQS Report'!Q248</f>
        <v/>
      </c>
      <c r="Q253" s="1044"/>
      <c r="R253" s="1044"/>
      <c r="S253" s="1044"/>
    </row>
    <row r="254" spans="1:19" hidden="1">
      <c r="A254" s="881" t="str">
        <f>'Barge BQS Report'!A249</f>
        <v>N</v>
      </c>
      <c r="C254" s="1057" t="str">
        <f>'Barge BQS Report'!C249</f>
        <v/>
      </c>
      <c r="D254" s="1058" t="str">
        <f>'Barge BQS Report'!D249</f>
        <v/>
      </c>
      <c r="E254" s="1059" t="str">
        <f>'Barge BQS Report'!N249</f>
        <v/>
      </c>
      <c r="F254" s="1060" t="str">
        <f>'Barge BQS Report'!F249</f>
        <v/>
      </c>
      <c r="G254" s="1061" t="str">
        <f>'Barge BQS Report'!E249</f>
        <v/>
      </c>
      <c r="H254" s="1060" t="str">
        <f>'Barge BQS Report'!G249</f>
        <v/>
      </c>
      <c r="I254" s="1159" t="str">
        <f>'Barge BQS Report'!H249</f>
        <v/>
      </c>
      <c r="J254" s="1062" t="str">
        <f>'Barge BQS Report'!I249</f>
        <v/>
      </c>
      <c r="K254" s="1063" t="str">
        <f>'Barge BQS Report'!J249</f>
        <v/>
      </c>
      <c r="L254" s="1064" t="str">
        <f>'Barge BQS Report'!L249</f>
        <v/>
      </c>
      <c r="M254" s="1064" t="str">
        <f>'Barge BQS Report'!O249</f>
        <v/>
      </c>
      <c r="N254" s="1065" t="str">
        <f>'Barge BQS Report'!M249</f>
        <v/>
      </c>
      <c r="O254" s="1065" t="str">
        <f>'Barge BQS Report'!P249</f>
        <v/>
      </c>
      <c r="P254" s="1064" t="str">
        <f>'Barge BQS Report'!Q249</f>
        <v/>
      </c>
      <c r="Q254" s="1044"/>
      <c r="R254" s="1044"/>
      <c r="S254" s="1044"/>
    </row>
    <row r="255" spans="1:19" hidden="1">
      <c r="A255" s="881" t="str">
        <f>'Barge BQS Report'!A250</f>
        <v>N</v>
      </c>
      <c r="C255" s="1057" t="str">
        <f>'Barge BQS Report'!C250</f>
        <v/>
      </c>
      <c r="D255" s="1058" t="str">
        <f>'Barge BQS Report'!D250</f>
        <v/>
      </c>
      <c r="E255" s="1059" t="str">
        <f>'Barge BQS Report'!N250</f>
        <v/>
      </c>
      <c r="F255" s="1060" t="str">
        <f>'Barge BQS Report'!F250</f>
        <v/>
      </c>
      <c r="G255" s="1061" t="str">
        <f>'Barge BQS Report'!E250</f>
        <v/>
      </c>
      <c r="H255" s="1060" t="str">
        <f>'Barge BQS Report'!G250</f>
        <v/>
      </c>
      <c r="I255" s="1159" t="str">
        <f>'Barge BQS Report'!H250</f>
        <v/>
      </c>
      <c r="J255" s="1062" t="str">
        <f>'Barge BQS Report'!I250</f>
        <v/>
      </c>
      <c r="K255" s="1063" t="str">
        <f>'Barge BQS Report'!J250</f>
        <v/>
      </c>
      <c r="L255" s="1064" t="str">
        <f>'Barge BQS Report'!L250</f>
        <v/>
      </c>
      <c r="M255" s="1064" t="str">
        <f>'Barge BQS Report'!O250</f>
        <v/>
      </c>
      <c r="N255" s="1065" t="str">
        <f>'Barge BQS Report'!M250</f>
        <v/>
      </c>
      <c r="O255" s="1065" t="str">
        <f>'Barge BQS Report'!P250</f>
        <v/>
      </c>
      <c r="P255" s="1064" t="str">
        <f>'Barge BQS Report'!Q250</f>
        <v/>
      </c>
      <c r="Q255" s="1044"/>
      <c r="R255" s="1044"/>
      <c r="S255" s="1044"/>
    </row>
    <row r="256" spans="1:19" hidden="1">
      <c r="A256" s="881" t="str">
        <f>'Barge BQS Report'!A251</f>
        <v>N</v>
      </c>
      <c r="C256" s="1057" t="str">
        <f>'Barge BQS Report'!C251</f>
        <v/>
      </c>
      <c r="D256" s="1058" t="str">
        <f>'Barge BQS Report'!D251</f>
        <v/>
      </c>
      <c r="E256" s="1059" t="str">
        <f>'Barge BQS Report'!N251</f>
        <v/>
      </c>
      <c r="F256" s="1060" t="str">
        <f>'Barge BQS Report'!F251</f>
        <v/>
      </c>
      <c r="G256" s="1061" t="str">
        <f>'Barge BQS Report'!E251</f>
        <v/>
      </c>
      <c r="H256" s="1060" t="str">
        <f>'Barge BQS Report'!G251</f>
        <v/>
      </c>
      <c r="I256" s="1159" t="str">
        <f>'Barge BQS Report'!H251</f>
        <v/>
      </c>
      <c r="J256" s="1062" t="str">
        <f>'Barge BQS Report'!I251</f>
        <v/>
      </c>
      <c r="K256" s="1063" t="str">
        <f>'Barge BQS Report'!J251</f>
        <v/>
      </c>
      <c r="L256" s="1064" t="str">
        <f>'Barge BQS Report'!L251</f>
        <v/>
      </c>
      <c r="M256" s="1064" t="str">
        <f>'Barge BQS Report'!O251</f>
        <v/>
      </c>
      <c r="N256" s="1065" t="str">
        <f>'Barge BQS Report'!M251</f>
        <v/>
      </c>
      <c r="O256" s="1065" t="str">
        <f>'Barge BQS Report'!P251</f>
        <v/>
      </c>
      <c r="P256" s="1064" t="str">
        <f>'Barge BQS Report'!Q251</f>
        <v/>
      </c>
      <c r="Q256" s="1044"/>
      <c r="R256" s="1044"/>
      <c r="S256" s="1044"/>
    </row>
    <row r="257" spans="1:19" hidden="1">
      <c r="A257" s="881" t="str">
        <f>'Barge BQS Report'!A252</f>
        <v>N</v>
      </c>
      <c r="C257" s="1057" t="str">
        <f>'Barge BQS Report'!C252</f>
        <v/>
      </c>
      <c r="D257" s="1058" t="str">
        <f>'Barge BQS Report'!D252</f>
        <v/>
      </c>
      <c r="E257" s="1059" t="str">
        <f>'Barge BQS Report'!N252</f>
        <v/>
      </c>
      <c r="F257" s="1060" t="str">
        <f>'Barge BQS Report'!F252</f>
        <v/>
      </c>
      <c r="G257" s="1061" t="str">
        <f>'Barge BQS Report'!E252</f>
        <v/>
      </c>
      <c r="H257" s="1060" t="str">
        <f>'Barge BQS Report'!G252</f>
        <v/>
      </c>
      <c r="I257" s="1159" t="str">
        <f>'Barge BQS Report'!H252</f>
        <v/>
      </c>
      <c r="J257" s="1062" t="str">
        <f>'Barge BQS Report'!I252</f>
        <v/>
      </c>
      <c r="K257" s="1063" t="str">
        <f>'Barge BQS Report'!J252</f>
        <v/>
      </c>
      <c r="L257" s="1064" t="str">
        <f>'Barge BQS Report'!L252</f>
        <v/>
      </c>
      <c r="M257" s="1064" t="str">
        <f>'Barge BQS Report'!O252</f>
        <v/>
      </c>
      <c r="N257" s="1065" t="str">
        <f>'Barge BQS Report'!M252</f>
        <v/>
      </c>
      <c r="O257" s="1065" t="str">
        <f>'Barge BQS Report'!P252</f>
        <v/>
      </c>
      <c r="P257" s="1064" t="str">
        <f>'Barge BQS Report'!Q252</f>
        <v/>
      </c>
      <c r="Q257" s="1044"/>
      <c r="R257" s="1044"/>
      <c r="S257" s="1044"/>
    </row>
    <row r="258" spans="1:19" hidden="1">
      <c r="A258" s="881" t="str">
        <f>'Barge BQS Report'!A253</f>
        <v>N</v>
      </c>
      <c r="C258" s="1057" t="str">
        <f>'Barge BQS Report'!C253</f>
        <v/>
      </c>
      <c r="D258" s="1058" t="str">
        <f>'Barge BQS Report'!D253</f>
        <v/>
      </c>
      <c r="E258" s="1059" t="str">
        <f>'Barge BQS Report'!N253</f>
        <v/>
      </c>
      <c r="F258" s="1060" t="str">
        <f>'Barge BQS Report'!F253</f>
        <v/>
      </c>
      <c r="G258" s="1061" t="str">
        <f>'Barge BQS Report'!E253</f>
        <v/>
      </c>
      <c r="H258" s="1060" t="str">
        <f>'Barge BQS Report'!G253</f>
        <v/>
      </c>
      <c r="I258" s="1159" t="str">
        <f>'Barge BQS Report'!H253</f>
        <v/>
      </c>
      <c r="J258" s="1062" t="str">
        <f>'Barge BQS Report'!I253</f>
        <v/>
      </c>
      <c r="K258" s="1063" t="str">
        <f>'Barge BQS Report'!J253</f>
        <v/>
      </c>
      <c r="L258" s="1064" t="str">
        <f>'Barge BQS Report'!L253</f>
        <v/>
      </c>
      <c r="M258" s="1064" t="str">
        <f>'Barge BQS Report'!O253</f>
        <v/>
      </c>
      <c r="N258" s="1065" t="str">
        <f>'Barge BQS Report'!M253</f>
        <v/>
      </c>
      <c r="O258" s="1065" t="str">
        <f>'Barge BQS Report'!P253</f>
        <v/>
      </c>
      <c r="P258" s="1064" t="str">
        <f>'Barge BQS Report'!Q253</f>
        <v/>
      </c>
      <c r="Q258" s="1044"/>
      <c r="R258" s="1044"/>
      <c r="S258" s="1044"/>
    </row>
    <row r="259" spans="1:19" hidden="1">
      <c r="A259" s="881" t="str">
        <f>'Barge BQS Report'!A254</f>
        <v>N</v>
      </c>
      <c r="C259" s="1057" t="str">
        <f>'Barge BQS Report'!C254</f>
        <v/>
      </c>
      <c r="D259" s="1058" t="str">
        <f>'Barge BQS Report'!D254</f>
        <v/>
      </c>
      <c r="E259" s="1059" t="str">
        <f>'Barge BQS Report'!N254</f>
        <v/>
      </c>
      <c r="F259" s="1060" t="str">
        <f>'Barge BQS Report'!F254</f>
        <v/>
      </c>
      <c r="G259" s="1061" t="str">
        <f>'Barge BQS Report'!E254</f>
        <v/>
      </c>
      <c r="H259" s="1060" t="str">
        <f>'Barge BQS Report'!G254</f>
        <v/>
      </c>
      <c r="I259" s="1159" t="str">
        <f>'Barge BQS Report'!H254</f>
        <v/>
      </c>
      <c r="J259" s="1062" t="str">
        <f>'Barge BQS Report'!I254</f>
        <v/>
      </c>
      <c r="K259" s="1063" t="str">
        <f>'Barge BQS Report'!J254</f>
        <v/>
      </c>
      <c r="L259" s="1064" t="str">
        <f>'Barge BQS Report'!L254</f>
        <v/>
      </c>
      <c r="M259" s="1064" t="str">
        <f>'Barge BQS Report'!O254</f>
        <v/>
      </c>
      <c r="N259" s="1065" t="str">
        <f>'Barge BQS Report'!M254</f>
        <v/>
      </c>
      <c r="O259" s="1065" t="str">
        <f>'Barge BQS Report'!P254</f>
        <v/>
      </c>
      <c r="P259" s="1064" t="str">
        <f>'Barge BQS Report'!Q254</f>
        <v/>
      </c>
      <c r="Q259" s="1044"/>
      <c r="R259" s="1044"/>
      <c r="S259" s="1044"/>
    </row>
    <row r="260" spans="1:19" hidden="1">
      <c r="A260" s="881" t="str">
        <f>'Barge BQS Report'!A255</f>
        <v>N</v>
      </c>
      <c r="C260" s="1057" t="str">
        <f>'Barge BQS Report'!C255</f>
        <v/>
      </c>
      <c r="D260" s="1058" t="str">
        <f>'Barge BQS Report'!D255</f>
        <v/>
      </c>
      <c r="E260" s="1059" t="str">
        <f>'Barge BQS Report'!N255</f>
        <v/>
      </c>
      <c r="F260" s="1060" t="str">
        <f>'Barge BQS Report'!F255</f>
        <v/>
      </c>
      <c r="G260" s="1061" t="str">
        <f>'Barge BQS Report'!E255</f>
        <v/>
      </c>
      <c r="H260" s="1060" t="str">
        <f>'Barge BQS Report'!G255</f>
        <v/>
      </c>
      <c r="I260" s="1159" t="str">
        <f>'Barge BQS Report'!H255</f>
        <v/>
      </c>
      <c r="J260" s="1062" t="str">
        <f>'Barge BQS Report'!I255</f>
        <v/>
      </c>
      <c r="K260" s="1063" t="str">
        <f>'Barge BQS Report'!J255</f>
        <v/>
      </c>
      <c r="L260" s="1064" t="str">
        <f>'Barge BQS Report'!L255</f>
        <v/>
      </c>
      <c r="M260" s="1064" t="str">
        <f>'Barge BQS Report'!O255</f>
        <v/>
      </c>
      <c r="N260" s="1065" t="str">
        <f>'Barge BQS Report'!M255</f>
        <v/>
      </c>
      <c r="O260" s="1065" t="str">
        <f>'Barge BQS Report'!P255</f>
        <v/>
      </c>
      <c r="P260" s="1064" t="str">
        <f>'Barge BQS Report'!Q255</f>
        <v/>
      </c>
      <c r="Q260" s="1044"/>
      <c r="R260" s="1044"/>
      <c r="S260" s="1044"/>
    </row>
    <row r="261" spans="1:19" hidden="1">
      <c r="A261" s="881" t="str">
        <f>'Barge BQS Report'!A256</f>
        <v>N</v>
      </c>
      <c r="C261" s="1057" t="str">
        <f>'Barge BQS Report'!C256</f>
        <v/>
      </c>
      <c r="D261" s="1058" t="str">
        <f>'Barge BQS Report'!D256</f>
        <v/>
      </c>
      <c r="E261" s="1059" t="str">
        <f>'Barge BQS Report'!N256</f>
        <v/>
      </c>
      <c r="F261" s="1060" t="str">
        <f>'Barge BQS Report'!F256</f>
        <v/>
      </c>
      <c r="G261" s="1061" t="str">
        <f>'Barge BQS Report'!E256</f>
        <v/>
      </c>
      <c r="H261" s="1060" t="str">
        <f>'Barge BQS Report'!G256</f>
        <v/>
      </c>
      <c r="I261" s="1159" t="str">
        <f>'Barge BQS Report'!H256</f>
        <v/>
      </c>
      <c r="J261" s="1062" t="str">
        <f>'Barge BQS Report'!I256</f>
        <v/>
      </c>
      <c r="K261" s="1063" t="str">
        <f>'Barge BQS Report'!J256</f>
        <v/>
      </c>
      <c r="L261" s="1064" t="str">
        <f>'Barge BQS Report'!L256</f>
        <v/>
      </c>
      <c r="M261" s="1064" t="str">
        <f>'Barge BQS Report'!O256</f>
        <v/>
      </c>
      <c r="N261" s="1065" t="str">
        <f>'Barge BQS Report'!M256</f>
        <v/>
      </c>
      <c r="O261" s="1065" t="str">
        <f>'Barge BQS Report'!P256</f>
        <v/>
      </c>
      <c r="P261" s="1064" t="str">
        <f>'Barge BQS Report'!Q256</f>
        <v/>
      </c>
      <c r="Q261" s="1044"/>
      <c r="R261" s="1044"/>
      <c r="S261" s="1044"/>
    </row>
    <row r="262" spans="1:19" hidden="1">
      <c r="A262" s="881" t="str">
        <f>'Barge BQS Report'!A257</f>
        <v>N</v>
      </c>
      <c r="C262" s="1057" t="str">
        <f>'Barge BQS Report'!C257</f>
        <v/>
      </c>
      <c r="D262" s="1058" t="str">
        <f>'Barge BQS Report'!D257</f>
        <v/>
      </c>
      <c r="E262" s="1059" t="str">
        <f>'Barge BQS Report'!N257</f>
        <v/>
      </c>
      <c r="F262" s="1060" t="str">
        <f>'Barge BQS Report'!F257</f>
        <v/>
      </c>
      <c r="G262" s="1061" t="str">
        <f>'Barge BQS Report'!E257</f>
        <v/>
      </c>
      <c r="H262" s="1060" t="str">
        <f>'Barge BQS Report'!G257</f>
        <v/>
      </c>
      <c r="I262" s="1159" t="str">
        <f>'Barge BQS Report'!H257</f>
        <v/>
      </c>
      <c r="J262" s="1062" t="str">
        <f>'Barge BQS Report'!I257</f>
        <v/>
      </c>
      <c r="K262" s="1063" t="str">
        <f>'Barge BQS Report'!J257</f>
        <v/>
      </c>
      <c r="L262" s="1064" t="str">
        <f>'Barge BQS Report'!L257</f>
        <v/>
      </c>
      <c r="M262" s="1064" t="str">
        <f>'Barge BQS Report'!O257</f>
        <v/>
      </c>
      <c r="N262" s="1065" t="str">
        <f>'Barge BQS Report'!M257</f>
        <v/>
      </c>
      <c r="O262" s="1065" t="str">
        <f>'Barge BQS Report'!P257</f>
        <v/>
      </c>
      <c r="P262" s="1064" t="str">
        <f>'Barge BQS Report'!Q257</f>
        <v/>
      </c>
      <c r="Q262" s="1044"/>
      <c r="R262" s="1044"/>
      <c r="S262" s="1044"/>
    </row>
    <row r="263" spans="1:19" hidden="1">
      <c r="A263" s="881" t="str">
        <f>'Barge BQS Report'!A258</f>
        <v>N</v>
      </c>
      <c r="C263" s="1057" t="str">
        <f>'Barge BQS Report'!C258</f>
        <v/>
      </c>
      <c r="D263" s="1058" t="str">
        <f>'Barge BQS Report'!D258</f>
        <v/>
      </c>
      <c r="E263" s="1059" t="str">
        <f>'Barge BQS Report'!N258</f>
        <v/>
      </c>
      <c r="F263" s="1060" t="str">
        <f>'Barge BQS Report'!F258</f>
        <v/>
      </c>
      <c r="G263" s="1061" t="str">
        <f>'Barge BQS Report'!E258</f>
        <v/>
      </c>
      <c r="H263" s="1060" t="str">
        <f>'Barge BQS Report'!G258</f>
        <v/>
      </c>
      <c r="I263" s="1159" t="str">
        <f>'Barge BQS Report'!H258</f>
        <v/>
      </c>
      <c r="J263" s="1062" t="str">
        <f>'Barge BQS Report'!I258</f>
        <v/>
      </c>
      <c r="K263" s="1063" t="str">
        <f>'Barge BQS Report'!J258</f>
        <v/>
      </c>
      <c r="L263" s="1064" t="str">
        <f>'Barge BQS Report'!L258</f>
        <v/>
      </c>
      <c r="M263" s="1064" t="str">
        <f>'Barge BQS Report'!O258</f>
        <v/>
      </c>
      <c r="N263" s="1065" t="str">
        <f>'Barge BQS Report'!M258</f>
        <v/>
      </c>
      <c r="O263" s="1065" t="str">
        <f>'Barge BQS Report'!P258</f>
        <v/>
      </c>
      <c r="P263" s="1064" t="str">
        <f>'Barge BQS Report'!Q258</f>
        <v/>
      </c>
      <c r="Q263" s="1044"/>
      <c r="R263" s="1044"/>
      <c r="S263" s="1044"/>
    </row>
    <row r="264" spans="1:19" hidden="1">
      <c r="A264" s="881" t="str">
        <f>'Barge BQS Report'!A259</f>
        <v>N</v>
      </c>
      <c r="C264" s="1057" t="str">
        <f>'Barge BQS Report'!C259</f>
        <v/>
      </c>
      <c r="D264" s="1058" t="str">
        <f>'Barge BQS Report'!D259</f>
        <v/>
      </c>
      <c r="E264" s="1059" t="str">
        <f>'Barge BQS Report'!N259</f>
        <v/>
      </c>
      <c r="F264" s="1060" t="str">
        <f>'Barge BQS Report'!F259</f>
        <v/>
      </c>
      <c r="G264" s="1061" t="str">
        <f>'Barge BQS Report'!E259</f>
        <v/>
      </c>
      <c r="H264" s="1060" t="str">
        <f>'Barge BQS Report'!G259</f>
        <v/>
      </c>
      <c r="I264" s="1159" t="str">
        <f>'Barge BQS Report'!H259</f>
        <v/>
      </c>
      <c r="J264" s="1062" t="str">
        <f>'Barge BQS Report'!I259</f>
        <v/>
      </c>
      <c r="K264" s="1063" t="str">
        <f>'Barge BQS Report'!J259</f>
        <v/>
      </c>
      <c r="L264" s="1064" t="str">
        <f>'Barge BQS Report'!L259</f>
        <v/>
      </c>
      <c r="M264" s="1064" t="str">
        <f>'Barge BQS Report'!O259</f>
        <v/>
      </c>
      <c r="N264" s="1065" t="str">
        <f>'Barge BQS Report'!M259</f>
        <v/>
      </c>
      <c r="O264" s="1065" t="str">
        <f>'Barge BQS Report'!P259</f>
        <v/>
      </c>
      <c r="P264" s="1064" t="str">
        <f>'Barge BQS Report'!Q259</f>
        <v/>
      </c>
      <c r="Q264" s="1044"/>
      <c r="R264" s="1044"/>
      <c r="S264" s="1044"/>
    </row>
    <row r="265" spans="1:19" hidden="1">
      <c r="A265" s="881" t="str">
        <f>'Barge BQS Report'!A260</f>
        <v>N</v>
      </c>
      <c r="C265" s="1057" t="str">
        <f>'Barge BQS Report'!C260</f>
        <v/>
      </c>
      <c r="D265" s="1058" t="str">
        <f>'Barge BQS Report'!D260</f>
        <v/>
      </c>
      <c r="E265" s="1059" t="str">
        <f>'Barge BQS Report'!N260</f>
        <v/>
      </c>
      <c r="F265" s="1060" t="str">
        <f>'Barge BQS Report'!F260</f>
        <v/>
      </c>
      <c r="G265" s="1061" t="str">
        <f>'Barge BQS Report'!E260</f>
        <v/>
      </c>
      <c r="H265" s="1060" t="str">
        <f>'Barge BQS Report'!G260</f>
        <v/>
      </c>
      <c r="I265" s="1159" t="str">
        <f>'Barge BQS Report'!H260</f>
        <v/>
      </c>
      <c r="J265" s="1062" t="str">
        <f>'Barge BQS Report'!I260</f>
        <v/>
      </c>
      <c r="K265" s="1063" t="str">
        <f>'Barge BQS Report'!J260</f>
        <v/>
      </c>
      <c r="L265" s="1064" t="str">
        <f>'Barge BQS Report'!L260</f>
        <v/>
      </c>
      <c r="M265" s="1064" t="str">
        <f>'Barge BQS Report'!O260</f>
        <v/>
      </c>
      <c r="N265" s="1065" t="str">
        <f>'Barge BQS Report'!M260</f>
        <v/>
      </c>
      <c r="O265" s="1065" t="str">
        <f>'Barge BQS Report'!P260</f>
        <v/>
      </c>
      <c r="P265" s="1064" t="str">
        <f>'Barge BQS Report'!Q260</f>
        <v/>
      </c>
      <c r="Q265" s="1044"/>
      <c r="R265" s="1044"/>
      <c r="S265" s="1044"/>
    </row>
    <row r="266" spans="1:19" hidden="1">
      <c r="A266" s="881" t="str">
        <f>'Barge BQS Report'!A261</f>
        <v>N</v>
      </c>
      <c r="C266" s="1057" t="str">
        <f>'Barge BQS Report'!C261</f>
        <v/>
      </c>
      <c r="D266" s="1058" t="str">
        <f>'Barge BQS Report'!D261</f>
        <v/>
      </c>
      <c r="E266" s="1059" t="str">
        <f>'Barge BQS Report'!N261</f>
        <v/>
      </c>
      <c r="F266" s="1060" t="str">
        <f>'Barge BQS Report'!F261</f>
        <v/>
      </c>
      <c r="G266" s="1061" t="str">
        <f>'Barge BQS Report'!E261</f>
        <v/>
      </c>
      <c r="H266" s="1060" t="str">
        <f>'Barge BQS Report'!G261</f>
        <v/>
      </c>
      <c r="I266" s="1159" t="str">
        <f>'Barge BQS Report'!H261</f>
        <v/>
      </c>
      <c r="J266" s="1062" t="str">
        <f>'Barge BQS Report'!I261</f>
        <v/>
      </c>
      <c r="K266" s="1063" t="str">
        <f>'Barge BQS Report'!J261</f>
        <v/>
      </c>
      <c r="L266" s="1064" t="str">
        <f>'Barge BQS Report'!L261</f>
        <v/>
      </c>
      <c r="M266" s="1064" t="str">
        <f>'Barge BQS Report'!O261</f>
        <v/>
      </c>
      <c r="N266" s="1065" t="str">
        <f>'Barge BQS Report'!M261</f>
        <v/>
      </c>
      <c r="O266" s="1065" t="str">
        <f>'Barge BQS Report'!P261</f>
        <v/>
      </c>
      <c r="P266" s="1064" t="str">
        <f>'Barge BQS Report'!Q261</f>
        <v/>
      </c>
      <c r="Q266" s="1044"/>
      <c r="R266" s="1044"/>
      <c r="S266" s="1044"/>
    </row>
    <row r="267" spans="1:19" hidden="1">
      <c r="A267" s="881" t="str">
        <f>'Barge BQS Report'!A262</f>
        <v>N</v>
      </c>
      <c r="C267" s="1057" t="str">
        <f>'Barge BQS Report'!C262</f>
        <v/>
      </c>
      <c r="D267" s="1058" t="str">
        <f>'Barge BQS Report'!D262</f>
        <v/>
      </c>
      <c r="E267" s="1059" t="str">
        <f>'Barge BQS Report'!N262</f>
        <v/>
      </c>
      <c r="F267" s="1060" t="str">
        <f>'Barge BQS Report'!F262</f>
        <v/>
      </c>
      <c r="G267" s="1061" t="str">
        <f>'Barge BQS Report'!E262</f>
        <v/>
      </c>
      <c r="H267" s="1060" t="str">
        <f>'Barge BQS Report'!G262</f>
        <v/>
      </c>
      <c r="I267" s="1159" t="str">
        <f>'Barge BQS Report'!H262</f>
        <v/>
      </c>
      <c r="J267" s="1062" t="str">
        <f>'Barge BQS Report'!I262</f>
        <v/>
      </c>
      <c r="K267" s="1063" t="str">
        <f>'Barge BQS Report'!J262</f>
        <v/>
      </c>
      <c r="L267" s="1064" t="str">
        <f>'Barge BQS Report'!L262</f>
        <v/>
      </c>
      <c r="M267" s="1064" t="str">
        <f>'Barge BQS Report'!O262</f>
        <v/>
      </c>
      <c r="N267" s="1065" t="str">
        <f>'Barge BQS Report'!M262</f>
        <v/>
      </c>
      <c r="O267" s="1065" t="str">
        <f>'Barge BQS Report'!P262</f>
        <v/>
      </c>
      <c r="P267" s="1064" t="str">
        <f>'Barge BQS Report'!Q262</f>
        <v/>
      </c>
      <c r="Q267" s="1044"/>
      <c r="R267" s="1044"/>
      <c r="S267" s="1044"/>
    </row>
    <row r="268" spans="1:19" hidden="1">
      <c r="A268" s="881" t="str">
        <f>'Barge BQS Report'!A263</f>
        <v>N</v>
      </c>
      <c r="C268" s="1057" t="str">
        <f>'Barge BQS Report'!C263</f>
        <v/>
      </c>
      <c r="D268" s="1058" t="str">
        <f>'Barge BQS Report'!D263</f>
        <v/>
      </c>
      <c r="E268" s="1059" t="str">
        <f>'Barge BQS Report'!N263</f>
        <v/>
      </c>
      <c r="F268" s="1060" t="str">
        <f>'Barge BQS Report'!F263</f>
        <v/>
      </c>
      <c r="G268" s="1061" t="str">
        <f>'Barge BQS Report'!E263</f>
        <v/>
      </c>
      <c r="H268" s="1060" t="str">
        <f>'Barge BQS Report'!G263</f>
        <v/>
      </c>
      <c r="I268" s="1159" t="str">
        <f>'Barge BQS Report'!H263</f>
        <v/>
      </c>
      <c r="J268" s="1062" t="str">
        <f>'Barge BQS Report'!I263</f>
        <v/>
      </c>
      <c r="K268" s="1063" t="str">
        <f>'Barge BQS Report'!J263</f>
        <v/>
      </c>
      <c r="L268" s="1064" t="str">
        <f>'Barge BQS Report'!L263</f>
        <v/>
      </c>
      <c r="M268" s="1064" t="str">
        <f>'Barge BQS Report'!O263</f>
        <v/>
      </c>
      <c r="N268" s="1065" t="str">
        <f>'Barge BQS Report'!M263</f>
        <v/>
      </c>
      <c r="O268" s="1065" t="str">
        <f>'Barge BQS Report'!P263</f>
        <v/>
      </c>
      <c r="P268" s="1064" t="str">
        <f>'Barge BQS Report'!Q263</f>
        <v/>
      </c>
      <c r="Q268" s="1044"/>
      <c r="R268" s="1044"/>
      <c r="S268" s="1044"/>
    </row>
    <row r="269" spans="1:19" hidden="1">
      <c r="A269" s="881" t="str">
        <f>'Barge BQS Report'!A264</f>
        <v>N</v>
      </c>
      <c r="C269" s="1066" t="str">
        <f>'Barge BQS Report'!C264</f>
        <v/>
      </c>
      <c r="D269" s="1067" t="str">
        <f>'Barge BQS Report'!D264</f>
        <v/>
      </c>
      <c r="E269" s="1068" t="str">
        <f>'Barge BQS Report'!N264</f>
        <v/>
      </c>
      <c r="F269" s="1069" t="str">
        <f>'Barge BQS Report'!F264</f>
        <v/>
      </c>
      <c r="G269" s="1070" t="str">
        <f>'Barge BQS Report'!E264</f>
        <v/>
      </c>
      <c r="H269" s="1069" t="str">
        <f>'Barge BQS Report'!G264</f>
        <v/>
      </c>
      <c r="I269" s="1160" t="str">
        <f>'Barge BQS Report'!H264</f>
        <v/>
      </c>
      <c r="J269" s="1071" t="str">
        <f>'Barge BQS Report'!I264</f>
        <v/>
      </c>
      <c r="K269" s="1072" t="str">
        <f>'Barge BQS Report'!J264</f>
        <v/>
      </c>
      <c r="L269" s="1073" t="str">
        <f>'Barge BQS Report'!L264</f>
        <v/>
      </c>
      <c r="M269" s="1073" t="str">
        <f>'Barge BQS Report'!O264</f>
        <v/>
      </c>
      <c r="N269" s="1074" t="str">
        <f>'Barge BQS Report'!M264</f>
        <v/>
      </c>
      <c r="O269" s="1074" t="str">
        <f>'Barge BQS Report'!P264</f>
        <v/>
      </c>
      <c r="P269" s="1073" t="str">
        <f>'Barge BQS Report'!Q264</f>
        <v/>
      </c>
      <c r="Q269" s="1044"/>
      <c r="R269" s="1044"/>
      <c r="S269" s="1044"/>
    </row>
    <row r="270" spans="1:19" hidden="1">
      <c r="A270" s="881" t="s">
        <v>270</v>
      </c>
      <c r="C270" s="1118"/>
      <c r="D270" s="1075"/>
      <c r="E270" s="1076"/>
      <c r="F270" s="1077"/>
      <c r="G270" s="1077"/>
      <c r="H270" s="1078"/>
      <c r="I270" s="1078"/>
      <c r="J270" s="1078"/>
      <c r="K270" s="1077"/>
      <c r="L270" s="1079"/>
      <c r="M270" s="2957" t="s">
        <v>801</v>
      </c>
      <c r="N270" s="2957"/>
      <c r="O270" s="3091">
        <f>SUM(P250:P269)</f>
        <v>0</v>
      </c>
      <c r="P270" s="3092"/>
      <c r="Q270" s="1044"/>
      <c r="R270" s="1044"/>
      <c r="S270" s="1044"/>
    </row>
    <row r="271" spans="1:19" s="1046" customFormat="1" ht="5.25" hidden="1">
      <c r="A271" s="1046" t="s">
        <v>270</v>
      </c>
      <c r="C271" s="1108"/>
      <c r="D271" s="1109"/>
      <c r="E271" s="1110"/>
      <c r="F271" s="1111"/>
      <c r="G271" s="1111"/>
      <c r="H271" s="1112"/>
      <c r="I271" s="1113"/>
      <c r="J271" s="1113"/>
      <c r="K271" s="1114"/>
      <c r="L271" s="1115"/>
      <c r="M271" s="1115"/>
      <c r="N271" s="1116"/>
      <c r="O271" s="1117"/>
      <c r="P271" s="1115"/>
      <c r="Q271" s="1045"/>
      <c r="R271" s="1045"/>
      <c r="S271" s="1045"/>
    </row>
    <row r="272" spans="1:19" hidden="1">
      <c r="A272" s="881" t="s">
        <v>270</v>
      </c>
      <c r="B272" s="881">
        <v>4</v>
      </c>
      <c r="C272" s="2959" t="str">
        <f>'Barge BQS Report'!C267</f>
        <v>NOMINATED TANKS</v>
      </c>
      <c r="D272" s="2960">
        <f>'Vessel BQS Report'!D267</f>
        <v>0</v>
      </c>
      <c r="E272" s="2960">
        <f>'Vessel BQS Report'!N267</f>
        <v>0</v>
      </c>
      <c r="F272" s="2961">
        <f>'Vessel BQS Report'!F267</f>
        <v>0</v>
      </c>
      <c r="G272" s="2962" t="str">
        <f>'Barge BQS Report'!E267</f>
        <v>LSMDO</v>
      </c>
      <c r="H272" s="2963">
        <f>'Vessel BQS Report'!G267</f>
        <v>0</v>
      </c>
      <c r="I272" s="1051"/>
      <c r="J272" s="1052"/>
      <c r="K272" s="1053"/>
      <c r="L272" s="1054"/>
      <c r="M272" s="1054"/>
      <c r="N272" s="1055"/>
      <c r="O272" s="1056"/>
      <c r="P272" s="1054"/>
      <c r="Q272" s="1044"/>
      <c r="R272" s="1044"/>
      <c r="S272" s="1044"/>
    </row>
    <row r="273" spans="1:19" hidden="1">
      <c r="A273" s="881" t="str">
        <f>'Barge BQS Report'!A268</f>
        <v>N</v>
      </c>
      <c r="C273" s="1057" t="str">
        <f>'Barge BQS Report'!C268</f>
        <v/>
      </c>
      <c r="D273" s="1058" t="str">
        <f>'Barge BQS Report'!D268</f>
        <v/>
      </c>
      <c r="E273" s="1059" t="str">
        <f>'Barge BQS Report'!N268</f>
        <v/>
      </c>
      <c r="F273" s="1060" t="str">
        <f>'Barge BQS Report'!F268</f>
        <v/>
      </c>
      <c r="G273" s="1061" t="str">
        <f>'Barge BQS Report'!E268</f>
        <v/>
      </c>
      <c r="H273" s="1060" t="str">
        <f>'Barge BQS Report'!G268</f>
        <v/>
      </c>
      <c r="I273" s="1159" t="str">
        <f>'Barge BQS Report'!H268</f>
        <v/>
      </c>
      <c r="J273" s="1062" t="str">
        <f>'Barge BQS Report'!I268</f>
        <v/>
      </c>
      <c r="K273" s="1063" t="str">
        <f>'Barge BQS Report'!J268</f>
        <v/>
      </c>
      <c r="L273" s="1064" t="str">
        <f>'Barge BQS Report'!L268</f>
        <v/>
      </c>
      <c r="M273" s="1064" t="str">
        <f>'Barge BQS Report'!O268</f>
        <v/>
      </c>
      <c r="N273" s="1065" t="str">
        <f>'Barge BQS Report'!M268</f>
        <v/>
      </c>
      <c r="O273" s="1065" t="str">
        <f>'Barge BQS Report'!P268</f>
        <v/>
      </c>
      <c r="P273" s="1064" t="str">
        <f>'Barge BQS Report'!Q268</f>
        <v/>
      </c>
      <c r="Q273" s="1044"/>
      <c r="R273" s="1044"/>
      <c r="S273" s="1044"/>
    </row>
    <row r="274" spans="1:19" hidden="1">
      <c r="A274" s="881" t="str">
        <f>'Barge BQS Report'!A269</f>
        <v>N</v>
      </c>
      <c r="C274" s="1057" t="str">
        <f>'Barge BQS Report'!C269</f>
        <v/>
      </c>
      <c r="D274" s="1058" t="str">
        <f>'Barge BQS Report'!D269</f>
        <v/>
      </c>
      <c r="E274" s="1059" t="str">
        <f>'Barge BQS Report'!N269</f>
        <v/>
      </c>
      <c r="F274" s="1060" t="str">
        <f>'Barge BQS Report'!F269</f>
        <v/>
      </c>
      <c r="G274" s="1061" t="str">
        <f>'Barge BQS Report'!E269</f>
        <v/>
      </c>
      <c r="H274" s="1060" t="str">
        <f>'Barge BQS Report'!G269</f>
        <v/>
      </c>
      <c r="I274" s="1159" t="str">
        <f>'Barge BQS Report'!H269</f>
        <v/>
      </c>
      <c r="J274" s="1062" t="str">
        <f>'Barge BQS Report'!I269</f>
        <v/>
      </c>
      <c r="K274" s="1063" t="str">
        <f>'Barge BQS Report'!J269</f>
        <v/>
      </c>
      <c r="L274" s="1064" t="str">
        <f>'Barge BQS Report'!L269</f>
        <v/>
      </c>
      <c r="M274" s="1064" t="str">
        <f>'Barge BQS Report'!O269</f>
        <v/>
      </c>
      <c r="N274" s="1065" t="str">
        <f>'Barge BQS Report'!M269</f>
        <v/>
      </c>
      <c r="O274" s="1065" t="str">
        <f>'Barge BQS Report'!P269</f>
        <v/>
      </c>
      <c r="P274" s="1064" t="str">
        <f>'Barge BQS Report'!Q269</f>
        <v/>
      </c>
      <c r="Q274" s="1044"/>
      <c r="R274" s="1044"/>
      <c r="S274" s="1044"/>
    </row>
    <row r="275" spans="1:19" hidden="1">
      <c r="A275" s="881" t="str">
        <f>'Barge BQS Report'!A270</f>
        <v>N</v>
      </c>
      <c r="C275" s="1057" t="str">
        <f>'Barge BQS Report'!C270</f>
        <v/>
      </c>
      <c r="D275" s="1058" t="str">
        <f>'Barge BQS Report'!D270</f>
        <v/>
      </c>
      <c r="E275" s="1059" t="str">
        <f>'Barge BQS Report'!N270</f>
        <v/>
      </c>
      <c r="F275" s="1060" t="str">
        <f>'Barge BQS Report'!F270</f>
        <v/>
      </c>
      <c r="G275" s="1061" t="str">
        <f>'Barge BQS Report'!E270</f>
        <v/>
      </c>
      <c r="H275" s="1060" t="str">
        <f>'Barge BQS Report'!G270</f>
        <v/>
      </c>
      <c r="I275" s="1159" t="str">
        <f>'Barge BQS Report'!H270</f>
        <v/>
      </c>
      <c r="J275" s="1062" t="str">
        <f>'Barge BQS Report'!I270</f>
        <v/>
      </c>
      <c r="K275" s="1063" t="str">
        <f>'Barge BQS Report'!J270</f>
        <v/>
      </c>
      <c r="L275" s="1064" t="str">
        <f>'Barge BQS Report'!L270</f>
        <v/>
      </c>
      <c r="M275" s="1064" t="str">
        <f>'Barge BQS Report'!O270</f>
        <v/>
      </c>
      <c r="N275" s="1065" t="str">
        <f>'Barge BQS Report'!M270</f>
        <v/>
      </c>
      <c r="O275" s="1065" t="str">
        <f>'Barge BQS Report'!P270</f>
        <v/>
      </c>
      <c r="P275" s="1064" t="str">
        <f>'Barge BQS Report'!Q270</f>
        <v/>
      </c>
      <c r="Q275" s="1044"/>
      <c r="R275" s="1044"/>
      <c r="S275" s="1044"/>
    </row>
    <row r="276" spans="1:19" hidden="1">
      <c r="A276" s="881" t="str">
        <f>'Barge BQS Report'!A271</f>
        <v>N</v>
      </c>
      <c r="C276" s="1057" t="str">
        <f>'Barge BQS Report'!C271</f>
        <v/>
      </c>
      <c r="D276" s="1058" t="str">
        <f>'Barge BQS Report'!D271</f>
        <v/>
      </c>
      <c r="E276" s="1059" t="str">
        <f>'Barge BQS Report'!N271</f>
        <v/>
      </c>
      <c r="F276" s="1060" t="str">
        <f>'Barge BQS Report'!F271</f>
        <v/>
      </c>
      <c r="G276" s="1061" t="str">
        <f>'Barge BQS Report'!E271</f>
        <v/>
      </c>
      <c r="H276" s="1060" t="str">
        <f>'Barge BQS Report'!G271</f>
        <v/>
      </c>
      <c r="I276" s="1159" t="str">
        <f>'Barge BQS Report'!H271</f>
        <v/>
      </c>
      <c r="J276" s="1062" t="str">
        <f>'Barge BQS Report'!I271</f>
        <v/>
      </c>
      <c r="K276" s="1063" t="str">
        <f>'Barge BQS Report'!J271</f>
        <v/>
      </c>
      <c r="L276" s="1064" t="str">
        <f>'Barge BQS Report'!L271</f>
        <v/>
      </c>
      <c r="M276" s="1064" t="str">
        <f>'Barge BQS Report'!O271</f>
        <v/>
      </c>
      <c r="N276" s="1065" t="str">
        <f>'Barge BQS Report'!M271</f>
        <v/>
      </c>
      <c r="O276" s="1065" t="str">
        <f>'Barge BQS Report'!P271</f>
        <v/>
      </c>
      <c r="P276" s="1064" t="str">
        <f>'Barge BQS Report'!Q271</f>
        <v/>
      </c>
      <c r="Q276" s="1044"/>
      <c r="R276" s="1044"/>
      <c r="S276" s="1044"/>
    </row>
    <row r="277" spans="1:19" hidden="1">
      <c r="A277" s="881" t="str">
        <f>'Barge BQS Report'!A272</f>
        <v>N</v>
      </c>
      <c r="C277" s="1057" t="str">
        <f>'Barge BQS Report'!C272</f>
        <v/>
      </c>
      <c r="D277" s="1058" t="str">
        <f>'Barge BQS Report'!D272</f>
        <v/>
      </c>
      <c r="E277" s="1059" t="str">
        <f>'Barge BQS Report'!N272</f>
        <v/>
      </c>
      <c r="F277" s="1060" t="str">
        <f>'Barge BQS Report'!F272</f>
        <v/>
      </c>
      <c r="G277" s="1061" t="str">
        <f>'Barge BQS Report'!E272</f>
        <v/>
      </c>
      <c r="H277" s="1060" t="str">
        <f>'Barge BQS Report'!G272</f>
        <v/>
      </c>
      <c r="I277" s="1159" t="str">
        <f>'Barge BQS Report'!H272</f>
        <v/>
      </c>
      <c r="J277" s="1062" t="str">
        <f>'Barge BQS Report'!I272</f>
        <v/>
      </c>
      <c r="K277" s="1063" t="str">
        <f>'Barge BQS Report'!J272</f>
        <v/>
      </c>
      <c r="L277" s="1064" t="str">
        <f>'Barge BQS Report'!L272</f>
        <v/>
      </c>
      <c r="M277" s="1064" t="str">
        <f>'Barge BQS Report'!O272</f>
        <v/>
      </c>
      <c r="N277" s="1065" t="str">
        <f>'Barge BQS Report'!M272</f>
        <v/>
      </c>
      <c r="O277" s="1065" t="str">
        <f>'Barge BQS Report'!P272</f>
        <v/>
      </c>
      <c r="P277" s="1064" t="str">
        <f>'Barge BQS Report'!Q272</f>
        <v/>
      </c>
      <c r="Q277" s="1044"/>
      <c r="R277" s="1044"/>
      <c r="S277" s="1044"/>
    </row>
    <row r="278" spans="1:19" hidden="1">
      <c r="A278" s="881" t="str">
        <f>'Barge BQS Report'!A273</f>
        <v>N</v>
      </c>
      <c r="C278" s="1057" t="str">
        <f>'Barge BQS Report'!C273</f>
        <v/>
      </c>
      <c r="D278" s="1058" t="str">
        <f>'Barge BQS Report'!D273</f>
        <v/>
      </c>
      <c r="E278" s="1059" t="str">
        <f>'Barge BQS Report'!N273</f>
        <v/>
      </c>
      <c r="F278" s="1060" t="str">
        <f>'Barge BQS Report'!F273</f>
        <v/>
      </c>
      <c r="G278" s="1061" t="str">
        <f>'Barge BQS Report'!E273</f>
        <v/>
      </c>
      <c r="H278" s="1060" t="str">
        <f>'Barge BQS Report'!G273</f>
        <v/>
      </c>
      <c r="I278" s="1159" t="str">
        <f>'Barge BQS Report'!H273</f>
        <v/>
      </c>
      <c r="J278" s="1062" t="str">
        <f>'Barge BQS Report'!I273</f>
        <v/>
      </c>
      <c r="K278" s="1063" t="str">
        <f>'Barge BQS Report'!J273</f>
        <v/>
      </c>
      <c r="L278" s="1064" t="str">
        <f>'Barge BQS Report'!L273</f>
        <v/>
      </c>
      <c r="M278" s="1064" t="str">
        <f>'Barge BQS Report'!O273</f>
        <v/>
      </c>
      <c r="N278" s="1065" t="str">
        <f>'Barge BQS Report'!M273</f>
        <v/>
      </c>
      <c r="O278" s="1065" t="str">
        <f>'Barge BQS Report'!P273</f>
        <v/>
      </c>
      <c r="P278" s="1064" t="str">
        <f>'Barge BQS Report'!Q273</f>
        <v/>
      </c>
      <c r="Q278" s="1044"/>
      <c r="R278" s="1044"/>
      <c r="S278" s="1044"/>
    </row>
    <row r="279" spans="1:19" hidden="1">
      <c r="A279" s="881" t="str">
        <f>'Barge BQS Report'!A274</f>
        <v>N</v>
      </c>
      <c r="C279" s="1057" t="str">
        <f>'Barge BQS Report'!C274</f>
        <v/>
      </c>
      <c r="D279" s="1058" t="str">
        <f>'Barge BQS Report'!D274</f>
        <v/>
      </c>
      <c r="E279" s="1059" t="str">
        <f>'Barge BQS Report'!N274</f>
        <v/>
      </c>
      <c r="F279" s="1060" t="str">
        <f>'Barge BQS Report'!F274</f>
        <v/>
      </c>
      <c r="G279" s="1061" t="str">
        <f>'Barge BQS Report'!E274</f>
        <v/>
      </c>
      <c r="H279" s="1060" t="str">
        <f>'Barge BQS Report'!G274</f>
        <v/>
      </c>
      <c r="I279" s="1159" t="str">
        <f>'Barge BQS Report'!H274</f>
        <v/>
      </c>
      <c r="J279" s="1062" t="str">
        <f>'Barge BQS Report'!I274</f>
        <v/>
      </c>
      <c r="K279" s="1063" t="str">
        <f>'Barge BQS Report'!J274</f>
        <v/>
      </c>
      <c r="L279" s="1064" t="str">
        <f>'Barge BQS Report'!L274</f>
        <v/>
      </c>
      <c r="M279" s="1064" t="str">
        <f>'Barge BQS Report'!O274</f>
        <v/>
      </c>
      <c r="N279" s="1065" t="str">
        <f>'Barge BQS Report'!M274</f>
        <v/>
      </c>
      <c r="O279" s="1065" t="str">
        <f>'Barge BQS Report'!P274</f>
        <v/>
      </c>
      <c r="P279" s="1064" t="str">
        <f>'Barge BQS Report'!Q274</f>
        <v/>
      </c>
      <c r="Q279" s="1044"/>
      <c r="R279" s="1044"/>
      <c r="S279" s="1044"/>
    </row>
    <row r="280" spans="1:19" hidden="1">
      <c r="A280" s="881" t="str">
        <f>'Barge BQS Report'!A275</f>
        <v>N</v>
      </c>
      <c r="C280" s="1057" t="str">
        <f>'Barge BQS Report'!C275</f>
        <v/>
      </c>
      <c r="D280" s="1058" t="str">
        <f>'Barge BQS Report'!D275</f>
        <v/>
      </c>
      <c r="E280" s="1059" t="str">
        <f>'Barge BQS Report'!N275</f>
        <v/>
      </c>
      <c r="F280" s="1060" t="str">
        <f>'Barge BQS Report'!F275</f>
        <v/>
      </c>
      <c r="G280" s="1061" t="str">
        <f>'Barge BQS Report'!E275</f>
        <v/>
      </c>
      <c r="H280" s="1060" t="str">
        <f>'Barge BQS Report'!G275</f>
        <v/>
      </c>
      <c r="I280" s="1159" t="str">
        <f>'Barge BQS Report'!H275</f>
        <v/>
      </c>
      <c r="J280" s="1062" t="str">
        <f>'Barge BQS Report'!I275</f>
        <v/>
      </c>
      <c r="K280" s="1063" t="str">
        <f>'Barge BQS Report'!J275</f>
        <v/>
      </c>
      <c r="L280" s="1064" t="str">
        <f>'Barge BQS Report'!L275</f>
        <v/>
      </c>
      <c r="M280" s="1064" t="str">
        <f>'Barge BQS Report'!O275</f>
        <v/>
      </c>
      <c r="N280" s="1065" t="str">
        <f>'Barge BQS Report'!M275</f>
        <v/>
      </c>
      <c r="O280" s="1065" t="str">
        <f>'Barge BQS Report'!P275</f>
        <v/>
      </c>
      <c r="P280" s="1064" t="str">
        <f>'Barge BQS Report'!Q275</f>
        <v/>
      </c>
      <c r="Q280" s="1044"/>
      <c r="R280" s="1044"/>
      <c r="S280" s="1044"/>
    </row>
    <row r="281" spans="1:19" hidden="1">
      <c r="A281" s="881" t="str">
        <f>'Barge BQS Report'!A276</f>
        <v>N</v>
      </c>
      <c r="C281" s="1057" t="str">
        <f>'Barge BQS Report'!C276</f>
        <v/>
      </c>
      <c r="D281" s="1058" t="str">
        <f>'Barge BQS Report'!D276</f>
        <v/>
      </c>
      <c r="E281" s="1059" t="str">
        <f>'Barge BQS Report'!N276</f>
        <v/>
      </c>
      <c r="F281" s="1060" t="str">
        <f>'Barge BQS Report'!F276</f>
        <v/>
      </c>
      <c r="G281" s="1061" t="str">
        <f>'Barge BQS Report'!E276</f>
        <v/>
      </c>
      <c r="H281" s="1060" t="str">
        <f>'Barge BQS Report'!G276</f>
        <v/>
      </c>
      <c r="I281" s="1159" t="str">
        <f>'Barge BQS Report'!H276</f>
        <v/>
      </c>
      <c r="J281" s="1062" t="str">
        <f>'Barge BQS Report'!I276</f>
        <v/>
      </c>
      <c r="K281" s="1063" t="str">
        <f>'Barge BQS Report'!J276</f>
        <v/>
      </c>
      <c r="L281" s="1064" t="str">
        <f>'Barge BQS Report'!L276</f>
        <v/>
      </c>
      <c r="M281" s="1064" t="str">
        <f>'Barge BQS Report'!O276</f>
        <v/>
      </c>
      <c r="N281" s="1065" t="str">
        <f>'Barge BQS Report'!M276</f>
        <v/>
      </c>
      <c r="O281" s="1065" t="str">
        <f>'Barge BQS Report'!P276</f>
        <v/>
      </c>
      <c r="P281" s="1064" t="str">
        <f>'Barge BQS Report'!Q276</f>
        <v/>
      </c>
      <c r="Q281" s="1044"/>
      <c r="R281" s="1044"/>
      <c r="S281" s="1044"/>
    </row>
    <row r="282" spans="1:19" hidden="1">
      <c r="A282" s="881" t="str">
        <f>'Barge BQS Report'!A277</f>
        <v>N</v>
      </c>
      <c r="C282" s="1057" t="str">
        <f>'Barge BQS Report'!C277</f>
        <v/>
      </c>
      <c r="D282" s="1058" t="str">
        <f>'Barge BQS Report'!D277</f>
        <v/>
      </c>
      <c r="E282" s="1059" t="str">
        <f>'Barge BQS Report'!N277</f>
        <v/>
      </c>
      <c r="F282" s="1060" t="str">
        <f>'Barge BQS Report'!F277</f>
        <v/>
      </c>
      <c r="G282" s="1061" t="str">
        <f>'Barge BQS Report'!E277</f>
        <v/>
      </c>
      <c r="H282" s="1060" t="str">
        <f>'Barge BQS Report'!G277</f>
        <v/>
      </c>
      <c r="I282" s="1159" t="str">
        <f>'Barge BQS Report'!H277</f>
        <v/>
      </c>
      <c r="J282" s="1062" t="str">
        <f>'Barge BQS Report'!I277</f>
        <v/>
      </c>
      <c r="K282" s="1063" t="str">
        <f>'Barge BQS Report'!J277</f>
        <v/>
      </c>
      <c r="L282" s="1064" t="str">
        <f>'Barge BQS Report'!L277</f>
        <v/>
      </c>
      <c r="M282" s="1064" t="str">
        <f>'Barge BQS Report'!O277</f>
        <v/>
      </c>
      <c r="N282" s="1065" t="str">
        <f>'Barge BQS Report'!M277</f>
        <v/>
      </c>
      <c r="O282" s="1065" t="str">
        <f>'Barge BQS Report'!P277</f>
        <v/>
      </c>
      <c r="P282" s="1064" t="str">
        <f>'Barge BQS Report'!Q277</f>
        <v/>
      </c>
      <c r="Q282" s="1044"/>
      <c r="R282" s="1044"/>
      <c r="S282" s="1044"/>
    </row>
    <row r="283" spans="1:19" hidden="1">
      <c r="A283" s="881" t="str">
        <f>'Barge BQS Report'!A278</f>
        <v>N</v>
      </c>
      <c r="C283" s="1057" t="str">
        <f>'Barge BQS Report'!C278</f>
        <v/>
      </c>
      <c r="D283" s="1058" t="str">
        <f>'Barge BQS Report'!D278</f>
        <v/>
      </c>
      <c r="E283" s="1059" t="str">
        <f>'Barge BQS Report'!N278</f>
        <v/>
      </c>
      <c r="F283" s="1060" t="str">
        <f>'Barge BQS Report'!F278</f>
        <v/>
      </c>
      <c r="G283" s="1061" t="str">
        <f>'Barge BQS Report'!E278</f>
        <v/>
      </c>
      <c r="H283" s="1060" t="str">
        <f>'Barge BQS Report'!G278</f>
        <v/>
      </c>
      <c r="I283" s="1159" t="str">
        <f>'Barge BQS Report'!H278</f>
        <v/>
      </c>
      <c r="J283" s="1062" t="str">
        <f>'Barge BQS Report'!I278</f>
        <v/>
      </c>
      <c r="K283" s="1063" t="str">
        <f>'Barge BQS Report'!J278</f>
        <v/>
      </c>
      <c r="L283" s="1064" t="str">
        <f>'Barge BQS Report'!L278</f>
        <v/>
      </c>
      <c r="M283" s="1064" t="str">
        <f>'Barge BQS Report'!O278</f>
        <v/>
      </c>
      <c r="N283" s="1065" t="str">
        <f>'Barge BQS Report'!M278</f>
        <v/>
      </c>
      <c r="O283" s="1065" t="str">
        <f>'Barge BQS Report'!P278</f>
        <v/>
      </c>
      <c r="P283" s="1064" t="str">
        <f>'Barge BQS Report'!Q278</f>
        <v/>
      </c>
      <c r="Q283" s="1044"/>
      <c r="R283" s="1044"/>
      <c r="S283" s="1044"/>
    </row>
    <row r="284" spans="1:19" hidden="1">
      <c r="A284" s="881" t="str">
        <f>'Barge BQS Report'!A279</f>
        <v>N</v>
      </c>
      <c r="C284" s="1057" t="str">
        <f>'Barge BQS Report'!C279</f>
        <v/>
      </c>
      <c r="D284" s="1058" t="str">
        <f>'Barge BQS Report'!D279</f>
        <v/>
      </c>
      <c r="E284" s="1059" t="str">
        <f>'Barge BQS Report'!N279</f>
        <v/>
      </c>
      <c r="F284" s="1060" t="str">
        <f>'Barge BQS Report'!F279</f>
        <v/>
      </c>
      <c r="G284" s="1061" t="str">
        <f>'Barge BQS Report'!E279</f>
        <v/>
      </c>
      <c r="H284" s="1060" t="str">
        <f>'Barge BQS Report'!G279</f>
        <v/>
      </c>
      <c r="I284" s="1159" t="str">
        <f>'Barge BQS Report'!H279</f>
        <v/>
      </c>
      <c r="J284" s="1062" t="str">
        <f>'Barge BQS Report'!I279</f>
        <v/>
      </c>
      <c r="K284" s="1063" t="str">
        <f>'Barge BQS Report'!J279</f>
        <v/>
      </c>
      <c r="L284" s="1064" t="str">
        <f>'Barge BQS Report'!L279</f>
        <v/>
      </c>
      <c r="M284" s="1064" t="str">
        <f>'Barge BQS Report'!O279</f>
        <v/>
      </c>
      <c r="N284" s="1065" t="str">
        <f>'Barge BQS Report'!M279</f>
        <v/>
      </c>
      <c r="O284" s="1065" t="str">
        <f>'Barge BQS Report'!P279</f>
        <v/>
      </c>
      <c r="P284" s="1064" t="str">
        <f>'Barge BQS Report'!Q279</f>
        <v/>
      </c>
      <c r="Q284" s="1044"/>
      <c r="R284" s="1044"/>
      <c r="S284" s="1044"/>
    </row>
    <row r="285" spans="1:19" hidden="1">
      <c r="A285" s="881" t="str">
        <f>'Barge BQS Report'!A280</f>
        <v>N</v>
      </c>
      <c r="C285" s="1057" t="str">
        <f>'Barge BQS Report'!C280</f>
        <v/>
      </c>
      <c r="D285" s="1058" t="str">
        <f>'Barge BQS Report'!D280</f>
        <v/>
      </c>
      <c r="E285" s="1059" t="str">
        <f>'Barge BQS Report'!N280</f>
        <v/>
      </c>
      <c r="F285" s="1060" t="str">
        <f>'Barge BQS Report'!F280</f>
        <v/>
      </c>
      <c r="G285" s="1061" t="str">
        <f>'Barge BQS Report'!E280</f>
        <v/>
      </c>
      <c r="H285" s="1060" t="str">
        <f>'Barge BQS Report'!G280</f>
        <v/>
      </c>
      <c r="I285" s="1159" t="str">
        <f>'Barge BQS Report'!H280</f>
        <v/>
      </c>
      <c r="J285" s="1062" t="str">
        <f>'Barge BQS Report'!I280</f>
        <v/>
      </c>
      <c r="K285" s="1063" t="str">
        <f>'Barge BQS Report'!J280</f>
        <v/>
      </c>
      <c r="L285" s="1064" t="str">
        <f>'Barge BQS Report'!L280</f>
        <v/>
      </c>
      <c r="M285" s="1064" t="str">
        <f>'Barge BQS Report'!O280</f>
        <v/>
      </c>
      <c r="N285" s="1065" t="str">
        <f>'Barge BQS Report'!M280</f>
        <v/>
      </c>
      <c r="O285" s="1065" t="str">
        <f>'Barge BQS Report'!P280</f>
        <v/>
      </c>
      <c r="P285" s="1064" t="str">
        <f>'Barge BQS Report'!Q280</f>
        <v/>
      </c>
      <c r="Q285" s="1044"/>
      <c r="R285" s="1044"/>
      <c r="S285" s="1044"/>
    </row>
    <row r="286" spans="1:19" hidden="1">
      <c r="A286" s="881" t="str">
        <f>'Barge BQS Report'!A281</f>
        <v>N</v>
      </c>
      <c r="C286" s="1057" t="str">
        <f>'Barge BQS Report'!C281</f>
        <v/>
      </c>
      <c r="D286" s="1058" t="str">
        <f>'Barge BQS Report'!D281</f>
        <v/>
      </c>
      <c r="E286" s="1059" t="str">
        <f>'Barge BQS Report'!N281</f>
        <v/>
      </c>
      <c r="F286" s="1060" t="str">
        <f>'Barge BQS Report'!F281</f>
        <v/>
      </c>
      <c r="G286" s="1061" t="str">
        <f>'Barge BQS Report'!E281</f>
        <v/>
      </c>
      <c r="H286" s="1060" t="str">
        <f>'Barge BQS Report'!G281</f>
        <v/>
      </c>
      <c r="I286" s="1159" t="str">
        <f>'Barge BQS Report'!H281</f>
        <v/>
      </c>
      <c r="J286" s="1062" t="str">
        <f>'Barge BQS Report'!I281</f>
        <v/>
      </c>
      <c r="K286" s="1063" t="str">
        <f>'Barge BQS Report'!J281</f>
        <v/>
      </c>
      <c r="L286" s="1064" t="str">
        <f>'Barge BQS Report'!L281</f>
        <v/>
      </c>
      <c r="M286" s="1064" t="str">
        <f>'Barge BQS Report'!O281</f>
        <v/>
      </c>
      <c r="N286" s="1065" t="str">
        <f>'Barge BQS Report'!M281</f>
        <v/>
      </c>
      <c r="O286" s="1065" t="str">
        <f>'Barge BQS Report'!P281</f>
        <v/>
      </c>
      <c r="P286" s="1064" t="str">
        <f>'Barge BQS Report'!Q281</f>
        <v/>
      </c>
      <c r="Q286" s="1044"/>
      <c r="R286" s="1044"/>
      <c r="S286" s="1044"/>
    </row>
    <row r="287" spans="1:19" hidden="1">
      <c r="A287" s="881" t="str">
        <f>'Barge BQS Report'!A282</f>
        <v>N</v>
      </c>
      <c r="C287" s="1057" t="str">
        <f>'Barge BQS Report'!C282</f>
        <v/>
      </c>
      <c r="D287" s="1058" t="str">
        <f>'Barge BQS Report'!D282</f>
        <v/>
      </c>
      <c r="E287" s="1059" t="str">
        <f>'Barge BQS Report'!N282</f>
        <v/>
      </c>
      <c r="F287" s="1060" t="str">
        <f>'Barge BQS Report'!F282</f>
        <v/>
      </c>
      <c r="G287" s="1061" t="str">
        <f>'Barge BQS Report'!E282</f>
        <v/>
      </c>
      <c r="H287" s="1060" t="str">
        <f>'Barge BQS Report'!G282</f>
        <v/>
      </c>
      <c r="I287" s="1159" t="str">
        <f>'Barge BQS Report'!H282</f>
        <v/>
      </c>
      <c r="J287" s="1062" t="str">
        <f>'Barge BQS Report'!I282</f>
        <v/>
      </c>
      <c r="K287" s="1063" t="str">
        <f>'Barge BQS Report'!J282</f>
        <v/>
      </c>
      <c r="L287" s="1064" t="str">
        <f>'Barge BQS Report'!L282</f>
        <v/>
      </c>
      <c r="M287" s="1064" t="str">
        <f>'Barge BQS Report'!O282</f>
        <v/>
      </c>
      <c r="N287" s="1065" t="str">
        <f>'Barge BQS Report'!M282</f>
        <v/>
      </c>
      <c r="O287" s="1065" t="str">
        <f>'Barge BQS Report'!P282</f>
        <v/>
      </c>
      <c r="P287" s="1064" t="str">
        <f>'Barge BQS Report'!Q282</f>
        <v/>
      </c>
      <c r="Q287" s="1044"/>
      <c r="R287" s="1044"/>
      <c r="S287" s="1044"/>
    </row>
    <row r="288" spans="1:19" hidden="1">
      <c r="A288" s="881" t="str">
        <f>'Barge BQS Report'!A283</f>
        <v>N</v>
      </c>
      <c r="C288" s="1057" t="str">
        <f>'Barge BQS Report'!C283</f>
        <v/>
      </c>
      <c r="D288" s="1058" t="str">
        <f>'Barge BQS Report'!D283</f>
        <v/>
      </c>
      <c r="E288" s="1059" t="str">
        <f>'Barge BQS Report'!N283</f>
        <v/>
      </c>
      <c r="F288" s="1060" t="str">
        <f>'Barge BQS Report'!F283</f>
        <v/>
      </c>
      <c r="G288" s="1061" t="str">
        <f>'Barge BQS Report'!E283</f>
        <v/>
      </c>
      <c r="H288" s="1060" t="str">
        <f>'Barge BQS Report'!G283</f>
        <v/>
      </c>
      <c r="I288" s="1159" t="str">
        <f>'Barge BQS Report'!H283</f>
        <v/>
      </c>
      <c r="J288" s="1062" t="str">
        <f>'Barge BQS Report'!I283</f>
        <v/>
      </c>
      <c r="K288" s="1063" t="str">
        <f>'Barge BQS Report'!J283</f>
        <v/>
      </c>
      <c r="L288" s="1064" t="str">
        <f>'Barge BQS Report'!L283</f>
        <v/>
      </c>
      <c r="M288" s="1064" t="str">
        <f>'Barge BQS Report'!O283</f>
        <v/>
      </c>
      <c r="N288" s="1065" t="str">
        <f>'Barge BQS Report'!M283</f>
        <v/>
      </c>
      <c r="O288" s="1065" t="str">
        <f>'Barge BQS Report'!P283</f>
        <v/>
      </c>
      <c r="P288" s="1064" t="str">
        <f>'Barge BQS Report'!Q283</f>
        <v/>
      </c>
      <c r="Q288" s="1044"/>
      <c r="R288" s="1044"/>
      <c r="S288" s="1044"/>
    </row>
    <row r="289" spans="1:19" hidden="1">
      <c r="A289" s="881" t="str">
        <f>'Barge BQS Report'!A284</f>
        <v>N</v>
      </c>
      <c r="C289" s="1057" t="str">
        <f>'Barge BQS Report'!C284</f>
        <v/>
      </c>
      <c r="D289" s="1058" t="str">
        <f>'Barge BQS Report'!D284</f>
        <v/>
      </c>
      <c r="E289" s="1059" t="str">
        <f>'Barge BQS Report'!N284</f>
        <v/>
      </c>
      <c r="F289" s="1060" t="str">
        <f>'Barge BQS Report'!F284</f>
        <v/>
      </c>
      <c r="G289" s="1061" t="str">
        <f>'Barge BQS Report'!E284</f>
        <v/>
      </c>
      <c r="H289" s="1060" t="str">
        <f>'Barge BQS Report'!G284</f>
        <v/>
      </c>
      <c r="I289" s="1159" t="str">
        <f>'Barge BQS Report'!H284</f>
        <v/>
      </c>
      <c r="J289" s="1062" t="str">
        <f>'Barge BQS Report'!I284</f>
        <v/>
      </c>
      <c r="K289" s="1063" t="str">
        <f>'Barge BQS Report'!J284</f>
        <v/>
      </c>
      <c r="L289" s="1064" t="str">
        <f>'Barge BQS Report'!L284</f>
        <v/>
      </c>
      <c r="M289" s="1064" t="str">
        <f>'Barge BQS Report'!O284</f>
        <v/>
      </c>
      <c r="N289" s="1065" t="str">
        <f>'Barge BQS Report'!M284</f>
        <v/>
      </c>
      <c r="O289" s="1065" t="str">
        <f>'Barge BQS Report'!P284</f>
        <v/>
      </c>
      <c r="P289" s="1064" t="str">
        <f>'Barge BQS Report'!Q284</f>
        <v/>
      </c>
      <c r="Q289" s="1044"/>
      <c r="R289" s="1044"/>
      <c r="S289" s="1044"/>
    </row>
    <row r="290" spans="1:19" hidden="1">
      <c r="A290" s="881" t="str">
        <f>'Barge BQS Report'!A285</f>
        <v>N</v>
      </c>
      <c r="C290" s="1057" t="str">
        <f>'Barge BQS Report'!C285</f>
        <v/>
      </c>
      <c r="D290" s="1058" t="str">
        <f>'Barge BQS Report'!D285</f>
        <v/>
      </c>
      <c r="E290" s="1059" t="str">
        <f>'Barge BQS Report'!N285</f>
        <v/>
      </c>
      <c r="F290" s="1060" t="str">
        <f>'Barge BQS Report'!F285</f>
        <v/>
      </c>
      <c r="G290" s="1061" t="str">
        <f>'Barge BQS Report'!E285</f>
        <v/>
      </c>
      <c r="H290" s="1060" t="str">
        <f>'Barge BQS Report'!G285</f>
        <v/>
      </c>
      <c r="I290" s="1159" t="str">
        <f>'Barge BQS Report'!H285</f>
        <v/>
      </c>
      <c r="J290" s="1062" t="str">
        <f>'Barge BQS Report'!I285</f>
        <v/>
      </c>
      <c r="K290" s="1063" t="str">
        <f>'Barge BQS Report'!J285</f>
        <v/>
      </c>
      <c r="L290" s="1064" t="str">
        <f>'Barge BQS Report'!L285</f>
        <v/>
      </c>
      <c r="M290" s="1064" t="str">
        <f>'Barge BQS Report'!O285</f>
        <v/>
      </c>
      <c r="N290" s="1065" t="str">
        <f>'Barge BQS Report'!M285</f>
        <v/>
      </c>
      <c r="O290" s="1065" t="str">
        <f>'Barge BQS Report'!P285</f>
        <v/>
      </c>
      <c r="P290" s="1064" t="str">
        <f>'Barge BQS Report'!Q285</f>
        <v/>
      </c>
      <c r="Q290" s="1044"/>
      <c r="R290" s="1044"/>
      <c r="S290" s="1044"/>
    </row>
    <row r="291" spans="1:19" hidden="1">
      <c r="A291" s="881" t="str">
        <f>'Barge BQS Report'!A286</f>
        <v>N</v>
      </c>
      <c r="C291" s="1057" t="str">
        <f>'Barge BQS Report'!C286</f>
        <v/>
      </c>
      <c r="D291" s="1058" t="str">
        <f>'Barge BQS Report'!D286</f>
        <v/>
      </c>
      <c r="E291" s="1059" t="str">
        <f>'Barge BQS Report'!N286</f>
        <v/>
      </c>
      <c r="F291" s="1060" t="str">
        <f>'Barge BQS Report'!F286</f>
        <v/>
      </c>
      <c r="G291" s="1061" t="str">
        <f>'Barge BQS Report'!E286</f>
        <v/>
      </c>
      <c r="H291" s="1060" t="str">
        <f>'Barge BQS Report'!G286</f>
        <v/>
      </c>
      <c r="I291" s="1159" t="str">
        <f>'Barge BQS Report'!H286</f>
        <v/>
      </c>
      <c r="J291" s="1062" t="str">
        <f>'Barge BQS Report'!I286</f>
        <v/>
      </c>
      <c r="K291" s="1063" t="str">
        <f>'Barge BQS Report'!J286</f>
        <v/>
      </c>
      <c r="L291" s="1064" t="str">
        <f>'Barge BQS Report'!L286</f>
        <v/>
      </c>
      <c r="M291" s="1064" t="str">
        <f>'Barge BQS Report'!O286</f>
        <v/>
      </c>
      <c r="N291" s="1065" t="str">
        <f>'Barge BQS Report'!M286</f>
        <v/>
      </c>
      <c r="O291" s="1065" t="str">
        <f>'Barge BQS Report'!P286</f>
        <v/>
      </c>
      <c r="P291" s="1064" t="str">
        <f>'Barge BQS Report'!Q286</f>
        <v/>
      </c>
      <c r="Q291" s="1044"/>
      <c r="R291" s="1044"/>
      <c r="S291" s="1044"/>
    </row>
    <row r="292" spans="1:19" hidden="1">
      <c r="A292" s="881" t="str">
        <f>'Barge BQS Report'!A287</f>
        <v>N</v>
      </c>
      <c r="C292" s="1066" t="str">
        <f>'Barge BQS Report'!C287</f>
        <v/>
      </c>
      <c r="D292" s="1067" t="str">
        <f>'Barge BQS Report'!D287</f>
        <v/>
      </c>
      <c r="E292" s="1068" t="str">
        <f>'Barge BQS Report'!N287</f>
        <v/>
      </c>
      <c r="F292" s="1069" t="str">
        <f>'Barge BQS Report'!F287</f>
        <v/>
      </c>
      <c r="G292" s="1070" t="str">
        <f>'Barge BQS Report'!E287</f>
        <v/>
      </c>
      <c r="H292" s="1069" t="str">
        <f>'Barge BQS Report'!G287</f>
        <v/>
      </c>
      <c r="I292" s="1160" t="str">
        <f>'Barge BQS Report'!H287</f>
        <v/>
      </c>
      <c r="J292" s="1071" t="str">
        <f>'Barge BQS Report'!I287</f>
        <v/>
      </c>
      <c r="K292" s="1072" t="str">
        <f>'Barge BQS Report'!J287</f>
        <v/>
      </c>
      <c r="L292" s="1073" t="str">
        <f>'Barge BQS Report'!L287</f>
        <v/>
      </c>
      <c r="M292" s="1073" t="str">
        <f>'Barge BQS Report'!O287</f>
        <v/>
      </c>
      <c r="N292" s="1074" t="str">
        <f>'Barge BQS Report'!M287</f>
        <v/>
      </c>
      <c r="O292" s="1074" t="str">
        <f>'Barge BQS Report'!P287</f>
        <v/>
      </c>
      <c r="P292" s="1073" t="str">
        <f>'Barge BQS Report'!Q287</f>
        <v/>
      </c>
      <c r="Q292" s="1044"/>
      <c r="R292" s="1044"/>
      <c r="S292" s="1044"/>
    </row>
    <row r="293" spans="1:19" hidden="1">
      <c r="A293" s="881" t="s">
        <v>270</v>
      </c>
      <c r="C293" s="1118"/>
      <c r="D293" s="1075"/>
      <c r="E293" s="1076"/>
      <c r="F293" s="1077"/>
      <c r="G293" s="1077"/>
      <c r="H293" s="1078"/>
      <c r="I293" s="1078"/>
      <c r="J293" s="1078"/>
      <c r="K293" s="1077"/>
      <c r="L293" s="1079"/>
      <c r="M293" s="2957" t="s">
        <v>801</v>
      </c>
      <c r="N293" s="2957"/>
      <c r="O293" s="3091">
        <f>SUM(P273:P292)</f>
        <v>0</v>
      </c>
      <c r="P293" s="3092"/>
      <c r="Q293" s="1044"/>
      <c r="R293" s="1044"/>
      <c r="S293" s="1044"/>
    </row>
    <row r="294" spans="1:19" s="1046" customFormat="1" ht="5.25" hidden="1">
      <c r="A294" s="1046" t="s">
        <v>270</v>
      </c>
      <c r="C294" s="1108"/>
      <c r="D294" s="1109"/>
      <c r="E294" s="1110"/>
      <c r="F294" s="1111"/>
      <c r="G294" s="1111"/>
      <c r="H294" s="1112"/>
      <c r="I294" s="1113"/>
      <c r="J294" s="1113"/>
      <c r="K294" s="1114"/>
      <c r="L294" s="1115"/>
      <c r="M294" s="1115"/>
      <c r="N294" s="1116"/>
      <c r="O294" s="1117"/>
      <c r="P294" s="1115"/>
      <c r="Q294" s="1045"/>
      <c r="R294" s="1045"/>
      <c r="S294" s="1045"/>
    </row>
    <row r="295" spans="1:19" hidden="1">
      <c r="A295" s="881" t="s">
        <v>270</v>
      </c>
      <c r="B295" s="881">
        <v>5</v>
      </c>
      <c r="C295" s="2959" t="str">
        <f>'Barge BQS Report'!C290</f>
        <v>NOMINATED TANKS</v>
      </c>
      <c r="D295" s="2960">
        <f>'Vessel BQS Report'!D290</f>
        <v>0</v>
      </c>
      <c r="E295" s="2960">
        <f>'Vessel BQS Report'!N290</f>
        <v>0</v>
      </c>
      <c r="F295" s="2961">
        <f>'Vessel BQS Report'!F290</f>
        <v>0</v>
      </c>
      <c r="G295" s="2962" t="str">
        <f>'Barge BQS Report'!E290</f>
        <v>MGO</v>
      </c>
      <c r="H295" s="2963">
        <f>'Vessel BQS Report'!G290</f>
        <v>0</v>
      </c>
      <c r="I295" s="1051"/>
      <c r="J295" s="1052"/>
      <c r="K295" s="1053"/>
      <c r="L295" s="1054"/>
      <c r="M295" s="1054"/>
      <c r="N295" s="1055"/>
      <c r="O295" s="1056"/>
      <c r="P295" s="1054"/>
      <c r="Q295" s="1044"/>
      <c r="R295" s="1044"/>
      <c r="S295" s="1044"/>
    </row>
    <row r="296" spans="1:19" hidden="1">
      <c r="A296" s="881" t="str">
        <f>'Barge BQS Report'!A291</f>
        <v>N</v>
      </c>
      <c r="C296" s="1057" t="str">
        <f>'Barge BQS Report'!C291</f>
        <v/>
      </c>
      <c r="D296" s="1058" t="str">
        <f>'Barge BQS Report'!D291</f>
        <v/>
      </c>
      <c r="E296" s="1059" t="str">
        <f>'Barge BQS Report'!N291</f>
        <v/>
      </c>
      <c r="F296" s="1060" t="str">
        <f>'Barge BQS Report'!F291</f>
        <v/>
      </c>
      <c r="G296" s="1061" t="str">
        <f>'Barge BQS Report'!E291</f>
        <v/>
      </c>
      <c r="H296" s="1060" t="str">
        <f>'Barge BQS Report'!G291</f>
        <v/>
      </c>
      <c r="I296" s="1159" t="str">
        <f>'Barge BQS Report'!H291</f>
        <v/>
      </c>
      <c r="J296" s="1062" t="str">
        <f>'Barge BQS Report'!I291</f>
        <v/>
      </c>
      <c r="K296" s="1063" t="str">
        <f>'Barge BQS Report'!J291</f>
        <v/>
      </c>
      <c r="L296" s="1064" t="str">
        <f>'Barge BQS Report'!L291</f>
        <v/>
      </c>
      <c r="M296" s="1064" t="str">
        <f>'Barge BQS Report'!O291</f>
        <v/>
      </c>
      <c r="N296" s="1065" t="str">
        <f>'Barge BQS Report'!M291</f>
        <v/>
      </c>
      <c r="O296" s="1065" t="str">
        <f>'Barge BQS Report'!P291</f>
        <v/>
      </c>
      <c r="P296" s="1064" t="str">
        <f>'Barge BQS Report'!Q291</f>
        <v/>
      </c>
      <c r="Q296" s="1044"/>
      <c r="R296" s="1044"/>
      <c r="S296" s="1044"/>
    </row>
    <row r="297" spans="1:19" hidden="1">
      <c r="A297" s="881" t="str">
        <f>'Barge BQS Report'!A292</f>
        <v>N</v>
      </c>
      <c r="C297" s="1057" t="str">
        <f>'Barge BQS Report'!C292</f>
        <v/>
      </c>
      <c r="D297" s="1058" t="str">
        <f>'Barge BQS Report'!D292</f>
        <v/>
      </c>
      <c r="E297" s="1059" t="str">
        <f>'Barge BQS Report'!N292</f>
        <v/>
      </c>
      <c r="F297" s="1060" t="str">
        <f>'Barge BQS Report'!F292</f>
        <v/>
      </c>
      <c r="G297" s="1061" t="str">
        <f>'Barge BQS Report'!E292</f>
        <v/>
      </c>
      <c r="H297" s="1060" t="str">
        <f>'Barge BQS Report'!G292</f>
        <v/>
      </c>
      <c r="I297" s="1159" t="str">
        <f>'Barge BQS Report'!H292</f>
        <v/>
      </c>
      <c r="J297" s="1062" t="str">
        <f>'Barge BQS Report'!I292</f>
        <v/>
      </c>
      <c r="K297" s="1063" t="str">
        <f>'Barge BQS Report'!J292</f>
        <v/>
      </c>
      <c r="L297" s="1064" t="str">
        <f>'Barge BQS Report'!L292</f>
        <v/>
      </c>
      <c r="M297" s="1064" t="str">
        <f>'Barge BQS Report'!O292</f>
        <v/>
      </c>
      <c r="N297" s="1065" t="str">
        <f>'Barge BQS Report'!M292</f>
        <v/>
      </c>
      <c r="O297" s="1065" t="str">
        <f>'Barge BQS Report'!P292</f>
        <v/>
      </c>
      <c r="P297" s="1064" t="str">
        <f>'Barge BQS Report'!Q292</f>
        <v/>
      </c>
      <c r="Q297" s="1044"/>
      <c r="R297" s="1044"/>
      <c r="S297" s="1044"/>
    </row>
    <row r="298" spans="1:19" hidden="1">
      <c r="A298" s="881" t="str">
        <f>'Barge BQS Report'!A293</f>
        <v>N</v>
      </c>
      <c r="C298" s="1057" t="str">
        <f>'Barge BQS Report'!C293</f>
        <v/>
      </c>
      <c r="D298" s="1058" t="str">
        <f>'Barge BQS Report'!D293</f>
        <v/>
      </c>
      <c r="E298" s="1059" t="str">
        <f>'Barge BQS Report'!N293</f>
        <v/>
      </c>
      <c r="F298" s="1060" t="str">
        <f>'Barge BQS Report'!F293</f>
        <v/>
      </c>
      <c r="G298" s="1061" t="str">
        <f>'Barge BQS Report'!E293</f>
        <v/>
      </c>
      <c r="H298" s="1060" t="str">
        <f>'Barge BQS Report'!G293</f>
        <v/>
      </c>
      <c r="I298" s="1159" t="str">
        <f>'Barge BQS Report'!H293</f>
        <v/>
      </c>
      <c r="J298" s="1062" t="str">
        <f>'Barge BQS Report'!I293</f>
        <v/>
      </c>
      <c r="K298" s="1063" t="str">
        <f>'Barge BQS Report'!J293</f>
        <v/>
      </c>
      <c r="L298" s="1064" t="str">
        <f>'Barge BQS Report'!L293</f>
        <v/>
      </c>
      <c r="M298" s="1064" t="str">
        <f>'Barge BQS Report'!O293</f>
        <v/>
      </c>
      <c r="N298" s="1065" t="str">
        <f>'Barge BQS Report'!M293</f>
        <v/>
      </c>
      <c r="O298" s="1065" t="str">
        <f>'Barge BQS Report'!P293</f>
        <v/>
      </c>
      <c r="P298" s="1064" t="str">
        <f>'Barge BQS Report'!Q293</f>
        <v/>
      </c>
      <c r="Q298" s="1044"/>
      <c r="R298" s="1044"/>
      <c r="S298" s="1044"/>
    </row>
    <row r="299" spans="1:19" hidden="1">
      <c r="A299" s="881" t="str">
        <f>'Barge BQS Report'!A294</f>
        <v>N</v>
      </c>
      <c r="C299" s="1057" t="str">
        <f>'Barge BQS Report'!C294</f>
        <v/>
      </c>
      <c r="D299" s="1058" t="str">
        <f>'Barge BQS Report'!D294</f>
        <v/>
      </c>
      <c r="E299" s="1059" t="str">
        <f>'Barge BQS Report'!N294</f>
        <v/>
      </c>
      <c r="F299" s="1060" t="str">
        <f>'Barge BQS Report'!F294</f>
        <v/>
      </c>
      <c r="G299" s="1061" t="str">
        <f>'Barge BQS Report'!E294</f>
        <v/>
      </c>
      <c r="H299" s="1060" t="str">
        <f>'Barge BQS Report'!G294</f>
        <v/>
      </c>
      <c r="I299" s="1159" t="str">
        <f>'Barge BQS Report'!H294</f>
        <v/>
      </c>
      <c r="J299" s="1062" t="str">
        <f>'Barge BQS Report'!I294</f>
        <v/>
      </c>
      <c r="K299" s="1063" t="str">
        <f>'Barge BQS Report'!J294</f>
        <v/>
      </c>
      <c r="L299" s="1064" t="str">
        <f>'Barge BQS Report'!L294</f>
        <v/>
      </c>
      <c r="M299" s="1064" t="str">
        <f>'Barge BQS Report'!O294</f>
        <v/>
      </c>
      <c r="N299" s="1065" t="str">
        <f>'Barge BQS Report'!M294</f>
        <v/>
      </c>
      <c r="O299" s="1065" t="str">
        <f>'Barge BQS Report'!P294</f>
        <v/>
      </c>
      <c r="P299" s="1064" t="str">
        <f>'Barge BQS Report'!Q294</f>
        <v/>
      </c>
      <c r="Q299" s="1044"/>
      <c r="R299" s="1044"/>
      <c r="S299" s="1044"/>
    </row>
    <row r="300" spans="1:19" hidden="1">
      <c r="A300" s="881" t="str">
        <f>'Barge BQS Report'!A295</f>
        <v>N</v>
      </c>
      <c r="C300" s="1057" t="str">
        <f>'Barge BQS Report'!C295</f>
        <v/>
      </c>
      <c r="D300" s="1058" t="str">
        <f>'Barge BQS Report'!D295</f>
        <v/>
      </c>
      <c r="E300" s="1059" t="str">
        <f>'Barge BQS Report'!N295</f>
        <v/>
      </c>
      <c r="F300" s="1060" t="str">
        <f>'Barge BQS Report'!F295</f>
        <v/>
      </c>
      <c r="G300" s="1061" t="str">
        <f>'Barge BQS Report'!E295</f>
        <v/>
      </c>
      <c r="H300" s="1060" t="str">
        <f>'Barge BQS Report'!G295</f>
        <v/>
      </c>
      <c r="I300" s="1159" t="str">
        <f>'Barge BQS Report'!H295</f>
        <v/>
      </c>
      <c r="J300" s="1062" t="str">
        <f>'Barge BQS Report'!I295</f>
        <v/>
      </c>
      <c r="K300" s="1063" t="str">
        <f>'Barge BQS Report'!J295</f>
        <v/>
      </c>
      <c r="L300" s="1064" t="str">
        <f>'Barge BQS Report'!L295</f>
        <v/>
      </c>
      <c r="M300" s="1064" t="str">
        <f>'Barge BQS Report'!O295</f>
        <v/>
      </c>
      <c r="N300" s="1065" t="str">
        <f>'Barge BQS Report'!M295</f>
        <v/>
      </c>
      <c r="O300" s="1065" t="str">
        <f>'Barge BQS Report'!P295</f>
        <v/>
      </c>
      <c r="P300" s="1064" t="str">
        <f>'Barge BQS Report'!Q295</f>
        <v/>
      </c>
      <c r="Q300" s="1044"/>
      <c r="R300" s="1044"/>
      <c r="S300" s="1044"/>
    </row>
    <row r="301" spans="1:19" hidden="1">
      <c r="A301" s="881" t="str">
        <f>'Barge BQS Report'!A296</f>
        <v>N</v>
      </c>
      <c r="C301" s="1057" t="str">
        <f>'Barge BQS Report'!C296</f>
        <v/>
      </c>
      <c r="D301" s="1058" t="str">
        <f>'Barge BQS Report'!D296</f>
        <v/>
      </c>
      <c r="E301" s="1059" t="str">
        <f>'Barge BQS Report'!N296</f>
        <v/>
      </c>
      <c r="F301" s="1060" t="str">
        <f>'Barge BQS Report'!F296</f>
        <v/>
      </c>
      <c r="G301" s="1061" t="str">
        <f>'Barge BQS Report'!E296</f>
        <v/>
      </c>
      <c r="H301" s="1060" t="str">
        <f>'Barge BQS Report'!G296</f>
        <v/>
      </c>
      <c r="I301" s="1159" t="str">
        <f>'Barge BQS Report'!H296</f>
        <v/>
      </c>
      <c r="J301" s="1062" t="str">
        <f>'Barge BQS Report'!I296</f>
        <v/>
      </c>
      <c r="K301" s="1063" t="str">
        <f>'Barge BQS Report'!J296</f>
        <v/>
      </c>
      <c r="L301" s="1064" t="str">
        <f>'Barge BQS Report'!L296</f>
        <v/>
      </c>
      <c r="M301" s="1064" t="str">
        <f>'Barge BQS Report'!O296</f>
        <v/>
      </c>
      <c r="N301" s="1065" t="str">
        <f>'Barge BQS Report'!M296</f>
        <v/>
      </c>
      <c r="O301" s="1065" t="str">
        <f>'Barge BQS Report'!P296</f>
        <v/>
      </c>
      <c r="P301" s="1064" t="str">
        <f>'Barge BQS Report'!Q296</f>
        <v/>
      </c>
      <c r="Q301" s="1044"/>
      <c r="R301" s="1044"/>
      <c r="S301" s="1044"/>
    </row>
    <row r="302" spans="1:19" hidden="1">
      <c r="A302" s="881" t="str">
        <f>'Barge BQS Report'!A297</f>
        <v>N</v>
      </c>
      <c r="C302" s="1057" t="str">
        <f>'Barge BQS Report'!C297</f>
        <v/>
      </c>
      <c r="D302" s="1058" t="str">
        <f>'Barge BQS Report'!D297</f>
        <v/>
      </c>
      <c r="E302" s="1059" t="str">
        <f>'Barge BQS Report'!N297</f>
        <v/>
      </c>
      <c r="F302" s="1060" t="str">
        <f>'Barge BQS Report'!F297</f>
        <v/>
      </c>
      <c r="G302" s="1061" t="str">
        <f>'Barge BQS Report'!E297</f>
        <v/>
      </c>
      <c r="H302" s="1060" t="str">
        <f>'Barge BQS Report'!G297</f>
        <v/>
      </c>
      <c r="I302" s="1159" t="str">
        <f>'Barge BQS Report'!H297</f>
        <v/>
      </c>
      <c r="J302" s="1062" t="str">
        <f>'Barge BQS Report'!I297</f>
        <v/>
      </c>
      <c r="K302" s="1063" t="str">
        <f>'Barge BQS Report'!J297</f>
        <v/>
      </c>
      <c r="L302" s="1064" t="str">
        <f>'Barge BQS Report'!L297</f>
        <v/>
      </c>
      <c r="M302" s="1064" t="str">
        <f>'Barge BQS Report'!O297</f>
        <v/>
      </c>
      <c r="N302" s="1065" t="str">
        <f>'Barge BQS Report'!M297</f>
        <v/>
      </c>
      <c r="O302" s="1065" t="str">
        <f>'Barge BQS Report'!P297</f>
        <v/>
      </c>
      <c r="P302" s="1064" t="str">
        <f>'Barge BQS Report'!Q297</f>
        <v/>
      </c>
      <c r="Q302" s="1044"/>
      <c r="R302" s="1044"/>
      <c r="S302" s="1044"/>
    </row>
    <row r="303" spans="1:19" hidden="1">
      <c r="A303" s="881" t="str">
        <f>'Barge BQS Report'!A298</f>
        <v>N</v>
      </c>
      <c r="C303" s="1057" t="str">
        <f>'Barge BQS Report'!C298</f>
        <v/>
      </c>
      <c r="D303" s="1058" t="str">
        <f>'Barge BQS Report'!D298</f>
        <v/>
      </c>
      <c r="E303" s="1059" t="str">
        <f>'Barge BQS Report'!N298</f>
        <v/>
      </c>
      <c r="F303" s="1060" t="str">
        <f>'Barge BQS Report'!F298</f>
        <v/>
      </c>
      <c r="G303" s="1061" t="str">
        <f>'Barge BQS Report'!E298</f>
        <v/>
      </c>
      <c r="H303" s="1060" t="str">
        <f>'Barge BQS Report'!G298</f>
        <v/>
      </c>
      <c r="I303" s="1159" t="str">
        <f>'Barge BQS Report'!H298</f>
        <v/>
      </c>
      <c r="J303" s="1062" t="str">
        <f>'Barge BQS Report'!I298</f>
        <v/>
      </c>
      <c r="K303" s="1063" t="str">
        <f>'Barge BQS Report'!J298</f>
        <v/>
      </c>
      <c r="L303" s="1064" t="str">
        <f>'Barge BQS Report'!L298</f>
        <v/>
      </c>
      <c r="M303" s="1064" t="str">
        <f>'Barge BQS Report'!O298</f>
        <v/>
      </c>
      <c r="N303" s="1065" t="str">
        <f>'Barge BQS Report'!M298</f>
        <v/>
      </c>
      <c r="O303" s="1065" t="str">
        <f>'Barge BQS Report'!P298</f>
        <v/>
      </c>
      <c r="P303" s="1064" t="str">
        <f>'Barge BQS Report'!Q298</f>
        <v/>
      </c>
      <c r="Q303" s="1044"/>
      <c r="R303" s="1044"/>
      <c r="S303" s="1044"/>
    </row>
    <row r="304" spans="1:19" hidden="1">
      <c r="A304" s="881" t="str">
        <f>'Barge BQS Report'!A299</f>
        <v>N</v>
      </c>
      <c r="C304" s="1057" t="str">
        <f>'Barge BQS Report'!C299</f>
        <v/>
      </c>
      <c r="D304" s="1058" t="str">
        <f>'Barge BQS Report'!D299</f>
        <v/>
      </c>
      <c r="E304" s="1059" t="str">
        <f>'Barge BQS Report'!N299</f>
        <v/>
      </c>
      <c r="F304" s="1060" t="str">
        <f>'Barge BQS Report'!F299</f>
        <v/>
      </c>
      <c r="G304" s="1061" t="str">
        <f>'Barge BQS Report'!E299</f>
        <v/>
      </c>
      <c r="H304" s="1060" t="str">
        <f>'Barge BQS Report'!G299</f>
        <v/>
      </c>
      <c r="I304" s="1159" t="str">
        <f>'Barge BQS Report'!H299</f>
        <v/>
      </c>
      <c r="J304" s="1062" t="str">
        <f>'Barge BQS Report'!I299</f>
        <v/>
      </c>
      <c r="K304" s="1063" t="str">
        <f>'Barge BQS Report'!J299</f>
        <v/>
      </c>
      <c r="L304" s="1064" t="str">
        <f>'Barge BQS Report'!L299</f>
        <v/>
      </c>
      <c r="M304" s="1064" t="str">
        <f>'Barge BQS Report'!O299</f>
        <v/>
      </c>
      <c r="N304" s="1065" t="str">
        <f>'Barge BQS Report'!M299</f>
        <v/>
      </c>
      <c r="O304" s="1065" t="str">
        <f>'Barge BQS Report'!P299</f>
        <v/>
      </c>
      <c r="P304" s="1064" t="str">
        <f>'Barge BQS Report'!Q299</f>
        <v/>
      </c>
      <c r="Q304" s="1044"/>
      <c r="R304" s="1044"/>
      <c r="S304" s="1044"/>
    </row>
    <row r="305" spans="1:19" hidden="1">
      <c r="A305" s="881" t="str">
        <f>'Barge BQS Report'!A300</f>
        <v>N</v>
      </c>
      <c r="C305" s="1057" t="str">
        <f>'Barge BQS Report'!C300</f>
        <v/>
      </c>
      <c r="D305" s="1058" t="str">
        <f>'Barge BQS Report'!D300</f>
        <v/>
      </c>
      <c r="E305" s="1059" t="str">
        <f>'Barge BQS Report'!N300</f>
        <v/>
      </c>
      <c r="F305" s="1060" t="str">
        <f>'Barge BQS Report'!F300</f>
        <v/>
      </c>
      <c r="G305" s="1061" t="str">
        <f>'Barge BQS Report'!E300</f>
        <v/>
      </c>
      <c r="H305" s="1060" t="str">
        <f>'Barge BQS Report'!G300</f>
        <v/>
      </c>
      <c r="I305" s="1159" t="str">
        <f>'Barge BQS Report'!H300</f>
        <v/>
      </c>
      <c r="J305" s="1062" t="str">
        <f>'Barge BQS Report'!I300</f>
        <v/>
      </c>
      <c r="K305" s="1063" t="str">
        <f>'Barge BQS Report'!J300</f>
        <v/>
      </c>
      <c r="L305" s="1064" t="str">
        <f>'Barge BQS Report'!L300</f>
        <v/>
      </c>
      <c r="M305" s="1064" t="str">
        <f>'Barge BQS Report'!O300</f>
        <v/>
      </c>
      <c r="N305" s="1065" t="str">
        <f>'Barge BQS Report'!M300</f>
        <v/>
      </c>
      <c r="O305" s="1065" t="str">
        <f>'Barge BQS Report'!P300</f>
        <v/>
      </c>
      <c r="P305" s="1064" t="str">
        <f>'Barge BQS Report'!Q300</f>
        <v/>
      </c>
      <c r="Q305" s="1044"/>
      <c r="R305" s="1044"/>
      <c r="S305" s="1044"/>
    </row>
    <row r="306" spans="1:19" hidden="1">
      <c r="A306" s="881" t="str">
        <f>'Barge BQS Report'!A301</f>
        <v>N</v>
      </c>
      <c r="C306" s="1057" t="str">
        <f>'Barge BQS Report'!C301</f>
        <v/>
      </c>
      <c r="D306" s="1058" t="str">
        <f>'Barge BQS Report'!D301</f>
        <v/>
      </c>
      <c r="E306" s="1059" t="str">
        <f>'Barge BQS Report'!N301</f>
        <v/>
      </c>
      <c r="F306" s="1060" t="str">
        <f>'Barge BQS Report'!F301</f>
        <v/>
      </c>
      <c r="G306" s="1061" t="str">
        <f>'Barge BQS Report'!E301</f>
        <v/>
      </c>
      <c r="H306" s="1060" t="str">
        <f>'Barge BQS Report'!G301</f>
        <v/>
      </c>
      <c r="I306" s="1159" t="str">
        <f>'Barge BQS Report'!H301</f>
        <v/>
      </c>
      <c r="J306" s="1062" t="str">
        <f>'Barge BQS Report'!I301</f>
        <v/>
      </c>
      <c r="K306" s="1063" t="str">
        <f>'Barge BQS Report'!J301</f>
        <v/>
      </c>
      <c r="L306" s="1064" t="str">
        <f>'Barge BQS Report'!L301</f>
        <v/>
      </c>
      <c r="M306" s="1064" t="str">
        <f>'Barge BQS Report'!O301</f>
        <v/>
      </c>
      <c r="N306" s="1065" t="str">
        <f>'Barge BQS Report'!M301</f>
        <v/>
      </c>
      <c r="O306" s="1065" t="str">
        <f>'Barge BQS Report'!P301</f>
        <v/>
      </c>
      <c r="P306" s="1064" t="str">
        <f>'Barge BQS Report'!Q301</f>
        <v/>
      </c>
      <c r="Q306" s="1044"/>
      <c r="R306" s="1044"/>
      <c r="S306" s="1044"/>
    </row>
    <row r="307" spans="1:19" hidden="1">
      <c r="A307" s="881" t="str">
        <f>'Barge BQS Report'!A302</f>
        <v>N</v>
      </c>
      <c r="C307" s="1057" t="str">
        <f>'Barge BQS Report'!C302</f>
        <v/>
      </c>
      <c r="D307" s="1058" t="str">
        <f>'Barge BQS Report'!D302</f>
        <v/>
      </c>
      <c r="E307" s="1059" t="str">
        <f>'Barge BQS Report'!N302</f>
        <v/>
      </c>
      <c r="F307" s="1060" t="str">
        <f>'Barge BQS Report'!F302</f>
        <v/>
      </c>
      <c r="G307" s="1061" t="str">
        <f>'Barge BQS Report'!E302</f>
        <v/>
      </c>
      <c r="H307" s="1060" t="str">
        <f>'Barge BQS Report'!G302</f>
        <v/>
      </c>
      <c r="I307" s="1159" t="str">
        <f>'Barge BQS Report'!H302</f>
        <v/>
      </c>
      <c r="J307" s="1062" t="str">
        <f>'Barge BQS Report'!I302</f>
        <v/>
      </c>
      <c r="K307" s="1063" t="str">
        <f>'Barge BQS Report'!J302</f>
        <v/>
      </c>
      <c r="L307" s="1064" t="str">
        <f>'Barge BQS Report'!L302</f>
        <v/>
      </c>
      <c r="M307" s="1064" t="str">
        <f>'Barge BQS Report'!O302</f>
        <v/>
      </c>
      <c r="N307" s="1065" t="str">
        <f>'Barge BQS Report'!M302</f>
        <v/>
      </c>
      <c r="O307" s="1065" t="str">
        <f>'Barge BQS Report'!P302</f>
        <v/>
      </c>
      <c r="P307" s="1064" t="str">
        <f>'Barge BQS Report'!Q302</f>
        <v/>
      </c>
      <c r="Q307" s="1044"/>
      <c r="R307" s="1044"/>
      <c r="S307" s="1044"/>
    </row>
    <row r="308" spans="1:19" hidden="1">
      <c r="A308" s="881" t="str">
        <f>'Barge BQS Report'!A303</f>
        <v>N</v>
      </c>
      <c r="C308" s="1057" t="str">
        <f>'Barge BQS Report'!C303</f>
        <v/>
      </c>
      <c r="D308" s="1058" t="str">
        <f>'Barge BQS Report'!D303</f>
        <v/>
      </c>
      <c r="E308" s="1059" t="str">
        <f>'Barge BQS Report'!N303</f>
        <v/>
      </c>
      <c r="F308" s="1060" t="str">
        <f>'Barge BQS Report'!F303</f>
        <v/>
      </c>
      <c r="G308" s="1061" t="str">
        <f>'Barge BQS Report'!E303</f>
        <v/>
      </c>
      <c r="H308" s="1060" t="str">
        <f>'Barge BQS Report'!G303</f>
        <v/>
      </c>
      <c r="I308" s="1159" t="str">
        <f>'Barge BQS Report'!H303</f>
        <v/>
      </c>
      <c r="J308" s="1062" t="str">
        <f>'Barge BQS Report'!I303</f>
        <v/>
      </c>
      <c r="K308" s="1063" t="str">
        <f>'Barge BQS Report'!J303</f>
        <v/>
      </c>
      <c r="L308" s="1064" t="str">
        <f>'Barge BQS Report'!L303</f>
        <v/>
      </c>
      <c r="M308" s="1064" t="str">
        <f>'Barge BQS Report'!O303</f>
        <v/>
      </c>
      <c r="N308" s="1065" t="str">
        <f>'Barge BQS Report'!M303</f>
        <v/>
      </c>
      <c r="O308" s="1065" t="str">
        <f>'Barge BQS Report'!P303</f>
        <v/>
      </c>
      <c r="P308" s="1064" t="str">
        <f>'Barge BQS Report'!Q303</f>
        <v/>
      </c>
      <c r="Q308" s="1044"/>
      <c r="R308" s="1044"/>
      <c r="S308" s="1044"/>
    </row>
    <row r="309" spans="1:19" hidden="1">
      <c r="A309" s="881" t="str">
        <f>'Barge BQS Report'!A304</f>
        <v>N</v>
      </c>
      <c r="C309" s="1057" t="str">
        <f>'Barge BQS Report'!C304</f>
        <v/>
      </c>
      <c r="D309" s="1058" t="str">
        <f>'Barge BQS Report'!D304</f>
        <v/>
      </c>
      <c r="E309" s="1059" t="str">
        <f>'Barge BQS Report'!N304</f>
        <v/>
      </c>
      <c r="F309" s="1060" t="str">
        <f>'Barge BQS Report'!F304</f>
        <v/>
      </c>
      <c r="G309" s="1061" t="str">
        <f>'Barge BQS Report'!E304</f>
        <v/>
      </c>
      <c r="H309" s="1060" t="str">
        <f>'Barge BQS Report'!G304</f>
        <v/>
      </c>
      <c r="I309" s="1159" t="str">
        <f>'Barge BQS Report'!H304</f>
        <v/>
      </c>
      <c r="J309" s="1062" t="str">
        <f>'Barge BQS Report'!I304</f>
        <v/>
      </c>
      <c r="K309" s="1063" t="str">
        <f>'Barge BQS Report'!J304</f>
        <v/>
      </c>
      <c r="L309" s="1064" t="str">
        <f>'Barge BQS Report'!L304</f>
        <v/>
      </c>
      <c r="M309" s="1064" t="str">
        <f>'Barge BQS Report'!O304</f>
        <v/>
      </c>
      <c r="N309" s="1065" t="str">
        <f>'Barge BQS Report'!M304</f>
        <v/>
      </c>
      <c r="O309" s="1065" t="str">
        <f>'Barge BQS Report'!P304</f>
        <v/>
      </c>
      <c r="P309" s="1064" t="str">
        <f>'Barge BQS Report'!Q304</f>
        <v/>
      </c>
      <c r="Q309" s="1044"/>
      <c r="R309" s="1044"/>
      <c r="S309" s="1044"/>
    </row>
    <row r="310" spans="1:19" hidden="1">
      <c r="A310" s="881" t="str">
        <f>'Barge BQS Report'!A305</f>
        <v>N</v>
      </c>
      <c r="C310" s="1057" t="str">
        <f>'Barge BQS Report'!C305</f>
        <v/>
      </c>
      <c r="D310" s="1058" t="str">
        <f>'Barge BQS Report'!D305</f>
        <v/>
      </c>
      <c r="E310" s="1059" t="str">
        <f>'Barge BQS Report'!N305</f>
        <v/>
      </c>
      <c r="F310" s="1060" t="str">
        <f>'Barge BQS Report'!F305</f>
        <v/>
      </c>
      <c r="G310" s="1061" t="str">
        <f>'Barge BQS Report'!E305</f>
        <v/>
      </c>
      <c r="H310" s="1060" t="str">
        <f>'Barge BQS Report'!G305</f>
        <v/>
      </c>
      <c r="I310" s="1159" t="str">
        <f>'Barge BQS Report'!H305</f>
        <v/>
      </c>
      <c r="J310" s="1062" t="str">
        <f>'Barge BQS Report'!I305</f>
        <v/>
      </c>
      <c r="K310" s="1063" t="str">
        <f>'Barge BQS Report'!J305</f>
        <v/>
      </c>
      <c r="L310" s="1064" t="str">
        <f>'Barge BQS Report'!L305</f>
        <v/>
      </c>
      <c r="M310" s="1064" t="str">
        <f>'Barge BQS Report'!O305</f>
        <v/>
      </c>
      <c r="N310" s="1065" t="str">
        <f>'Barge BQS Report'!M305</f>
        <v/>
      </c>
      <c r="O310" s="1065" t="str">
        <f>'Barge BQS Report'!P305</f>
        <v/>
      </c>
      <c r="P310" s="1064" t="str">
        <f>'Barge BQS Report'!Q305</f>
        <v/>
      </c>
      <c r="Q310" s="1044"/>
      <c r="R310" s="1044"/>
      <c r="S310" s="1044"/>
    </row>
    <row r="311" spans="1:19" hidden="1">
      <c r="A311" s="881" t="str">
        <f>'Barge BQS Report'!A306</f>
        <v>N</v>
      </c>
      <c r="C311" s="1057" t="str">
        <f>'Barge BQS Report'!C306</f>
        <v/>
      </c>
      <c r="D311" s="1058" t="str">
        <f>'Barge BQS Report'!D306</f>
        <v/>
      </c>
      <c r="E311" s="1059" t="str">
        <f>'Barge BQS Report'!N306</f>
        <v/>
      </c>
      <c r="F311" s="1060" t="str">
        <f>'Barge BQS Report'!F306</f>
        <v/>
      </c>
      <c r="G311" s="1061" t="str">
        <f>'Barge BQS Report'!E306</f>
        <v/>
      </c>
      <c r="H311" s="1060" t="str">
        <f>'Barge BQS Report'!G306</f>
        <v/>
      </c>
      <c r="I311" s="1159" t="str">
        <f>'Barge BQS Report'!H306</f>
        <v/>
      </c>
      <c r="J311" s="1062" t="str">
        <f>'Barge BQS Report'!I306</f>
        <v/>
      </c>
      <c r="K311" s="1063" t="str">
        <f>'Barge BQS Report'!J306</f>
        <v/>
      </c>
      <c r="L311" s="1064" t="str">
        <f>'Barge BQS Report'!L306</f>
        <v/>
      </c>
      <c r="M311" s="1064" t="str">
        <f>'Barge BQS Report'!O306</f>
        <v/>
      </c>
      <c r="N311" s="1065" t="str">
        <f>'Barge BQS Report'!M306</f>
        <v/>
      </c>
      <c r="O311" s="1065" t="str">
        <f>'Barge BQS Report'!P306</f>
        <v/>
      </c>
      <c r="P311" s="1064" t="str">
        <f>'Barge BQS Report'!Q306</f>
        <v/>
      </c>
      <c r="Q311" s="1044"/>
      <c r="R311" s="1044"/>
      <c r="S311" s="1044"/>
    </row>
    <row r="312" spans="1:19" hidden="1">
      <c r="A312" s="881" t="str">
        <f>'Barge BQS Report'!A307</f>
        <v>N</v>
      </c>
      <c r="C312" s="1057" t="str">
        <f>'Barge BQS Report'!C307</f>
        <v/>
      </c>
      <c r="D312" s="1058" t="str">
        <f>'Barge BQS Report'!D307</f>
        <v/>
      </c>
      <c r="E312" s="1059" t="str">
        <f>'Barge BQS Report'!N307</f>
        <v/>
      </c>
      <c r="F312" s="1060" t="str">
        <f>'Barge BQS Report'!F307</f>
        <v/>
      </c>
      <c r="G312" s="1061" t="str">
        <f>'Barge BQS Report'!E307</f>
        <v/>
      </c>
      <c r="H312" s="1060" t="str">
        <f>'Barge BQS Report'!G307</f>
        <v/>
      </c>
      <c r="I312" s="1159" t="str">
        <f>'Barge BQS Report'!H307</f>
        <v/>
      </c>
      <c r="J312" s="1062" t="str">
        <f>'Barge BQS Report'!I307</f>
        <v/>
      </c>
      <c r="K312" s="1063" t="str">
        <f>'Barge BQS Report'!J307</f>
        <v/>
      </c>
      <c r="L312" s="1064" t="str">
        <f>'Barge BQS Report'!L307</f>
        <v/>
      </c>
      <c r="M312" s="1064" t="str">
        <f>'Barge BQS Report'!O307</f>
        <v/>
      </c>
      <c r="N312" s="1065" t="str">
        <f>'Barge BQS Report'!M307</f>
        <v/>
      </c>
      <c r="O312" s="1065" t="str">
        <f>'Barge BQS Report'!P307</f>
        <v/>
      </c>
      <c r="P312" s="1064" t="str">
        <f>'Barge BQS Report'!Q307</f>
        <v/>
      </c>
      <c r="Q312" s="1044"/>
      <c r="R312" s="1044"/>
      <c r="S312" s="1044"/>
    </row>
    <row r="313" spans="1:19" hidden="1">
      <c r="A313" s="881" t="str">
        <f>'Barge BQS Report'!A308</f>
        <v>N</v>
      </c>
      <c r="C313" s="1057" t="str">
        <f>'Barge BQS Report'!C308</f>
        <v/>
      </c>
      <c r="D313" s="1058" t="str">
        <f>'Barge BQS Report'!D308</f>
        <v/>
      </c>
      <c r="E313" s="1059" t="str">
        <f>'Barge BQS Report'!N308</f>
        <v/>
      </c>
      <c r="F313" s="1060" t="str">
        <f>'Barge BQS Report'!F308</f>
        <v/>
      </c>
      <c r="G313" s="1061" t="str">
        <f>'Barge BQS Report'!E308</f>
        <v/>
      </c>
      <c r="H313" s="1060" t="str">
        <f>'Barge BQS Report'!G308</f>
        <v/>
      </c>
      <c r="I313" s="1159" t="str">
        <f>'Barge BQS Report'!H308</f>
        <v/>
      </c>
      <c r="J313" s="1062" t="str">
        <f>'Barge BQS Report'!I308</f>
        <v/>
      </c>
      <c r="K313" s="1063" t="str">
        <f>'Barge BQS Report'!J308</f>
        <v/>
      </c>
      <c r="L313" s="1064" t="str">
        <f>'Barge BQS Report'!L308</f>
        <v/>
      </c>
      <c r="M313" s="1064" t="str">
        <f>'Barge BQS Report'!O308</f>
        <v/>
      </c>
      <c r="N313" s="1065" t="str">
        <f>'Barge BQS Report'!M308</f>
        <v/>
      </c>
      <c r="O313" s="1065" t="str">
        <f>'Barge BQS Report'!P308</f>
        <v/>
      </c>
      <c r="P313" s="1064" t="str">
        <f>'Barge BQS Report'!Q308</f>
        <v/>
      </c>
      <c r="Q313" s="1044"/>
      <c r="R313" s="1044"/>
      <c r="S313" s="1044"/>
    </row>
    <row r="314" spans="1:19" hidden="1">
      <c r="A314" s="881" t="str">
        <f>'Barge BQS Report'!A309</f>
        <v>N</v>
      </c>
      <c r="C314" s="1057" t="str">
        <f>'Barge BQS Report'!C309</f>
        <v/>
      </c>
      <c r="D314" s="1058" t="str">
        <f>'Barge BQS Report'!D309</f>
        <v/>
      </c>
      <c r="E314" s="1059" t="str">
        <f>'Barge BQS Report'!N309</f>
        <v/>
      </c>
      <c r="F314" s="1060" t="str">
        <f>'Barge BQS Report'!F309</f>
        <v/>
      </c>
      <c r="G314" s="1061" t="str">
        <f>'Barge BQS Report'!E309</f>
        <v/>
      </c>
      <c r="H314" s="1060" t="str">
        <f>'Barge BQS Report'!G309</f>
        <v/>
      </c>
      <c r="I314" s="1159" t="str">
        <f>'Barge BQS Report'!H309</f>
        <v/>
      </c>
      <c r="J314" s="1062" t="str">
        <f>'Barge BQS Report'!I309</f>
        <v/>
      </c>
      <c r="K314" s="1063" t="str">
        <f>'Barge BQS Report'!J309</f>
        <v/>
      </c>
      <c r="L314" s="1064" t="str">
        <f>'Barge BQS Report'!L309</f>
        <v/>
      </c>
      <c r="M314" s="1064" t="str">
        <f>'Barge BQS Report'!O309</f>
        <v/>
      </c>
      <c r="N314" s="1065" t="str">
        <f>'Barge BQS Report'!M309</f>
        <v/>
      </c>
      <c r="O314" s="1065" t="str">
        <f>'Barge BQS Report'!P309</f>
        <v/>
      </c>
      <c r="P314" s="1064" t="str">
        <f>'Barge BQS Report'!Q309</f>
        <v/>
      </c>
      <c r="Q314" s="1044"/>
      <c r="R314" s="1044"/>
      <c r="S314" s="1044"/>
    </row>
    <row r="315" spans="1:19" hidden="1">
      <c r="A315" s="881" t="str">
        <f>'Barge BQS Report'!A310</f>
        <v>N</v>
      </c>
      <c r="C315" s="1066" t="str">
        <f>'Barge BQS Report'!C310</f>
        <v/>
      </c>
      <c r="D315" s="1067" t="str">
        <f>'Barge BQS Report'!D310</f>
        <v/>
      </c>
      <c r="E315" s="1068" t="str">
        <f>'Barge BQS Report'!N310</f>
        <v/>
      </c>
      <c r="F315" s="1069" t="str">
        <f>'Barge BQS Report'!F310</f>
        <v/>
      </c>
      <c r="G315" s="1070" t="str">
        <f>'Barge BQS Report'!E310</f>
        <v/>
      </c>
      <c r="H315" s="1069" t="str">
        <f>'Barge BQS Report'!G310</f>
        <v/>
      </c>
      <c r="I315" s="1160" t="str">
        <f>'Barge BQS Report'!H310</f>
        <v/>
      </c>
      <c r="J315" s="1071" t="str">
        <f>'Barge BQS Report'!I310</f>
        <v/>
      </c>
      <c r="K315" s="1072" t="str">
        <f>'Barge BQS Report'!J310</f>
        <v/>
      </c>
      <c r="L315" s="1073" t="str">
        <f>'Barge BQS Report'!L310</f>
        <v/>
      </c>
      <c r="M315" s="1073" t="str">
        <f>'Barge BQS Report'!O310</f>
        <v/>
      </c>
      <c r="N315" s="1074" t="str">
        <f>'Barge BQS Report'!M310</f>
        <v/>
      </c>
      <c r="O315" s="1074" t="str">
        <f>'Barge BQS Report'!P310</f>
        <v/>
      </c>
      <c r="P315" s="1073" t="str">
        <f>'Barge BQS Report'!Q310</f>
        <v/>
      </c>
      <c r="Q315" s="1044"/>
      <c r="R315" s="1044"/>
      <c r="S315" s="1044"/>
    </row>
    <row r="316" spans="1:19" hidden="1">
      <c r="A316" s="881" t="s">
        <v>270</v>
      </c>
      <c r="C316" s="1118"/>
      <c r="D316" s="1075"/>
      <c r="E316" s="1076"/>
      <c r="F316" s="1077"/>
      <c r="G316" s="1077"/>
      <c r="H316" s="1078"/>
      <c r="I316" s="1078"/>
      <c r="J316" s="1078"/>
      <c r="K316" s="1077"/>
      <c r="L316" s="1079"/>
      <c r="M316" s="2957" t="s">
        <v>801</v>
      </c>
      <c r="N316" s="2957"/>
      <c r="O316" s="3091">
        <f>SUM(P296:P315)</f>
        <v>0</v>
      </c>
      <c r="P316" s="3092"/>
      <c r="Q316" s="1044"/>
      <c r="R316" s="1044"/>
      <c r="S316" s="1044"/>
    </row>
    <row r="317" spans="1:19" s="1046" customFormat="1" ht="5.25" hidden="1">
      <c r="A317" s="1046" t="s">
        <v>270</v>
      </c>
      <c r="C317" s="1108"/>
      <c r="D317" s="1109"/>
      <c r="E317" s="1110"/>
      <c r="F317" s="1111"/>
      <c r="G317" s="1111"/>
      <c r="H317" s="1112"/>
      <c r="I317" s="1113"/>
      <c r="J317" s="1113"/>
      <c r="K317" s="1114"/>
      <c r="L317" s="1115"/>
      <c r="M317" s="1115"/>
      <c r="N317" s="1116"/>
      <c r="O317" s="1117"/>
      <c r="P317" s="1115"/>
      <c r="Q317" s="1045"/>
      <c r="R317" s="1045"/>
      <c r="S317" s="1045"/>
    </row>
    <row r="318" spans="1:19" hidden="1">
      <c r="A318" s="881" t="s">
        <v>270</v>
      </c>
      <c r="B318" s="881">
        <v>6</v>
      </c>
      <c r="C318" s="2959" t="str">
        <f>'Barge BQS Report'!C313</f>
        <v>NOMINATED TANKS</v>
      </c>
      <c r="D318" s="2960">
        <f>'Vessel BQS Report'!D313</f>
        <v>0</v>
      </c>
      <c r="E318" s="2960">
        <f>'Vessel BQS Report'!N313</f>
        <v>0</v>
      </c>
      <c r="F318" s="2961">
        <f>'Vessel BQS Report'!F313</f>
        <v>0</v>
      </c>
      <c r="G318" s="2962" t="str">
        <f>'Barge BQS Report'!E313</f>
        <v>LSMGO</v>
      </c>
      <c r="H318" s="2963">
        <f>'Vessel BQS Report'!G313</f>
        <v>0</v>
      </c>
      <c r="I318" s="1051"/>
      <c r="J318" s="1052"/>
      <c r="K318" s="1053"/>
      <c r="L318" s="1054"/>
      <c r="M318" s="1054"/>
      <c r="N318" s="1055"/>
      <c r="O318" s="1056"/>
      <c r="P318" s="1054"/>
      <c r="Q318" s="1044"/>
      <c r="R318" s="1044"/>
      <c r="S318" s="1044"/>
    </row>
    <row r="319" spans="1:19">
      <c r="A319" s="881" t="str">
        <f>'Barge BQS Report'!A314</f>
        <v>Y</v>
      </c>
      <c r="C319" s="1615" t="str">
        <f>'Barge BQS Report'!C314</f>
        <v>3P</v>
      </c>
      <c r="D319" s="1616" t="str">
        <f>'Barge BQS Report'!D314</f>
        <v>LSMGO</v>
      </c>
      <c r="E319" s="1617">
        <f>'Barge BQS Report'!N314</f>
        <v>24</v>
      </c>
      <c r="F319" s="1618">
        <f>'Barge BQS Report'!F314</f>
        <v>4.05</v>
      </c>
      <c r="G319" s="1619">
        <f>'Barge BQS Report'!E314</f>
        <v>4.05</v>
      </c>
      <c r="H319" s="1618">
        <f>'Barge BQS Report'!G314</f>
        <v>3.8849999999999998</v>
      </c>
      <c r="I319" s="1620">
        <f>'Barge BQS Report'!H314</f>
        <v>3.9550000000000001</v>
      </c>
      <c r="J319" s="1621" t="str">
        <f>'Barge BQS Report'!I314</f>
        <v>S</v>
      </c>
      <c r="K319" s="1622">
        <f>'Barge BQS Report'!J314</f>
        <v>15.275</v>
      </c>
      <c r="L319" s="1623">
        <f>'Barge BQS Report'!L314</f>
        <v>0</v>
      </c>
      <c r="M319" s="1623">
        <f>'Barge BQS Report'!O314</f>
        <v>15.275</v>
      </c>
      <c r="N319" s="1624">
        <f>'Barge BQS Report'!M314</f>
        <v>0.83520000000000005</v>
      </c>
      <c r="O319" s="1624">
        <f>'Barge BQS Report'!P314</f>
        <v>0.99234</v>
      </c>
      <c r="P319" s="1623">
        <f>'Barge BQS Report'!Q314</f>
        <v>15.157999999999999</v>
      </c>
      <c r="Q319" s="1600"/>
      <c r="R319" s="1044"/>
      <c r="S319" s="1044"/>
    </row>
    <row r="320" spans="1:19">
      <c r="A320" s="881" t="str">
        <f>'Barge BQS Report'!A315</f>
        <v>Y</v>
      </c>
      <c r="C320" s="1615" t="str">
        <f>'Barge BQS Report'!C315</f>
        <v>3S</v>
      </c>
      <c r="D320" s="1616" t="str">
        <f>'Barge BQS Report'!D315</f>
        <v>LSMGO</v>
      </c>
      <c r="E320" s="1617">
        <f>'Barge BQS Report'!N315</f>
        <v>24</v>
      </c>
      <c r="F320" s="1618">
        <f>'Barge BQS Report'!F315</f>
        <v>4.05</v>
      </c>
      <c r="G320" s="1619">
        <f>'Barge BQS Report'!E315</f>
        <v>4.05</v>
      </c>
      <c r="H320" s="1618">
        <f>'Barge BQS Report'!G315</f>
        <v>3.8849999999999998</v>
      </c>
      <c r="I320" s="1620">
        <f>'Barge BQS Report'!H315</f>
        <v>3.9550000000000001</v>
      </c>
      <c r="J320" s="1621" t="str">
        <f>'Barge BQS Report'!I315</f>
        <v>S</v>
      </c>
      <c r="K320" s="1622">
        <f>'Barge BQS Report'!J315</f>
        <v>15.275</v>
      </c>
      <c r="L320" s="1623">
        <f>'Barge BQS Report'!L315</f>
        <v>0</v>
      </c>
      <c r="M320" s="1623">
        <f>'Barge BQS Report'!O315</f>
        <v>15.275</v>
      </c>
      <c r="N320" s="1624">
        <f>'Barge BQS Report'!M315</f>
        <v>0.83520000000000005</v>
      </c>
      <c r="O320" s="1624">
        <f>'Barge BQS Report'!P315</f>
        <v>0.99234</v>
      </c>
      <c r="P320" s="1623">
        <f>'Barge BQS Report'!Q315</f>
        <v>15.157999999999999</v>
      </c>
      <c r="Q320" s="1600"/>
      <c r="R320" s="1044"/>
      <c r="S320" s="1044"/>
    </row>
    <row r="321" spans="1:19" hidden="1">
      <c r="A321" s="881" t="str">
        <f>'Barge BQS Report'!A316</f>
        <v>N</v>
      </c>
      <c r="C321" s="1057" t="str">
        <f>'Barge BQS Report'!C316</f>
        <v/>
      </c>
      <c r="D321" s="1058" t="str">
        <f>'Barge BQS Report'!D316</f>
        <v/>
      </c>
      <c r="E321" s="1059" t="str">
        <f>'Barge BQS Report'!N316</f>
        <v/>
      </c>
      <c r="F321" s="1060" t="str">
        <f>'Barge BQS Report'!F316</f>
        <v/>
      </c>
      <c r="G321" s="1061" t="str">
        <f>'Barge BQS Report'!E316</f>
        <v/>
      </c>
      <c r="H321" s="1060" t="str">
        <f>'Barge BQS Report'!G316</f>
        <v/>
      </c>
      <c r="I321" s="1159" t="str">
        <f>'Barge BQS Report'!H316</f>
        <v/>
      </c>
      <c r="J321" s="1062" t="str">
        <f>'Barge BQS Report'!I316</f>
        <v/>
      </c>
      <c r="K321" s="1063" t="str">
        <f>'Barge BQS Report'!J316</f>
        <v/>
      </c>
      <c r="L321" s="1064" t="str">
        <f>'Barge BQS Report'!L316</f>
        <v/>
      </c>
      <c r="M321" s="1064" t="str">
        <f>'Barge BQS Report'!O316</f>
        <v/>
      </c>
      <c r="N321" s="1065" t="str">
        <f>'Barge BQS Report'!M316</f>
        <v/>
      </c>
      <c r="O321" s="1065" t="str">
        <f>'Barge BQS Report'!P316</f>
        <v/>
      </c>
      <c r="P321" s="1064" t="str">
        <f>'Barge BQS Report'!Q316</f>
        <v/>
      </c>
      <c r="Q321" s="1044"/>
      <c r="R321" s="1044"/>
      <c r="S321" s="1044"/>
    </row>
    <row r="322" spans="1:19" hidden="1">
      <c r="A322" s="881" t="str">
        <f>'Barge BQS Report'!A317</f>
        <v>N</v>
      </c>
      <c r="C322" s="1057" t="str">
        <f>'Barge BQS Report'!C317</f>
        <v/>
      </c>
      <c r="D322" s="1058" t="str">
        <f>'Barge BQS Report'!D317</f>
        <v/>
      </c>
      <c r="E322" s="1059" t="str">
        <f>'Barge BQS Report'!N317</f>
        <v/>
      </c>
      <c r="F322" s="1060" t="str">
        <f>'Barge BQS Report'!F317</f>
        <v/>
      </c>
      <c r="G322" s="1061" t="str">
        <f>'Barge BQS Report'!E317</f>
        <v/>
      </c>
      <c r="H322" s="1060" t="str">
        <f>'Barge BQS Report'!G317</f>
        <v/>
      </c>
      <c r="I322" s="1159" t="str">
        <f>'Barge BQS Report'!H317</f>
        <v/>
      </c>
      <c r="J322" s="1062" t="str">
        <f>'Barge BQS Report'!I317</f>
        <v/>
      </c>
      <c r="K322" s="1063" t="str">
        <f>'Barge BQS Report'!J317</f>
        <v/>
      </c>
      <c r="L322" s="1064" t="str">
        <f>'Barge BQS Report'!L317</f>
        <v/>
      </c>
      <c r="M322" s="1064" t="str">
        <f>'Barge BQS Report'!O317</f>
        <v/>
      </c>
      <c r="N322" s="1065" t="str">
        <f>'Barge BQS Report'!M317</f>
        <v/>
      </c>
      <c r="O322" s="1065" t="str">
        <f>'Barge BQS Report'!P317</f>
        <v/>
      </c>
      <c r="P322" s="1064" t="str">
        <f>'Barge BQS Report'!Q317</f>
        <v/>
      </c>
      <c r="Q322" s="1044"/>
      <c r="R322" s="1044"/>
      <c r="S322" s="1044"/>
    </row>
    <row r="323" spans="1:19" hidden="1">
      <c r="A323" s="881" t="str">
        <f>'Barge BQS Report'!A318</f>
        <v>N</v>
      </c>
      <c r="C323" s="1057" t="str">
        <f>'Barge BQS Report'!C318</f>
        <v/>
      </c>
      <c r="D323" s="1058" t="str">
        <f>'Barge BQS Report'!D318</f>
        <v/>
      </c>
      <c r="E323" s="1059" t="str">
        <f>'Barge BQS Report'!N318</f>
        <v/>
      </c>
      <c r="F323" s="1060" t="str">
        <f>'Barge BQS Report'!F318</f>
        <v/>
      </c>
      <c r="G323" s="1061" t="str">
        <f>'Barge BQS Report'!E318</f>
        <v/>
      </c>
      <c r="H323" s="1060" t="str">
        <f>'Barge BQS Report'!G318</f>
        <v/>
      </c>
      <c r="I323" s="1159" t="str">
        <f>'Barge BQS Report'!H318</f>
        <v/>
      </c>
      <c r="J323" s="1062" t="str">
        <f>'Barge BQS Report'!I318</f>
        <v/>
      </c>
      <c r="K323" s="1063" t="str">
        <f>'Barge BQS Report'!J318</f>
        <v/>
      </c>
      <c r="L323" s="1064" t="str">
        <f>'Barge BQS Report'!L318</f>
        <v/>
      </c>
      <c r="M323" s="1064" t="str">
        <f>'Barge BQS Report'!O318</f>
        <v/>
      </c>
      <c r="N323" s="1065" t="str">
        <f>'Barge BQS Report'!M318</f>
        <v/>
      </c>
      <c r="O323" s="1065" t="str">
        <f>'Barge BQS Report'!P318</f>
        <v/>
      </c>
      <c r="P323" s="1064" t="str">
        <f>'Barge BQS Report'!Q318</f>
        <v/>
      </c>
      <c r="Q323" s="1044"/>
      <c r="R323" s="1044"/>
      <c r="S323" s="1044"/>
    </row>
    <row r="324" spans="1:19" hidden="1">
      <c r="A324" s="881" t="str">
        <f>'Barge BQS Report'!A319</f>
        <v>N</v>
      </c>
      <c r="C324" s="1057" t="str">
        <f>'Barge BQS Report'!C319</f>
        <v/>
      </c>
      <c r="D324" s="1058" t="str">
        <f>'Barge BQS Report'!D319</f>
        <v/>
      </c>
      <c r="E324" s="1059" t="str">
        <f>'Barge BQS Report'!N319</f>
        <v/>
      </c>
      <c r="F324" s="1060" t="str">
        <f>'Barge BQS Report'!F319</f>
        <v/>
      </c>
      <c r="G324" s="1061" t="str">
        <f>'Barge BQS Report'!E319</f>
        <v/>
      </c>
      <c r="H324" s="1060" t="str">
        <f>'Barge BQS Report'!G319</f>
        <v/>
      </c>
      <c r="I324" s="1159" t="str">
        <f>'Barge BQS Report'!H319</f>
        <v/>
      </c>
      <c r="J324" s="1062" t="str">
        <f>'Barge BQS Report'!I319</f>
        <v/>
      </c>
      <c r="K324" s="1063" t="str">
        <f>'Barge BQS Report'!J319</f>
        <v/>
      </c>
      <c r="L324" s="1064" t="str">
        <f>'Barge BQS Report'!L319</f>
        <v/>
      </c>
      <c r="M324" s="1064" t="str">
        <f>'Barge BQS Report'!O319</f>
        <v/>
      </c>
      <c r="N324" s="1065" t="str">
        <f>'Barge BQS Report'!M319</f>
        <v/>
      </c>
      <c r="O324" s="1065" t="str">
        <f>'Barge BQS Report'!P319</f>
        <v/>
      </c>
      <c r="P324" s="1064" t="str">
        <f>'Barge BQS Report'!Q319</f>
        <v/>
      </c>
      <c r="Q324" s="1044"/>
      <c r="R324" s="1044"/>
      <c r="S324" s="1044"/>
    </row>
    <row r="325" spans="1:19" hidden="1">
      <c r="A325" s="881" t="str">
        <f>'Barge BQS Report'!A320</f>
        <v>N</v>
      </c>
      <c r="C325" s="1057" t="str">
        <f>'Barge BQS Report'!C320</f>
        <v/>
      </c>
      <c r="D325" s="1058" t="str">
        <f>'Barge BQS Report'!D320</f>
        <v/>
      </c>
      <c r="E325" s="1059" t="str">
        <f>'Barge BQS Report'!N320</f>
        <v/>
      </c>
      <c r="F325" s="1060" t="str">
        <f>'Barge BQS Report'!F320</f>
        <v/>
      </c>
      <c r="G325" s="1061" t="str">
        <f>'Barge BQS Report'!E320</f>
        <v/>
      </c>
      <c r="H325" s="1060" t="str">
        <f>'Barge BQS Report'!G320</f>
        <v/>
      </c>
      <c r="I325" s="1159" t="str">
        <f>'Barge BQS Report'!H320</f>
        <v/>
      </c>
      <c r="J325" s="1062" t="str">
        <f>'Barge BQS Report'!I320</f>
        <v/>
      </c>
      <c r="K325" s="1063" t="str">
        <f>'Barge BQS Report'!J320</f>
        <v/>
      </c>
      <c r="L325" s="1064" t="str">
        <f>'Barge BQS Report'!L320</f>
        <v/>
      </c>
      <c r="M325" s="1064" t="str">
        <f>'Barge BQS Report'!O320</f>
        <v/>
      </c>
      <c r="N325" s="1065" t="str">
        <f>'Barge BQS Report'!M320</f>
        <v/>
      </c>
      <c r="O325" s="1065" t="str">
        <f>'Barge BQS Report'!P320</f>
        <v/>
      </c>
      <c r="P325" s="1064" t="str">
        <f>'Barge BQS Report'!Q320</f>
        <v/>
      </c>
      <c r="Q325" s="1044"/>
      <c r="R325" s="1044"/>
      <c r="S325" s="1044"/>
    </row>
    <row r="326" spans="1:19" hidden="1">
      <c r="A326" s="881" t="str">
        <f>'Barge BQS Report'!A321</f>
        <v>N</v>
      </c>
      <c r="C326" s="1057" t="str">
        <f>'Barge BQS Report'!C321</f>
        <v/>
      </c>
      <c r="D326" s="1058" t="str">
        <f>'Barge BQS Report'!D321</f>
        <v/>
      </c>
      <c r="E326" s="1059" t="str">
        <f>'Barge BQS Report'!N321</f>
        <v/>
      </c>
      <c r="F326" s="1060" t="str">
        <f>'Barge BQS Report'!F321</f>
        <v/>
      </c>
      <c r="G326" s="1061" t="str">
        <f>'Barge BQS Report'!E321</f>
        <v/>
      </c>
      <c r="H326" s="1060" t="str">
        <f>'Barge BQS Report'!G321</f>
        <v/>
      </c>
      <c r="I326" s="1159" t="str">
        <f>'Barge BQS Report'!H321</f>
        <v/>
      </c>
      <c r="J326" s="1062" t="str">
        <f>'Barge BQS Report'!I321</f>
        <v/>
      </c>
      <c r="K326" s="1063" t="str">
        <f>'Barge BQS Report'!J321</f>
        <v/>
      </c>
      <c r="L326" s="1064" t="str">
        <f>'Barge BQS Report'!L321</f>
        <v/>
      </c>
      <c r="M326" s="1064" t="str">
        <f>'Barge BQS Report'!O321</f>
        <v/>
      </c>
      <c r="N326" s="1065" t="str">
        <f>'Barge BQS Report'!M321</f>
        <v/>
      </c>
      <c r="O326" s="1065" t="str">
        <f>'Barge BQS Report'!P321</f>
        <v/>
      </c>
      <c r="P326" s="1064" t="str">
        <f>'Barge BQS Report'!Q321</f>
        <v/>
      </c>
      <c r="Q326" s="1044"/>
      <c r="R326" s="1044"/>
      <c r="S326" s="1044"/>
    </row>
    <row r="327" spans="1:19" hidden="1">
      <c r="A327" s="881" t="str">
        <f>'Barge BQS Report'!A322</f>
        <v>N</v>
      </c>
      <c r="C327" s="1057" t="str">
        <f>'Barge BQS Report'!C322</f>
        <v/>
      </c>
      <c r="D327" s="1058" t="str">
        <f>'Barge BQS Report'!D322</f>
        <v/>
      </c>
      <c r="E327" s="1059" t="str">
        <f>'Barge BQS Report'!N322</f>
        <v/>
      </c>
      <c r="F327" s="1060" t="str">
        <f>'Barge BQS Report'!F322</f>
        <v/>
      </c>
      <c r="G327" s="1061" t="str">
        <f>'Barge BQS Report'!E322</f>
        <v/>
      </c>
      <c r="H327" s="1060" t="str">
        <f>'Barge BQS Report'!G322</f>
        <v/>
      </c>
      <c r="I327" s="1159" t="str">
        <f>'Barge BQS Report'!H322</f>
        <v/>
      </c>
      <c r="J327" s="1062" t="str">
        <f>'Barge BQS Report'!I322</f>
        <v/>
      </c>
      <c r="K327" s="1063" t="str">
        <f>'Barge BQS Report'!J322</f>
        <v/>
      </c>
      <c r="L327" s="1064" t="str">
        <f>'Barge BQS Report'!L322</f>
        <v/>
      </c>
      <c r="M327" s="1064" t="str">
        <f>'Barge BQS Report'!O322</f>
        <v/>
      </c>
      <c r="N327" s="1065" t="str">
        <f>'Barge BQS Report'!M322</f>
        <v/>
      </c>
      <c r="O327" s="1065" t="str">
        <f>'Barge BQS Report'!P322</f>
        <v/>
      </c>
      <c r="P327" s="1064" t="str">
        <f>'Barge BQS Report'!Q322</f>
        <v/>
      </c>
      <c r="Q327" s="1044"/>
      <c r="R327" s="1044"/>
      <c r="S327" s="1044"/>
    </row>
    <row r="328" spans="1:19" hidden="1">
      <c r="A328" s="881" t="str">
        <f>'Barge BQS Report'!A323</f>
        <v>N</v>
      </c>
      <c r="C328" s="1057" t="str">
        <f>'Barge BQS Report'!C323</f>
        <v/>
      </c>
      <c r="D328" s="1058" t="str">
        <f>'Barge BQS Report'!D323</f>
        <v/>
      </c>
      <c r="E328" s="1059" t="str">
        <f>'Barge BQS Report'!N323</f>
        <v/>
      </c>
      <c r="F328" s="1060" t="str">
        <f>'Barge BQS Report'!F323</f>
        <v/>
      </c>
      <c r="G328" s="1061" t="str">
        <f>'Barge BQS Report'!E323</f>
        <v/>
      </c>
      <c r="H328" s="1060" t="str">
        <f>'Barge BQS Report'!G323</f>
        <v/>
      </c>
      <c r="I328" s="1159" t="str">
        <f>'Barge BQS Report'!H323</f>
        <v/>
      </c>
      <c r="J328" s="1062" t="str">
        <f>'Barge BQS Report'!I323</f>
        <v/>
      </c>
      <c r="K328" s="1063" t="str">
        <f>'Barge BQS Report'!J323</f>
        <v/>
      </c>
      <c r="L328" s="1064" t="str">
        <f>'Barge BQS Report'!L323</f>
        <v/>
      </c>
      <c r="M328" s="1064" t="str">
        <f>'Barge BQS Report'!O323</f>
        <v/>
      </c>
      <c r="N328" s="1065" t="str">
        <f>'Barge BQS Report'!M323</f>
        <v/>
      </c>
      <c r="O328" s="1065" t="str">
        <f>'Barge BQS Report'!P323</f>
        <v/>
      </c>
      <c r="P328" s="1064" t="str">
        <f>'Barge BQS Report'!Q323</f>
        <v/>
      </c>
      <c r="Q328" s="1044"/>
      <c r="R328" s="1044"/>
      <c r="S328" s="1044"/>
    </row>
    <row r="329" spans="1:19" hidden="1">
      <c r="A329" s="881" t="str">
        <f>'Barge BQS Report'!A324</f>
        <v>N</v>
      </c>
      <c r="C329" s="1057" t="str">
        <f>'Barge BQS Report'!C324</f>
        <v/>
      </c>
      <c r="D329" s="1058" t="str">
        <f>'Barge BQS Report'!D324</f>
        <v/>
      </c>
      <c r="E329" s="1059" t="str">
        <f>'Barge BQS Report'!N324</f>
        <v/>
      </c>
      <c r="F329" s="1060" t="str">
        <f>'Barge BQS Report'!F324</f>
        <v/>
      </c>
      <c r="G329" s="1061" t="str">
        <f>'Barge BQS Report'!E324</f>
        <v/>
      </c>
      <c r="H329" s="1060" t="str">
        <f>'Barge BQS Report'!G324</f>
        <v/>
      </c>
      <c r="I329" s="1159" t="str">
        <f>'Barge BQS Report'!H324</f>
        <v/>
      </c>
      <c r="J329" s="1062" t="str">
        <f>'Barge BQS Report'!I324</f>
        <v/>
      </c>
      <c r="K329" s="1063" t="str">
        <f>'Barge BQS Report'!J324</f>
        <v/>
      </c>
      <c r="L329" s="1064" t="str">
        <f>'Barge BQS Report'!L324</f>
        <v/>
      </c>
      <c r="M329" s="1064" t="str">
        <f>'Barge BQS Report'!O324</f>
        <v/>
      </c>
      <c r="N329" s="1065" t="str">
        <f>'Barge BQS Report'!M324</f>
        <v/>
      </c>
      <c r="O329" s="1065" t="str">
        <f>'Barge BQS Report'!P324</f>
        <v/>
      </c>
      <c r="P329" s="1064" t="str">
        <f>'Barge BQS Report'!Q324</f>
        <v/>
      </c>
      <c r="Q329" s="1044"/>
      <c r="R329" s="1044"/>
      <c r="S329" s="1044"/>
    </row>
    <row r="330" spans="1:19" hidden="1">
      <c r="A330" s="881" t="str">
        <f>'Barge BQS Report'!A325</f>
        <v>N</v>
      </c>
      <c r="C330" s="1057" t="str">
        <f>'Barge BQS Report'!C325</f>
        <v/>
      </c>
      <c r="D330" s="1058" t="str">
        <f>'Barge BQS Report'!D325</f>
        <v/>
      </c>
      <c r="E330" s="1059" t="str">
        <f>'Barge BQS Report'!N325</f>
        <v/>
      </c>
      <c r="F330" s="1060" t="str">
        <f>'Barge BQS Report'!F325</f>
        <v/>
      </c>
      <c r="G330" s="1061" t="str">
        <f>'Barge BQS Report'!E325</f>
        <v/>
      </c>
      <c r="H330" s="1060" t="str">
        <f>'Barge BQS Report'!G325</f>
        <v/>
      </c>
      <c r="I330" s="1159" t="str">
        <f>'Barge BQS Report'!H325</f>
        <v/>
      </c>
      <c r="J330" s="1062" t="str">
        <f>'Barge BQS Report'!I325</f>
        <v/>
      </c>
      <c r="K330" s="1063" t="str">
        <f>'Barge BQS Report'!J325</f>
        <v/>
      </c>
      <c r="L330" s="1064" t="str">
        <f>'Barge BQS Report'!L325</f>
        <v/>
      </c>
      <c r="M330" s="1064" t="str">
        <f>'Barge BQS Report'!O325</f>
        <v/>
      </c>
      <c r="N330" s="1065" t="str">
        <f>'Barge BQS Report'!M325</f>
        <v/>
      </c>
      <c r="O330" s="1065" t="str">
        <f>'Barge BQS Report'!P325</f>
        <v/>
      </c>
      <c r="P330" s="1064" t="str">
        <f>'Barge BQS Report'!Q325</f>
        <v/>
      </c>
      <c r="Q330" s="1044"/>
      <c r="R330" s="1044"/>
      <c r="S330" s="1044"/>
    </row>
    <row r="331" spans="1:19" hidden="1">
      <c r="A331" s="881" t="str">
        <f>'Barge BQS Report'!A326</f>
        <v>N</v>
      </c>
      <c r="C331" s="1057" t="str">
        <f>'Barge BQS Report'!C326</f>
        <v/>
      </c>
      <c r="D331" s="1058" t="str">
        <f>'Barge BQS Report'!D326</f>
        <v/>
      </c>
      <c r="E331" s="1059" t="str">
        <f>'Barge BQS Report'!N326</f>
        <v/>
      </c>
      <c r="F331" s="1060" t="str">
        <f>'Barge BQS Report'!F326</f>
        <v/>
      </c>
      <c r="G331" s="1061" t="str">
        <f>'Barge BQS Report'!E326</f>
        <v/>
      </c>
      <c r="H331" s="1060" t="str">
        <f>'Barge BQS Report'!G326</f>
        <v/>
      </c>
      <c r="I331" s="1159" t="str">
        <f>'Barge BQS Report'!H326</f>
        <v/>
      </c>
      <c r="J331" s="1062" t="str">
        <f>'Barge BQS Report'!I326</f>
        <v/>
      </c>
      <c r="K331" s="1063" t="str">
        <f>'Barge BQS Report'!J326</f>
        <v/>
      </c>
      <c r="L331" s="1064" t="str">
        <f>'Barge BQS Report'!L326</f>
        <v/>
      </c>
      <c r="M331" s="1064" t="str">
        <f>'Barge BQS Report'!O326</f>
        <v/>
      </c>
      <c r="N331" s="1065" t="str">
        <f>'Barge BQS Report'!M326</f>
        <v/>
      </c>
      <c r="O331" s="1065" t="str">
        <f>'Barge BQS Report'!P326</f>
        <v/>
      </c>
      <c r="P331" s="1064" t="str">
        <f>'Barge BQS Report'!Q326</f>
        <v/>
      </c>
      <c r="Q331" s="1044"/>
      <c r="R331" s="1044"/>
      <c r="S331" s="1044"/>
    </row>
    <row r="332" spans="1:19" hidden="1">
      <c r="A332" s="881" t="str">
        <f>'Barge BQS Report'!A327</f>
        <v>N</v>
      </c>
      <c r="C332" s="1057" t="str">
        <f>'Barge BQS Report'!C327</f>
        <v/>
      </c>
      <c r="D332" s="1058" t="str">
        <f>'Barge BQS Report'!D327</f>
        <v/>
      </c>
      <c r="E332" s="1059" t="str">
        <f>'Barge BQS Report'!N327</f>
        <v/>
      </c>
      <c r="F332" s="1060" t="str">
        <f>'Barge BQS Report'!F327</f>
        <v/>
      </c>
      <c r="G332" s="1061" t="str">
        <f>'Barge BQS Report'!E327</f>
        <v/>
      </c>
      <c r="H332" s="1060" t="str">
        <f>'Barge BQS Report'!G327</f>
        <v/>
      </c>
      <c r="I332" s="1159" t="str">
        <f>'Barge BQS Report'!H327</f>
        <v/>
      </c>
      <c r="J332" s="1062" t="str">
        <f>'Barge BQS Report'!I327</f>
        <v/>
      </c>
      <c r="K332" s="1063" t="str">
        <f>'Barge BQS Report'!J327</f>
        <v/>
      </c>
      <c r="L332" s="1064" t="str">
        <f>'Barge BQS Report'!L327</f>
        <v/>
      </c>
      <c r="M332" s="1064" t="str">
        <f>'Barge BQS Report'!O327</f>
        <v/>
      </c>
      <c r="N332" s="1065" t="str">
        <f>'Barge BQS Report'!M327</f>
        <v/>
      </c>
      <c r="O332" s="1065" t="str">
        <f>'Barge BQS Report'!P327</f>
        <v/>
      </c>
      <c r="P332" s="1064" t="str">
        <f>'Barge BQS Report'!Q327</f>
        <v/>
      </c>
      <c r="Q332" s="1044"/>
      <c r="R332" s="1044"/>
      <c r="S332" s="1044"/>
    </row>
    <row r="333" spans="1:19" hidden="1">
      <c r="A333" s="881" t="str">
        <f>'Barge BQS Report'!A328</f>
        <v>N</v>
      </c>
      <c r="C333" s="1057" t="str">
        <f>'Barge BQS Report'!C328</f>
        <v/>
      </c>
      <c r="D333" s="1058" t="str">
        <f>'Barge BQS Report'!D328</f>
        <v/>
      </c>
      <c r="E333" s="1059" t="str">
        <f>'Barge BQS Report'!N328</f>
        <v/>
      </c>
      <c r="F333" s="1060" t="str">
        <f>'Barge BQS Report'!F328</f>
        <v/>
      </c>
      <c r="G333" s="1061" t="str">
        <f>'Barge BQS Report'!E328</f>
        <v/>
      </c>
      <c r="H333" s="1060" t="str">
        <f>'Barge BQS Report'!G328</f>
        <v/>
      </c>
      <c r="I333" s="1159" t="str">
        <f>'Barge BQS Report'!H328</f>
        <v/>
      </c>
      <c r="J333" s="1062" t="str">
        <f>'Barge BQS Report'!I328</f>
        <v/>
      </c>
      <c r="K333" s="1063" t="str">
        <f>'Barge BQS Report'!J328</f>
        <v/>
      </c>
      <c r="L333" s="1064" t="str">
        <f>'Barge BQS Report'!L328</f>
        <v/>
      </c>
      <c r="M333" s="1064" t="str">
        <f>'Barge BQS Report'!O328</f>
        <v/>
      </c>
      <c r="N333" s="1065" t="str">
        <f>'Barge BQS Report'!M328</f>
        <v/>
      </c>
      <c r="O333" s="1065" t="str">
        <f>'Barge BQS Report'!P328</f>
        <v/>
      </c>
      <c r="P333" s="1064" t="str">
        <f>'Barge BQS Report'!Q328</f>
        <v/>
      </c>
      <c r="Q333" s="1044"/>
      <c r="R333" s="1044"/>
      <c r="S333" s="1044"/>
    </row>
    <row r="334" spans="1:19" hidden="1">
      <c r="A334" s="881" t="str">
        <f>'Barge BQS Report'!A329</f>
        <v>N</v>
      </c>
      <c r="C334" s="1057" t="str">
        <f>'Barge BQS Report'!C329</f>
        <v/>
      </c>
      <c r="D334" s="1058" t="str">
        <f>'Barge BQS Report'!D329</f>
        <v/>
      </c>
      <c r="E334" s="1059" t="str">
        <f>'Barge BQS Report'!N329</f>
        <v/>
      </c>
      <c r="F334" s="1060" t="str">
        <f>'Barge BQS Report'!F329</f>
        <v/>
      </c>
      <c r="G334" s="1061" t="str">
        <f>'Barge BQS Report'!E329</f>
        <v/>
      </c>
      <c r="H334" s="1060" t="str">
        <f>'Barge BQS Report'!G329</f>
        <v/>
      </c>
      <c r="I334" s="1159" t="str">
        <f>'Barge BQS Report'!H329</f>
        <v/>
      </c>
      <c r="J334" s="1062" t="str">
        <f>'Barge BQS Report'!I329</f>
        <v/>
      </c>
      <c r="K334" s="1063" t="str">
        <f>'Barge BQS Report'!J329</f>
        <v/>
      </c>
      <c r="L334" s="1064" t="str">
        <f>'Barge BQS Report'!L329</f>
        <v/>
      </c>
      <c r="M334" s="1064" t="str">
        <f>'Barge BQS Report'!O329</f>
        <v/>
      </c>
      <c r="N334" s="1065" t="str">
        <f>'Barge BQS Report'!M329</f>
        <v/>
      </c>
      <c r="O334" s="1065" t="str">
        <f>'Barge BQS Report'!P329</f>
        <v/>
      </c>
      <c r="P334" s="1064" t="str">
        <f>'Barge BQS Report'!Q329</f>
        <v/>
      </c>
      <c r="Q334" s="1044"/>
      <c r="R334" s="1044"/>
      <c r="S334" s="1044"/>
    </row>
    <row r="335" spans="1:19" hidden="1">
      <c r="A335" s="881" t="str">
        <f>'Barge BQS Report'!A330</f>
        <v>N</v>
      </c>
      <c r="C335" s="1057" t="str">
        <f>'Barge BQS Report'!C330</f>
        <v/>
      </c>
      <c r="D335" s="1058" t="str">
        <f>'Barge BQS Report'!D330</f>
        <v/>
      </c>
      <c r="E335" s="1059" t="str">
        <f>'Barge BQS Report'!N330</f>
        <v/>
      </c>
      <c r="F335" s="1060" t="str">
        <f>'Barge BQS Report'!F330</f>
        <v/>
      </c>
      <c r="G335" s="1061" t="str">
        <f>'Barge BQS Report'!E330</f>
        <v/>
      </c>
      <c r="H335" s="1060" t="str">
        <f>'Barge BQS Report'!G330</f>
        <v/>
      </c>
      <c r="I335" s="1159" t="str">
        <f>'Barge BQS Report'!H330</f>
        <v/>
      </c>
      <c r="J335" s="1062" t="str">
        <f>'Barge BQS Report'!I330</f>
        <v/>
      </c>
      <c r="K335" s="1063" t="str">
        <f>'Barge BQS Report'!J330</f>
        <v/>
      </c>
      <c r="L335" s="1064" t="str">
        <f>'Barge BQS Report'!L330</f>
        <v/>
      </c>
      <c r="M335" s="1064" t="str">
        <f>'Barge BQS Report'!O330</f>
        <v/>
      </c>
      <c r="N335" s="1065" t="str">
        <f>'Barge BQS Report'!M330</f>
        <v/>
      </c>
      <c r="O335" s="1065" t="str">
        <f>'Barge BQS Report'!P330</f>
        <v/>
      </c>
      <c r="P335" s="1064" t="str">
        <f>'Barge BQS Report'!Q330</f>
        <v/>
      </c>
      <c r="Q335" s="1044"/>
      <c r="R335" s="1044"/>
      <c r="S335" s="1044"/>
    </row>
    <row r="336" spans="1:19" hidden="1">
      <c r="A336" s="881" t="str">
        <f>'Barge BQS Report'!A331</f>
        <v>N</v>
      </c>
      <c r="C336" s="1057" t="str">
        <f>'Barge BQS Report'!C331</f>
        <v/>
      </c>
      <c r="D336" s="1058" t="str">
        <f>'Barge BQS Report'!D331</f>
        <v/>
      </c>
      <c r="E336" s="1059" t="str">
        <f>'Barge BQS Report'!N331</f>
        <v/>
      </c>
      <c r="F336" s="1060" t="str">
        <f>'Barge BQS Report'!F331</f>
        <v/>
      </c>
      <c r="G336" s="1061" t="str">
        <f>'Barge BQS Report'!E331</f>
        <v/>
      </c>
      <c r="H336" s="1060" t="str">
        <f>'Barge BQS Report'!G331</f>
        <v/>
      </c>
      <c r="I336" s="1159" t="str">
        <f>'Barge BQS Report'!H331</f>
        <v/>
      </c>
      <c r="J336" s="1062" t="str">
        <f>'Barge BQS Report'!I331</f>
        <v/>
      </c>
      <c r="K336" s="1063" t="str">
        <f>'Barge BQS Report'!J331</f>
        <v/>
      </c>
      <c r="L336" s="1064" t="str">
        <f>'Barge BQS Report'!L331</f>
        <v/>
      </c>
      <c r="M336" s="1064" t="str">
        <f>'Barge BQS Report'!O331</f>
        <v/>
      </c>
      <c r="N336" s="1065" t="str">
        <f>'Barge BQS Report'!M331</f>
        <v/>
      </c>
      <c r="O336" s="1065" t="str">
        <f>'Barge BQS Report'!P331</f>
        <v/>
      </c>
      <c r="P336" s="1064" t="str">
        <f>'Barge BQS Report'!Q331</f>
        <v/>
      </c>
      <c r="Q336" s="1044"/>
      <c r="R336" s="1044"/>
      <c r="S336" s="1044"/>
    </row>
    <row r="337" spans="1:19" hidden="1">
      <c r="A337" s="881" t="str">
        <f>'Barge BQS Report'!A332</f>
        <v>N</v>
      </c>
      <c r="C337" s="1057" t="str">
        <f>'Barge BQS Report'!C332</f>
        <v/>
      </c>
      <c r="D337" s="1058" t="str">
        <f>'Barge BQS Report'!D332</f>
        <v/>
      </c>
      <c r="E337" s="1059" t="str">
        <f>'Barge BQS Report'!N332</f>
        <v/>
      </c>
      <c r="F337" s="1060" t="str">
        <f>'Barge BQS Report'!F332</f>
        <v/>
      </c>
      <c r="G337" s="1061" t="str">
        <f>'Barge BQS Report'!E332</f>
        <v/>
      </c>
      <c r="H337" s="1060" t="str">
        <f>'Barge BQS Report'!G332</f>
        <v/>
      </c>
      <c r="I337" s="1159" t="str">
        <f>'Barge BQS Report'!H332</f>
        <v/>
      </c>
      <c r="J337" s="1062" t="str">
        <f>'Barge BQS Report'!I332</f>
        <v/>
      </c>
      <c r="K337" s="1063" t="str">
        <f>'Barge BQS Report'!J332</f>
        <v/>
      </c>
      <c r="L337" s="1064" t="str">
        <f>'Barge BQS Report'!L332</f>
        <v/>
      </c>
      <c r="M337" s="1064" t="str">
        <f>'Barge BQS Report'!O332</f>
        <v/>
      </c>
      <c r="N337" s="1065" t="str">
        <f>'Barge BQS Report'!M332</f>
        <v/>
      </c>
      <c r="O337" s="1065" t="str">
        <f>'Barge BQS Report'!P332</f>
        <v/>
      </c>
      <c r="P337" s="1064" t="str">
        <f>'Barge BQS Report'!Q332</f>
        <v/>
      </c>
      <c r="Q337" s="1044"/>
      <c r="R337" s="1044"/>
      <c r="S337" s="1044"/>
    </row>
    <row r="338" spans="1:19" hidden="1">
      <c r="A338" s="881" t="str">
        <f>'Barge BQS Report'!A333</f>
        <v>N</v>
      </c>
      <c r="C338" s="1066" t="str">
        <f>'Barge BQS Report'!C333</f>
        <v/>
      </c>
      <c r="D338" s="1067" t="str">
        <f>'Barge BQS Report'!D333</f>
        <v/>
      </c>
      <c r="E338" s="1068" t="str">
        <f>'Barge BQS Report'!N333</f>
        <v/>
      </c>
      <c r="F338" s="1069" t="str">
        <f>'Barge BQS Report'!F333</f>
        <v/>
      </c>
      <c r="G338" s="1070" t="str">
        <f>'Barge BQS Report'!E333</f>
        <v/>
      </c>
      <c r="H338" s="1069" t="str">
        <f>'Barge BQS Report'!G333</f>
        <v/>
      </c>
      <c r="I338" s="1160" t="str">
        <f>'Barge BQS Report'!H333</f>
        <v/>
      </c>
      <c r="J338" s="1071" t="str">
        <f>'Barge BQS Report'!I333</f>
        <v/>
      </c>
      <c r="K338" s="1072" t="str">
        <f>'Barge BQS Report'!J333</f>
        <v/>
      </c>
      <c r="L338" s="1073" t="str">
        <f>'Barge BQS Report'!L333</f>
        <v/>
      </c>
      <c r="M338" s="1073" t="str">
        <f>'Barge BQS Report'!O333</f>
        <v/>
      </c>
      <c r="N338" s="1074" t="str">
        <f>'Barge BQS Report'!M333</f>
        <v/>
      </c>
      <c r="O338" s="1074" t="str">
        <f>'Barge BQS Report'!P333</f>
        <v/>
      </c>
      <c r="P338" s="1073" t="str">
        <f>'Barge BQS Report'!Q333</f>
        <v/>
      </c>
      <c r="Q338" s="1044"/>
      <c r="R338" s="1044"/>
      <c r="S338" s="1044"/>
    </row>
    <row r="339" spans="1:19" hidden="1">
      <c r="A339" s="881" t="s">
        <v>270</v>
      </c>
      <c r="C339" s="1118"/>
      <c r="D339" s="1075"/>
      <c r="E339" s="1076"/>
      <c r="F339" s="1077"/>
      <c r="G339" s="1077"/>
      <c r="H339" s="1078"/>
      <c r="I339" s="1078"/>
      <c r="J339" s="1078"/>
      <c r="K339" s="1077"/>
      <c r="L339" s="1079"/>
      <c r="M339" s="2957" t="s">
        <v>801</v>
      </c>
      <c r="N339" s="2957"/>
      <c r="O339" s="3091">
        <f>SUM(P319:P338)</f>
        <v>30.315999999999999</v>
      </c>
      <c r="P339" s="3092"/>
      <c r="Q339" s="1044"/>
      <c r="R339" s="1044"/>
      <c r="S339" s="1044"/>
    </row>
    <row r="340" spans="1:19">
      <c r="A340" s="881" t="str">
        <f>IF(COUNTIF(A203:A339,"Y")=0,"N","Y")</f>
        <v>Y</v>
      </c>
      <c r="C340" s="1625"/>
      <c r="D340" s="1626"/>
      <c r="E340" s="1627"/>
      <c r="F340" s="1628"/>
      <c r="G340" s="1628"/>
      <c r="H340" s="1629"/>
      <c r="I340" s="1629"/>
      <c r="J340" s="1629"/>
      <c r="K340" s="1628"/>
      <c r="L340" s="1644"/>
      <c r="M340" s="3049" t="s">
        <v>403</v>
      </c>
      <c r="N340" s="3049"/>
      <c r="O340" s="2971">
        <f>SUM(P204:P338)</f>
        <v>30.315999999999999</v>
      </c>
      <c r="P340" s="2972"/>
      <c r="Q340" s="1600"/>
      <c r="R340" s="1044"/>
      <c r="S340" s="1044"/>
    </row>
    <row r="341" spans="1:19" s="1046" customFormat="1" ht="5.25" hidden="1">
      <c r="A341" s="1046" t="s">
        <v>270</v>
      </c>
      <c r="C341" s="1092"/>
      <c r="D341" s="1093"/>
      <c r="E341" s="1094"/>
      <c r="F341" s="1095"/>
      <c r="G341" s="1095"/>
      <c r="H341" s="1096"/>
      <c r="I341" s="1080"/>
      <c r="J341" s="1080"/>
      <c r="K341" s="1081"/>
      <c r="L341" s="1082"/>
      <c r="M341" s="1086"/>
      <c r="N341" s="1086"/>
      <c r="O341" s="1087"/>
      <c r="P341" s="1087"/>
      <c r="Q341" s="1045"/>
      <c r="R341" s="1045"/>
      <c r="S341" s="1045"/>
    </row>
    <row r="342" spans="1:19">
      <c r="A342" s="881" t="str">
        <f>'Barge BQS Report'!A336</f>
        <v>N</v>
      </c>
      <c r="C342" s="3044" t="str">
        <f>'Barge BQS Report'!C336</f>
        <v>NON-NOMINATED TANKS</v>
      </c>
      <c r="D342" s="3045">
        <f>'Vessel BQS Report'!D336</f>
        <v>0</v>
      </c>
      <c r="E342" s="3045">
        <f>'Vessel BQS Report'!N336</f>
        <v>0</v>
      </c>
      <c r="F342" s="3046">
        <f>'Vessel BQS Report'!F336</f>
        <v>0</v>
      </c>
      <c r="G342" s="3047" t="str">
        <f>'Barge BQS Report'!E336</f>
        <v>(Distillates)</v>
      </c>
      <c r="H342" s="3048">
        <f>'Vessel BQS Report'!G336</f>
        <v>0</v>
      </c>
      <c r="I342" s="1631"/>
      <c r="J342" s="1632"/>
      <c r="K342" s="1633"/>
      <c r="L342" s="1634"/>
      <c r="M342" s="1634"/>
      <c r="N342" s="1635"/>
      <c r="O342" s="1636"/>
      <c r="P342" s="1634"/>
      <c r="Q342" s="1600"/>
      <c r="R342" s="1044"/>
      <c r="S342" s="1044"/>
    </row>
    <row r="343" spans="1:19">
      <c r="A343" s="881" t="str">
        <f>'Barge BQS Report'!A337</f>
        <v>N</v>
      </c>
      <c r="C343" s="1615" t="str">
        <f>'Barge BQS Report'!C337</f>
        <v/>
      </c>
      <c r="D343" s="1616" t="str">
        <f>'Barge BQS Report'!D337</f>
        <v/>
      </c>
      <c r="E343" s="1617" t="str">
        <f>'Barge BQS Report'!N337</f>
        <v/>
      </c>
      <c r="F343" s="1618" t="str">
        <f>'Barge BQS Report'!F337</f>
        <v/>
      </c>
      <c r="G343" s="1619" t="str">
        <f>'Barge BQS Report'!E337</f>
        <v/>
      </c>
      <c r="H343" s="1618" t="str">
        <f>'Barge BQS Report'!G337</f>
        <v/>
      </c>
      <c r="I343" s="1620" t="str">
        <f>'Barge BQS Report'!H337</f>
        <v/>
      </c>
      <c r="J343" s="1621" t="str">
        <f>'Barge BQS Report'!I337</f>
        <v/>
      </c>
      <c r="K343" s="1622" t="str">
        <f>'Barge BQS Report'!J337</f>
        <v/>
      </c>
      <c r="L343" s="1623" t="str">
        <f>'Barge BQS Report'!L337</f>
        <v/>
      </c>
      <c r="M343" s="1623" t="str">
        <f>'Barge BQS Report'!O337</f>
        <v/>
      </c>
      <c r="N343" s="1624" t="str">
        <f>'Barge BQS Report'!M337</f>
        <v/>
      </c>
      <c r="O343" s="1624" t="str">
        <f>'Barge BQS Report'!P337</f>
        <v/>
      </c>
      <c r="P343" s="1623" t="str">
        <f>'Barge BQS Report'!Q337</f>
        <v/>
      </c>
      <c r="Q343" s="1600"/>
      <c r="R343" s="1044"/>
      <c r="S343" s="1044"/>
    </row>
    <row r="344" spans="1:19">
      <c r="A344" s="881" t="str">
        <f>'Barge BQS Report'!A338</f>
        <v>N</v>
      </c>
      <c r="C344" s="1615" t="str">
        <f>'Barge BQS Report'!C338</f>
        <v/>
      </c>
      <c r="D344" s="1616" t="str">
        <f>'Barge BQS Report'!D338</f>
        <v/>
      </c>
      <c r="E344" s="1617" t="str">
        <f>'Barge BQS Report'!N338</f>
        <v/>
      </c>
      <c r="F344" s="1618" t="str">
        <f>'Barge BQS Report'!F338</f>
        <v/>
      </c>
      <c r="G344" s="1619" t="str">
        <f>'Barge BQS Report'!E338</f>
        <v/>
      </c>
      <c r="H344" s="1618" t="str">
        <f>'Barge BQS Report'!G338</f>
        <v/>
      </c>
      <c r="I344" s="1620" t="str">
        <f>'Barge BQS Report'!H338</f>
        <v/>
      </c>
      <c r="J344" s="1621" t="str">
        <f>'Barge BQS Report'!I338</f>
        <v/>
      </c>
      <c r="K344" s="1622" t="str">
        <f>'Barge BQS Report'!J338</f>
        <v/>
      </c>
      <c r="L344" s="1623" t="str">
        <f>'Barge BQS Report'!L338</f>
        <v/>
      </c>
      <c r="M344" s="1623" t="str">
        <f>'Barge BQS Report'!O338</f>
        <v/>
      </c>
      <c r="N344" s="1624" t="str">
        <f>'Barge BQS Report'!M338</f>
        <v/>
      </c>
      <c r="O344" s="1624" t="str">
        <f>'Barge BQS Report'!P338</f>
        <v/>
      </c>
      <c r="P344" s="1623" t="str">
        <f>'Barge BQS Report'!Q338</f>
        <v/>
      </c>
      <c r="Q344" s="1600"/>
      <c r="R344" s="1044"/>
      <c r="S344" s="1044"/>
    </row>
    <row r="345" spans="1:19">
      <c r="A345" s="881" t="str">
        <f>'Barge BQS Report'!A339</f>
        <v>N</v>
      </c>
      <c r="C345" s="1615" t="str">
        <f>'Barge BQS Report'!C339</f>
        <v/>
      </c>
      <c r="D345" s="1616" t="str">
        <f>'Barge BQS Report'!D339</f>
        <v/>
      </c>
      <c r="E345" s="1617" t="str">
        <f>'Barge BQS Report'!N339</f>
        <v/>
      </c>
      <c r="F345" s="1618" t="str">
        <f>'Barge BQS Report'!F339</f>
        <v/>
      </c>
      <c r="G345" s="1619" t="str">
        <f>'Barge BQS Report'!E339</f>
        <v/>
      </c>
      <c r="H345" s="1618" t="str">
        <f>'Barge BQS Report'!G339</f>
        <v/>
      </c>
      <c r="I345" s="1620" t="str">
        <f>'Barge BQS Report'!H339</f>
        <v/>
      </c>
      <c r="J345" s="1621" t="str">
        <f>'Barge BQS Report'!I339</f>
        <v/>
      </c>
      <c r="K345" s="1622" t="str">
        <f>'Barge BQS Report'!J339</f>
        <v/>
      </c>
      <c r="L345" s="1623" t="str">
        <f>'Barge BQS Report'!L339</f>
        <v/>
      </c>
      <c r="M345" s="1623" t="str">
        <f>'Barge BQS Report'!O339</f>
        <v/>
      </c>
      <c r="N345" s="1624" t="str">
        <f>'Barge BQS Report'!M339</f>
        <v/>
      </c>
      <c r="O345" s="1624" t="str">
        <f>'Barge BQS Report'!P339</f>
        <v/>
      </c>
      <c r="P345" s="1623" t="str">
        <f>'Barge BQS Report'!Q339</f>
        <v/>
      </c>
      <c r="Q345" s="1600"/>
      <c r="R345" s="1044"/>
      <c r="S345" s="1044"/>
    </row>
    <row r="346" spans="1:19">
      <c r="A346" s="881" t="str">
        <f>'Barge BQS Report'!A340</f>
        <v>N</v>
      </c>
      <c r="C346" s="1615" t="str">
        <f>'Barge BQS Report'!C340</f>
        <v/>
      </c>
      <c r="D346" s="1616" t="str">
        <f>'Barge BQS Report'!D340</f>
        <v/>
      </c>
      <c r="E346" s="1617" t="str">
        <f>'Barge BQS Report'!N340</f>
        <v/>
      </c>
      <c r="F346" s="1618" t="str">
        <f>'Barge BQS Report'!F340</f>
        <v/>
      </c>
      <c r="G346" s="1619" t="str">
        <f>'Barge BQS Report'!E340</f>
        <v/>
      </c>
      <c r="H346" s="1618" t="str">
        <f>'Barge BQS Report'!G340</f>
        <v/>
      </c>
      <c r="I346" s="1620" t="str">
        <f>'Barge BQS Report'!H340</f>
        <v/>
      </c>
      <c r="J346" s="1621" t="str">
        <f>'Barge BQS Report'!I340</f>
        <v/>
      </c>
      <c r="K346" s="1622" t="str">
        <f>'Barge BQS Report'!J340</f>
        <v/>
      </c>
      <c r="L346" s="1623" t="str">
        <f>'Barge BQS Report'!L340</f>
        <v/>
      </c>
      <c r="M346" s="1623" t="str">
        <f>'Barge BQS Report'!O340</f>
        <v/>
      </c>
      <c r="N346" s="1624" t="str">
        <f>'Barge BQS Report'!M340</f>
        <v/>
      </c>
      <c r="O346" s="1624" t="str">
        <f>'Barge BQS Report'!P340</f>
        <v/>
      </c>
      <c r="P346" s="1623" t="str">
        <f>'Barge BQS Report'!Q340</f>
        <v/>
      </c>
      <c r="Q346" s="1600"/>
      <c r="R346" s="1044"/>
      <c r="S346" s="1044"/>
    </row>
    <row r="347" spans="1:19">
      <c r="A347" s="881" t="str">
        <f>'Barge BQS Report'!A341</f>
        <v>N</v>
      </c>
      <c r="C347" s="1615" t="str">
        <f>'Barge BQS Report'!C341</f>
        <v/>
      </c>
      <c r="D347" s="1616" t="str">
        <f>'Barge BQS Report'!D341</f>
        <v/>
      </c>
      <c r="E347" s="1617" t="str">
        <f>'Barge BQS Report'!N341</f>
        <v/>
      </c>
      <c r="F347" s="1618" t="str">
        <f>'Barge BQS Report'!F341</f>
        <v/>
      </c>
      <c r="G347" s="1619" t="str">
        <f>'Barge BQS Report'!E341</f>
        <v/>
      </c>
      <c r="H347" s="1618" t="str">
        <f>'Barge BQS Report'!G341</f>
        <v/>
      </c>
      <c r="I347" s="1620" t="str">
        <f>'Barge BQS Report'!H341</f>
        <v/>
      </c>
      <c r="J347" s="1621" t="str">
        <f>'Barge BQS Report'!I341</f>
        <v/>
      </c>
      <c r="K347" s="1622" t="str">
        <f>'Barge BQS Report'!J341</f>
        <v/>
      </c>
      <c r="L347" s="1623" t="str">
        <f>'Barge BQS Report'!L341</f>
        <v/>
      </c>
      <c r="M347" s="1623" t="str">
        <f>'Barge BQS Report'!O341</f>
        <v/>
      </c>
      <c r="N347" s="1624" t="str">
        <f>'Barge BQS Report'!M341</f>
        <v/>
      </c>
      <c r="O347" s="1624" t="str">
        <f>'Barge BQS Report'!P341</f>
        <v/>
      </c>
      <c r="P347" s="1623" t="str">
        <f>'Barge BQS Report'!Q341</f>
        <v/>
      </c>
      <c r="Q347" s="1600"/>
      <c r="R347" s="1044"/>
      <c r="S347" s="1044"/>
    </row>
    <row r="348" spans="1:19">
      <c r="A348" s="881" t="str">
        <f>'Barge BQS Report'!A342</f>
        <v>N</v>
      </c>
      <c r="C348" s="1615" t="str">
        <f>'Barge BQS Report'!C342</f>
        <v/>
      </c>
      <c r="D348" s="1616" t="str">
        <f>'Barge BQS Report'!D342</f>
        <v/>
      </c>
      <c r="E348" s="1617" t="str">
        <f>'Barge BQS Report'!N342</f>
        <v/>
      </c>
      <c r="F348" s="1618" t="str">
        <f>'Barge BQS Report'!F342</f>
        <v/>
      </c>
      <c r="G348" s="1619" t="str">
        <f>'Barge BQS Report'!E342</f>
        <v/>
      </c>
      <c r="H348" s="1618" t="str">
        <f>'Barge BQS Report'!G342</f>
        <v/>
      </c>
      <c r="I348" s="1620" t="str">
        <f>'Barge BQS Report'!H342</f>
        <v/>
      </c>
      <c r="J348" s="1621" t="str">
        <f>'Barge BQS Report'!I342</f>
        <v/>
      </c>
      <c r="K348" s="1622" t="str">
        <f>'Barge BQS Report'!J342</f>
        <v/>
      </c>
      <c r="L348" s="1623" t="str">
        <f>'Barge BQS Report'!L342</f>
        <v/>
      </c>
      <c r="M348" s="1623" t="str">
        <f>'Barge BQS Report'!O342</f>
        <v/>
      </c>
      <c r="N348" s="1624" t="str">
        <f>'Barge BQS Report'!M342</f>
        <v/>
      </c>
      <c r="O348" s="1624" t="str">
        <f>'Barge BQS Report'!P342</f>
        <v/>
      </c>
      <c r="P348" s="1623" t="str">
        <f>'Barge BQS Report'!Q342</f>
        <v/>
      </c>
      <c r="Q348" s="1600"/>
      <c r="R348" s="1044"/>
      <c r="S348" s="1044"/>
    </row>
    <row r="349" spans="1:19" hidden="1">
      <c r="A349" s="881" t="str">
        <f>'Barge BQS Report'!A343</f>
        <v>N</v>
      </c>
      <c r="C349" s="1057" t="str">
        <f>'Barge BQS Report'!C343</f>
        <v/>
      </c>
      <c r="D349" s="1058" t="str">
        <f>'Barge BQS Report'!D343</f>
        <v/>
      </c>
      <c r="E349" s="1059" t="str">
        <f>'Barge BQS Report'!N343</f>
        <v/>
      </c>
      <c r="F349" s="1060" t="str">
        <f>'Barge BQS Report'!F343</f>
        <v/>
      </c>
      <c r="G349" s="1061" t="str">
        <f>'Barge BQS Report'!E343</f>
        <v/>
      </c>
      <c r="H349" s="1060" t="str">
        <f>'Barge BQS Report'!G343</f>
        <v/>
      </c>
      <c r="I349" s="1159" t="str">
        <f>'Barge BQS Report'!H343</f>
        <v/>
      </c>
      <c r="J349" s="1062" t="str">
        <f>'Barge BQS Report'!I343</f>
        <v/>
      </c>
      <c r="K349" s="1063" t="str">
        <f>'Barge BQS Report'!J343</f>
        <v/>
      </c>
      <c r="L349" s="1064" t="str">
        <f>'Barge BQS Report'!L343</f>
        <v/>
      </c>
      <c r="M349" s="1064" t="str">
        <f>'Barge BQS Report'!O343</f>
        <v/>
      </c>
      <c r="N349" s="1065" t="str">
        <f>'Barge BQS Report'!M343</f>
        <v/>
      </c>
      <c r="O349" s="1065" t="str">
        <f>'Barge BQS Report'!P343</f>
        <v/>
      </c>
      <c r="P349" s="1064" t="str">
        <f>'Barge BQS Report'!Q343</f>
        <v/>
      </c>
      <c r="Q349" s="1044"/>
      <c r="R349" s="1044"/>
      <c r="S349" s="1044"/>
    </row>
    <row r="350" spans="1:19" hidden="1">
      <c r="A350" s="881" t="str">
        <f>'Barge BQS Report'!A344</f>
        <v>N</v>
      </c>
      <c r="C350" s="1057" t="str">
        <f>'Barge BQS Report'!C344</f>
        <v/>
      </c>
      <c r="D350" s="1058" t="str">
        <f>'Barge BQS Report'!D344</f>
        <v/>
      </c>
      <c r="E350" s="1059" t="str">
        <f>'Barge BQS Report'!N344</f>
        <v/>
      </c>
      <c r="F350" s="1060" t="str">
        <f>'Barge BQS Report'!F344</f>
        <v/>
      </c>
      <c r="G350" s="1061" t="str">
        <f>'Barge BQS Report'!E344</f>
        <v/>
      </c>
      <c r="H350" s="1060" t="str">
        <f>'Barge BQS Report'!G344</f>
        <v/>
      </c>
      <c r="I350" s="1159" t="str">
        <f>'Barge BQS Report'!H344</f>
        <v/>
      </c>
      <c r="J350" s="1062" t="str">
        <f>'Barge BQS Report'!I344</f>
        <v/>
      </c>
      <c r="K350" s="1063" t="str">
        <f>'Barge BQS Report'!J344</f>
        <v/>
      </c>
      <c r="L350" s="1064" t="str">
        <f>'Barge BQS Report'!L344</f>
        <v/>
      </c>
      <c r="M350" s="1064" t="str">
        <f>'Barge BQS Report'!O344</f>
        <v/>
      </c>
      <c r="N350" s="1065" t="str">
        <f>'Barge BQS Report'!M344</f>
        <v/>
      </c>
      <c r="O350" s="1065" t="str">
        <f>'Barge BQS Report'!P344</f>
        <v/>
      </c>
      <c r="P350" s="1064" t="str">
        <f>'Barge BQS Report'!Q344</f>
        <v/>
      </c>
      <c r="Q350" s="1044"/>
      <c r="R350" s="1044"/>
      <c r="S350" s="1044"/>
    </row>
    <row r="351" spans="1:19" hidden="1">
      <c r="A351" s="881" t="str">
        <f>'Barge BQS Report'!A345</f>
        <v>N</v>
      </c>
      <c r="C351" s="1057" t="str">
        <f>'Barge BQS Report'!C345</f>
        <v/>
      </c>
      <c r="D351" s="1058" t="str">
        <f>'Barge BQS Report'!D345</f>
        <v/>
      </c>
      <c r="E351" s="1059" t="str">
        <f>'Barge BQS Report'!N345</f>
        <v/>
      </c>
      <c r="F351" s="1060" t="str">
        <f>'Barge BQS Report'!F345</f>
        <v/>
      </c>
      <c r="G351" s="1061" t="str">
        <f>'Barge BQS Report'!E345</f>
        <v/>
      </c>
      <c r="H351" s="1060" t="str">
        <f>'Barge BQS Report'!G345</f>
        <v/>
      </c>
      <c r="I351" s="1159" t="str">
        <f>'Barge BQS Report'!H345</f>
        <v/>
      </c>
      <c r="J351" s="1062" t="str">
        <f>'Barge BQS Report'!I345</f>
        <v/>
      </c>
      <c r="K351" s="1063" t="str">
        <f>'Barge BQS Report'!J345</f>
        <v/>
      </c>
      <c r="L351" s="1064" t="str">
        <f>'Barge BQS Report'!L345</f>
        <v/>
      </c>
      <c r="M351" s="1064" t="str">
        <f>'Barge BQS Report'!O345</f>
        <v/>
      </c>
      <c r="N351" s="1065" t="str">
        <f>'Barge BQS Report'!M345</f>
        <v/>
      </c>
      <c r="O351" s="1065" t="str">
        <f>'Barge BQS Report'!P345</f>
        <v/>
      </c>
      <c r="P351" s="1064" t="str">
        <f>'Barge BQS Report'!Q345</f>
        <v/>
      </c>
      <c r="Q351" s="1044"/>
      <c r="R351" s="1044"/>
      <c r="S351" s="1044"/>
    </row>
    <row r="352" spans="1:19" hidden="1">
      <c r="A352" s="881" t="str">
        <f>'Barge BQS Report'!A346</f>
        <v>N</v>
      </c>
      <c r="C352" s="1057" t="str">
        <f>'Barge BQS Report'!C346</f>
        <v/>
      </c>
      <c r="D352" s="1058" t="str">
        <f>'Barge BQS Report'!D346</f>
        <v/>
      </c>
      <c r="E352" s="1059" t="str">
        <f>'Barge BQS Report'!N346</f>
        <v/>
      </c>
      <c r="F352" s="1060" t="str">
        <f>'Barge BQS Report'!F346</f>
        <v/>
      </c>
      <c r="G352" s="1061" t="str">
        <f>'Barge BQS Report'!E346</f>
        <v/>
      </c>
      <c r="H352" s="1060" t="str">
        <f>'Barge BQS Report'!G346</f>
        <v/>
      </c>
      <c r="I352" s="1159" t="str">
        <f>'Barge BQS Report'!H346</f>
        <v/>
      </c>
      <c r="J352" s="1062" t="str">
        <f>'Barge BQS Report'!I346</f>
        <v/>
      </c>
      <c r="K352" s="1063" t="str">
        <f>'Barge BQS Report'!J346</f>
        <v/>
      </c>
      <c r="L352" s="1064" t="str">
        <f>'Barge BQS Report'!L346</f>
        <v/>
      </c>
      <c r="M352" s="1064" t="str">
        <f>'Barge BQS Report'!O346</f>
        <v/>
      </c>
      <c r="N352" s="1065" t="str">
        <f>'Barge BQS Report'!M346</f>
        <v/>
      </c>
      <c r="O352" s="1065" t="str">
        <f>'Barge BQS Report'!P346</f>
        <v/>
      </c>
      <c r="P352" s="1064" t="str">
        <f>'Barge BQS Report'!Q346</f>
        <v/>
      </c>
      <c r="Q352" s="1044"/>
      <c r="R352" s="1044"/>
      <c r="S352" s="1044"/>
    </row>
    <row r="353" spans="1:19" hidden="1">
      <c r="A353" s="881" t="str">
        <f>'Barge BQS Report'!A347</f>
        <v>N</v>
      </c>
      <c r="C353" s="1057" t="str">
        <f>'Barge BQS Report'!C347</f>
        <v/>
      </c>
      <c r="D353" s="1058" t="str">
        <f>'Barge BQS Report'!D347</f>
        <v/>
      </c>
      <c r="E353" s="1059" t="str">
        <f>'Barge BQS Report'!N347</f>
        <v/>
      </c>
      <c r="F353" s="1060" t="str">
        <f>'Barge BQS Report'!F347</f>
        <v/>
      </c>
      <c r="G353" s="1061" t="str">
        <f>'Barge BQS Report'!E347</f>
        <v/>
      </c>
      <c r="H353" s="1060" t="str">
        <f>'Barge BQS Report'!G347</f>
        <v/>
      </c>
      <c r="I353" s="1159" t="str">
        <f>'Barge BQS Report'!H347</f>
        <v/>
      </c>
      <c r="J353" s="1062" t="str">
        <f>'Barge BQS Report'!I347</f>
        <v/>
      </c>
      <c r="K353" s="1063" t="str">
        <f>'Barge BQS Report'!J347</f>
        <v/>
      </c>
      <c r="L353" s="1064" t="str">
        <f>'Barge BQS Report'!L347</f>
        <v/>
      </c>
      <c r="M353" s="1064" t="str">
        <f>'Barge BQS Report'!O347</f>
        <v/>
      </c>
      <c r="N353" s="1065" t="str">
        <f>'Barge BQS Report'!M347</f>
        <v/>
      </c>
      <c r="O353" s="1065" t="str">
        <f>'Barge BQS Report'!P347</f>
        <v/>
      </c>
      <c r="P353" s="1064" t="str">
        <f>'Barge BQS Report'!Q347</f>
        <v/>
      </c>
      <c r="Q353" s="1044"/>
      <c r="R353" s="1044"/>
      <c r="S353" s="1044"/>
    </row>
    <row r="354" spans="1:19" hidden="1">
      <c r="A354" s="881" t="str">
        <f>'Barge BQS Report'!A348</f>
        <v>N</v>
      </c>
      <c r="C354" s="1057" t="str">
        <f>'Barge BQS Report'!C348</f>
        <v/>
      </c>
      <c r="D354" s="1058" t="str">
        <f>'Barge BQS Report'!D348</f>
        <v/>
      </c>
      <c r="E354" s="1059" t="str">
        <f>'Barge BQS Report'!N348</f>
        <v/>
      </c>
      <c r="F354" s="1060" t="str">
        <f>'Barge BQS Report'!F348</f>
        <v/>
      </c>
      <c r="G354" s="1061" t="str">
        <f>'Barge BQS Report'!E348</f>
        <v/>
      </c>
      <c r="H354" s="1060" t="str">
        <f>'Barge BQS Report'!G348</f>
        <v/>
      </c>
      <c r="I354" s="1159" t="str">
        <f>'Barge BQS Report'!H348</f>
        <v/>
      </c>
      <c r="J354" s="1062" t="str">
        <f>'Barge BQS Report'!I348</f>
        <v/>
      </c>
      <c r="K354" s="1063" t="str">
        <f>'Barge BQS Report'!J348</f>
        <v/>
      </c>
      <c r="L354" s="1064" t="str">
        <f>'Barge BQS Report'!L348</f>
        <v/>
      </c>
      <c r="M354" s="1064" t="str">
        <f>'Barge BQS Report'!O348</f>
        <v/>
      </c>
      <c r="N354" s="1065" t="str">
        <f>'Barge BQS Report'!M348</f>
        <v/>
      </c>
      <c r="O354" s="1065" t="str">
        <f>'Barge BQS Report'!P348</f>
        <v/>
      </c>
      <c r="P354" s="1064" t="str">
        <f>'Barge BQS Report'!Q348</f>
        <v/>
      </c>
      <c r="Q354" s="1044"/>
      <c r="R354" s="1044"/>
      <c r="S354" s="1044"/>
    </row>
    <row r="355" spans="1:19" hidden="1">
      <c r="A355" s="881" t="str">
        <f>'Barge BQS Report'!A349</f>
        <v>N</v>
      </c>
      <c r="C355" s="1057" t="str">
        <f>'Barge BQS Report'!C349</f>
        <v/>
      </c>
      <c r="D355" s="1058" t="str">
        <f>'Barge BQS Report'!D349</f>
        <v/>
      </c>
      <c r="E355" s="1059" t="str">
        <f>'Barge BQS Report'!N349</f>
        <v/>
      </c>
      <c r="F355" s="1060" t="str">
        <f>'Barge BQS Report'!F349</f>
        <v/>
      </c>
      <c r="G355" s="1061" t="str">
        <f>'Barge BQS Report'!E349</f>
        <v/>
      </c>
      <c r="H355" s="1060" t="str">
        <f>'Barge BQS Report'!G349</f>
        <v/>
      </c>
      <c r="I355" s="1159" t="str">
        <f>'Barge BQS Report'!H349</f>
        <v/>
      </c>
      <c r="J355" s="1062" t="str">
        <f>'Barge BQS Report'!I349</f>
        <v/>
      </c>
      <c r="K355" s="1063" t="str">
        <f>'Barge BQS Report'!J349</f>
        <v/>
      </c>
      <c r="L355" s="1064" t="str">
        <f>'Barge BQS Report'!L349</f>
        <v/>
      </c>
      <c r="M355" s="1064" t="str">
        <f>'Barge BQS Report'!O349</f>
        <v/>
      </c>
      <c r="N355" s="1065" t="str">
        <f>'Barge BQS Report'!M349</f>
        <v/>
      </c>
      <c r="O355" s="1065" t="str">
        <f>'Barge BQS Report'!P349</f>
        <v/>
      </c>
      <c r="P355" s="1064" t="str">
        <f>'Barge BQS Report'!Q349</f>
        <v/>
      </c>
      <c r="Q355" s="1044"/>
      <c r="R355" s="1044"/>
      <c r="S355" s="1044"/>
    </row>
    <row r="356" spans="1:19" hidden="1">
      <c r="A356" s="881" t="str">
        <f>'Barge BQS Report'!A350</f>
        <v>N</v>
      </c>
      <c r="C356" s="1057" t="str">
        <f>'Barge BQS Report'!C350</f>
        <v/>
      </c>
      <c r="D356" s="1058" t="str">
        <f>'Barge BQS Report'!D350</f>
        <v/>
      </c>
      <c r="E356" s="1059" t="str">
        <f>'Barge BQS Report'!N350</f>
        <v/>
      </c>
      <c r="F356" s="1060" t="str">
        <f>'Barge BQS Report'!F350</f>
        <v/>
      </c>
      <c r="G356" s="1061" t="str">
        <f>'Barge BQS Report'!E350</f>
        <v/>
      </c>
      <c r="H356" s="1060" t="str">
        <f>'Barge BQS Report'!G350</f>
        <v/>
      </c>
      <c r="I356" s="1159" t="str">
        <f>'Barge BQS Report'!H350</f>
        <v/>
      </c>
      <c r="J356" s="1062" t="str">
        <f>'Barge BQS Report'!I350</f>
        <v/>
      </c>
      <c r="K356" s="1063" t="str">
        <f>'Barge BQS Report'!J350</f>
        <v/>
      </c>
      <c r="L356" s="1064" t="str">
        <f>'Barge BQS Report'!L350</f>
        <v/>
      </c>
      <c r="M356" s="1064" t="str">
        <f>'Barge BQS Report'!O350</f>
        <v/>
      </c>
      <c r="N356" s="1065" t="str">
        <f>'Barge BQS Report'!M350</f>
        <v/>
      </c>
      <c r="O356" s="1065" t="str">
        <f>'Barge BQS Report'!P350</f>
        <v/>
      </c>
      <c r="P356" s="1064" t="str">
        <f>'Barge BQS Report'!Q350</f>
        <v/>
      </c>
      <c r="Q356" s="1044"/>
      <c r="R356" s="1044"/>
      <c r="S356" s="1044"/>
    </row>
    <row r="357" spans="1:19" hidden="1">
      <c r="A357" s="881" t="str">
        <f>'Barge BQS Report'!A351</f>
        <v>N</v>
      </c>
      <c r="C357" s="1057" t="str">
        <f>'Barge BQS Report'!C351</f>
        <v/>
      </c>
      <c r="D357" s="1058" t="str">
        <f>'Barge BQS Report'!D351</f>
        <v/>
      </c>
      <c r="E357" s="1059" t="str">
        <f>'Barge BQS Report'!N351</f>
        <v/>
      </c>
      <c r="F357" s="1060" t="str">
        <f>'Barge BQS Report'!F351</f>
        <v/>
      </c>
      <c r="G357" s="1061" t="str">
        <f>'Barge BQS Report'!E351</f>
        <v/>
      </c>
      <c r="H357" s="1060" t="str">
        <f>'Barge BQS Report'!G351</f>
        <v/>
      </c>
      <c r="I357" s="1159" t="str">
        <f>'Barge BQS Report'!H351</f>
        <v/>
      </c>
      <c r="J357" s="1062" t="str">
        <f>'Barge BQS Report'!I351</f>
        <v/>
      </c>
      <c r="K357" s="1063" t="str">
        <f>'Barge BQS Report'!J351</f>
        <v/>
      </c>
      <c r="L357" s="1064" t="str">
        <f>'Barge BQS Report'!L351</f>
        <v/>
      </c>
      <c r="M357" s="1064" t="str">
        <f>'Barge BQS Report'!O351</f>
        <v/>
      </c>
      <c r="N357" s="1065" t="str">
        <f>'Barge BQS Report'!M351</f>
        <v/>
      </c>
      <c r="O357" s="1065" t="str">
        <f>'Barge BQS Report'!P351</f>
        <v/>
      </c>
      <c r="P357" s="1064" t="str">
        <f>'Barge BQS Report'!Q351</f>
        <v/>
      </c>
      <c r="Q357" s="1044"/>
      <c r="R357" s="1044"/>
      <c r="S357" s="1044"/>
    </row>
    <row r="358" spans="1:19" hidden="1">
      <c r="A358" s="881" t="str">
        <f>'Barge BQS Report'!A352</f>
        <v>N</v>
      </c>
      <c r="C358" s="1057" t="str">
        <f>'Barge BQS Report'!C352</f>
        <v/>
      </c>
      <c r="D358" s="1058" t="str">
        <f>'Barge BQS Report'!D352</f>
        <v/>
      </c>
      <c r="E358" s="1059" t="str">
        <f>'Barge BQS Report'!N352</f>
        <v/>
      </c>
      <c r="F358" s="1060" t="str">
        <f>'Barge BQS Report'!F352</f>
        <v/>
      </c>
      <c r="G358" s="1061" t="str">
        <f>'Barge BQS Report'!E352</f>
        <v/>
      </c>
      <c r="H358" s="1060" t="str">
        <f>'Barge BQS Report'!G352</f>
        <v/>
      </c>
      <c r="I358" s="1159" t="str">
        <f>'Barge BQS Report'!H352</f>
        <v/>
      </c>
      <c r="J358" s="1062" t="str">
        <f>'Barge BQS Report'!I352</f>
        <v/>
      </c>
      <c r="K358" s="1063" t="str">
        <f>'Barge BQS Report'!J352</f>
        <v/>
      </c>
      <c r="L358" s="1064" t="str">
        <f>'Barge BQS Report'!L352</f>
        <v/>
      </c>
      <c r="M358" s="1064" t="str">
        <f>'Barge BQS Report'!O352</f>
        <v/>
      </c>
      <c r="N358" s="1065" t="str">
        <f>'Barge BQS Report'!M352</f>
        <v/>
      </c>
      <c r="O358" s="1065" t="str">
        <f>'Barge BQS Report'!P352</f>
        <v/>
      </c>
      <c r="P358" s="1064" t="str">
        <f>'Barge BQS Report'!Q352</f>
        <v/>
      </c>
      <c r="Q358" s="1044"/>
      <c r="R358" s="1044"/>
      <c r="S358" s="1044"/>
    </row>
    <row r="359" spans="1:19" hidden="1">
      <c r="A359" s="881" t="str">
        <f>'Barge BQS Report'!A353</f>
        <v>N</v>
      </c>
      <c r="C359" s="1057" t="str">
        <f>'Barge BQS Report'!C353</f>
        <v/>
      </c>
      <c r="D359" s="1058" t="str">
        <f>'Barge BQS Report'!D353</f>
        <v/>
      </c>
      <c r="E359" s="1059" t="str">
        <f>'Barge BQS Report'!N353</f>
        <v/>
      </c>
      <c r="F359" s="1060" t="str">
        <f>'Barge BQS Report'!F353</f>
        <v/>
      </c>
      <c r="G359" s="1061" t="str">
        <f>'Barge BQS Report'!E353</f>
        <v/>
      </c>
      <c r="H359" s="1060" t="str">
        <f>'Barge BQS Report'!G353</f>
        <v/>
      </c>
      <c r="I359" s="1159" t="str">
        <f>'Barge BQS Report'!H353</f>
        <v/>
      </c>
      <c r="J359" s="1062" t="str">
        <f>'Barge BQS Report'!I353</f>
        <v/>
      </c>
      <c r="K359" s="1063" t="str">
        <f>'Barge BQS Report'!J353</f>
        <v/>
      </c>
      <c r="L359" s="1064" t="str">
        <f>'Barge BQS Report'!L353</f>
        <v/>
      </c>
      <c r="M359" s="1064" t="str">
        <f>'Barge BQS Report'!O353</f>
        <v/>
      </c>
      <c r="N359" s="1065" t="str">
        <f>'Barge BQS Report'!M353</f>
        <v/>
      </c>
      <c r="O359" s="1065" t="str">
        <f>'Barge BQS Report'!P353</f>
        <v/>
      </c>
      <c r="P359" s="1064" t="str">
        <f>'Barge BQS Report'!Q353</f>
        <v/>
      </c>
      <c r="Q359" s="1044"/>
      <c r="R359" s="1044"/>
      <c r="S359" s="1044"/>
    </row>
    <row r="360" spans="1:19" hidden="1">
      <c r="A360" s="881" t="str">
        <f>'Barge BQS Report'!A354</f>
        <v>N</v>
      </c>
      <c r="C360" s="1309" t="str">
        <f>'Barge BQS Report'!C354</f>
        <v/>
      </c>
      <c r="D360" s="1310" t="str">
        <f>'Barge BQS Report'!D354</f>
        <v/>
      </c>
      <c r="E360" s="1311" t="str">
        <f>'Barge BQS Report'!N354</f>
        <v/>
      </c>
      <c r="F360" s="1312" t="str">
        <f>'Barge BQS Report'!F354</f>
        <v/>
      </c>
      <c r="G360" s="1313" t="str">
        <f>'Barge BQS Report'!E354</f>
        <v/>
      </c>
      <c r="H360" s="1312" t="str">
        <f>'Barge BQS Report'!G354</f>
        <v/>
      </c>
      <c r="I360" s="1159" t="str">
        <f>'Barge BQS Report'!H354</f>
        <v/>
      </c>
      <c r="J360" s="1062" t="str">
        <f>'Barge BQS Report'!I354</f>
        <v/>
      </c>
      <c r="K360" s="1314" t="str">
        <f>'Barge BQS Report'!J354</f>
        <v/>
      </c>
      <c r="L360" s="1315" t="str">
        <f>'Barge BQS Report'!L354</f>
        <v/>
      </c>
      <c r="M360" s="1315" t="str">
        <f>'Barge BQS Report'!O354</f>
        <v/>
      </c>
      <c r="N360" s="1316" t="str">
        <f>'Barge BQS Report'!M354</f>
        <v/>
      </c>
      <c r="O360" s="1316" t="str">
        <f>'Barge BQS Report'!P354</f>
        <v/>
      </c>
      <c r="P360" s="1315" t="str">
        <f>'Barge BQS Report'!Q354</f>
        <v/>
      </c>
      <c r="Q360" s="1044"/>
      <c r="R360" s="1044"/>
      <c r="S360" s="1044"/>
    </row>
    <row r="361" spans="1:19" hidden="1">
      <c r="A361" s="881" t="str">
        <f>'Barge BQS Report'!A355</f>
        <v>N</v>
      </c>
      <c r="C361" s="1309" t="str">
        <f>'Barge BQS Report'!C355</f>
        <v/>
      </c>
      <c r="D361" s="1310" t="str">
        <f>'Barge BQS Report'!D355</f>
        <v/>
      </c>
      <c r="E361" s="1311" t="str">
        <f>'Barge BQS Report'!N355</f>
        <v/>
      </c>
      <c r="F361" s="1312" t="str">
        <f>'Barge BQS Report'!F355</f>
        <v/>
      </c>
      <c r="G361" s="1313" t="str">
        <f>'Barge BQS Report'!E355</f>
        <v/>
      </c>
      <c r="H361" s="1312" t="str">
        <f>'Barge BQS Report'!G355</f>
        <v/>
      </c>
      <c r="I361" s="1159" t="str">
        <f>'Barge BQS Report'!H355</f>
        <v/>
      </c>
      <c r="J361" s="1062" t="str">
        <f>'Barge BQS Report'!I355</f>
        <v/>
      </c>
      <c r="K361" s="1314" t="str">
        <f>'Barge BQS Report'!J355</f>
        <v/>
      </c>
      <c r="L361" s="1315" t="str">
        <f>'Barge BQS Report'!L355</f>
        <v/>
      </c>
      <c r="M361" s="1315" t="str">
        <f>'Barge BQS Report'!O355</f>
        <v/>
      </c>
      <c r="N361" s="1316" t="str">
        <f>'Barge BQS Report'!M355</f>
        <v/>
      </c>
      <c r="O361" s="1316" t="str">
        <f>'Barge BQS Report'!P355</f>
        <v/>
      </c>
      <c r="P361" s="1315" t="str">
        <f>'Barge BQS Report'!Q355</f>
        <v/>
      </c>
      <c r="Q361" s="1044"/>
      <c r="R361" s="1044"/>
      <c r="S361" s="1044"/>
    </row>
    <row r="362" spans="1:19" hidden="1">
      <c r="A362" s="881" t="str">
        <f>'Barge BQS Report'!A356</f>
        <v>N</v>
      </c>
      <c r="C362" s="1309" t="str">
        <f>'Barge BQS Report'!C356</f>
        <v/>
      </c>
      <c r="D362" s="1310" t="str">
        <f>'Barge BQS Report'!D356</f>
        <v/>
      </c>
      <c r="E362" s="1311" t="str">
        <f>'Barge BQS Report'!N356</f>
        <v/>
      </c>
      <c r="F362" s="1312" t="str">
        <f>'Barge BQS Report'!F356</f>
        <v/>
      </c>
      <c r="G362" s="1313" t="str">
        <f>'Barge BQS Report'!E356</f>
        <v/>
      </c>
      <c r="H362" s="1312" t="str">
        <f>'Barge BQS Report'!G356</f>
        <v/>
      </c>
      <c r="I362" s="1159" t="str">
        <f>'Barge BQS Report'!H356</f>
        <v/>
      </c>
      <c r="J362" s="1062" t="str">
        <f>'Barge BQS Report'!I356</f>
        <v/>
      </c>
      <c r="K362" s="1314" t="str">
        <f>'Barge BQS Report'!J356</f>
        <v/>
      </c>
      <c r="L362" s="1315" t="str">
        <f>'Barge BQS Report'!L356</f>
        <v/>
      </c>
      <c r="M362" s="1315" t="str">
        <f>'Barge BQS Report'!O356</f>
        <v/>
      </c>
      <c r="N362" s="1316" t="str">
        <f>'Barge BQS Report'!M356</f>
        <v/>
      </c>
      <c r="O362" s="1316" t="str">
        <f>'Barge BQS Report'!P356</f>
        <v/>
      </c>
      <c r="P362" s="1315" t="str">
        <f>'Barge BQS Report'!Q356</f>
        <v/>
      </c>
      <c r="Q362" s="1044"/>
      <c r="R362" s="1044"/>
      <c r="S362" s="1044"/>
    </row>
    <row r="363" spans="1:19" hidden="1">
      <c r="A363" s="881" t="str">
        <f>'Barge BQS Report'!A357</f>
        <v>N</v>
      </c>
      <c r="C363" s="1309" t="str">
        <f>'Barge BQS Report'!C357</f>
        <v/>
      </c>
      <c r="D363" s="1310" t="str">
        <f>'Barge BQS Report'!D357</f>
        <v/>
      </c>
      <c r="E363" s="1311" t="str">
        <f>'Barge BQS Report'!N357</f>
        <v/>
      </c>
      <c r="F363" s="1312" t="str">
        <f>'Barge BQS Report'!F357</f>
        <v/>
      </c>
      <c r="G363" s="1313" t="str">
        <f>'Barge BQS Report'!E357</f>
        <v/>
      </c>
      <c r="H363" s="1312" t="str">
        <f>'Barge BQS Report'!G357</f>
        <v/>
      </c>
      <c r="I363" s="1159" t="str">
        <f>'Barge BQS Report'!H357</f>
        <v/>
      </c>
      <c r="J363" s="1062" t="str">
        <f>'Barge BQS Report'!I357</f>
        <v/>
      </c>
      <c r="K363" s="1314" t="str">
        <f>'Barge BQS Report'!J357</f>
        <v/>
      </c>
      <c r="L363" s="1315" t="str">
        <f>'Barge BQS Report'!L357</f>
        <v/>
      </c>
      <c r="M363" s="1315" t="str">
        <f>'Barge BQS Report'!O357</f>
        <v/>
      </c>
      <c r="N363" s="1316" t="str">
        <f>'Barge BQS Report'!M357</f>
        <v/>
      </c>
      <c r="O363" s="1316" t="str">
        <f>'Barge BQS Report'!P357</f>
        <v/>
      </c>
      <c r="P363" s="1315" t="str">
        <f>'Barge BQS Report'!Q357</f>
        <v/>
      </c>
      <c r="Q363" s="1044"/>
      <c r="R363" s="1044"/>
      <c r="S363" s="1044"/>
    </row>
    <row r="364" spans="1:19" hidden="1">
      <c r="A364" s="881" t="str">
        <f>'Barge BQS Report'!A358</f>
        <v>N</v>
      </c>
      <c r="C364" s="1309" t="str">
        <f>'Barge BQS Report'!C358</f>
        <v/>
      </c>
      <c r="D364" s="1310" t="str">
        <f>'Barge BQS Report'!D358</f>
        <v/>
      </c>
      <c r="E364" s="1311" t="str">
        <f>'Barge BQS Report'!N358</f>
        <v/>
      </c>
      <c r="F364" s="1312" t="str">
        <f>'Barge BQS Report'!F358</f>
        <v/>
      </c>
      <c r="G364" s="1313" t="str">
        <f>'Barge BQS Report'!E358</f>
        <v/>
      </c>
      <c r="H364" s="1312" t="str">
        <f>'Barge BQS Report'!G358</f>
        <v/>
      </c>
      <c r="I364" s="1159" t="str">
        <f>'Barge BQS Report'!H358</f>
        <v/>
      </c>
      <c r="J364" s="1062" t="str">
        <f>'Barge BQS Report'!I358</f>
        <v/>
      </c>
      <c r="K364" s="1314" t="str">
        <f>'Barge BQS Report'!J358</f>
        <v/>
      </c>
      <c r="L364" s="1315" t="str">
        <f>'Barge BQS Report'!L358</f>
        <v/>
      </c>
      <c r="M364" s="1315" t="str">
        <f>'Barge BQS Report'!O358</f>
        <v/>
      </c>
      <c r="N364" s="1316" t="str">
        <f>'Barge BQS Report'!M358</f>
        <v/>
      </c>
      <c r="O364" s="1316" t="str">
        <f>'Barge BQS Report'!P358</f>
        <v/>
      </c>
      <c r="P364" s="1315" t="str">
        <f>'Barge BQS Report'!Q358</f>
        <v/>
      </c>
      <c r="Q364" s="1044"/>
      <c r="R364" s="1044"/>
      <c r="S364" s="1044"/>
    </row>
    <row r="365" spans="1:19" hidden="1">
      <c r="A365" s="881" t="str">
        <f>'Barge BQS Report'!A359</f>
        <v>N</v>
      </c>
      <c r="C365" s="1309" t="str">
        <f>'Barge BQS Report'!C359</f>
        <v/>
      </c>
      <c r="D365" s="1310" t="str">
        <f>'Barge BQS Report'!D359</f>
        <v/>
      </c>
      <c r="E365" s="1311" t="str">
        <f>'Barge BQS Report'!N359</f>
        <v/>
      </c>
      <c r="F365" s="1312" t="str">
        <f>'Barge BQS Report'!F359</f>
        <v/>
      </c>
      <c r="G365" s="1313" t="str">
        <f>'Barge BQS Report'!E359</f>
        <v/>
      </c>
      <c r="H365" s="1312" t="str">
        <f>'Barge BQS Report'!G359</f>
        <v/>
      </c>
      <c r="I365" s="1159" t="str">
        <f>'Barge BQS Report'!H359</f>
        <v/>
      </c>
      <c r="J365" s="1062" t="str">
        <f>'Barge BQS Report'!I359</f>
        <v/>
      </c>
      <c r="K365" s="1314" t="str">
        <f>'Barge BQS Report'!J359</f>
        <v/>
      </c>
      <c r="L365" s="1315" t="str">
        <f>'Barge BQS Report'!L359</f>
        <v/>
      </c>
      <c r="M365" s="1315" t="str">
        <f>'Barge BQS Report'!O359</f>
        <v/>
      </c>
      <c r="N365" s="1316" t="str">
        <f>'Barge BQS Report'!M359</f>
        <v/>
      </c>
      <c r="O365" s="1316" t="str">
        <f>'Barge BQS Report'!P359</f>
        <v/>
      </c>
      <c r="P365" s="1315" t="str">
        <f>'Barge BQS Report'!Q359</f>
        <v/>
      </c>
      <c r="Q365" s="1044"/>
      <c r="R365" s="1044"/>
      <c r="S365" s="1044"/>
    </row>
    <row r="366" spans="1:19" hidden="1">
      <c r="A366" s="881" t="str">
        <f>'Barge BQS Report'!A360</f>
        <v>N</v>
      </c>
      <c r="C366" s="1309" t="str">
        <f>'Barge BQS Report'!C360</f>
        <v/>
      </c>
      <c r="D366" s="1310" t="str">
        <f>'Barge BQS Report'!D360</f>
        <v/>
      </c>
      <c r="E366" s="1311" t="str">
        <f>'Barge BQS Report'!N360</f>
        <v/>
      </c>
      <c r="F366" s="1312" t="str">
        <f>'Barge BQS Report'!F360</f>
        <v/>
      </c>
      <c r="G366" s="1313" t="str">
        <f>'Barge BQS Report'!E360</f>
        <v/>
      </c>
      <c r="H366" s="1312" t="str">
        <f>'Barge BQS Report'!G360</f>
        <v/>
      </c>
      <c r="I366" s="1159" t="str">
        <f>'Barge BQS Report'!H360</f>
        <v/>
      </c>
      <c r="J366" s="1062" t="str">
        <f>'Barge BQS Report'!I360</f>
        <v/>
      </c>
      <c r="K366" s="1314" t="str">
        <f>'Barge BQS Report'!J360</f>
        <v/>
      </c>
      <c r="L366" s="1315" t="str">
        <f>'Barge BQS Report'!L360</f>
        <v/>
      </c>
      <c r="M366" s="1315" t="str">
        <f>'Barge BQS Report'!O360</f>
        <v/>
      </c>
      <c r="N366" s="1316" t="str">
        <f>'Barge BQS Report'!M360</f>
        <v/>
      </c>
      <c r="O366" s="1316" t="str">
        <f>'Barge BQS Report'!P360</f>
        <v/>
      </c>
      <c r="P366" s="1315" t="str">
        <f>'Barge BQS Report'!Q360</f>
        <v/>
      </c>
      <c r="Q366" s="1044"/>
      <c r="R366" s="1044"/>
      <c r="S366" s="1044"/>
    </row>
    <row r="367" spans="1:19" hidden="1">
      <c r="A367" s="881" t="str">
        <f>'Barge BQS Report'!A361</f>
        <v>N</v>
      </c>
      <c r="C367" s="1309" t="str">
        <f>'Barge BQS Report'!C361</f>
        <v/>
      </c>
      <c r="D367" s="1310" t="str">
        <f>'Barge BQS Report'!D361</f>
        <v/>
      </c>
      <c r="E367" s="1311" t="str">
        <f>'Barge BQS Report'!N361</f>
        <v/>
      </c>
      <c r="F367" s="1312" t="str">
        <f>'Barge BQS Report'!F361</f>
        <v/>
      </c>
      <c r="G367" s="1313" t="str">
        <f>'Barge BQS Report'!E361</f>
        <v/>
      </c>
      <c r="H367" s="1312" t="str">
        <f>'Barge BQS Report'!G361</f>
        <v/>
      </c>
      <c r="I367" s="1159" t="str">
        <f>'Barge BQS Report'!H361</f>
        <v/>
      </c>
      <c r="J367" s="1062" t="str">
        <f>'Barge BQS Report'!I361</f>
        <v/>
      </c>
      <c r="K367" s="1314" t="str">
        <f>'Barge BQS Report'!J361</f>
        <v/>
      </c>
      <c r="L367" s="1315" t="str">
        <f>'Barge BQS Report'!L361</f>
        <v/>
      </c>
      <c r="M367" s="1315" t="str">
        <f>'Barge BQS Report'!O361</f>
        <v/>
      </c>
      <c r="N367" s="1316" t="str">
        <f>'Barge BQS Report'!M361</f>
        <v/>
      </c>
      <c r="O367" s="1316" t="str">
        <f>'Barge BQS Report'!P361</f>
        <v/>
      </c>
      <c r="P367" s="1315" t="str">
        <f>'Barge BQS Report'!Q361</f>
        <v/>
      </c>
      <c r="Q367" s="1044"/>
      <c r="R367" s="1044"/>
      <c r="S367" s="1044"/>
    </row>
    <row r="368" spans="1:19" hidden="1">
      <c r="A368" s="881" t="str">
        <f>'Barge BQS Report'!A362</f>
        <v>N</v>
      </c>
      <c r="C368" s="1309" t="str">
        <f>'Barge BQS Report'!C362</f>
        <v/>
      </c>
      <c r="D368" s="1310" t="str">
        <f>'Barge BQS Report'!D362</f>
        <v/>
      </c>
      <c r="E368" s="1311" t="str">
        <f>'Barge BQS Report'!N362</f>
        <v/>
      </c>
      <c r="F368" s="1312" t="str">
        <f>'Barge BQS Report'!F362</f>
        <v/>
      </c>
      <c r="G368" s="1313" t="str">
        <f>'Barge BQS Report'!E362</f>
        <v/>
      </c>
      <c r="H368" s="1312" t="str">
        <f>'Barge BQS Report'!G362</f>
        <v/>
      </c>
      <c r="I368" s="1159" t="str">
        <f>'Barge BQS Report'!H362</f>
        <v/>
      </c>
      <c r="J368" s="1062" t="str">
        <f>'Barge BQS Report'!I362</f>
        <v/>
      </c>
      <c r="K368" s="1314" t="str">
        <f>'Barge BQS Report'!J362</f>
        <v/>
      </c>
      <c r="L368" s="1315" t="str">
        <f>'Barge BQS Report'!L362</f>
        <v/>
      </c>
      <c r="M368" s="1315" t="str">
        <f>'Barge BQS Report'!O362</f>
        <v/>
      </c>
      <c r="N368" s="1316" t="str">
        <f>'Barge BQS Report'!M362</f>
        <v/>
      </c>
      <c r="O368" s="1316" t="str">
        <f>'Barge BQS Report'!P362</f>
        <v/>
      </c>
      <c r="P368" s="1315" t="str">
        <f>'Barge BQS Report'!Q362</f>
        <v/>
      </c>
      <c r="Q368" s="1044"/>
      <c r="R368" s="1044"/>
      <c r="S368" s="1044"/>
    </row>
    <row r="369" spans="1:21" hidden="1">
      <c r="A369" s="881" t="str">
        <f>'Barge BQS Report'!A363</f>
        <v>N</v>
      </c>
      <c r="C369" s="1309" t="str">
        <f>'Barge BQS Report'!C363</f>
        <v/>
      </c>
      <c r="D369" s="1310" t="str">
        <f>'Barge BQS Report'!D363</f>
        <v/>
      </c>
      <c r="E369" s="1311" t="str">
        <f>'Barge BQS Report'!N363</f>
        <v/>
      </c>
      <c r="F369" s="1312" t="str">
        <f>'Barge BQS Report'!F363</f>
        <v/>
      </c>
      <c r="G369" s="1313" t="str">
        <f>'Barge BQS Report'!E363</f>
        <v/>
      </c>
      <c r="H369" s="1312" t="str">
        <f>'Barge BQS Report'!G363</f>
        <v/>
      </c>
      <c r="I369" s="1159" t="str">
        <f>'Barge BQS Report'!H363</f>
        <v/>
      </c>
      <c r="J369" s="1062" t="str">
        <f>'Barge BQS Report'!I363</f>
        <v/>
      </c>
      <c r="K369" s="1314" t="str">
        <f>'Barge BQS Report'!J363</f>
        <v/>
      </c>
      <c r="L369" s="1315" t="str">
        <f>'Barge BQS Report'!L363</f>
        <v/>
      </c>
      <c r="M369" s="1315" t="str">
        <f>'Barge BQS Report'!O363</f>
        <v/>
      </c>
      <c r="N369" s="1316" t="str">
        <f>'Barge BQS Report'!M363</f>
        <v/>
      </c>
      <c r="O369" s="1316" t="str">
        <f>'Barge BQS Report'!P363</f>
        <v/>
      </c>
      <c r="P369" s="1315" t="str">
        <f>'Barge BQS Report'!Q363</f>
        <v/>
      </c>
      <c r="Q369" s="1044"/>
      <c r="R369" s="1044"/>
      <c r="S369" s="1044"/>
    </row>
    <row r="370" spans="1:21" hidden="1">
      <c r="A370" s="881" t="str">
        <f>'Barge BQS Report'!A364</f>
        <v>N</v>
      </c>
      <c r="C370" s="1309" t="str">
        <f>'Barge BQS Report'!C364</f>
        <v/>
      </c>
      <c r="D370" s="1310" t="str">
        <f>'Barge BQS Report'!D364</f>
        <v/>
      </c>
      <c r="E370" s="1311" t="str">
        <f>'Barge BQS Report'!N364</f>
        <v/>
      </c>
      <c r="F370" s="1312" t="str">
        <f>'Barge BQS Report'!F364</f>
        <v/>
      </c>
      <c r="G370" s="1313" t="str">
        <f>'Barge BQS Report'!E364</f>
        <v/>
      </c>
      <c r="H370" s="1312" t="str">
        <f>'Barge BQS Report'!G364</f>
        <v/>
      </c>
      <c r="I370" s="1159" t="str">
        <f>'Barge BQS Report'!H364</f>
        <v/>
      </c>
      <c r="J370" s="1062" t="str">
        <f>'Barge BQS Report'!I364</f>
        <v/>
      </c>
      <c r="K370" s="1314" t="str">
        <f>'Barge BQS Report'!J364</f>
        <v/>
      </c>
      <c r="L370" s="1315" t="str">
        <f>'Barge BQS Report'!L364</f>
        <v/>
      </c>
      <c r="M370" s="1315" t="str">
        <f>'Barge BQS Report'!O364</f>
        <v/>
      </c>
      <c r="N370" s="1316" t="str">
        <f>'Barge BQS Report'!M364</f>
        <v/>
      </c>
      <c r="O370" s="1316" t="str">
        <f>'Barge BQS Report'!P364</f>
        <v/>
      </c>
      <c r="P370" s="1315" t="str">
        <f>'Barge BQS Report'!Q364</f>
        <v/>
      </c>
      <c r="Q370" s="1044"/>
      <c r="R370" s="1044"/>
      <c r="S370" s="1044"/>
    </row>
    <row r="371" spans="1:21" hidden="1">
      <c r="A371" s="881" t="str">
        <f>'Barge BQS Report'!A365</f>
        <v>N</v>
      </c>
      <c r="C371" s="1309" t="str">
        <f>'Barge BQS Report'!C365</f>
        <v/>
      </c>
      <c r="D371" s="1310" t="str">
        <f>'Barge BQS Report'!D365</f>
        <v/>
      </c>
      <c r="E371" s="1311" t="str">
        <f>'Barge BQS Report'!N365</f>
        <v/>
      </c>
      <c r="F371" s="1312" t="str">
        <f>'Barge BQS Report'!F365</f>
        <v/>
      </c>
      <c r="G371" s="1313" t="str">
        <f>'Barge BQS Report'!E365</f>
        <v/>
      </c>
      <c r="H371" s="1312" t="str">
        <f>'Barge BQS Report'!G365</f>
        <v/>
      </c>
      <c r="I371" s="1159" t="str">
        <f>'Barge BQS Report'!H365</f>
        <v/>
      </c>
      <c r="J371" s="1062" t="str">
        <f>'Barge BQS Report'!I365</f>
        <v/>
      </c>
      <c r="K371" s="1314" t="str">
        <f>'Barge BQS Report'!J365</f>
        <v/>
      </c>
      <c r="L371" s="1315" t="str">
        <f>'Barge BQS Report'!L365</f>
        <v/>
      </c>
      <c r="M371" s="1315" t="str">
        <f>'Barge BQS Report'!O365</f>
        <v/>
      </c>
      <c r="N371" s="1316" t="str">
        <f>'Barge BQS Report'!M365</f>
        <v/>
      </c>
      <c r="O371" s="1316" t="str">
        <f>'Barge BQS Report'!P365</f>
        <v/>
      </c>
      <c r="P371" s="1315" t="str">
        <f>'Barge BQS Report'!Q365</f>
        <v/>
      </c>
      <c r="Q371" s="1044"/>
      <c r="R371" s="1044"/>
      <c r="S371" s="1044"/>
    </row>
    <row r="372" spans="1:21" hidden="1">
      <c r="A372" s="881" t="str">
        <f>'Barge BQS Report'!A366</f>
        <v>N</v>
      </c>
      <c r="C372" s="1317" t="str">
        <f>'Barge BQS Report'!C366</f>
        <v/>
      </c>
      <c r="D372" s="1318" t="str">
        <f>'Barge BQS Report'!D366</f>
        <v/>
      </c>
      <c r="E372" s="1319" t="str">
        <f>'Barge BQS Report'!N366</f>
        <v/>
      </c>
      <c r="F372" s="1162" t="str">
        <f>'Barge BQS Report'!F366</f>
        <v/>
      </c>
      <c r="G372" s="1320" t="str">
        <f>'Barge BQS Report'!E366</f>
        <v/>
      </c>
      <c r="H372" s="1162" t="str">
        <f>'Barge BQS Report'!G366</f>
        <v/>
      </c>
      <c r="I372" s="1160" t="str">
        <f>'Barge BQS Report'!H366</f>
        <v/>
      </c>
      <c r="J372" s="1062" t="str">
        <f>'Barge BQS Report'!I366</f>
        <v/>
      </c>
      <c r="K372" s="1321" t="str">
        <f>'Barge BQS Report'!J366</f>
        <v/>
      </c>
      <c r="L372" s="1322" t="str">
        <f>'Barge BQS Report'!L366</f>
        <v/>
      </c>
      <c r="M372" s="1322" t="str">
        <f>'Barge BQS Report'!O366</f>
        <v/>
      </c>
      <c r="N372" s="1323" t="str">
        <f>'Barge BQS Report'!M366</f>
        <v/>
      </c>
      <c r="O372" s="1323" t="str">
        <f>'Barge BQS Report'!P366</f>
        <v/>
      </c>
      <c r="P372" s="1322" t="str">
        <f>'Barge BQS Report'!Q366</f>
        <v/>
      </c>
      <c r="Q372" s="1044"/>
      <c r="R372" s="1044"/>
      <c r="S372" s="1044"/>
    </row>
    <row r="373" spans="1:21">
      <c r="A373" s="881" t="s">
        <v>284</v>
      </c>
      <c r="C373" s="1637"/>
      <c r="D373" s="1637"/>
      <c r="E373" s="1638"/>
      <c r="F373" s="1638"/>
      <c r="G373" s="1638"/>
      <c r="H373" s="1638"/>
      <c r="I373" s="1637"/>
      <c r="J373" s="1637"/>
      <c r="K373" s="1637"/>
      <c r="L373" s="1639"/>
      <c r="M373" s="2973" t="s">
        <v>916</v>
      </c>
      <c r="N373" s="2973"/>
      <c r="O373" s="2974">
        <f>SUM(P343:P372)</f>
        <v>0</v>
      </c>
      <c r="P373" s="2975"/>
      <c r="Q373" s="1600"/>
      <c r="R373" s="1044"/>
      <c r="S373" s="1044"/>
      <c r="T373" s="1088"/>
      <c r="U373" s="1089"/>
    </row>
    <row r="374" spans="1:21" s="1046" customFormat="1" ht="5.25" hidden="1">
      <c r="A374" s="1046" t="s">
        <v>270</v>
      </c>
      <c r="C374" s="1120"/>
      <c r="D374" s="1120"/>
      <c r="E374" s="1121"/>
      <c r="F374" s="1121"/>
      <c r="G374" s="1121"/>
      <c r="H374" s="1121"/>
      <c r="I374" s="1120"/>
      <c r="J374" s="1120"/>
      <c r="K374" s="1120"/>
      <c r="L374" s="1120"/>
      <c r="M374" s="1122"/>
      <c r="N374" s="1122"/>
      <c r="O374" s="1123"/>
      <c r="P374" s="1123"/>
      <c r="Q374" s="1045"/>
      <c r="R374" s="1045"/>
      <c r="S374" s="1045"/>
      <c r="T374" s="1090"/>
      <c r="U374" s="1091"/>
    </row>
    <row r="375" spans="1:21" s="1119" customFormat="1" ht="15">
      <c r="A375" s="1119" t="s">
        <v>284</v>
      </c>
      <c r="C375" s="1645" t="str">
        <f>"Delivered Summary "&amp;G163</f>
        <v>Delivered Summary (Distillates)</v>
      </c>
      <c r="D375" s="1600"/>
      <c r="E375" s="1600"/>
      <c r="F375" s="1600"/>
      <c r="G375" s="1646"/>
      <c r="H375" s="1646"/>
      <c r="I375" s="1646"/>
      <c r="J375" s="1646"/>
      <c r="K375" s="1646"/>
      <c r="L375" s="1646"/>
      <c r="M375" s="1600"/>
      <c r="N375" s="1600"/>
      <c r="O375" s="1600"/>
      <c r="P375" s="1600"/>
      <c r="Q375" s="1600"/>
      <c r="R375" s="1044"/>
      <c r="S375" s="1044"/>
      <c r="T375" s="1168" t="s">
        <v>969</v>
      </c>
      <c r="U375" s="1047" t="str">
        <f>IF('Barge BQS Report'!$AA$1=1,"Density","API")</f>
        <v>Density</v>
      </c>
    </row>
    <row r="376" spans="1:21" ht="15.75" customHeight="1">
      <c r="A376" s="881" t="s">
        <v>284</v>
      </c>
      <c r="C376" s="2964" t="s">
        <v>764</v>
      </c>
      <c r="D376" s="2965"/>
      <c r="E376" s="2964" t="str">
        <f>"Suppliers "&amp;IF('Barge BQS Report'!$AA$1=1,"Density","API")</f>
        <v>Suppliers Density</v>
      </c>
      <c r="F376" s="2965"/>
      <c r="G376" s="2964" t="str">
        <f>P22&amp;" @ Opening"</f>
        <v>m3 @ Opening</v>
      </c>
      <c r="H376" s="2965"/>
      <c r="I376" s="2964" t="str">
        <f>P22&amp;" @ Closing"</f>
        <v>m3 @ Closing</v>
      </c>
      <c r="J376" s="2965"/>
      <c r="K376" s="2964" t="str">
        <f>P22&amp;" Delivered (GSV)"</f>
        <v>m3 Delivered (GSV)</v>
      </c>
      <c r="L376" s="2965"/>
      <c r="M376" s="2968" t="str">
        <f>"WCF ("&amp;'Barge BQS Report'!S18&amp;")"</f>
        <v>WCF (Table 56D)</v>
      </c>
      <c r="N376" s="2968"/>
      <c r="O376" s="2968" t="s">
        <v>915</v>
      </c>
      <c r="P376" s="2968"/>
      <c r="Q376" s="1600"/>
      <c r="R376" s="1044"/>
      <c r="S376" s="1044"/>
      <c r="T376" s="1168" t="s">
        <v>965</v>
      </c>
      <c r="U376" s="1169" t="s">
        <v>966</v>
      </c>
    </row>
    <row r="377" spans="1:21" hidden="1">
      <c r="A377" s="881" t="str">
        <f t="shared" ref="A377:A382" si="1">IF(OR(O377="-",O377=0),"N",IF(ISERROR(MATCH($C377,IF(GRADECHNO=1,GRADESLIST,IF(GRADECHNO=2,RESIDUALS,DISTILLATES)),0)),"N","Y"))</f>
        <v>N</v>
      </c>
      <c r="C377" s="3040" t="str">
        <f>'Cover Page'!$I$88</f>
        <v>HSFO</v>
      </c>
      <c r="D377" s="3041"/>
      <c r="E377" s="2966" t="str">
        <f>IF(C377="","",INDEX('Cover Page'!$AI$106:$AJ$111,1,'Barge BQS Report'!$AA$1))</f>
        <v/>
      </c>
      <c r="F377" s="2967"/>
      <c r="G377" s="2951">
        <f>O45</f>
        <v>0</v>
      </c>
      <c r="H377" s="2952"/>
      <c r="I377" s="2951">
        <f>O224</f>
        <v>0</v>
      </c>
      <c r="J377" s="2952"/>
      <c r="K377" s="2943">
        <f>O45-O224</f>
        <v>0</v>
      </c>
      <c r="L377" s="2944"/>
      <c r="M377" s="3032" t="str">
        <f>IF(E377="","-",IF('Barge BQS Report'!$AA$1=1,ROUND(E377-0.0011,5),ROUND((1.00122697*(141.5/(E377+131.5))-1.22269727*10^-3)*8.32823*42/2204.62,5)))</f>
        <v>-</v>
      </c>
      <c r="N377" s="3032"/>
      <c r="O377" s="3033" t="str">
        <f t="shared" ref="O377" si="2">IF(E377="","-",ROUND(K377*M377,3))</f>
        <v>-</v>
      </c>
      <c r="P377" s="3033"/>
      <c r="Q377" s="1044"/>
      <c r="R377" s="1044"/>
      <c r="S377" s="1044"/>
      <c r="T377" s="1047" t="str">
        <f>IF(C377="","-",C377)</f>
        <v>HSFO</v>
      </c>
      <c r="U377" s="1414" t="str">
        <f>IF(ISERROR('Barge BQS Report'!Z219),"-",'Barge BQS Report'!Z219)</f>
        <v>-</v>
      </c>
    </row>
    <row r="378" spans="1:21" hidden="1">
      <c r="A378" s="881" t="str">
        <f t="shared" si="1"/>
        <v>N</v>
      </c>
      <c r="C378" s="3042" t="str">
        <f>'Cover Page'!$J$88</f>
        <v>LSFO</v>
      </c>
      <c r="D378" s="3043"/>
      <c r="E378" s="2953">
        <f>IF(C378="","",INDEX('Cover Page'!$AI$106:$AJ$111,2,'Barge BQS Report'!$AA$1))</f>
        <v>0.92059999999999997</v>
      </c>
      <c r="F378" s="2954"/>
      <c r="G378" s="2939">
        <f>O68</f>
        <v>272.178</v>
      </c>
      <c r="H378" s="2940"/>
      <c r="I378" s="2939">
        <f>O247</f>
        <v>0</v>
      </c>
      <c r="J378" s="2940"/>
      <c r="K378" s="2945">
        <f>O68-O247</f>
        <v>272.178</v>
      </c>
      <c r="L378" s="2946"/>
      <c r="M378" s="3036">
        <f>IF(E378="","-",IF('Barge BQS Report'!$AA$1=1,ROUND(E378-0.0011,5),ROUND((1.00122697*(141.5/(E378+131.5))-1.22269727*10^-3)*8.32823*42/2204.62,5)))</f>
        <v>0.91949999999999998</v>
      </c>
      <c r="N378" s="3036"/>
      <c r="O378" s="3037">
        <f>IF(E378="","-",ROUND(K378*M378,3))</f>
        <v>250.268</v>
      </c>
      <c r="P378" s="3037"/>
      <c r="Q378" s="1044"/>
      <c r="R378" s="1044"/>
      <c r="S378" s="1044"/>
      <c r="T378" s="1047" t="str">
        <f t="shared" ref="T378:T382" si="3">IF(C378="","-",C378)</f>
        <v>LSFO</v>
      </c>
      <c r="U378" s="1414">
        <f>IF(ISERROR('Barge BQS Report'!Z242),"-",'Barge BQS Report'!Z242)</f>
        <v>0.92059999999999997</v>
      </c>
    </row>
    <row r="379" spans="1:21" hidden="1">
      <c r="A379" s="881" t="str">
        <f t="shared" si="1"/>
        <v>N</v>
      </c>
      <c r="C379" s="3042" t="str">
        <f>'Cover Page'!$K$88</f>
        <v>MDO</v>
      </c>
      <c r="D379" s="3043"/>
      <c r="E379" s="2953" t="str">
        <f>IF(C379="","",INDEX('Cover Page'!$AI$106:$AJ$111,3,'Barge BQS Report'!$AA$1))</f>
        <v/>
      </c>
      <c r="F379" s="2954"/>
      <c r="G379" s="2939">
        <f>O91</f>
        <v>0</v>
      </c>
      <c r="H379" s="2940"/>
      <c r="I379" s="2939">
        <f>O270</f>
        <v>0</v>
      </c>
      <c r="J379" s="2940"/>
      <c r="K379" s="2945">
        <f>O91-O270</f>
        <v>0</v>
      </c>
      <c r="L379" s="2946"/>
      <c r="M379" s="3036" t="str">
        <f>IF(E379="","-",IF('Barge BQS Report'!$AA$1=1,ROUND(E379-0.0011,5),ROUND((1.00122697*(141.5/(E379+131.5))-1.22269727*10^-3)*8.32823*42/2204.62,5)))</f>
        <v>-</v>
      </c>
      <c r="N379" s="3036"/>
      <c r="O379" s="3037" t="str">
        <f t="shared" ref="O379:O382" si="4">IF(E379="","-",ROUND(K379*M379,3))</f>
        <v>-</v>
      </c>
      <c r="P379" s="3037"/>
      <c r="Q379" s="1044"/>
      <c r="R379" s="1044"/>
      <c r="S379" s="1044"/>
      <c r="T379" s="1047" t="str">
        <f t="shared" si="3"/>
        <v>MDO</v>
      </c>
      <c r="U379" s="1414" t="str">
        <f>IF(ISERROR('Barge BQS Report'!Z265),"-",'Barge BQS Report'!Z265)</f>
        <v>-</v>
      </c>
    </row>
    <row r="380" spans="1:21" hidden="1">
      <c r="A380" s="881" t="str">
        <f t="shared" si="1"/>
        <v>N</v>
      </c>
      <c r="C380" s="3042" t="str">
        <f>'Cover Page'!$L$88</f>
        <v>LSMDO</v>
      </c>
      <c r="D380" s="3043"/>
      <c r="E380" s="2953" t="str">
        <f>IF(C380="","",INDEX('Cover Page'!$AI$106:$AJ$111,4,'Barge BQS Report'!$AA$1))</f>
        <v/>
      </c>
      <c r="F380" s="2954"/>
      <c r="G380" s="2939">
        <f>O114</f>
        <v>0</v>
      </c>
      <c r="H380" s="2940"/>
      <c r="I380" s="2939">
        <f>O293</f>
        <v>0</v>
      </c>
      <c r="J380" s="2940"/>
      <c r="K380" s="2945">
        <f>O114-O293</f>
        <v>0</v>
      </c>
      <c r="L380" s="2946"/>
      <c r="M380" s="3036" t="str">
        <f>IF(E380="","-",IF('Barge BQS Report'!$AA$1=1,ROUND(E380-0.0011,5),ROUND((1.00122697*(141.5/(E380+131.5))-1.22269727*10^-3)*8.32823*42/2204.62,5)))</f>
        <v>-</v>
      </c>
      <c r="N380" s="3036"/>
      <c r="O380" s="3037" t="str">
        <f t="shared" si="4"/>
        <v>-</v>
      </c>
      <c r="P380" s="3037"/>
      <c r="Q380" s="1044"/>
      <c r="R380" s="1044"/>
      <c r="S380" s="1044"/>
      <c r="T380" s="1047" t="str">
        <f t="shared" si="3"/>
        <v>LSMDO</v>
      </c>
      <c r="U380" s="1414" t="str">
        <f>IF(ISERROR('Barge BQS Report'!Z288),"-",'Barge BQS Report'!Z288)</f>
        <v>-</v>
      </c>
    </row>
    <row r="381" spans="1:21" hidden="1">
      <c r="A381" s="881" t="str">
        <f t="shared" si="1"/>
        <v>N</v>
      </c>
      <c r="C381" s="3042" t="str">
        <f>'Cover Page'!$M$88</f>
        <v>MGO</v>
      </c>
      <c r="D381" s="3043"/>
      <c r="E381" s="2953" t="str">
        <f>IF(C381="","",INDEX('Cover Page'!$AI$106:$AJ$111,5,'Barge BQS Report'!$AA$1))</f>
        <v/>
      </c>
      <c r="F381" s="2954"/>
      <c r="G381" s="2939">
        <f>O137</f>
        <v>0</v>
      </c>
      <c r="H381" s="2940"/>
      <c r="I381" s="2939">
        <f>O316</f>
        <v>0</v>
      </c>
      <c r="J381" s="2940"/>
      <c r="K381" s="2945">
        <f>O137-O316</f>
        <v>0</v>
      </c>
      <c r="L381" s="2946"/>
      <c r="M381" s="3036" t="str">
        <f>IF(E381="","-",IF('Barge BQS Report'!$AA$1=1,ROUND(E381-0.0011,5),ROUND((1.00122697*(141.5/(E381+131.5))-1.22269727*10^-3)*8.32823*42/2204.62,5)))</f>
        <v>-</v>
      </c>
      <c r="N381" s="3036"/>
      <c r="O381" s="3037" t="str">
        <f t="shared" si="4"/>
        <v>-</v>
      </c>
      <c r="P381" s="3037"/>
      <c r="Q381" s="1044"/>
      <c r="R381" s="1044"/>
      <c r="S381" s="1044"/>
      <c r="T381" s="1047" t="str">
        <f t="shared" si="3"/>
        <v>MGO</v>
      </c>
      <c r="U381" s="1414" t="str">
        <f>IF(ISERROR('Barge BQS Report'!Z311),"-",'Barge BQS Report'!Z311)</f>
        <v>-</v>
      </c>
    </row>
    <row r="382" spans="1:21">
      <c r="A382" s="881" t="str">
        <f t="shared" si="1"/>
        <v>Y</v>
      </c>
      <c r="C382" s="2949" t="str">
        <f>'Cover Page'!$N$88</f>
        <v>LSMGO</v>
      </c>
      <c r="D382" s="2950"/>
      <c r="E382" s="2955">
        <f>IF(C382="","",INDEX('Cover Page'!$AI$106:$AJ$111,6,'Barge BQS Report'!$AA$1))</f>
        <v>0.83520000000000005</v>
      </c>
      <c r="F382" s="2956"/>
      <c r="G382" s="2941">
        <f>O160</f>
        <v>78.521999999999991</v>
      </c>
      <c r="H382" s="2942"/>
      <c r="I382" s="2941">
        <f>O339</f>
        <v>30.315999999999999</v>
      </c>
      <c r="J382" s="2942"/>
      <c r="K382" s="2947">
        <f>O160-O339</f>
        <v>48.205999999999989</v>
      </c>
      <c r="L382" s="2948"/>
      <c r="M382" s="3038">
        <f>IF(E382="","-",IF('Barge BQS Report'!$AA$1=1,ROUND(E382-0.0011,5),ROUND((1.00122697*(141.5/(E382+131.5))-1.22269727*10^-3)*8.32823*42/2204.62,5)))</f>
        <v>0.83409999999999995</v>
      </c>
      <c r="N382" s="3038"/>
      <c r="O382" s="3039">
        <f t="shared" si="4"/>
        <v>40.209000000000003</v>
      </c>
      <c r="P382" s="3039"/>
      <c r="Q382" s="1600"/>
      <c r="R382" s="1044"/>
      <c r="S382" s="1044"/>
      <c r="T382" s="1047" t="str">
        <f t="shared" si="3"/>
        <v>LSMGO</v>
      </c>
      <c r="U382" s="1414">
        <f>IF(ISERROR('Barge BQS Report'!Z334),"-",'Barge BQS Report'!Z334)</f>
        <v>0.83520000000000005</v>
      </c>
    </row>
    <row r="383" spans="1:21" s="1046" customFormat="1" ht="5.25">
      <c r="A383" s="1046" t="s">
        <v>284</v>
      </c>
      <c r="C383" s="1647"/>
      <c r="D383" s="1647"/>
      <c r="E383" s="1647"/>
      <c r="F383" s="1647"/>
      <c r="G383" s="1647"/>
      <c r="H383" s="1647"/>
      <c r="I383" s="1647"/>
      <c r="J383" s="1647"/>
      <c r="K383" s="1647"/>
      <c r="L383" s="1647"/>
      <c r="M383" s="1647"/>
      <c r="N383" s="1647"/>
      <c r="O383" s="1647"/>
      <c r="P383" s="1647"/>
      <c r="Q383" s="1601"/>
      <c r="R383" s="1045"/>
      <c r="S383" s="1045"/>
      <c r="T383" s="1045"/>
      <c r="U383" s="1045"/>
    </row>
    <row r="384" spans="1:21" ht="15">
      <c r="A384" s="946" t="s">
        <v>284</v>
      </c>
      <c r="C384" s="3103" t="s">
        <v>805</v>
      </c>
      <c r="D384" s="3104"/>
      <c r="E384" s="3104"/>
      <c r="F384" s="3105"/>
      <c r="G384" s="3109">
        <v>56789</v>
      </c>
      <c r="H384" s="3110"/>
      <c r="I384" s="3103" t="s">
        <v>806</v>
      </c>
      <c r="J384" s="3105"/>
      <c r="K384" s="3109">
        <v>12345</v>
      </c>
      <c r="L384" s="3110"/>
      <c r="M384" s="3106" t="s">
        <v>807</v>
      </c>
      <c r="N384" s="3107"/>
      <c r="O384" s="3108"/>
      <c r="P384" s="1670" t="s">
        <v>772</v>
      </c>
      <c r="Q384" s="1600"/>
      <c r="R384" s="1044"/>
      <c r="S384" s="1044"/>
      <c r="T384" s="1044"/>
      <c r="U384" s="1044"/>
    </row>
    <row r="385" spans="1:21" s="1046" customFormat="1" ht="5.25">
      <c r="A385" s="1046" t="s">
        <v>284</v>
      </c>
      <c r="C385" s="1671"/>
      <c r="D385" s="1671"/>
      <c r="E385" s="1671"/>
      <c r="F385" s="1671"/>
      <c r="G385" s="1671"/>
      <c r="H385" s="1671"/>
      <c r="I385" s="1672"/>
      <c r="J385" s="1672"/>
      <c r="K385" s="1672"/>
      <c r="L385" s="1672"/>
      <c r="M385" s="1673"/>
      <c r="N385" s="1674"/>
      <c r="O385" s="1674"/>
      <c r="P385" s="1674"/>
      <c r="Q385" s="1675"/>
      <c r="R385" s="1143"/>
      <c r="S385" s="1143"/>
      <c r="T385" s="1045"/>
      <c r="U385" s="1045"/>
    </row>
    <row r="386" spans="1:21">
      <c r="A386" s="881" t="s">
        <v>284</v>
      </c>
      <c r="C386" s="1658" t="s">
        <v>179</v>
      </c>
      <c r="D386" s="1573"/>
      <c r="E386" s="1574"/>
      <c r="F386" s="1574"/>
      <c r="G386" s="1574"/>
      <c r="H386" s="1574"/>
      <c r="I386" s="1574"/>
      <c r="J386" s="1574"/>
      <c r="K386" s="1574"/>
      <c r="L386" s="1574"/>
      <c r="M386" s="1659"/>
      <c r="N386" s="1659"/>
      <c r="O386" s="1659"/>
      <c r="P386" s="1659"/>
      <c r="Q386" s="1600"/>
      <c r="R386" s="1044"/>
      <c r="S386" s="1044"/>
      <c r="T386" s="1044"/>
      <c r="U386" s="1044"/>
    </row>
    <row r="387" spans="1:21">
      <c r="A387" s="881" t="s">
        <v>284</v>
      </c>
      <c r="C387" s="2871" t="s">
        <v>1218</v>
      </c>
      <c r="D387" s="2872"/>
      <c r="E387" s="2872"/>
      <c r="F387" s="2872"/>
      <c r="G387" s="2872"/>
      <c r="H387" s="2872"/>
      <c r="I387" s="2872"/>
      <c r="J387" s="2872"/>
      <c r="K387" s="2872"/>
      <c r="L387" s="2872"/>
      <c r="M387" s="2872"/>
      <c r="N387" s="2872"/>
      <c r="O387" s="2872"/>
      <c r="P387" s="2873"/>
      <c r="Q387" s="1600"/>
      <c r="R387" s="1044"/>
      <c r="S387" s="1044"/>
      <c r="T387" s="1044"/>
      <c r="U387" s="1044"/>
    </row>
    <row r="388" spans="1:21">
      <c r="A388" s="881" t="s">
        <v>284</v>
      </c>
      <c r="C388" s="2882"/>
      <c r="D388" s="2883"/>
      <c r="E388" s="2883"/>
      <c r="F388" s="2883"/>
      <c r="G388" s="2883"/>
      <c r="H388" s="2883"/>
      <c r="I388" s="2883"/>
      <c r="J388" s="2883"/>
      <c r="K388" s="2883"/>
      <c r="L388" s="2883"/>
      <c r="M388" s="2883"/>
      <c r="N388" s="2883"/>
      <c r="O388" s="2883"/>
      <c r="P388" s="2884"/>
      <c r="Q388" s="1600"/>
      <c r="R388" s="1044"/>
      <c r="S388" s="1044"/>
      <c r="T388" s="1044"/>
      <c r="U388" s="1044"/>
    </row>
    <row r="389" spans="1:21">
      <c r="A389" s="881" t="s">
        <v>284</v>
      </c>
      <c r="C389" s="2885"/>
      <c r="D389" s="2886"/>
      <c r="E389" s="2886"/>
      <c r="F389" s="2886"/>
      <c r="G389" s="2886"/>
      <c r="H389" s="2886"/>
      <c r="I389" s="2886"/>
      <c r="J389" s="2886"/>
      <c r="K389" s="2886"/>
      <c r="L389" s="2886"/>
      <c r="M389" s="2886"/>
      <c r="N389" s="2886"/>
      <c r="O389" s="2886"/>
      <c r="P389" s="2887"/>
      <c r="Q389" s="1600"/>
      <c r="R389" s="1044"/>
      <c r="S389" s="1044"/>
      <c r="T389" s="1044"/>
      <c r="U389" s="1044"/>
    </row>
    <row r="390" spans="1:21" s="1046" customFormat="1" ht="5.25">
      <c r="A390" s="1046" t="s">
        <v>284</v>
      </c>
      <c r="C390" s="1676"/>
      <c r="D390" s="1676"/>
      <c r="E390" s="1676"/>
      <c r="F390" s="1676"/>
      <c r="G390" s="1676"/>
      <c r="H390" s="1676"/>
      <c r="I390" s="1676"/>
      <c r="J390" s="1676"/>
      <c r="K390" s="1676"/>
      <c r="L390" s="1676"/>
      <c r="M390" s="1676"/>
      <c r="N390" s="1676"/>
      <c r="O390" s="1676"/>
      <c r="P390" s="1676"/>
      <c r="Q390" s="1601"/>
      <c r="R390" s="1045"/>
      <c r="S390" s="1045"/>
      <c r="T390" s="1045"/>
      <c r="U390" s="1045"/>
    </row>
    <row r="391" spans="1:21" ht="30">
      <c r="A391" s="1145" t="s">
        <v>284</v>
      </c>
      <c r="C391" s="3124" t="s">
        <v>808</v>
      </c>
      <c r="D391" s="3122"/>
      <c r="E391" s="3122"/>
      <c r="F391" s="3122"/>
      <c r="G391" s="3122"/>
      <c r="H391" s="3122"/>
      <c r="I391" s="3122"/>
      <c r="J391" s="3123"/>
      <c r="K391" s="3122" t="s">
        <v>940</v>
      </c>
      <c r="L391" s="3122"/>
      <c r="M391" s="3122"/>
      <c r="N391" s="3122"/>
      <c r="O391" s="3122"/>
      <c r="P391" s="3123"/>
      <c r="Q391" s="1650"/>
      <c r="R391" s="1097"/>
      <c r="S391" s="1097"/>
      <c r="T391" s="1044"/>
      <c r="U391" s="1044"/>
    </row>
    <row r="392" spans="1:21" ht="18">
      <c r="A392" s="1144" t="s">
        <v>284</v>
      </c>
      <c r="C392" s="3087" t="s">
        <v>1217</v>
      </c>
      <c r="D392" s="3088"/>
      <c r="E392" s="3088"/>
      <c r="F392" s="3112"/>
      <c r="G392" s="3112"/>
      <c r="H392" s="3112"/>
      <c r="I392" s="3112"/>
      <c r="J392" s="1677"/>
      <c r="K392" s="1678" t="s">
        <v>1217</v>
      </c>
      <c r="L392" s="1679"/>
      <c r="M392" s="2216"/>
      <c r="N392" s="2217"/>
      <c r="O392" s="2217"/>
      <c r="P392" s="2218"/>
      <c r="Q392" s="1650"/>
      <c r="R392" s="1097"/>
      <c r="S392" s="1097"/>
      <c r="T392" s="1044"/>
      <c r="U392" s="1044"/>
    </row>
    <row r="393" spans="1:21" ht="15">
      <c r="A393" s="946" t="s">
        <v>284</v>
      </c>
      <c r="C393" s="3085" t="s">
        <v>809</v>
      </c>
      <c r="D393" s="3086"/>
      <c r="E393" s="1679"/>
      <c r="F393" s="3112" t="str">
        <f>UPPER(CHENG)</f>
        <v>CANO ARTHUR D. CADAVOS</v>
      </c>
      <c r="G393" s="3112"/>
      <c r="H393" s="3112"/>
      <c r="I393" s="3112"/>
      <c r="J393" s="1594"/>
      <c r="K393" s="3081" t="s">
        <v>809</v>
      </c>
      <c r="L393" s="3082"/>
      <c r="M393" s="3070" t="str">
        <f>F393</f>
        <v>CANO ARTHUR D. CADAVOS</v>
      </c>
      <c r="N393" s="3070"/>
      <c r="O393" s="3070"/>
      <c r="P393" s="3111"/>
      <c r="Q393" s="1650"/>
      <c r="R393" s="1097"/>
      <c r="S393" s="1097"/>
      <c r="T393" s="1044"/>
      <c r="U393" s="1044"/>
    </row>
    <row r="394" spans="1:21" ht="15">
      <c r="A394" s="946" t="s">
        <v>284</v>
      </c>
      <c r="C394" s="3085" t="s">
        <v>942</v>
      </c>
      <c r="D394" s="3086"/>
      <c r="E394" s="1594"/>
      <c r="F394" s="3115"/>
      <c r="G394" s="3116"/>
      <c r="H394" s="3117"/>
      <c r="I394" s="3117"/>
      <c r="J394" s="1680"/>
      <c r="K394" s="3086" t="s">
        <v>942</v>
      </c>
      <c r="L394" s="3086"/>
      <c r="M394" s="3118"/>
      <c r="N394" s="3119"/>
      <c r="O394" s="1681"/>
      <c r="P394" s="1682"/>
      <c r="Q394" s="1650"/>
      <c r="R394" s="1097"/>
      <c r="S394" s="1097"/>
      <c r="T394" s="1044"/>
      <c r="U394" s="1044"/>
    </row>
    <row r="395" spans="1:21" ht="18">
      <c r="A395" s="1144" t="s">
        <v>284</v>
      </c>
      <c r="C395" s="3085" t="s">
        <v>943</v>
      </c>
      <c r="D395" s="3086"/>
      <c r="E395" s="1679"/>
      <c r="F395" s="3112"/>
      <c r="G395" s="3112"/>
      <c r="H395" s="3112"/>
      <c r="I395" s="3112"/>
      <c r="J395" s="1677"/>
      <c r="K395" s="3082" t="s">
        <v>943</v>
      </c>
      <c r="L395" s="3082"/>
      <c r="M395" s="1679"/>
      <c r="N395" s="1679"/>
      <c r="O395" s="1679"/>
      <c r="P395" s="1677"/>
      <c r="Q395" s="1650"/>
      <c r="R395" s="1097"/>
      <c r="S395" s="1097"/>
      <c r="T395" s="1044"/>
      <c r="U395" s="1044"/>
    </row>
    <row r="396" spans="1:21" ht="18">
      <c r="A396" s="1144" t="s">
        <v>284</v>
      </c>
      <c r="C396" s="3085" t="s">
        <v>810</v>
      </c>
      <c r="D396" s="3086"/>
      <c r="E396" s="3086"/>
      <c r="F396" s="3112"/>
      <c r="G396" s="3112"/>
      <c r="H396" s="3112"/>
      <c r="I396" s="3112"/>
      <c r="J396" s="1677"/>
      <c r="K396" s="1678" t="s">
        <v>810</v>
      </c>
      <c r="L396" s="1679"/>
      <c r="M396" s="2219"/>
      <c r="N396" s="2219"/>
      <c r="O396" s="2219"/>
      <c r="P396" s="1677"/>
      <c r="Q396" s="1650"/>
      <c r="R396" s="1097"/>
      <c r="S396" s="1097"/>
      <c r="T396" s="1044"/>
      <c r="U396" s="1044"/>
    </row>
    <row r="397" spans="1:21" ht="15">
      <c r="A397" s="946" t="s">
        <v>284</v>
      </c>
      <c r="C397" s="3081" t="s">
        <v>809</v>
      </c>
      <c r="D397" s="3082"/>
      <c r="E397" s="1679"/>
      <c r="F397" s="3112" t="str">
        <f>UPPER(IF(BARGESEL=1,BARGEREP,MYBARGECHIEF))</f>
        <v>TEMEL KALYONCU</v>
      </c>
      <c r="G397" s="3112"/>
      <c r="H397" s="3112"/>
      <c r="I397" s="3112"/>
      <c r="J397" s="1677"/>
      <c r="K397" s="3081" t="s">
        <v>809</v>
      </c>
      <c r="L397" s="3082"/>
      <c r="M397" s="3070" t="str">
        <f>F397</f>
        <v>TEMEL KALYONCU</v>
      </c>
      <c r="N397" s="3070"/>
      <c r="O397" s="3070"/>
      <c r="P397" s="3111"/>
      <c r="Q397" s="1650"/>
      <c r="R397" s="1097"/>
      <c r="S397" s="1097"/>
      <c r="T397" s="1044"/>
      <c r="U397" s="1044"/>
    </row>
    <row r="398" spans="1:21" ht="18">
      <c r="A398" s="1144" t="s">
        <v>284</v>
      </c>
      <c r="C398" s="3081" t="s">
        <v>811</v>
      </c>
      <c r="D398" s="3082"/>
      <c r="E398" s="3082"/>
      <c r="F398" s="3112"/>
      <c r="G398" s="3112"/>
      <c r="H398" s="3112"/>
      <c r="I398" s="3112"/>
      <c r="J398" s="1677"/>
      <c r="K398" s="3081" t="s">
        <v>811</v>
      </c>
      <c r="L398" s="3082"/>
      <c r="M398" s="2219"/>
      <c r="N398" s="2220"/>
      <c r="O398" s="2220"/>
      <c r="P398" s="1682"/>
      <c r="Q398" s="1650"/>
      <c r="R398" s="1097"/>
      <c r="S398" s="1097"/>
      <c r="T398" s="1044"/>
      <c r="U398" s="1044"/>
    </row>
    <row r="399" spans="1:21" ht="18">
      <c r="A399" s="1144" t="s">
        <v>284</v>
      </c>
      <c r="C399" s="3085" t="s">
        <v>1036</v>
      </c>
      <c r="D399" s="3086"/>
      <c r="E399" s="3086"/>
      <c r="F399" s="3112"/>
      <c r="G399" s="3112"/>
      <c r="H399" s="3112"/>
      <c r="I399" s="3112"/>
      <c r="J399" s="1680"/>
      <c r="K399" s="1683" t="s">
        <v>1036</v>
      </c>
      <c r="L399" s="1684"/>
      <c r="M399" s="2219"/>
      <c r="N399" s="2221"/>
      <c r="O399" s="2221"/>
      <c r="P399" s="1685"/>
      <c r="Q399" s="1650"/>
      <c r="R399" s="1097"/>
      <c r="S399" s="1097"/>
      <c r="T399" s="1044"/>
      <c r="U399" s="1044"/>
    </row>
    <row r="400" spans="1:21" ht="15">
      <c r="A400" s="946" t="s">
        <v>284</v>
      </c>
      <c r="C400" s="3120" t="s">
        <v>812</v>
      </c>
      <c r="D400" s="3121"/>
      <c r="E400" s="3121"/>
      <c r="F400" s="3125" t="str">
        <f>UPPER(SURVEYOR)&amp;" / "&amp;SURVLIC</f>
        <v>MEHMET EROĞLU / 09346</v>
      </c>
      <c r="G400" s="3125"/>
      <c r="H400" s="3125"/>
      <c r="I400" s="3125"/>
      <c r="J400" s="1686"/>
      <c r="K400" s="3083" t="s">
        <v>812</v>
      </c>
      <c r="L400" s="3084"/>
      <c r="M400" s="3113" t="str">
        <f>" "&amp;F400</f>
        <v xml:space="preserve"> MEHMET EROĞLU / 09346</v>
      </c>
      <c r="N400" s="3113"/>
      <c r="O400" s="3113"/>
      <c r="P400" s="3114"/>
      <c r="Q400" s="1650"/>
      <c r="R400" s="1097"/>
      <c r="S400" s="1097"/>
      <c r="T400" s="1044"/>
      <c r="U400" s="1044"/>
    </row>
    <row r="401" spans="1:21" s="1046" customFormat="1" ht="5.25">
      <c r="A401" s="1046" t="s">
        <v>284</v>
      </c>
      <c r="C401" s="1687"/>
      <c r="D401" s="1687"/>
      <c r="E401" s="1688"/>
      <c r="F401" s="1688"/>
      <c r="G401" s="1688"/>
      <c r="H401" s="1688"/>
      <c r="I401" s="1688"/>
      <c r="J401" s="1689"/>
      <c r="K401" s="1688"/>
      <c r="L401" s="1688"/>
      <c r="M401" s="1688"/>
      <c r="N401" s="1688"/>
      <c r="O401" s="1688"/>
      <c r="P401" s="1688"/>
      <c r="Q401" s="1601"/>
      <c r="R401" s="1045"/>
      <c r="S401" s="1045"/>
      <c r="T401" s="1045"/>
      <c r="U401" s="1045"/>
    </row>
    <row r="402" spans="1:21">
      <c r="A402" s="881" t="s">
        <v>284</v>
      </c>
      <c r="C402" s="3011"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D402" s="3012"/>
      <c r="E402" s="3012"/>
      <c r="F402" s="3012"/>
      <c r="G402" s="3012"/>
      <c r="H402" s="3012"/>
      <c r="I402" s="3012"/>
      <c r="J402" s="3013"/>
      <c r="K402" s="3012"/>
      <c r="L402" s="3012"/>
      <c r="M402" s="3012"/>
      <c r="N402" s="3012"/>
      <c r="O402" s="3016"/>
      <c r="P402" s="3017"/>
      <c r="Q402" s="1600"/>
      <c r="R402" s="1044"/>
      <c r="S402" s="1044"/>
      <c r="T402" s="1044"/>
      <c r="U402" s="1044"/>
    </row>
    <row r="403" spans="1:21">
      <c r="A403" s="881" t="s">
        <v>284</v>
      </c>
      <c r="C403" s="2511"/>
      <c r="D403" s="2512"/>
      <c r="E403" s="2512"/>
      <c r="F403" s="2512"/>
      <c r="G403" s="2512"/>
      <c r="H403" s="2512"/>
      <c r="I403" s="2512"/>
      <c r="J403" s="2512"/>
      <c r="K403" s="2512"/>
      <c r="L403" s="2512"/>
      <c r="M403" s="2512"/>
      <c r="N403" s="2512"/>
      <c r="O403" s="3018"/>
      <c r="P403" s="3019"/>
      <c r="Q403" s="1600"/>
      <c r="R403" s="1044"/>
      <c r="S403" s="1044"/>
      <c r="T403" s="1044"/>
      <c r="U403" s="1044"/>
    </row>
    <row r="404" spans="1:21">
      <c r="A404" s="881" t="s">
        <v>284</v>
      </c>
      <c r="C404" s="2511"/>
      <c r="D404" s="2512"/>
      <c r="E404" s="2512"/>
      <c r="F404" s="2512"/>
      <c r="G404" s="2512"/>
      <c r="H404" s="2512"/>
      <c r="I404" s="2512"/>
      <c r="J404" s="2512"/>
      <c r="K404" s="2512"/>
      <c r="L404" s="2512"/>
      <c r="M404" s="2512"/>
      <c r="N404" s="2512"/>
      <c r="O404" s="3018"/>
      <c r="P404" s="3019"/>
      <c r="Q404" s="1600"/>
      <c r="R404" s="1044"/>
      <c r="S404" s="1044"/>
      <c r="T404" s="1044"/>
      <c r="U404" s="1044"/>
    </row>
    <row r="405" spans="1:21">
      <c r="A405" s="881" t="s">
        <v>284</v>
      </c>
      <c r="C405" s="2513"/>
      <c r="D405" s="2514"/>
      <c r="E405" s="2514"/>
      <c r="F405" s="2514"/>
      <c r="G405" s="2514"/>
      <c r="H405" s="2514"/>
      <c r="I405" s="2514"/>
      <c r="J405" s="2514"/>
      <c r="K405" s="2514"/>
      <c r="L405" s="2514"/>
      <c r="M405" s="2514"/>
      <c r="N405" s="2514"/>
      <c r="O405" s="3020"/>
      <c r="P405" s="3021"/>
      <c r="Q405" s="1594"/>
      <c r="R405" s="1048"/>
      <c r="S405" s="1048"/>
      <c r="T405" s="1048"/>
      <c r="U405" s="1048"/>
    </row>
  </sheetData>
  <sheetProtection algorithmName="SHA-512" hashValue="rguMSRqt51TFvZukYfEONOcNmbUvCuj+w+UyvzAvIzDciujLButNyjej0rrtJuZ9sHtm9aDemqkSL8J2Ig1VKA==" saltValue="fjXYEP24/KKms2AUW35/Ew==" spinCount="100000" sheet="1" objects="1" scenarios="1" autoFilter="0"/>
  <autoFilter ref="A22:A405" xr:uid="{00000000-0009-0000-0000-000018000000}">
    <filterColumn colId="0">
      <filters>
        <filter val="Y"/>
      </filters>
    </filterColumn>
  </autoFilter>
  <mergeCells count="219">
    <mergeCell ref="M400:P400"/>
    <mergeCell ref="F394:G394"/>
    <mergeCell ref="H394:I394"/>
    <mergeCell ref="M394:N394"/>
    <mergeCell ref="C400:E400"/>
    <mergeCell ref="K391:P391"/>
    <mergeCell ref="K394:L394"/>
    <mergeCell ref="K395:L395"/>
    <mergeCell ref="C391:J391"/>
    <mergeCell ref="F398:I398"/>
    <mergeCell ref="F399:I399"/>
    <mergeCell ref="F400:I400"/>
    <mergeCell ref="C384:F384"/>
    <mergeCell ref="I384:J384"/>
    <mergeCell ref="M384:O384"/>
    <mergeCell ref="G384:H384"/>
    <mergeCell ref="K384:L384"/>
    <mergeCell ref="M393:P393"/>
    <mergeCell ref="F395:I395"/>
    <mergeCell ref="F396:I396"/>
    <mergeCell ref="F397:I397"/>
    <mergeCell ref="F392:I392"/>
    <mergeCell ref="F393:I393"/>
    <mergeCell ref="M397:P397"/>
    <mergeCell ref="C402:N405"/>
    <mergeCell ref="F13:I13"/>
    <mergeCell ref="C394:D394"/>
    <mergeCell ref="C395:D395"/>
    <mergeCell ref="C387:P387"/>
    <mergeCell ref="C388:P388"/>
    <mergeCell ref="C389:P389"/>
    <mergeCell ref="O382:P382"/>
    <mergeCell ref="C399:E399"/>
    <mergeCell ref="C382:D382"/>
    <mergeCell ref="E382:F382"/>
    <mergeCell ref="G382:H382"/>
    <mergeCell ref="I382:J382"/>
    <mergeCell ref="K382:L382"/>
    <mergeCell ref="M382:N382"/>
    <mergeCell ref="O380:P380"/>
    <mergeCell ref="C381:D381"/>
    <mergeCell ref="E381:F381"/>
    <mergeCell ref="G381:H381"/>
    <mergeCell ref="I381:J381"/>
    <mergeCell ref="K381:L381"/>
    <mergeCell ref="M381:N381"/>
    <mergeCell ref="O381:P381"/>
    <mergeCell ref="C380:D380"/>
    <mergeCell ref="E380:F380"/>
    <mergeCell ref="G380:H380"/>
    <mergeCell ref="I380:J380"/>
    <mergeCell ref="K380:L380"/>
    <mergeCell ref="M380:N380"/>
    <mergeCell ref="O378:P378"/>
    <mergeCell ref="C379:D379"/>
    <mergeCell ref="E379:F379"/>
    <mergeCell ref="G379:H379"/>
    <mergeCell ref="I379:J379"/>
    <mergeCell ref="K379:L379"/>
    <mergeCell ref="M379:N379"/>
    <mergeCell ref="O379:P379"/>
    <mergeCell ref="C378:D378"/>
    <mergeCell ref="E378:F378"/>
    <mergeCell ref="G378:H378"/>
    <mergeCell ref="I378:J378"/>
    <mergeCell ref="K378:L378"/>
    <mergeCell ref="M378:N378"/>
    <mergeCell ref="O376:P376"/>
    <mergeCell ref="C377:D377"/>
    <mergeCell ref="E377:F377"/>
    <mergeCell ref="G377:H377"/>
    <mergeCell ref="I377:J377"/>
    <mergeCell ref="K377:L377"/>
    <mergeCell ref="M377:N377"/>
    <mergeCell ref="O377:P377"/>
    <mergeCell ref="C376:D376"/>
    <mergeCell ref="E376:F376"/>
    <mergeCell ref="G376:H376"/>
    <mergeCell ref="I376:J376"/>
    <mergeCell ref="K376:L376"/>
    <mergeCell ref="M376:N376"/>
    <mergeCell ref="M340:N340"/>
    <mergeCell ref="O340:P340"/>
    <mergeCell ref="C342:F342"/>
    <mergeCell ref="G342:H342"/>
    <mergeCell ref="M373:N373"/>
    <mergeCell ref="O373:P373"/>
    <mergeCell ref="M316:N316"/>
    <mergeCell ref="O316:P316"/>
    <mergeCell ref="C318:F318"/>
    <mergeCell ref="G318:H318"/>
    <mergeCell ref="M339:N339"/>
    <mergeCell ref="O339:P339"/>
    <mergeCell ref="C272:F272"/>
    <mergeCell ref="G272:H272"/>
    <mergeCell ref="M293:N293"/>
    <mergeCell ref="O293:P293"/>
    <mergeCell ref="C295:F295"/>
    <mergeCell ref="G295:H295"/>
    <mergeCell ref="M247:N247"/>
    <mergeCell ref="O247:P247"/>
    <mergeCell ref="C249:F249"/>
    <mergeCell ref="G249:H249"/>
    <mergeCell ref="M270:N270"/>
    <mergeCell ref="O270:P270"/>
    <mergeCell ref="C203:F203"/>
    <mergeCell ref="G203:H203"/>
    <mergeCell ref="M224:N224"/>
    <mergeCell ref="O224:P224"/>
    <mergeCell ref="C226:F226"/>
    <mergeCell ref="G226:H226"/>
    <mergeCell ref="K199:K200"/>
    <mergeCell ref="L199:L200"/>
    <mergeCell ref="M199:M200"/>
    <mergeCell ref="N199:N200"/>
    <mergeCell ref="O199:O200"/>
    <mergeCell ref="P199:P200"/>
    <mergeCell ref="C199:C201"/>
    <mergeCell ref="D199:D201"/>
    <mergeCell ref="E199:E200"/>
    <mergeCell ref="F199:F200"/>
    <mergeCell ref="G199:G200"/>
    <mergeCell ref="J199:J201"/>
    <mergeCell ref="H199:H200"/>
    <mergeCell ref="I199:I200"/>
    <mergeCell ref="C197:D197"/>
    <mergeCell ref="E197:G197"/>
    <mergeCell ref="I197:K197"/>
    <mergeCell ref="L197:M197"/>
    <mergeCell ref="O197:O198"/>
    <mergeCell ref="P197:P198"/>
    <mergeCell ref="C198:D198"/>
    <mergeCell ref="E198:G198"/>
    <mergeCell ref="I198:K198"/>
    <mergeCell ref="L198:M198"/>
    <mergeCell ref="M161:N161"/>
    <mergeCell ref="O161:P161"/>
    <mergeCell ref="C163:F163"/>
    <mergeCell ref="G163:H163"/>
    <mergeCell ref="M194:N194"/>
    <mergeCell ref="O194:P194"/>
    <mergeCell ref="M137:N137"/>
    <mergeCell ref="O137:P137"/>
    <mergeCell ref="C139:F139"/>
    <mergeCell ref="G139:H139"/>
    <mergeCell ref="M160:N160"/>
    <mergeCell ref="O160:P160"/>
    <mergeCell ref="C93:F93"/>
    <mergeCell ref="G93:H93"/>
    <mergeCell ref="M114:N114"/>
    <mergeCell ref="O114:P114"/>
    <mergeCell ref="C116:F116"/>
    <mergeCell ref="G116:H116"/>
    <mergeCell ref="M68:N68"/>
    <mergeCell ref="O68:P68"/>
    <mergeCell ref="C70:F70"/>
    <mergeCell ref="G70:H70"/>
    <mergeCell ref="M91:N91"/>
    <mergeCell ref="O91:P91"/>
    <mergeCell ref="C24:F24"/>
    <mergeCell ref="G24:H24"/>
    <mergeCell ref="M45:N45"/>
    <mergeCell ref="O45:P45"/>
    <mergeCell ref="C47:F47"/>
    <mergeCell ref="G47:H47"/>
    <mergeCell ref="K20:K21"/>
    <mergeCell ref="L20:L21"/>
    <mergeCell ref="M20:M21"/>
    <mergeCell ref="N20:N21"/>
    <mergeCell ref="O20:O21"/>
    <mergeCell ref="P20:P21"/>
    <mergeCell ref="C20:C22"/>
    <mergeCell ref="D20:D22"/>
    <mergeCell ref="E20:E21"/>
    <mergeCell ref="F20:F21"/>
    <mergeCell ref="G20:G21"/>
    <mergeCell ref="J20:J22"/>
    <mergeCell ref="H20:H21"/>
    <mergeCell ref="I20:I21"/>
    <mergeCell ref="C14:E14"/>
    <mergeCell ref="F14:G14"/>
    <mergeCell ref="H14:I14"/>
    <mergeCell ref="J14:K14"/>
    <mergeCell ref="L14:M14"/>
    <mergeCell ref="C18:D18"/>
    <mergeCell ref="E18:G18"/>
    <mergeCell ref="O18:O19"/>
    <mergeCell ref="P18:P19"/>
    <mergeCell ref="C19:D19"/>
    <mergeCell ref="E19:G19"/>
    <mergeCell ref="I18:J18"/>
    <mergeCell ref="I19:J19"/>
    <mergeCell ref="K18:M18"/>
    <mergeCell ref="K19:M19"/>
    <mergeCell ref="F15:H15"/>
    <mergeCell ref="O402:P405"/>
    <mergeCell ref="C10:P10"/>
    <mergeCell ref="C11:P11"/>
    <mergeCell ref="C12:E12"/>
    <mergeCell ref="L12:M12"/>
    <mergeCell ref="N12:P12"/>
    <mergeCell ref="K393:L393"/>
    <mergeCell ref="K397:L397"/>
    <mergeCell ref="K398:L398"/>
    <mergeCell ref="K400:L400"/>
    <mergeCell ref="C393:D393"/>
    <mergeCell ref="C397:D397"/>
    <mergeCell ref="C398:E398"/>
    <mergeCell ref="C396:E396"/>
    <mergeCell ref="C392:E392"/>
    <mergeCell ref="N14:P15"/>
    <mergeCell ref="C15:E15"/>
    <mergeCell ref="J15:K15"/>
    <mergeCell ref="L15:M15"/>
    <mergeCell ref="C13:E13"/>
    <mergeCell ref="F12:H12"/>
    <mergeCell ref="J12:K12"/>
    <mergeCell ref="L13:M13"/>
    <mergeCell ref="N13:P13"/>
  </mergeCells>
  <conditionalFormatting sqref="C343:P372">
    <cfRule type="expression" dxfId="25" priority="1">
      <formula>C343&lt;&gt;C164</formula>
    </cfRule>
  </conditionalFormatting>
  <dataValidations count="3">
    <dataValidation type="list" allowBlank="1" showInputMessage="1" showErrorMessage="1" sqref="N18:N19 P384 N197:N198" xr:uid="{00000000-0002-0000-1800-000000000000}">
      <formula1>"Yes, No"</formula1>
    </dataValidation>
    <dataValidation type="list" errorStyle="information" allowBlank="1" showInputMessage="1" showErrorMessage="1" prompt="Choose Remarks from list or edit yours." sqref="C387:P389" xr:uid="{00000000-0002-0000-1800-000001000000}">
      <formula1>REMCOL</formula1>
    </dataValidation>
    <dataValidation type="list" allowBlank="1" showInputMessage="1" showErrorMessage="1" errorTitle="Sea State" error="Choose between available values, i.e. Calm, Slight, Moderate, Rough." sqref="P197:P198" xr:uid="{00000000-0002-0000-1800-000002000000}">
      <formula1>$G$19:$G$23</formula1>
    </dataValidation>
  </dataValidations>
  <hyperlinks>
    <hyperlink ref="C386" location="REMCODE" display="Remarks:" xr:uid="{00000000-0004-0000-1800-000000000000}"/>
  </hyperlinks>
  <printOptions horizontalCentered="1"/>
  <pageMargins left="0.3" right="0.3" top="0.2" bottom="0.3" header="0.3" footer="0.1"/>
  <pageSetup paperSize="9" scale="90" orientation="portrait" r:id="rId1"/>
  <headerFooter scaleWithDoc="0">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8081" r:id="rId4" name="Drop Down 1">
              <controlPr defaultSize="0" print="0" autoLine="0" autoPict="0" macro="[0]!BEEPER">
                <anchor moveWithCells="1">
                  <from>
                    <xdr:col>12</xdr:col>
                    <xdr:colOff>0</xdr:colOff>
                    <xdr:row>16</xdr:row>
                    <xdr:rowOff>19050</xdr:rowOff>
                  </from>
                  <to>
                    <xdr:col>14</xdr:col>
                    <xdr:colOff>285750</xdr:colOff>
                    <xdr:row>16</xdr:row>
                    <xdr:rowOff>219075</xdr:rowOff>
                  </to>
                </anchor>
              </controlPr>
            </control>
          </mc:Choice>
        </mc:AlternateContent>
        <mc:AlternateContent xmlns:mc="http://schemas.openxmlformats.org/markup-compatibility/2006">
          <mc:Choice Requires="x14">
            <control shapeId="558082" r:id="rId5" name="Drop Down 2">
              <controlPr defaultSize="0" print="0" autoLine="0" autoPict="0" macro="[0]!BEEPER">
                <anchor moveWithCells="1">
                  <from>
                    <xdr:col>15</xdr:col>
                    <xdr:colOff>9525</xdr:colOff>
                    <xdr:row>16</xdr:row>
                    <xdr:rowOff>9525</xdr:rowOff>
                  </from>
                  <to>
                    <xdr:col>15</xdr:col>
                    <xdr:colOff>514350</xdr:colOff>
                    <xdr:row>16</xdr:row>
                    <xdr:rowOff>219075</xdr:rowOff>
                  </to>
                </anchor>
              </controlPr>
            </control>
          </mc:Choice>
        </mc:AlternateContent>
        <mc:AlternateContent xmlns:mc="http://schemas.openxmlformats.org/markup-compatibility/2006">
          <mc:Choice Requires="x14">
            <control shapeId="558083" r:id="rId6" name="Drop Down 3">
              <controlPr defaultSize="0" print="0" autoLine="0" autoPict="0" macro="[0]!CHOOSEGRADE">
                <anchor moveWithCells="1">
                  <from>
                    <xdr:col>10</xdr:col>
                    <xdr:colOff>0</xdr:colOff>
                    <xdr:row>16</xdr:row>
                    <xdr:rowOff>19050</xdr:rowOff>
                  </from>
                  <to>
                    <xdr:col>11</xdr:col>
                    <xdr:colOff>304800</xdr:colOff>
                    <xdr:row>16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ea State" error="Choose between available values, i.e. Calm, Slight, Moderate, Rough." xr:uid="{00000000-0002-0000-1800-000003000000}">
          <x14:formula1>
            <xm:f>'POWER SETT'!$G$21:$G$25</xm:f>
          </x14:formula1>
          <xm:sqref>P18:P19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4">
    <tabColor theme="5"/>
    <pageSetUpPr fitToPage="1"/>
  </sheetPr>
  <dimension ref="A1:P77"/>
  <sheetViews>
    <sheetView showGridLines="0" showRowColHeaders="0" topLeftCell="A8" zoomScaleNormal="100" zoomScaleSheetLayoutView="100" workbookViewId="0">
      <pane ySplit="8" topLeftCell="A16" activePane="bottomLeft" state="frozen"/>
      <selection pane="bottomLeft"/>
    </sheetView>
  </sheetViews>
  <sheetFormatPr defaultColWidth="0" defaultRowHeight="12.75" zeroHeight="1"/>
  <cols>
    <col min="1" max="1" width="7" style="1693" customWidth="1"/>
    <col min="2" max="2" width="8.5" style="1693" customWidth="1"/>
    <col min="3" max="3" width="7.875" style="1693" customWidth="1"/>
    <col min="4" max="9" width="6.625" style="1693" customWidth="1"/>
    <col min="10" max="10" width="9.125" style="1693" customWidth="1"/>
    <col min="11" max="11" width="8.375" style="1693" customWidth="1"/>
    <col min="12" max="12" width="10.125" style="1693" customWidth="1"/>
    <col min="13" max="13" width="16.25" style="1693" customWidth="1"/>
    <col min="14" max="14" width="0.25" style="1693" customWidth="1"/>
    <col min="15" max="15" width="7.625" style="1693" hidden="1" customWidth="1"/>
    <col min="16" max="16" width="20.375" style="1693" hidden="1" customWidth="1"/>
    <col min="17" max="16384" width="7.625" style="1693" hidden="1"/>
  </cols>
  <sheetData>
    <row r="1" spans="1:16" ht="15" hidden="1">
      <c r="A1" s="1690"/>
      <c r="B1" s="1691"/>
      <c r="C1" s="1691"/>
      <c r="D1" s="1691"/>
      <c r="E1" s="1692"/>
      <c r="F1" s="1692"/>
      <c r="G1" s="1692"/>
      <c r="H1" s="1692"/>
      <c r="I1" s="1692"/>
      <c r="J1" s="1692"/>
      <c r="K1" s="1692"/>
      <c r="L1" s="1692"/>
      <c r="M1" s="1692"/>
      <c r="N1" s="1173">
        <v>1</v>
      </c>
    </row>
    <row r="2" spans="1:16" ht="15">
      <c r="A2" s="1690"/>
      <c r="B2" s="1691"/>
      <c r="C2" s="1691"/>
      <c r="D2" s="1691"/>
      <c r="E2" s="1692"/>
      <c r="F2" s="1692"/>
      <c r="G2" s="1692"/>
      <c r="H2" s="1692"/>
      <c r="I2" s="1692"/>
      <c r="J2" s="1692"/>
      <c r="K2" s="1692"/>
      <c r="L2" s="1692"/>
      <c r="M2" s="1692"/>
      <c r="N2" s="1705" t="s">
        <v>978</v>
      </c>
      <c r="P2" s="1694" t="s">
        <v>829</v>
      </c>
    </row>
    <row r="3" spans="1:16" ht="15">
      <c r="A3" s="1690"/>
      <c r="B3" s="1691"/>
      <c r="C3" s="1691"/>
      <c r="D3" s="1691"/>
      <c r="E3" s="1692"/>
      <c r="F3" s="1692"/>
      <c r="G3" s="1692"/>
      <c r="H3" s="1692"/>
      <c r="I3" s="1692"/>
      <c r="J3" s="1692"/>
      <c r="K3" s="1692"/>
      <c r="L3" s="1692"/>
      <c r="M3" s="1692"/>
      <c r="N3" s="1705" t="s">
        <v>979</v>
      </c>
      <c r="P3" s="1695" t="s">
        <v>754</v>
      </c>
    </row>
    <row r="4" spans="1:16" ht="18.75">
      <c r="A4" s="1690"/>
      <c r="B4" s="1691"/>
      <c r="C4" s="1691"/>
      <c r="D4" s="1691"/>
      <c r="E4" s="1692"/>
      <c r="F4" s="1692"/>
      <c r="G4" s="1690"/>
      <c r="H4" s="1690"/>
      <c r="I4" s="1690"/>
      <c r="J4" s="1692"/>
      <c r="K4" s="1692"/>
      <c r="L4" s="1692"/>
      <c r="M4" s="1696" t="str">
        <f>COMPANY1</f>
        <v>Petro Inspect International</v>
      </c>
      <c r="P4" s="1694" t="s">
        <v>830</v>
      </c>
    </row>
    <row r="5" spans="1:16" ht="15">
      <c r="A5" s="1690"/>
      <c r="B5" s="1691"/>
      <c r="C5" s="1691"/>
      <c r="D5" s="1691"/>
      <c r="E5" s="1692"/>
      <c r="F5" s="1692"/>
      <c r="G5" s="1690"/>
      <c r="H5" s="1690"/>
      <c r="I5" s="1690"/>
      <c r="J5" s="1692"/>
      <c r="K5" s="1692"/>
      <c r="L5" s="1692"/>
      <c r="M5" s="1697" t="str">
        <f>COMPANY2</f>
        <v>ops@petro-inspect.com</v>
      </c>
      <c r="P5" s="1694" t="s">
        <v>831</v>
      </c>
    </row>
    <row r="6" spans="1:16" ht="15">
      <c r="A6" s="1690"/>
      <c r="B6" s="1691"/>
      <c r="C6" s="1691"/>
      <c r="D6" s="1691"/>
      <c r="E6" s="1692"/>
      <c r="F6" s="1692"/>
      <c r="G6" s="1690"/>
      <c r="H6" s="1690"/>
      <c r="I6" s="1690"/>
      <c r="J6" s="1692"/>
      <c r="K6" s="1692"/>
      <c r="L6" s="1692"/>
      <c r="M6" s="1697" t="str">
        <f>COMPANY3</f>
        <v/>
      </c>
      <c r="P6" s="1694" t="s">
        <v>832</v>
      </c>
    </row>
    <row r="7" spans="1:16" ht="15">
      <c r="A7" s="1691"/>
      <c r="B7" s="1691"/>
      <c r="C7" s="1691"/>
      <c r="D7" s="1691"/>
      <c r="E7" s="1692"/>
      <c r="F7" s="1692"/>
      <c r="G7" s="1690"/>
      <c r="H7" s="1690"/>
      <c r="I7" s="1690"/>
      <c r="J7" s="1692"/>
      <c r="K7" s="1692"/>
      <c r="L7" s="1692"/>
      <c r="M7" s="1697" t="str">
        <f>COMPANY4</f>
        <v/>
      </c>
      <c r="P7" s="1694" t="s">
        <v>833</v>
      </c>
    </row>
    <row r="8" spans="1:16" s="1701" customFormat="1" ht="3" customHeight="1" thickBot="1">
      <c r="A8" s="1034"/>
      <c r="B8" s="1034"/>
      <c r="C8" s="1034"/>
      <c r="D8" s="1034"/>
      <c r="E8" s="1698"/>
      <c r="F8" s="1698"/>
      <c r="G8" s="1699"/>
      <c r="H8" s="1699"/>
      <c r="I8" s="1699"/>
      <c r="J8" s="1700"/>
      <c r="K8" s="1700"/>
      <c r="L8" s="1700"/>
      <c r="M8" s="1700"/>
      <c r="P8" s="1694" t="s">
        <v>834</v>
      </c>
    </row>
    <row r="9" spans="1:16" s="1701" customFormat="1" ht="3" customHeight="1">
      <c r="A9" s="1035"/>
      <c r="B9" s="1035"/>
      <c r="C9" s="1035"/>
      <c r="D9" s="1035"/>
      <c r="E9" s="1702"/>
      <c r="F9" s="1702"/>
      <c r="G9" s="1703"/>
      <c r="H9" s="1703"/>
      <c r="I9" s="1703"/>
      <c r="J9" s="1704"/>
      <c r="K9" s="1704"/>
      <c r="L9" s="1704"/>
      <c r="M9" s="1704"/>
      <c r="P9" s="1705"/>
    </row>
    <row r="10" spans="1:16" ht="29.25" customHeight="1">
      <c r="A10" s="3168" t="s">
        <v>888</v>
      </c>
      <c r="B10" s="3168"/>
      <c r="C10" s="3168"/>
      <c r="D10" s="3168"/>
      <c r="E10" s="3168"/>
      <c r="F10" s="3168"/>
      <c r="G10" s="3168"/>
      <c r="H10" s="3168"/>
      <c r="I10" s="3168"/>
      <c r="J10" s="3168"/>
      <c r="K10" s="3168"/>
      <c r="L10" s="3168"/>
      <c r="M10" s="3168"/>
      <c r="N10" s="1706"/>
      <c r="O10" s="1706"/>
      <c r="P10" s="1695"/>
    </row>
    <row r="11" spans="1:16" s="1710" customFormat="1" ht="3" customHeight="1">
      <c r="A11" s="1707"/>
      <c r="B11" s="1707"/>
      <c r="C11" s="1707"/>
      <c r="D11" s="1708"/>
      <c r="E11" s="1708"/>
      <c r="F11" s="1708"/>
      <c r="G11" s="1708"/>
      <c r="H11" s="1708"/>
      <c r="I11" s="1708"/>
      <c r="J11" s="1708"/>
      <c r="K11" s="1708"/>
      <c r="L11" s="1708"/>
      <c r="M11" s="1708"/>
      <c r="N11" s="1709"/>
      <c r="O11" s="1709"/>
      <c r="P11" s="1695"/>
    </row>
    <row r="12" spans="1:16" ht="18.75" customHeight="1">
      <c r="A12" s="3169" t="s">
        <v>160</v>
      </c>
      <c r="B12" s="3169"/>
      <c r="C12" s="3169"/>
      <c r="D12" s="3170" t="str">
        <f>VESSEL</f>
        <v>MV PESSADA</v>
      </c>
      <c r="E12" s="3170"/>
      <c r="F12" s="3170"/>
      <c r="G12" s="3170"/>
      <c r="H12" s="2174"/>
      <c r="I12" s="2174"/>
      <c r="J12" s="3171" t="s">
        <v>814</v>
      </c>
      <c r="K12" s="3171"/>
      <c r="L12" s="3180" t="str">
        <f>PORT</f>
        <v>ISTANBUL / TURKEY</v>
      </c>
      <c r="M12" s="3180"/>
    </row>
    <row r="13" spans="1:16" ht="18.75" customHeight="1">
      <c r="A13" s="3179" t="s">
        <v>813</v>
      </c>
      <c r="B13" s="3179"/>
      <c r="C13" s="3179"/>
      <c r="D13" s="3170" t="str">
        <f>IMONO</f>
        <v>9174270</v>
      </c>
      <c r="E13" s="3170"/>
      <c r="F13" s="3170"/>
      <c r="G13" s="3170"/>
      <c r="H13" s="2174"/>
      <c r="I13" s="2174"/>
      <c r="J13" s="3171" t="s">
        <v>174</v>
      </c>
      <c r="K13" s="3171"/>
      <c r="L13" s="3173">
        <f>DATESURVC</f>
        <v>44792</v>
      </c>
      <c r="M13" s="3173"/>
      <c r="P13" s="1705" t="s">
        <v>818</v>
      </c>
    </row>
    <row r="14" spans="1:16" ht="18.75" customHeight="1">
      <c r="A14" s="3169" t="s">
        <v>788</v>
      </c>
      <c r="B14" s="3169"/>
      <c r="C14" s="3169"/>
      <c r="D14" s="3170" t="str">
        <f>MYBARGENAME</f>
        <v>M/T YALÇIN 2</v>
      </c>
      <c r="E14" s="3170"/>
      <c r="F14" s="3170"/>
      <c r="G14" s="3170"/>
      <c r="H14" s="2174"/>
      <c r="I14" s="2174"/>
      <c r="J14" s="3171" t="s">
        <v>925</v>
      </c>
      <c r="K14" s="3171"/>
      <c r="L14" s="3185" t="str">
        <f>SELBARGEGRADES</f>
        <v>LSFO, LSMGO</v>
      </c>
      <c r="M14" s="3185"/>
      <c r="P14" s="1705" t="s">
        <v>822</v>
      </c>
    </row>
    <row r="15" spans="1:16" ht="18.75" customHeight="1">
      <c r="A15" s="3169" t="s">
        <v>157</v>
      </c>
      <c r="B15" s="3169"/>
      <c r="C15" s="3169"/>
      <c r="D15" s="3078" t="str">
        <f>MYBARGESUP</f>
        <v>ENERGY</v>
      </c>
      <c r="E15" s="3078"/>
      <c r="F15" s="3078"/>
      <c r="G15" s="3078"/>
      <c r="H15" s="3078"/>
      <c r="I15" s="3078"/>
      <c r="J15" s="3078"/>
      <c r="K15" s="3078"/>
      <c r="L15" s="3185"/>
      <c r="M15" s="3185"/>
      <c r="P15" s="1705" t="s">
        <v>889</v>
      </c>
    </row>
    <row r="16" spans="1:16" s="1701" customFormat="1" ht="5.25">
      <c r="A16" s="1711"/>
      <c r="B16" s="1711"/>
      <c r="C16" s="1711"/>
      <c r="D16" s="1712"/>
      <c r="E16" s="1712"/>
      <c r="F16" s="1712"/>
      <c r="G16" s="1712"/>
      <c r="H16" s="1712"/>
      <c r="I16" s="1712"/>
      <c r="J16" s="1713"/>
      <c r="K16" s="1713"/>
      <c r="L16" s="1714"/>
      <c r="M16" s="1714"/>
      <c r="P16" s="1715" t="s">
        <v>890</v>
      </c>
    </row>
    <row r="17" spans="1:16" ht="15" customHeight="1">
      <c r="A17" s="3174" t="s">
        <v>815</v>
      </c>
      <c r="B17" s="3174"/>
      <c r="C17" s="3174"/>
      <c r="D17" s="3174"/>
      <c r="E17" s="3174"/>
      <c r="F17" s="3174"/>
      <c r="G17" s="3174"/>
      <c r="H17" s="3174"/>
      <c r="I17" s="3174"/>
      <c r="J17" s="3174"/>
      <c r="K17" s="3174"/>
      <c r="L17" s="3174"/>
      <c r="M17" s="3174"/>
      <c r="P17" s="1705" t="s">
        <v>891</v>
      </c>
    </row>
    <row r="18" spans="1:16" ht="15" customHeight="1">
      <c r="A18" s="3174"/>
      <c r="B18" s="3174"/>
      <c r="C18" s="3174"/>
      <c r="D18" s="3174"/>
      <c r="E18" s="3174"/>
      <c r="F18" s="3174"/>
      <c r="G18" s="3174"/>
      <c r="H18" s="3174"/>
      <c r="I18" s="3174"/>
      <c r="J18" s="3174"/>
      <c r="K18" s="3174"/>
      <c r="L18" s="3174"/>
      <c r="M18" s="3174"/>
      <c r="P18" s="1705"/>
    </row>
    <row r="19" spans="1:16" s="1701" customFormat="1" ht="5.25">
      <c r="A19" s="1716"/>
      <c r="B19" s="1716"/>
      <c r="C19" s="1716"/>
      <c r="D19" s="1716"/>
      <c r="E19" s="1716"/>
      <c r="F19" s="1716"/>
      <c r="G19" s="1716"/>
      <c r="H19" s="1716"/>
      <c r="I19" s="1716"/>
      <c r="J19" s="1716"/>
      <c r="K19" s="1716"/>
      <c r="L19" s="1716"/>
      <c r="M19" s="1716"/>
      <c r="P19" s="1715"/>
    </row>
    <row r="20" spans="1:16" ht="16.5" customHeight="1">
      <c r="A20" s="3175" t="s">
        <v>816</v>
      </c>
      <c r="B20" s="3176"/>
      <c r="C20" s="3176"/>
      <c r="D20" s="3176"/>
      <c r="E20" s="3176"/>
      <c r="F20" s="3176"/>
      <c r="G20" s="3176"/>
      <c r="H20" s="3177"/>
      <c r="I20" s="3177"/>
      <c r="J20" s="3176"/>
      <c r="K20" s="3176"/>
      <c r="L20" s="3176"/>
      <c r="M20" s="3178"/>
    </row>
    <row r="21" spans="1:16" ht="15" customHeight="1">
      <c r="A21" s="3172" t="s">
        <v>182</v>
      </c>
      <c r="B21" s="3166"/>
      <c r="C21" s="3166"/>
      <c r="D21" s="3181" t="s">
        <v>817</v>
      </c>
      <c r="E21" s="3181"/>
      <c r="F21" s="3181"/>
      <c r="G21" s="3182"/>
      <c r="H21" s="2180"/>
      <c r="I21" s="3163" t="s">
        <v>837</v>
      </c>
      <c r="J21" s="3163"/>
      <c r="K21" s="3163"/>
      <c r="L21" s="3186" t="s">
        <v>836</v>
      </c>
      <c r="M21" s="3187"/>
      <c r="P21" s="1705" t="s">
        <v>823</v>
      </c>
    </row>
    <row r="22" spans="1:16" ht="15" customHeight="1">
      <c r="A22" s="3172" t="s">
        <v>818</v>
      </c>
      <c r="B22" s="3166"/>
      <c r="C22" s="3166"/>
      <c r="D22" s="3183" t="s">
        <v>822</v>
      </c>
      <c r="E22" s="3183"/>
      <c r="F22" s="3183"/>
      <c r="G22" s="3184"/>
      <c r="H22" s="2175"/>
      <c r="I22" s="3166" t="s">
        <v>839</v>
      </c>
      <c r="J22" s="3166"/>
      <c r="K22" s="3166"/>
      <c r="L22" s="3161">
        <v>6</v>
      </c>
      <c r="M22" s="3162"/>
      <c r="P22" s="1705" t="s">
        <v>895</v>
      </c>
    </row>
    <row r="23" spans="1:16" ht="15" customHeight="1">
      <c r="A23" s="3172" t="s">
        <v>819</v>
      </c>
      <c r="B23" s="3166"/>
      <c r="C23" s="3166"/>
      <c r="D23" s="3183" t="s">
        <v>820</v>
      </c>
      <c r="E23" s="3183"/>
      <c r="F23" s="3183"/>
      <c r="G23" s="3184"/>
      <c r="H23" s="2175"/>
      <c r="I23" s="1717"/>
      <c r="J23" s="1717"/>
      <c r="K23" s="1717"/>
      <c r="L23" s="1717"/>
      <c r="M23" s="1718"/>
      <c r="P23" s="1705" t="s">
        <v>896</v>
      </c>
    </row>
    <row r="24" spans="1:16" ht="15" customHeight="1">
      <c r="A24" s="3172" t="s">
        <v>821</v>
      </c>
      <c r="B24" s="3166"/>
      <c r="C24" s="3166"/>
      <c r="D24" s="3183" t="s">
        <v>822</v>
      </c>
      <c r="E24" s="3183"/>
      <c r="F24" s="3183"/>
      <c r="G24" s="3184"/>
      <c r="H24" s="2175"/>
      <c r="I24" s="3166" t="s">
        <v>835</v>
      </c>
      <c r="J24" s="3166"/>
      <c r="K24" s="3166"/>
      <c r="L24" s="3161" t="s">
        <v>836</v>
      </c>
      <c r="M24" s="3162"/>
    </row>
    <row r="25" spans="1:16" ht="15" customHeight="1">
      <c r="A25" s="3172" t="s">
        <v>823</v>
      </c>
      <c r="B25" s="3166"/>
      <c r="C25" s="3166"/>
      <c r="D25" s="3161" t="s">
        <v>895</v>
      </c>
      <c r="E25" s="3198"/>
      <c r="F25" s="3197" t="s">
        <v>893</v>
      </c>
      <c r="G25" s="3162"/>
      <c r="H25" s="2181"/>
      <c r="I25" s="3166" t="s">
        <v>838</v>
      </c>
      <c r="J25" s="3166"/>
      <c r="K25" s="3166"/>
      <c r="L25" s="3161">
        <v>6</v>
      </c>
      <c r="M25" s="3162"/>
      <c r="P25" s="1705" t="s">
        <v>823</v>
      </c>
    </row>
    <row r="26" spans="1:16" ht="15" customHeight="1">
      <c r="A26" s="3172" t="s">
        <v>183</v>
      </c>
      <c r="B26" s="3166"/>
      <c r="C26" s="3166"/>
      <c r="D26" s="3183" t="s">
        <v>824</v>
      </c>
      <c r="E26" s="3183"/>
      <c r="F26" s="3183"/>
      <c r="G26" s="3184"/>
      <c r="H26" s="2175"/>
      <c r="I26" s="1717"/>
      <c r="J26" s="1717"/>
      <c r="K26" s="1717"/>
      <c r="L26" s="1717"/>
      <c r="M26" s="1718"/>
      <c r="P26" s="1705" t="s">
        <v>892</v>
      </c>
    </row>
    <row r="27" spans="1:16" ht="15" customHeight="1">
      <c r="A27" s="3172" t="s">
        <v>825</v>
      </c>
      <c r="B27" s="3166"/>
      <c r="C27" s="3166"/>
      <c r="D27" s="3183" t="s">
        <v>772</v>
      </c>
      <c r="E27" s="3183"/>
      <c r="F27" s="3183"/>
      <c r="G27" s="3184"/>
      <c r="H27" s="2175"/>
      <c r="I27" s="3166" t="s">
        <v>854</v>
      </c>
      <c r="J27" s="3166"/>
      <c r="K27" s="3193"/>
      <c r="L27" s="3193"/>
      <c r="M27" s="3194"/>
      <c r="P27" s="1705" t="s">
        <v>893</v>
      </c>
    </row>
    <row r="28" spans="1:16" ht="15" customHeight="1">
      <c r="A28" s="3189" t="s">
        <v>826</v>
      </c>
      <c r="B28" s="3167"/>
      <c r="C28" s="3167"/>
      <c r="D28" s="3195" t="s">
        <v>621</v>
      </c>
      <c r="E28" s="3195"/>
      <c r="F28" s="3195"/>
      <c r="G28" s="3196"/>
      <c r="H28" s="2182"/>
      <c r="I28" s="3167" t="s">
        <v>854</v>
      </c>
      <c r="J28" s="3167"/>
      <c r="K28" s="3190"/>
      <c r="L28" s="3190"/>
      <c r="M28" s="3191"/>
      <c r="P28" s="1705" t="s">
        <v>894</v>
      </c>
    </row>
    <row r="29" spans="1:16" s="1719" customFormat="1" ht="8.25"/>
    <row r="30" spans="1:16" ht="26.25" customHeight="1">
      <c r="A30" s="2178" t="s">
        <v>827</v>
      </c>
      <c r="B30" s="3192" t="s">
        <v>1449</v>
      </c>
      <c r="C30" s="3192"/>
      <c r="D30" s="3192" t="s">
        <v>1454</v>
      </c>
      <c r="E30" s="3192"/>
      <c r="F30" s="3192" t="s">
        <v>828</v>
      </c>
      <c r="G30" s="3192"/>
      <c r="H30" s="3192" t="s">
        <v>1452</v>
      </c>
      <c r="I30" s="3192"/>
      <c r="J30" s="2179" t="s">
        <v>1460</v>
      </c>
      <c r="K30" s="2179" t="s">
        <v>1453</v>
      </c>
      <c r="L30" s="3205" t="s">
        <v>49</v>
      </c>
      <c r="M30" s="3206"/>
    </row>
    <row r="31" spans="1:16" ht="15">
      <c r="A31" s="2184">
        <v>1</v>
      </c>
      <c r="B31" s="3188"/>
      <c r="C31" s="3188"/>
      <c r="D31" s="3188"/>
      <c r="E31" s="3188"/>
      <c r="F31" s="3188"/>
      <c r="G31" s="3188"/>
      <c r="H31" s="3209"/>
      <c r="I31" s="3210"/>
      <c r="J31" s="2199"/>
      <c r="K31" s="1720"/>
      <c r="L31" s="3207"/>
      <c r="M31" s="3208"/>
    </row>
    <row r="32" spans="1:16" ht="15">
      <c r="A32" s="2183">
        <v>2</v>
      </c>
      <c r="B32" s="3165"/>
      <c r="C32" s="3165"/>
      <c r="D32" s="3165"/>
      <c r="E32" s="3165"/>
      <c r="F32" s="3165"/>
      <c r="G32" s="3165"/>
      <c r="H32" s="3199"/>
      <c r="I32" s="3200"/>
      <c r="J32" s="2200"/>
      <c r="K32" s="1721"/>
      <c r="L32" s="3201"/>
      <c r="M32" s="3202"/>
    </row>
    <row r="33" spans="1:13" ht="15">
      <c r="A33" s="2183">
        <v>3</v>
      </c>
      <c r="B33" s="3165"/>
      <c r="C33" s="3165"/>
      <c r="D33" s="3165"/>
      <c r="E33" s="3165"/>
      <c r="F33" s="3165"/>
      <c r="G33" s="3165"/>
      <c r="H33" s="3199"/>
      <c r="I33" s="3200"/>
      <c r="J33" s="2200"/>
      <c r="K33" s="1721"/>
      <c r="L33" s="3201"/>
      <c r="M33" s="3202"/>
    </row>
    <row r="34" spans="1:13" ht="15">
      <c r="A34" s="2183">
        <v>4</v>
      </c>
      <c r="B34" s="3165"/>
      <c r="C34" s="3165"/>
      <c r="D34" s="3165"/>
      <c r="E34" s="3165"/>
      <c r="F34" s="3165"/>
      <c r="G34" s="3165"/>
      <c r="H34" s="3199"/>
      <c r="I34" s="3200"/>
      <c r="J34" s="2200"/>
      <c r="K34" s="1721"/>
      <c r="L34" s="3201"/>
      <c r="M34" s="3202"/>
    </row>
    <row r="35" spans="1:13" ht="15">
      <c r="A35" s="2183">
        <v>5</v>
      </c>
      <c r="B35" s="3165"/>
      <c r="C35" s="3165"/>
      <c r="D35" s="3165"/>
      <c r="E35" s="3165"/>
      <c r="F35" s="3165"/>
      <c r="G35" s="3165"/>
      <c r="H35" s="3199"/>
      <c r="I35" s="3200"/>
      <c r="J35" s="2200"/>
      <c r="K35" s="1721"/>
      <c r="L35" s="3201"/>
      <c r="M35" s="3202"/>
    </row>
    <row r="36" spans="1:13" ht="15">
      <c r="A36" s="2183">
        <v>6</v>
      </c>
      <c r="B36" s="3165"/>
      <c r="C36" s="3165"/>
      <c r="D36" s="3165"/>
      <c r="E36" s="3165"/>
      <c r="F36" s="3165"/>
      <c r="G36" s="3165"/>
      <c r="H36" s="3199"/>
      <c r="I36" s="3200"/>
      <c r="J36" s="2200"/>
      <c r="K36" s="1721"/>
      <c r="L36" s="3201"/>
      <c r="M36" s="3202"/>
    </row>
    <row r="37" spans="1:13" ht="15">
      <c r="A37" s="2183">
        <v>7</v>
      </c>
      <c r="B37" s="3165"/>
      <c r="C37" s="3165"/>
      <c r="D37" s="3165"/>
      <c r="E37" s="3165"/>
      <c r="F37" s="3165"/>
      <c r="G37" s="3165"/>
      <c r="H37" s="3199"/>
      <c r="I37" s="3200"/>
      <c r="J37" s="2201"/>
      <c r="K37" s="2176"/>
      <c r="L37" s="3203"/>
      <c r="M37" s="3204"/>
    </row>
    <row r="38" spans="1:13" ht="15">
      <c r="A38" s="2183">
        <v>8</v>
      </c>
      <c r="B38" s="3165"/>
      <c r="C38" s="3165"/>
      <c r="D38" s="3165"/>
      <c r="E38" s="3165"/>
      <c r="F38" s="3165"/>
      <c r="G38" s="3165"/>
      <c r="H38" s="3199"/>
      <c r="I38" s="3200"/>
      <c r="J38" s="2201"/>
      <c r="K38" s="2176"/>
      <c r="L38" s="3203"/>
      <c r="M38" s="3204"/>
    </row>
    <row r="39" spans="1:13" ht="15">
      <c r="A39" s="2183">
        <v>9</v>
      </c>
      <c r="B39" s="3165"/>
      <c r="C39" s="3165"/>
      <c r="D39" s="3165"/>
      <c r="E39" s="3165"/>
      <c r="F39" s="3165"/>
      <c r="G39" s="3165"/>
      <c r="H39" s="3199"/>
      <c r="I39" s="3200"/>
      <c r="J39" s="2201"/>
      <c r="K39" s="2176"/>
      <c r="L39" s="3203"/>
      <c r="M39" s="3204"/>
    </row>
    <row r="40" spans="1:13" ht="15">
      <c r="A40" s="2183">
        <v>10</v>
      </c>
      <c r="B40" s="3165"/>
      <c r="C40" s="3165"/>
      <c r="D40" s="3165"/>
      <c r="E40" s="3165"/>
      <c r="F40" s="3165"/>
      <c r="G40" s="3165"/>
      <c r="H40" s="3199"/>
      <c r="I40" s="3200"/>
      <c r="J40" s="2201"/>
      <c r="K40" s="2176"/>
      <c r="L40" s="3203"/>
      <c r="M40" s="3204"/>
    </row>
    <row r="41" spans="1:13" ht="15">
      <c r="A41" s="2183">
        <v>11</v>
      </c>
      <c r="B41" s="3165"/>
      <c r="C41" s="3165"/>
      <c r="D41" s="3165"/>
      <c r="E41" s="3165"/>
      <c r="F41" s="3165"/>
      <c r="G41" s="3165"/>
      <c r="H41" s="3199"/>
      <c r="I41" s="3200"/>
      <c r="J41" s="2201"/>
      <c r="K41" s="2176"/>
      <c r="L41" s="3203"/>
      <c r="M41" s="3204"/>
    </row>
    <row r="42" spans="1:13" ht="15">
      <c r="A42" s="2183">
        <v>12</v>
      </c>
      <c r="B42" s="3165"/>
      <c r="C42" s="3165"/>
      <c r="D42" s="3165"/>
      <c r="E42" s="3165"/>
      <c r="F42" s="3165"/>
      <c r="G42" s="3165"/>
      <c r="H42" s="3199"/>
      <c r="I42" s="3200"/>
      <c r="J42" s="2201"/>
      <c r="K42" s="2176"/>
      <c r="L42" s="3203"/>
      <c r="M42" s="3204"/>
    </row>
    <row r="43" spans="1:13" ht="15">
      <c r="A43" s="2183">
        <v>13</v>
      </c>
      <c r="B43" s="3165"/>
      <c r="C43" s="3165"/>
      <c r="D43" s="3165"/>
      <c r="E43" s="3165"/>
      <c r="F43" s="3165"/>
      <c r="G43" s="3165"/>
      <c r="H43" s="3199"/>
      <c r="I43" s="3200"/>
      <c r="J43" s="2201"/>
      <c r="K43" s="2176"/>
      <c r="L43" s="3203"/>
      <c r="M43" s="3204"/>
    </row>
    <row r="44" spans="1:13" ht="15">
      <c r="A44" s="2183">
        <v>14</v>
      </c>
      <c r="B44" s="3165"/>
      <c r="C44" s="3165"/>
      <c r="D44" s="3165"/>
      <c r="E44" s="3165"/>
      <c r="F44" s="3165"/>
      <c r="G44" s="3165"/>
      <c r="H44" s="3199"/>
      <c r="I44" s="3200"/>
      <c r="J44" s="2201"/>
      <c r="K44" s="2176"/>
      <c r="L44" s="3203"/>
      <c r="M44" s="3204"/>
    </row>
    <row r="45" spans="1:13" ht="15">
      <c r="A45" s="2185">
        <v>15</v>
      </c>
      <c r="B45" s="3164"/>
      <c r="C45" s="3164"/>
      <c r="D45" s="3164"/>
      <c r="E45" s="3164"/>
      <c r="F45" s="3164"/>
      <c r="G45" s="3164"/>
      <c r="H45" s="3211"/>
      <c r="I45" s="3212"/>
      <c r="J45" s="2202"/>
      <c r="K45" s="1722"/>
      <c r="L45" s="3213"/>
      <c r="M45" s="3214"/>
    </row>
    <row r="46" spans="1:13" s="1719" customFormat="1" ht="8.25">
      <c r="H46" s="2177"/>
    </row>
    <row r="47" spans="1:13" ht="16.5" customHeight="1">
      <c r="A47" s="3129"/>
      <c r="B47" s="3130"/>
      <c r="C47" s="3130"/>
      <c r="D47" s="3130"/>
      <c r="E47" s="3130"/>
      <c r="F47" s="3130"/>
      <c r="G47" s="3131"/>
      <c r="H47" s="2177"/>
      <c r="I47" s="3129"/>
      <c r="J47" s="3130"/>
      <c r="K47" s="3130"/>
      <c r="L47" s="3130"/>
      <c r="M47" s="3131"/>
    </row>
    <row r="48" spans="1:13" ht="15" customHeight="1">
      <c r="A48" s="3132"/>
      <c r="B48" s="3133"/>
      <c r="C48" s="3133"/>
      <c r="D48" s="3133"/>
      <c r="E48" s="3133"/>
      <c r="F48" s="3133"/>
      <c r="G48" s="3134"/>
      <c r="H48" s="2177"/>
      <c r="I48" s="3132"/>
      <c r="J48" s="3133"/>
      <c r="K48" s="3133"/>
      <c r="L48" s="3133"/>
      <c r="M48" s="3134"/>
    </row>
    <row r="49" spans="1:13" ht="15" customHeight="1">
      <c r="A49" s="3132"/>
      <c r="B49" s="3133"/>
      <c r="C49" s="3133"/>
      <c r="D49" s="3133"/>
      <c r="E49" s="3133"/>
      <c r="F49" s="3133"/>
      <c r="G49" s="3134"/>
      <c r="H49" s="2177"/>
      <c r="I49" s="3132"/>
      <c r="J49" s="3133"/>
      <c r="K49" s="3133"/>
      <c r="L49" s="3133"/>
      <c r="M49" s="3134"/>
    </row>
    <row r="50" spans="1:13" ht="15" customHeight="1">
      <c r="A50" s="3132"/>
      <c r="B50" s="3133"/>
      <c r="C50" s="3133"/>
      <c r="D50" s="3133"/>
      <c r="E50" s="3133"/>
      <c r="F50" s="3133"/>
      <c r="G50" s="3134"/>
      <c r="H50" s="2177"/>
      <c r="I50" s="3132"/>
      <c r="J50" s="3133"/>
      <c r="K50" s="3133"/>
      <c r="L50" s="3133"/>
      <c r="M50" s="3134"/>
    </row>
    <row r="51" spans="1:13" ht="15" customHeight="1">
      <c r="A51" s="3132"/>
      <c r="B51" s="3133"/>
      <c r="C51" s="3133"/>
      <c r="D51" s="3133"/>
      <c r="E51" s="3133"/>
      <c r="F51" s="3133"/>
      <c r="G51" s="3134"/>
      <c r="H51" s="2177"/>
      <c r="I51" s="3132"/>
      <c r="J51" s="3133"/>
      <c r="K51" s="3133"/>
      <c r="L51" s="3133"/>
      <c r="M51" s="3134"/>
    </row>
    <row r="52" spans="1:13" ht="15" customHeight="1">
      <c r="A52" s="3132"/>
      <c r="B52" s="3133"/>
      <c r="C52" s="3133"/>
      <c r="D52" s="3133"/>
      <c r="E52" s="3133"/>
      <c r="F52" s="3133"/>
      <c r="G52" s="3134"/>
      <c r="H52" s="2177"/>
      <c r="I52" s="3132"/>
      <c r="J52" s="3133"/>
      <c r="K52" s="3133"/>
      <c r="L52" s="3133"/>
      <c r="M52" s="3134"/>
    </row>
    <row r="53" spans="1:13" ht="15" customHeight="1">
      <c r="A53" s="3132"/>
      <c r="B53" s="3133"/>
      <c r="C53" s="3133"/>
      <c r="D53" s="3133"/>
      <c r="E53" s="3133"/>
      <c r="F53" s="3133"/>
      <c r="G53" s="3134"/>
      <c r="H53" s="2177"/>
      <c r="I53" s="3132"/>
      <c r="J53" s="3133"/>
      <c r="K53" s="3133"/>
      <c r="L53" s="3133"/>
      <c r="M53" s="3134"/>
    </row>
    <row r="54" spans="1:13" ht="15" customHeight="1">
      <c r="A54" s="3132"/>
      <c r="B54" s="3133"/>
      <c r="C54" s="3133"/>
      <c r="D54" s="3133"/>
      <c r="E54" s="3133"/>
      <c r="F54" s="3133"/>
      <c r="G54" s="3134"/>
      <c r="H54" s="2177"/>
      <c r="I54" s="3132"/>
      <c r="J54" s="3133"/>
      <c r="K54" s="3133"/>
      <c r="L54" s="3133"/>
      <c r="M54" s="3134"/>
    </row>
    <row r="55" spans="1:13" ht="15" customHeight="1">
      <c r="A55" s="3132"/>
      <c r="B55" s="3133"/>
      <c r="C55" s="3133"/>
      <c r="D55" s="3133"/>
      <c r="E55" s="3133"/>
      <c r="F55" s="3133"/>
      <c r="G55" s="3134"/>
      <c r="H55" s="2177"/>
      <c r="I55" s="3132"/>
      <c r="J55" s="3133"/>
      <c r="K55" s="3133"/>
      <c r="L55" s="3133"/>
      <c r="M55" s="3134"/>
    </row>
    <row r="56" spans="1:13" ht="15" customHeight="1">
      <c r="A56" s="3132"/>
      <c r="B56" s="3133"/>
      <c r="C56" s="3133"/>
      <c r="D56" s="3133"/>
      <c r="E56" s="3133"/>
      <c r="F56" s="3133"/>
      <c r="G56" s="3134"/>
      <c r="H56" s="2177"/>
      <c r="I56" s="3132"/>
      <c r="J56" s="3133"/>
      <c r="K56" s="3133"/>
      <c r="L56" s="3133"/>
      <c r="M56" s="3134"/>
    </row>
    <row r="57" spans="1:13" ht="15" customHeight="1">
      <c r="A57" s="3132"/>
      <c r="B57" s="3133"/>
      <c r="C57" s="3133"/>
      <c r="D57" s="3133"/>
      <c r="E57" s="3133"/>
      <c r="F57" s="3133"/>
      <c r="G57" s="3134"/>
      <c r="H57" s="2177"/>
      <c r="I57" s="3132"/>
      <c r="J57" s="3133"/>
      <c r="K57" s="3133"/>
      <c r="L57" s="3133"/>
      <c r="M57" s="3134"/>
    </row>
    <row r="58" spans="1:13" ht="15" customHeight="1">
      <c r="A58" s="3132"/>
      <c r="B58" s="3133"/>
      <c r="C58" s="3133"/>
      <c r="D58" s="3133"/>
      <c r="E58" s="3133"/>
      <c r="F58" s="3133"/>
      <c r="G58" s="3134"/>
      <c r="H58" s="2177"/>
      <c r="I58" s="3132"/>
      <c r="J58" s="3133"/>
      <c r="K58" s="3133"/>
      <c r="L58" s="3133"/>
      <c r="M58" s="3134"/>
    </row>
    <row r="59" spans="1:13" ht="15" customHeight="1">
      <c r="A59" s="3135"/>
      <c r="B59" s="3136"/>
      <c r="C59" s="3136"/>
      <c r="D59" s="3136"/>
      <c r="E59" s="3136"/>
      <c r="F59" s="3136"/>
      <c r="G59" s="3137"/>
      <c r="H59" s="2177"/>
      <c r="I59" s="3135"/>
      <c r="J59" s="3136"/>
      <c r="K59" s="3136"/>
      <c r="L59" s="3136"/>
      <c r="M59" s="3137"/>
    </row>
    <row r="60" spans="1:13" ht="15">
      <c r="A60" s="3138" t="s">
        <v>1450</v>
      </c>
      <c r="B60" s="3139"/>
      <c r="C60" s="3139"/>
      <c r="D60" s="3139"/>
      <c r="E60" s="3139"/>
      <c r="F60" s="3139"/>
      <c r="G60" s="3140"/>
      <c r="H60" s="2177"/>
      <c r="I60" s="2189" t="s">
        <v>1451</v>
      </c>
      <c r="J60" s="2188">
        <f>COUNTA($B$31:$C$45)</f>
        <v>0</v>
      </c>
      <c r="K60" s="2186" t="s">
        <v>1455</v>
      </c>
      <c r="L60" s="2186"/>
      <c r="M60" s="2187"/>
    </row>
    <row r="61" spans="1:13" s="2177" customFormat="1" ht="8.25"/>
    <row r="62" spans="1:13" s="1719" customFormat="1" ht="8.25">
      <c r="A62" s="2177"/>
      <c r="B62" s="2177"/>
      <c r="C62" s="2177"/>
      <c r="D62" s="2177"/>
      <c r="E62" s="2177"/>
      <c r="F62" s="2177"/>
      <c r="G62" s="2177"/>
      <c r="H62" s="2177"/>
      <c r="I62" s="2177"/>
      <c r="J62" s="2177"/>
      <c r="K62" s="2177"/>
      <c r="L62" s="2177"/>
      <c r="M62" s="2177"/>
    </row>
    <row r="63" spans="1:13">
      <c r="A63" s="1658" t="s">
        <v>179</v>
      </c>
      <c r="B63" s="1723"/>
      <c r="C63" s="1724"/>
      <c r="D63" s="1724"/>
      <c r="E63" s="1724"/>
      <c r="F63" s="1724"/>
      <c r="G63" s="1724"/>
      <c r="H63" s="1724"/>
      <c r="I63" s="1724"/>
      <c r="J63" s="1724"/>
      <c r="K63" s="1724"/>
      <c r="L63" s="1724"/>
      <c r="M63" s="1724"/>
    </row>
    <row r="64" spans="1:13" ht="15">
      <c r="A64" s="3144"/>
      <c r="B64" s="3145"/>
      <c r="C64" s="3145"/>
      <c r="D64" s="3145"/>
      <c r="E64" s="3145"/>
      <c r="F64" s="3145"/>
      <c r="G64" s="3145"/>
      <c r="H64" s="3146"/>
      <c r="I64" s="3146"/>
      <c r="J64" s="3145"/>
      <c r="K64" s="3145"/>
      <c r="L64" s="3145"/>
      <c r="M64" s="3147"/>
    </row>
    <row r="65" spans="1:15" ht="15">
      <c r="A65" s="3148"/>
      <c r="B65" s="3149"/>
      <c r="C65" s="3149"/>
      <c r="D65" s="3149"/>
      <c r="E65" s="3149"/>
      <c r="F65" s="3149"/>
      <c r="G65" s="3149"/>
      <c r="H65" s="3149"/>
      <c r="I65" s="3149"/>
      <c r="J65" s="3149"/>
      <c r="K65" s="3149"/>
      <c r="L65" s="3149"/>
      <c r="M65" s="3150"/>
    </row>
    <row r="66" spans="1:15" ht="15">
      <c r="A66" s="3148"/>
      <c r="B66" s="3149"/>
      <c r="C66" s="3149"/>
      <c r="D66" s="3149"/>
      <c r="E66" s="3149"/>
      <c r="F66" s="3149"/>
      <c r="G66" s="3149"/>
      <c r="H66" s="3149"/>
      <c r="I66" s="3149"/>
      <c r="J66" s="3149"/>
      <c r="K66" s="3149"/>
      <c r="L66" s="3149"/>
      <c r="M66" s="3150"/>
    </row>
    <row r="67" spans="1:15" ht="15">
      <c r="A67" s="3151"/>
      <c r="B67" s="3152"/>
      <c r="C67" s="3152"/>
      <c r="D67" s="3152"/>
      <c r="E67" s="3152"/>
      <c r="F67" s="3152"/>
      <c r="G67" s="3152"/>
      <c r="H67" s="3152"/>
      <c r="I67" s="3152"/>
      <c r="J67" s="3152"/>
      <c r="K67" s="3152"/>
      <c r="L67" s="3152"/>
      <c r="M67" s="3153"/>
    </row>
    <row r="68" spans="1:15" s="1727" customFormat="1" ht="45" customHeight="1">
      <c r="A68" s="1725"/>
      <c r="B68" s="1725"/>
      <c r="C68" s="1725"/>
      <c r="D68" s="1726"/>
      <c r="E68" s="1725"/>
      <c r="F68" s="1725"/>
      <c r="G68" s="1725"/>
      <c r="H68" s="1725"/>
      <c r="I68" s="1725"/>
      <c r="J68" s="1726"/>
      <c r="K68" s="1725"/>
      <c r="L68" s="1725"/>
      <c r="M68" s="1725"/>
    </row>
    <row r="69" spans="1:15" s="1728" customFormat="1" ht="15" customHeight="1">
      <c r="A69" s="3141" t="str">
        <f>CHENG</f>
        <v>CANO ARTHUR D. CADAVOS</v>
      </c>
      <c r="B69" s="3141"/>
      <c r="C69" s="3141"/>
      <c r="D69" s="3141" t="str">
        <f>IF(BARGESEL=1,BARGEREP,MYBARGECHIEF)</f>
        <v>TEMEL KALYONCU</v>
      </c>
      <c r="E69" s="3141"/>
      <c r="F69" s="3141"/>
      <c r="G69" s="3141"/>
      <c r="H69" s="3141"/>
      <c r="I69" s="3141"/>
      <c r="J69" s="3141"/>
      <c r="K69" s="3141" t="str">
        <f>SURVEYOR</f>
        <v>MEHMET EROĞLU</v>
      </c>
      <c r="L69" s="3141"/>
      <c r="M69" s="3141"/>
    </row>
    <row r="70" spans="1:15" s="1728" customFormat="1" ht="15" customHeight="1">
      <c r="A70" s="3142" t="s">
        <v>15</v>
      </c>
      <c r="B70" s="3142"/>
      <c r="C70" s="3142"/>
      <c r="D70" s="3142" t="s">
        <v>840</v>
      </c>
      <c r="E70" s="3142"/>
      <c r="F70" s="3142"/>
      <c r="G70" s="3142"/>
      <c r="H70" s="3142"/>
      <c r="I70" s="3142"/>
      <c r="J70" s="3142"/>
      <c r="K70" s="3143" t="str">
        <f>"Bunker Surveyor"&amp;IF(SPORE=TRUE,", License No. "&amp;SURVLIC,"")</f>
        <v>Bunker Surveyor</v>
      </c>
      <c r="L70" s="3143"/>
      <c r="M70" s="3143"/>
    </row>
    <row r="71" spans="1:15" s="1728" customFormat="1" ht="7.5" customHeight="1">
      <c r="A71"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B71" s="3155"/>
      <c r="C71" s="3155"/>
      <c r="D71" s="3155"/>
      <c r="E71" s="3155"/>
      <c r="F71" s="3155"/>
      <c r="G71" s="3155"/>
      <c r="H71" s="3156"/>
      <c r="I71" s="3156"/>
      <c r="J71" s="3155"/>
      <c r="K71" s="3155"/>
      <c r="L71" s="3155"/>
      <c r="M71" s="3126"/>
      <c r="N71" s="1729"/>
      <c r="O71" s="1729"/>
    </row>
    <row r="72" spans="1:15" s="1728" customFormat="1" ht="7.5" customHeight="1">
      <c r="A72" s="3157"/>
      <c r="B72" s="3158"/>
      <c r="C72" s="3158"/>
      <c r="D72" s="3158"/>
      <c r="E72" s="3158"/>
      <c r="F72" s="3158"/>
      <c r="G72" s="3158"/>
      <c r="H72" s="3158"/>
      <c r="I72" s="3158"/>
      <c r="J72" s="3158"/>
      <c r="K72" s="3158"/>
      <c r="L72" s="3158"/>
      <c r="M72" s="3127"/>
      <c r="N72" s="1729"/>
      <c r="O72" s="1729"/>
    </row>
    <row r="73" spans="1:15" s="1728" customFormat="1" ht="7.5" customHeight="1">
      <c r="A73" s="3157"/>
      <c r="B73" s="3158"/>
      <c r="C73" s="3158"/>
      <c r="D73" s="3158"/>
      <c r="E73" s="3158"/>
      <c r="F73" s="3158"/>
      <c r="G73" s="3158"/>
      <c r="H73" s="3158"/>
      <c r="I73" s="3158"/>
      <c r="J73" s="3158"/>
      <c r="K73" s="3158"/>
      <c r="L73" s="3158"/>
      <c r="M73" s="3127"/>
      <c r="N73" s="1729"/>
      <c r="O73" s="1729"/>
    </row>
    <row r="74" spans="1:15" ht="7.5" customHeight="1">
      <c r="A74" s="3157"/>
      <c r="B74" s="3158"/>
      <c r="C74" s="3158"/>
      <c r="D74" s="3158"/>
      <c r="E74" s="3158"/>
      <c r="F74" s="3158"/>
      <c r="G74" s="3158"/>
      <c r="H74" s="3158"/>
      <c r="I74" s="3158"/>
      <c r="J74" s="3158"/>
      <c r="K74" s="3158"/>
      <c r="L74" s="3158"/>
      <c r="M74" s="3127"/>
    </row>
    <row r="75" spans="1:15" ht="7.5" customHeight="1">
      <c r="A75" s="3157"/>
      <c r="B75" s="3158"/>
      <c r="C75" s="3158"/>
      <c r="D75" s="3158"/>
      <c r="E75" s="3158"/>
      <c r="F75" s="3158"/>
      <c r="G75" s="3158"/>
      <c r="H75" s="3158"/>
      <c r="I75" s="3158"/>
      <c r="J75" s="3158"/>
      <c r="K75" s="3158"/>
      <c r="L75" s="3158"/>
      <c r="M75" s="3127"/>
    </row>
    <row r="76" spans="1:15" ht="7.5" customHeight="1">
      <c r="A76" s="3157"/>
      <c r="B76" s="3158"/>
      <c r="C76" s="3158"/>
      <c r="D76" s="3158"/>
      <c r="E76" s="3158"/>
      <c r="F76" s="3158"/>
      <c r="G76" s="3158"/>
      <c r="H76" s="3158"/>
      <c r="I76" s="3158"/>
      <c r="J76" s="3158"/>
      <c r="K76" s="3158"/>
      <c r="L76" s="3158"/>
      <c r="M76" s="3127"/>
    </row>
    <row r="77" spans="1:15" ht="7.5" customHeight="1">
      <c r="A77" s="3159"/>
      <c r="B77" s="3160"/>
      <c r="C77" s="3160"/>
      <c r="D77" s="3160"/>
      <c r="E77" s="3160"/>
      <c r="F77" s="3160"/>
      <c r="G77" s="3160"/>
      <c r="H77" s="3160"/>
      <c r="I77" s="3160"/>
      <c r="J77" s="3160"/>
      <c r="K77" s="3160"/>
      <c r="L77" s="3160"/>
      <c r="M77" s="3128"/>
    </row>
  </sheetData>
  <sheetProtection algorithmName="SHA-512" hashValue="pMy+5lfj4EuRpJvnsletMn7crv60bI9U1weyzBjsFuLuUvt52KrzQB2ecdcQyklwwj4MnSpo/XFv4QR7WB2bpg==" saltValue="ImJujuTlTfiVsbCmSpcJ6Q==" spinCount="100000" sheet="1" objects="1" scenarios="1" autoFilter="0"/>
  <mergeCells count="141">
    <mergeCell ref="B43:C43"/>
    <mergeCell ref="D43:E43"/>
    <mergeCell ref="F43:G43"/>
    <mergeCell ref="F37:G37"/>
    <mergeCell ref="H38:I38"/>
    <mergeCell ref="H39:I39"/>
    <mergeCell ref="H45:I45"/>
    <mergeCell ref="L40:M40"/>
    <mergeCell ref="L41:M41"/>
    <mergeCell ref="L42:M42"/>
    <mergeCell ref="L43:M43"/>
    <mergeCell ref="H40:I40"/>
    <mergeCell ref="H41:I41"/>
    <mergeCell ref="H42:I42"/>
    <mergeCell ref="H43:I43"/>
    <mergeCell ref="H44:I44"/>
    <mergeCell ref="L44:M44"/>
    <mergeCell ref="L45:M45"/>
    <mergeCell ref="D44:E44"/>
    <mergeCell ref="F44:G44"/>
    <mergeCell ref="I22:K22"/>
    <mergeCell ref="I24:K24"/>
    <mergeCell ref="I25:K25"/>
    <mergeCell ref="L35:M35"/>
    <mergeCell ref="H30:I30"/>
    <mergeCell ref="L30:M30"/>
    <mergeCell ref="B42:C42"/>
    <mergeCell ref="D42:E42"/>
    <mergeCell ref="F42:G42"/>
    <mergeCell ref="L31:M31"/>
    <mergeCell ref="L32:M32"/>
    <mergeCell ref="L33:M33"/>
    <mergeCell ref="D41:E41"/>
    <mergeCell ref="F41:G41"/>
    <mergeCell ref="L34:M34"/>
    <mergeCell ref="F34:G34"/>
    <mergeCell ref="B31:C31"/>
    <mergeCell ref="D31:E31"/>
    <mergeCell ref="L38:M38"/>
    <mergeCell ref="L39:M39"/>
    <mergeCell ref="H31:I31"/>
    <mergeCell ref="H32:I32"/>
    <mergeCell ref="H33:I33"/>
    <mergeCell ref="H34:I34"/>
    <mergeCell ref="H35:I35"/>
    <mergeCell ref="H36:I36"/>
    <mergeCell ref="H37:I37"/>
    <mergeCell ref="L36:M36"/>
    <mergeCell ref="L37:M37"/>
    <mergeCell ref="B33:C33"/>
    <mergeCell ref="D33:E33"/>
    <mergeCell ref="F33:G33"/>
    <mergeCell ref="B34:C34"/>
    <mergeCell ref="D34:E34"/>
    <mergeCell ref="F31:G31"/>
    <mergeCell ref="B32:C32"/>
    <mergeCell ref="D32:E32"/>
    <mergeCell ref="F32:G32"/>
    <mergeCell ref="A23:C23"/>
    <mergeCell ref="A24:C24"/>
    <mergeCell ref="A28:C28"/>
    <mergeCell ref="K28:M28"/>
    <mergeCell ref="B30:C30"/>
    <mergeCell ref="D30:E30"/>
    <mergeCell ref="F30:G30"/>
    <mergeCell ref="A25:C25"/>
    <mergeCell ref="A26:C26"/>
    <mergeCell ref="A27:C27"/>
    <mergeCell ref="K27:M27"/>
    <mergeCell ref="D27:G27"/>
    <mergeCell ref="D28:G28"/>
    <mergeCell ref="F25:G25"/>
    <mergeCell ref="D23:G23"/>
    <mergeCell ref="D24:G24"/>
    <mergeCell ref="D25:E25"/>
    <mergeCell ref="D26:G26"/>
    <mergeCell ref="L24:M24"/>
    <mergeCell ref="L25:M25"/>
    <mergeCell ref="I27:J27"/>
    <mergeCell ref="I28:J28"/>
    <mergeCell ref="A10:M10"/>
    <mergeCell ref="A12:C12"/>
    <mergeCell ref="D12:G12"/>
    <mergeCell ref="J14:K14"/>
    <mergeCell ref="A21:C21"/>
    <mergeCell ref="A22:C22"/>
    <mergeCell ref="A15:C15"/>
    <mergeCell ref="J13:K13"/>
    <mergeCell ref="L13:M13"/>
    <mergeCell ref="A17:M18"/>
    <mergeCell ref="A20:M20"/>
    <mergeCell ref="A13:C13"/>
    <mergeCell ref="D13:G13"/>
    <mergeCell ref="A14:C14"/>
    <mergeCell ref="D14:G14"/>
    <mergeCell ref="J12:K12"/>
    <mergeCell ref="L12:M12"/>
    <mergeCell ref="D21:G21"/>
    <mergeCell ref="D22:G22"/>
    <mergeCell ref="L14:M15"/>
    <mergeCell ref="D15:K15"/>
    <mergeCell ref="L21:M21"/>
    <mergeCell ref="L22:M22"/>
    <mergeCell ref="I21:K21"/>
    <mergeCell ref="B45:C45"/>
    <mergeCell ref="D45:E45"/>
    <mergeCell ref="F45:G45"/>
    <mergeCell ref="B35:C35"/>
    <mergeCell ref="D35:E35"/>
    <mergeCell ref="F35:G35"/>
    <mergeCell ref="B36:C36"/>
    <mergeCell ref="D36:E36"/>
    <mergeCell ref="F36:G36"/>
    <mergeCell ref="B38:C38"/>
    <mergeCell ref="D38:E38"/>
    <mergeCell ref="F38:G38"/>
    <mergeCell ref="B39:C39"/>
    <mergeCell ref="D39:E39"/>
    <mergeCell ref="F39:G39"/>
    <mergeCell ref="B40:C40"/>
    <mergeCell ref="D40:E40"/>
    <mergeCell ref="F40:G40"/>
    <mergeCell ref="B41:C41"/>
    <mergeCell ref="B37:C37"/>
    <mergeCell ref="D37:E37"/>
    <mergeCell ref="B44:C44"/>
    <mergeCell ref="M71:M77"/>
    <mergeCell ref="A47:G59"/>
    <mergeCell ref="I47:M59"/>
    <mergeCell ref="A60:G60"/>
    <mergeCell ref="A69:C69"/>
    <mergeCell ref="D69:J69"/>
    <mergeCell ref="K69:M69"/>
    <mergeCell ref="A70:C70"/>
    <mergeCell ref="D70:J70"/>
    <mergeCell ref="K70:M70"/>
    <mergeCell ref="A64:M64"/>
    <mergeCell ref="A66:M66"/>
    <mergeCell ref="A67:M67"/>
    <mergeCell ref="A65:M65"/>
    <mergeCell ref="A71:L77"/>
  </mergeCells>
  <dataValidations count="7">
    <dataValidation type="list" allowBlank="1" showInputMessage="1" showErrorMessage="1" error="Yes, No, N/A or empty cell is permitted." sqref="D27:D28" xr:uid="{00000000-0002-0000-1900-000000000000}">
      <formula1>"Yes, No, N/A"</formula1>
    </dataValidation>
    <dataValidation type="list" errorStyle="information" allowBlank="1" showInputMessage="1" showErrorMessage="1" prompt="Choose Remarks from list or edit yours." sqref="A64:M67" xr:uid="{00000000-0002-0000-1900-000001000000}">
      <formula1>REMCOL</formula1>
    </dataValidation>
    <dataValidation type="list" errorStyle="information" allowBlank="1" showInputMessage="1" showErrorMessage="1" errorTitle="Sampling Device" error="This value is not in the list. Do you want to continue?" sqref="D22" xr:uid="{00000000-0002-0000-1900-000002000000}">
      <formula1>$P$14:$P$19</formula1>
    </dataValidation>
    <dataValidation type="list" errorStyle="information" allowBlank="1" showInputMessage="1" showErrorMessage="1" errorTitle="Location of Manifold" error="This value is not in the list. Do you want to continue?" sqref="D25" xr:uid="{00000000-0002-0000-1900-000003000000}">
      <formula1>$P$22:$P$23</formula1>
    </dataValidation>
    <dataValidation type="list" errorStyle="information" allowBlank="1" showInputMessage="1" showErrorMessage="1" errorTitle="Location of Manifold" error="This value is not in the list. Do you want to continue?" sqref="F25:H25" xr:uid="{00000000-0002-0000-1900-000004000000}">
      <formula1>$P$26:$P$28</formula1>
    </dataValidation>
    <dataValidation type="list" allowBlank="1" showInputMessage="1" showErrorMessage="1" error="Please choose from list!" sqref="J31:J45" xr:uid="{00000000-0002-0000-1900-000005000000}">
      <formula1>"Vessel's Manifold, Barge's Manifold, Others"</formula1>
    </dataValidation>
    <dataValidation type="list" allowBlank="1" showInputMessage="1" showErrorMessage="1" error="Please choose from list!" sqref="K31:K45" xr:uid="{00000000-0002-0000-1900-000006000000}">
      <formula1>"Yes, No"</formula1>
    </dataValidation>
  </dataValidations>
  <hyperlinks>
    <hyperlink ref="A63" location="REMCODE" display="Remarks:" xr:uid="{00000000-0004-0000-1900-000000000000}"/>
  </hyperlinks>
  <printOptions horizontalCentered="1"/>
  <pageMargins left="0.3" right="0.3" top="0.2" bottom="0.3" header="0.3" footer="0.1"/>
  <pageSetup paperSize="9" scale="85" orientation="portrait" r:id="rId1"/>
  <headerFooter scaleWithDoc="0">
    <oddFooter>&amp;L&amp;8BunkerManager, v1.12&amp;C&amp;8by AMS-Marine | www.ams-marine.com&amp;R&amp;8RefNo: BD/2015/00926 SG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9108" r:id="rId4" name="List Box 4">
              <controlPr defaultSize="0" print="0" autoLine="0" autoPict="0" macro="[0]!SAMPLEPHOTOS">
                <anchor moveWithCells="1">
                  <from>
                    <xdr:col>7</xdr:col>
                    <xdr:colOff>9525</xdr:colOff>
                    <xdr:row>11</xdr:row>
                    <xdr:rowOff>9525</xdr:rowOff>
                  </from>
                  <to>
                    <xdr:col>8</xdr:col>
                    <xdr:colOff>485775</xdr:colOff>
                    <xdr:row>12</xdr:row>
                    <xdr:rowOff>57150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5">
    <tabColor theme="5"/>
    <pageSetUpPr fitToPage="1"/>
  </sheetPr>
  <dimension ref="A1:M78"/>
  <sheetViews>
    <sheetView showGridLines="0" showRowColHeaders="0" topLeftCell="A8" zoomScaleNormal="100" zoomScaleSheetLayoutView="100" workbookViewId="0">
      <pane ySplit="7" topLeftCell="A15" activePane="bottomLeft" state="frozen"/>
      <selection pane="bottomLeft"/>
    </sheetView>
  </sheetViews>
  <sheetFormatPr defaultColWidth="0" defaultRowHeight="12" zeroHeight="1"/>
  <cols>
    <col min="1" max="1" width="13" style="1757" customWidth="1"/>
    <col min="2" max="2" width="5.125" style="1728" customWidth="1"/>
    <col min="3" max="4" width="11.5" style="1728" customWidth="1"/>
    <col min="5" max="5" width="5.75" style="1728" customWidth="1"/>
    <col min="6" max="6" width="9.625" style="1728" customWidth="1"/>
    <col min="7" max="7" width="6.125" style="1728" customWidth="1"/>
    <col min="8" max="8" width="6.75" style="1728" customWidth="1"/>
    <col min="9" max="9" width="18.25" style="1728" customWidth="1"/>
    <col min="10" max="10" width="0.25" style="1728" customWidth="1"/>
    <col min="11" max="13" width="0" style="1728" hidden="1" customWidth="1"/>
    <col min="14" max="16384" width="8" style="1728" hidden="1"/>
  </cols>
  <sheetData>
    <row r="1" spans="1:10" ht="15" hidden="1">
      <c r="A1" s="1590"/>
      <c r="B1" s="1591"/>
      <c r="C1" s="1591"/>
      <c r="D1" s="1591"/>
      <c r="E1" s="1592"/>
      <c r="F1" s="1592"/>
      <c r="G1" s="1592"/>
      <c r="H1" s="1592"/>
      <c r="I1" s="1592"/>
      <c r="J1" s="1592"/>
    </row>
    <row r="2" spans="1:10" ht="15">
      <c r="A2" s="1590"/>
      <c r="B2" s="1591"/>
      <c r="C2" s="1591"/>
      <c r="D2" s="1591"/>
      <c r="E2" s="1592"/>
      <c r="F2" s="1592"/>
      <c r="G2" s="1592"/>
      <c r="H2" s="1592"/>
      <c r="I2" s="1592"/>
      <c r="J2" s="1592"/>
    </row>
    <row r="3" spans="1:10" ht="15">
      <c r="A3" s="1590"/>
      <c r="B3" s="1591"/>
      <c r="C3" s="1591"/>
      <c r="D3" s="1591"/>
      <c r="E3" s="1592"/>
      <c r="F3" s="1592"/>
      <c r="G3" s="1592"/>
      <c r="H3" s="1592"/>
      <c r="I3" s="1592"/>
      <c r="J3" s="1592"/>
    </row>
    <row r="4" spans="1:10" ht="18.75">
      <c r="A4" s="1590"/>
      <c r="B4" s="1591"/>
      <c r="C4" s="1591"/>
      <c r="D4" s="1591"/>
      <c r="E4" s="1592"/>
      <c r="F4" s="1592"/>
      <c r="G4" s="1592"/>
      <c r="H4" s="1592"/>
      <c r="I4" s="1593" t="str">
        <f>COMPANY1</f>
        <v>Petro Inspect International</v>
      </c>
      <c r="J4" s="1592"/>
    </row>
    <row r="5" spans="1:10" ht="15">
      <c r="A5" s="1590"/>
      <c r="B5" s="1591"/>
      <c r="C5" s="1591"/>
      <c r="D5" s="1591"/>
      <c r="E5" s="1592"/>
      <c r="F5" s="1592"/>
      <c r="G5" s="1592"/>
      <c r="H5" s="1592"/>
      <c r="I5" s="1595" t="str">
        <f>COMPANY2</f>
        <v>ops@petro-inspect.com</v>
      </c>
      <c r="J5" s="1592"/>
    </row>
    <row r="6" spans="1:10" ht="15">
      <c r="A6" s="1590"/>
      <c r="B6" s="1591"/>
      <c r="C6" s="1591"/>
      <c r="D6" s="1591"/>
      <c r="E6" s="1592"/>
      <c r="F6" s="1592"/>
      <c r="G6" s="1592"/>
      <c r="H6" s="1592"/>
      <c r="I6" s="1595" t="str">
        <f>COMPANY3</f>
        <v/>
      </c>
      <c r="J6" s="1592"/>
    </row>
    <row r="7" spans="1:10" ht="15">
      <c r="A7" s="1591"/>
      <c r="B7" s="1591"/>
      <c r="C7" s="1591"/>
      <c r="D7" s="1591"/>
      <c r="E7" s="1592"/>
      <c r="F7" s="1592"/>
      <c r="G7" s="1592"/>
      <c r="H7" s="1592"/>
      <c r="I7" s="1595" t="str">
        <f>COMPANY4</f>
        <v/>
      </c>
    </row>
    <row r="8" spans="1:10" s="1710" customFormat="1" ht="3" customHeight="1" thickBot="1">
      <c r="A8" s="1031"/>
      <c r="B8" s="1031"/>
      <c r="C8" s="1031"/>
      <c r="D8" s="1031"/>
      <c r="E8" s="1730"/>
      <c r="F8" s="1730"/>
      <c r="G8" s="1730"/>
      <c r="H8" s="1730"/>
      <c r="I8" s="1730"/>
    </row>
    <row r="9" spans="1:10" s="1710" customFormat="1" ht="3" customHeight="1">
      <c r="A9" s="1033"/>
      <c r="B9" s="1033"/>
      <c r="C9" s="1033"/>
      <c r="D9" s="1033"/>
      <c r="E9" s="1731"/>
      <c r="F9" s="1731"/>
      <c r="G9" s="1731"/>
      <c r="H9" s="1731"/>
      <c r="I9" s="1731"/>
    </row>
    <row r="10" spans="1:10" ht="29.25" customHeight="1">
      <c r="A10" s="1732"/>
      <c r="B10" s="1732"/>
      <c r="C10" s="1732"/>
      <c r="D10" s="1732"/>
      <c r="E10" s="1733" t="s">
        <v>887</v>
      </c>
      <c r="F10" s="1732"/>
      <c r="G10" s="1732"/>
      <c r="H10" s="1732"/>
      <c r="I10" s="1732"/>
    </row>
    <row r="11" spans="1:10" s="1701" customFormat="1" ht="3" customHeight="1">
      <c r="A11" s="1734"/>
      <c r="B11" s="1734"/>
      <c r="C11" s="1734"/>
      <c r="D11" s="1734"/>
      <c r="E11" s="1734"/>
      <c r="F11" s="1734"/>
      <c r="G11" s="1734"/>
      <c r="H11" s="1734"/>
      <c r="I11" s="1734"/>
    </row>
    <row r="12" spans="1:10" ht="15" customHeight="1">
      <c r="A12" s="3246" t="s">
        <v>160</v>
      </c>
      <c r="B12" s="3246"/>
      <c r="C12" s="3247" t="str">
        <f>VESSEL</f>
        <v>MV PESSADA</v>
      </c>
      <c r="D12" s="3247"/>
      <c r="E12" s="3247"/>
      <c r="F12" s="3245" t="s">
        <v>814</v>
      </c>
      <c r="G12" s="3245"/>
      <c r="H12" s="3249" t="str">
        <f>PORT</f>
        <v>ISTANBUL / TURKEY</v>
      </c>
      <c r="I12" s="3249"/>
    </row>
    <row r="13" spans="1:10" ht="15" customHeight="1">
      <c r="A13" s="3246" t="s">
        <v>788</v>
      </c>
      <c r="B13" s="3246"/>
      <c r="C13" s="3247" t="str">
        <f>MYBARGENAME</f>
        <v>M/T YALÇIN 2</v>
      </c>
      <c r="D13" s="3247"/>
      <c r="E13" s="3247"/>
      <c r="F13" s="3245" t="s">
        <v>174</v>
      </c>
      <c r="G13" s="3245"/>
      <c r="H13" s="3248">
        <f>DATESURVC</f>
        <v>44792</v>
      </c>
      <c r="I13" s="3248"/>
    </row>
    <row r="14" spans="1:10" ht="15" customHeight="1">
      <c r="A14" s="1735"/>
      <c r="B14" s="1735"/>
      <c r="C14" s="1735"/>
      <c r="D14" s="1735"/>
      <c r="E14" s="1735"/>
      <c r="F14" s="3245" t="s">
        <v>925</v>
      </c>
      <c r="G14" s="3245"/>
      <c r="H14" s="3250" t="str">
        <f>SELBARGEGRADES</f>
        <v>LSFO, LSMGO</v>
      </c>
      <c r="I14" s="3250"/>
    </row>
    <row r="15" spans="1:10" ht="14.25" customHeight="1">
      <c r="A15" s="1736" t="s">
        <v>841</v>
      </c>
      <c r="B15" s="1736"/>
      <c r="C15" s="1736"/>
      <c r="D15" s="1736"/>
      <c r="E15" s="1736"/>
      <c r="H15" s="3251"/>
      <c r="I15" s="3251"/>
    </row>
    <row r="16" spans="1:10" ht="27" customHeight="1">
      <c r="A16" s="3230" t="s">
        <v>842</v>
      </c>
      <c r="B16" s="3230"/>
      <c r="C16" s="1737" t="s">
        <v>843</v>
      </c>
      <c r="D16" s="1737" t="s">
        <v>844</v>
      </c>
      <c r="E16" s="3242" t="s">
        <v>845</v>
      </c>
      <c r="F16" s="3243"/>
      <c r="G16" s="3244"/>
      <c r="H16" s="3242" t="s">
        <v>846</v>
      </c>
      <c r="I16" s="3244"/>
    </row>
    <row r="17" spans="1:9" ht="14.1" customHeight="1">
      <c r="A17" s="3231"/>
      <c r="B17" s="3231"/>
      <c r="C17" s="1738"/>
      <c r="D17" s="1739"/>
      <c r="E17" s="3231"/>
      <c r="F17" s="3231"/>
      <c r="G17" s="3231"/>
      <c r="H17" s="3236"/>
      <c r="I17" s="3239"/>
    </row>
    <row r="18" spans="1:9" ht="14.1" customHeight="1">
      <c r="A18" s="3216"/>
      <c r="B18" s="3216"/>
      <c r="C18" s="1740"/>
      <c r="D18" s="1741"/>
      <c r="E18" s="3216"/>
      <c r="F18" s="3216"/>
      <c r="G18" s="3216"/>
      <c r="H18" s="3236"/>
      <c r="I18" s="3239"/>
    </row>
    <row r="19" spans="1:9" ht="14.1" customHeight="1">
      <c r="A19" s="3216"/>
      <c r="B19" s="3216"/>
      <c r="C19" s="1740"/>
      <c r="D19" s="1741"/>
      <c r="E19" s="3216"/>
      <c r="F19" s="3216"/>
      <c r="G19" s="3216"/>
      <c r="H19" s="3236"/>
      <c r="I19" s="3239"/>
    </row>
    <row r="20" spans="1:9" ht="14.1" customHeight="1">
      <c r="A20" s="3216"/>
      <c r="B20" s="3216"/>
      <c r="C20" s="1740"/>
      <c r="D20" s="1741"/>
      <c r="E20" s="3216"/>
      <c r="F20" s="3216"/>
      <c r="G20" s="3216"/>
      <c r="H20" s="3233"/>
      <c r="I20" s="3234"/>
    </row>
    <row r="21" spans="1:9" ht="14.1" customHeight="1">
      <c r="A21" s="3216"/>
      <c r="B21" s="3216"/>
      <c r="C21" s="1740"/>
      <c r="D21" s="1741"/>
      <c r="E21" s="3216"/>
      <c r="F21" s="3216"/>
      <c r="G21" s="3216"/>
      <c r="H21" s="3240" t="s">
        <v>840</v>
      </c>
      <c r="I21" s="3241"/>
    </row>
    <row r="22" spans="1:9" ht="14.1" customHeight="1">
      <c r="A22" s="3216"/>
      <c r="B22" s="3216"/>
      <c r="C22" s="1740"/>
      <c r="D22" s="1741"/>
      <c r="E22" s="3216"/>
      <c r="F22" s="3216"/>
      <c r="G22" s="3216"/>
      <c r="H22" s="3236"/>
      <c r="I22" s="3239"/>
    </row>
    <row r="23" spans="1:9" ht="14.1" customHeight="1">
      <c r="A23" s="3216"/>
      <c r="B23" s="3216"/>
      <c r="C23" s="1740"/>
      <c r="D23" s="1741"/>
      <c r="E23" s="3216"/>
      <c r="F23" s="3216"/>
      <c r="G23" s="3216"/>
      <c r="H23" s="3236"/>
      <c r="I23" s="3239"/>
    </row>
    <row r="24" spans="1:9" ht="14.1" customHeight="1">
      <c r="A24" s="3216"/>
      <c r="B24" s="3216"/>
      <c r="C24" s="1740"/>
      <c r="D24" s="1741"/>
      <c r="E24" s="3216"/>
      <c r="F24" s="3216"/>
      <c r="G24" s="3216"/>
      <c r="H24" s="3236"/>
      <c r="I24" s="3239"/>
    </row>
    <row r="25" spans="1:9" ht="14.1" customHeight="1">
      <c r="A25" s="3216"/>
      <c r="B25" s="3216"/>
      <c r="C25" s="1740"/>
      <c r="D25" s="1741"/>
      <c r="E25" s="3216"/>
      <c r="F25" s="3216"/>
      <c r="G25" s="3216"/>
      <c r="H25" s="3236"/>
      <c r="I25" s="3239"/>
    </row>
    <row r="26" spans="1:9" ht="14.1" customHeight="1">
      <c r="A26" s="3216"/>
      <c r="B26" s="3216"/>
      <c r="C26" s="1740"/>
      <c r="D26" s="1741"/>
      <c r="E26" s="3216"/>
      <c r="F26" s="3216"/>
      <c r="G26" s="3216"/>
      <c r="H26" s="1742" t="s">
        <v>847</v>
      </c>
      <c r="I26" s="1743" t="str">
        <f>IF(BARGESEL=1,BARGEREP,MYBARGECHIEF)</f>
        <v>TEMEL KALYONCU</v>
      </c>
    </row>
    <row r="27" spans="1:9" ht="14.1" customHeight="1">
      <c r="A27" s="3216"/>
      <c r="B27" s="3216"/>
      <c r="C27" s="1740"/>
      <c r="D27" s="1741"/>
      <c r="E27" s="3216"/>
      <c r="F27" s="3216"/>
      <c r="G27" s="3216"/>
      <c r="H27" s="1742" t="s">
        <v>848</v>
      </c>
      <c r="I27" s="1744"/>
    </row>
    <row r="28" spans="1:9" ht="14.1" customHeight="1">
      <c r="A28" s="3216"/>
      <c r="B28" s="3216"/>
      <c r="C28" s="1740"/>
      <c r="D28" s="1741"/>
      <c r="E28" s="3216"/>
      <c r="F28" s="3216"/>
      <c r="G28" s="3216"/>
      <c r="H28" s="3236"/>
      <c r="I28" s="3237"/>
    </row>
    <row r="29" spans="1:9" ht="14.1" customHeight="1">
      <c r="A29" s="3216"/>
      <c r="B29" s="3216"/>
      <c r="C29" s="1740"/>
      <c r="D29" s="1741"/>
      <c r="E29" s="3216"/>
      <c r="F29" s="3216"/>
      <c r="G29" s="3216"/>
      <c r="H29" s="3236"/>
      <c r="I29" s="3237"/>
    </row>
    <row r="30" spans="1:9" ht="14.1" customHeight="1">
      <c r="A30" s="3232"/>
      <c r="B30" s="3232"/>
      <c r="C30" s="1740"/>
      <c r="D30" s="1741"/>
      <c r="E30" s="3216"/>
      <c r="F30" s="3216"/>
      <c r="G30" s="3216"/>
      <c r="H30" s="3236"/>
      <c r="I30" s="3237"/>
    </row>
    <row r="31" spans="1:9" ht="14.1" customHeight="1">
      <c r="A31" s="3232"/>
      <c r="B31" s="3232"/>
      <c r="C31" s="1740"/>
      <c r="D31" s="1741"/>
      <c r="E31" s="3216"/>
      <c r="F31" s="3216"/>
      <c r="G31" s="3216"/>
      <c r="H31" s="3238"/>
      <c r="I31" s="3228"/>
    </row>
    <row r="32" spans="1:9" ht="14.1" customHeight="1">
      <c r="A32" s="3232"/>
      <c r="B32" s="3232"/>
      <c r="C32" s="1740"/>
      <c r="D32" s="1741"/>
      <c r="E32" s="3216"/>
      <c r="F32" s="3216"/>
      <c r="G32" s="3216"/>
      <c r="H32" s="3233"/>
      <c r="I32" s="3234"/>
    </row>
    <row r="33" spans="1:9" ht="14.1" customHeight="1">
      <c r="A33" s="3235"/>
      <c r="B33" s="3235"/>
      <c r="C33" s="1745"/>
      <c r="D33" s="1746"/>
      <c r="E33" s="3235"/>
      <c r="F33" s="3235"/>
      <c r="G33" s="3235"/>
      <c r="H33" s="3233" t="s">
        <v>849</v>
      </c>
      <c r="I33" s="3234"/>
    </row>
    <row r="34" spans="1:9" ht="17.25" customHeight="1">
      <c r="A34" s="1747" t="s">
        <v>850</v>
      </c>
      <c r="B34" s="1747"/>
      <c r="C34" s="1747"/>
      <c r="D34" s="1747"/>
      <c r="E34" s="1747"/>
      <c r="F34" s="1747"/>
      <c r="G34" s="1747"/>
      <c r="H34" s="1747"/>
      <c r="I34" s="1747"/>
    </row>
    <row r="35" spans="1:9" s="1727" customFormat="1" ht="27" customHeight="1">
      <c r="A35" s="3230" t="s">
        <v>842</v>
      </c>
      <c r="B35" s="3230"/>
      <c r="C35" s="1737" t="s">
        <v>843</v>
      </c>
      <c r="D35" s="1737" t="s">
        <v>844</v>
      </c>
      <c r="E35" s="3230" t="s">
        <v>851</v>
      </c>
      <c r="F35" s="3230"/>
      <c r="G35" s="3230"/>
      <c r="H35" s="3230"/>
      <c r="I35" s="3230"/>
    </row>
    <row r="36" spans="1:9" s="1727" customFormat="1" ht="14.1" customHeight="1">
      <c r="A36" s="3231"/>
      <c r="B36" s="3231"/>
      <c r="C36" s="1738"/>
      <c r="D36" s="1739"/>
      <c r="E36" s="3231"/>
      <c r="F36" s="3231"/>
      <c r="G36" s="3231"/>
      <c r="H36" s="3231"/>
      <c r="I36" s="3231"/>
    </row>
    <row r="37" spans="1:9" s="1727" customFormat="1" ht="14.1" customHeight="1">
      <c r="A37" s="3215"/>
      <c r="B37" s="3216"/>
      <c r="C37" s="1740"/>
      <c r="D37" s="1741"/>
      <c r="E37" s="3216"/>
      <c r="F37" s="3216"/>
      <c r="G37" s="3216"/>
      <c r="H37" s="3217"/>
      <c r="I37" s="3216"/>
    </row>
    <row r="38" spans="1:9" s="1727" customFormat="1" ht="14.1" customHeight="1">
      <c r="A38" s="3215"/>
      <c r="B38" s="3216"/>
      <c r="C38" s="1740"/>
      <c r="D38" s="1741"/>
      <c r="E38" s="3216"/>
      <c r="F38" s="3216"/>
      <c r="G38" s="3216"/>
      <c r="H38" s="3217"/>
      <c r="I38" s="3216"/>
    </row>
    <row r="39" spans="1:9" s="1727" customFormat="1" ht="14.1" customHeight="1">
      <c r="A39" s="3215"/>
      <c r="B39" s="3216"/>
      <c r="C39" s="1740"/>
      <c r="D39" s="1741"/>
      <c r="E39" s="3216"/>
      <c r="F39" s="3216"/>
      <c r="G39" s="3216"/>
      <c r="H39" s="3217"/>
      <c r="I39" s="3216"/>
    </row>
    <row r="40" spans="1:9" s="1727" customFormat="1" ht="14.1" customHeight="1">
      <c r="A40" s="3215"/>
      <c r="B40" s="3216"/>
      <c r="C40" s="1740"/>
      <c r="D40" s="1741"/>
      <c r="E40" s="3216"/>
      <c r="F40" s="3216"/>
      <c r="G40" s="3216"/>
      <c r="H40" s="3217"/>
      <c r="I40" s="3216"/>
    </row>
    <row r="41" spans="1:9" s="1727" customFormat="1" ht="14.1" customHeight="1">
      <c r="A41" s="3215"/>
      <c r="B41" s="3216"/>
      <c r="C41" s="1740"/>
      <c r="D41" s="1741"/>
      <c r="E41" s="3216"/>
      <c r="F41" s="3216"/>
      <c r="G41" s="3216"/>
      <c r="H41" s="3217"/>
      <c r="I41" s="3216"/>
    </row>
    <row r="42" spans="1:9" s="1727" customFormat="1" ht="14.1" customHeight="1">
      <c r="A42" s="3215"/>
      <c r="B42" s="3216"/>
      <c r="C42" s="1740"/>
      <c r="D42" s="1741"/>
      <c r="E42" s="3216"/>
      <c r="F42" s="3216"/>
      <c r="G42" s="3216"/>
      <c r="H42" s="3217"/>
      <c r="I42" s="3216"/>
    </row>
    <row r="43" spans="1:9" s="1727" customFormat="1" ht="14.1" customHeight="1">
      <c r="A43" s="3215"/>
      <c r="B43" s="3216"/>
      <c r="C43" s="1740"/>
      <c r="D43" s="1741"/>
      <c r="E43" s="3216"/>
      <c r="F43" s="3216"/>
      <c r="G43" s="3216"/>
      <c r="H43" s="3217"/>
      <c r="I43" s="3216"/>
    </row>
    <row r="44" spans="1:9" s="1727" customFormat="1" ht="14.1" customHeight="1">
      <c r="A44" s="3215"/>
      <c r="B44" s="3216"/>
      <c r="C44" s="1740"/>
      <c r="D44" s="1741"/>
      <c r="E44" s="3216"/>
      <c r="F44" s="3216"/>
      <c r="G44" s="3216"/>
      <c r="H44" s="3217"/>
      <c r="I44" s="3216"/>
    </row>
    <row r="45" spans="1:9" s="1727" customFormat="1" ht="14.1" customHeight="1">
      <c r="A45" s="3215"/>
      <c r="B45" s="3216"/>
      <c r="C45" s="1740"/>
      <c r="D45" s="1741"/>
      <c r="E45" s="3216"/>
      <c r="F45" s="3216"/>
      <c r="G45" s="3216"/>
      <c r="H45" s="3217"/>
      <c r="I45" s="3216"/>
    </row>
    <row r="46" spans="1:9" s="1727" customFormat="1" ht="14.1" customHeight="1">
      <c r="A46" s="3215"/>
      <c r="B46" s="3216"/>
      <c r="C46" s="1740"/>
      <c r="D46" s="1741"/>
      <c r="E46" s="3216"/>
      <c r="F46" s="3216"/>
      <c r="G46" s="3216"/>
      <c r="H46" s="3217"/>
      <c r="I46" s="3216"/>
    </row>
    <row r="47" spans="1:9" s="1727" customFormat="1" ht="14.1" customHeight="1">
      <c r="A47" s="3215"/>
      <c r="B47" s="3216"/>
      <c r="C47" s="1740"/>
      <c r="D47" s="1741"/>
      <c r="E47" s="3216"/>
      <c r="F47" s="3216"/>
      <c r="G47" s="3216"/>
      <c r="H47" s="3217"/>
      <c r="I47" s="3216"/>
    </row>
    <row r="48" spans="1:9" s="1727" customFormat="1" ht="14.1" customHeight="1">
      <c r="A48" s="3215"/>
      <c r="B48" s="3216"/>
      <c r="C48" s="1740"/>
      <c r="D48" s="1741"/>
      <c r="E48" s="3216"/>
      <c r="F48" s="3216"/>
      <c r="G48" s="3216"/>
      <c r="H48" s="3217"/>
      <c r="I48" s="3216"/>
    </row>
    <row r="49" spans="1:12" s="1727" customFormat="1" ht="14.1" customHeight="1">
      <c r="A49" s="3215"/>
      <c r="B49" s="3216"/>
      <c r="C49" s="1740"/>
      <c r="D49" s="1741"/>
      <c r="E49" s="3216"/>
      <c r="F49" s="3216"/>
      <c r="G49" s="3216"/>
      <c r="H49" s="3217"/>
      <c r="I49" s="3216"/>
    </row>
    <row r="50" spans="1:12" s="1750" customFormat="1" ht="5.25">
      <c r="A50" s="1748"/>
      <c r="B50" s="1748"/>
      <c r="C50" s="1749"/>
      <c r="D50" s="1749"/>
      <c r="E50" s="1749"/>
      <c r="F50" s="1749"/>
      <c r="G50" s="1749"/>
      <c r="H50" s="1749"/>
      <c r="I50" s="1749"/>
    </row>
    <row r="51" spans="1:12" s="1727" customFormat="1" ht="12.75">
      <c r="A51" s="1658" t="s">
        <v>179</v>
      </c>
      <c r="B51" s="1751"/>
      <c r="C51" s="1724"/>
      <c r="D51" s="1724"/>
      <c r="E51" s="1724"/>
      <c r="F51" s="1724"/>
      <c r="G51" s="1724"/>
      <c r="H51" s="1724"/>
      <c r="I51" s="1724"/>
    </row>
    <row r="52" spans="1:12" s="1727" customFormat="1" ht="12.75">
      <c r="A52" s="2871"/>
      <c r="B52" s="2872"/>
      <c r="C52" s="2872"/>
      <c r="D52" s="2872"/>
      <c r="E52" s="2872"/>
      <c r="F52" s="2872"/>
      <c r="G52" s="2872"/>
      <c r="H52" s="2872"/>
      <c r="I52" s="2873"/>
    </row>
    <row r="53" spans="1:12" s="1727" customFormat="1" ht="12.75">
      <c r="A53" s="2882"/>
      <c r="B53" s="2883"/>
      <c r="C53" s="2883"/>
      <c r="D53" s="2883"/>
      <c r="E53" s="2883"/>
      <c r="F53" s="2883"/>
      <c r="G53" s="2883"/>
      <c r="H53" s="2883"/>
      <c r="I53" s="2884"/>
    </row>
    <row r="54" spans="1:12" s="1727" customFormat="1" ht="12.75">
      <c r="A54" s="2885"/>
      <c r="B54" s="2886"/>
      <c r="C54" s="2886"/>
      <c r="D54" s="2886"/>
      <c r="E54" s="2886"/>
      <c r="F54" s="2886"/>
      <c r="G54" s="2886"/>
      <c r="H54" s="2886"/>
      <c r="I54" s="2887"/>
    </row>
    <row r="55" spans="1:12" s="1727" customFormat="1">
      <c r="A55" s="1752"/>
      <c r="B55" s="1752"/>
      <c r="C55" s="1753"/>
      <c r="D55" s="1753"/>
      <c r="E55" s="1753"/>
      <c r="F55" s="1753"/>
      <c r="G55" s="1753"/>
      <c r="H55" s="1753"/>
      <c r="I55" s="1753"/>
    </row>
    <row r="56" spans="1:12" s="1727" customFormat="1">
      <c r="A56" s="1754"/>
      <c r="B56" s="1754"/>
      <c r="C56" s="1755"/>
      <c r="D56" s="1755"/>
      <c r="E56" s="1755"/>
      <c r="F56" s="1755"/>
      <c r="G56" s="1755"/>
      <c r="H56" s="1755"/>
      <c r="I56" s="1755"/>
    </row>
    <row r="57" spans="1:12" s="1727" customFormat="1"/>
    <row r="58" spans="1:12" s="1727" customFormat="1">
      <c r="A58" s="1742"/>
      <c r="B58" s="1742"/>
      <c r="C58" s="1742"/>
      <c r="D58" s="1742"/>
      <c r="E58" s="1742"/>
      <c r="F58" s="1742"/>
      <c r="G58" s="1742"/>
      <c r="H58" s="1742"/>
      <c r="I58" s="1742"/>
    </row>
    <row r="59" spans="1:12">
      <c r="A59" s="3218" t="str">
        <f>CHENG</f>
        <v>CANO ARTHUR D. CADAVOS</v>
      </c>
      <c r="B59" s="3218"/>
      <c r="C59" s="3218"/>
      <c r="D59" s="3218" t="str">
        <f>IF(BARGESEL=1,BARGEREP,MYBARGECHIEF)</f>
        <v>TEMEL KALYONCU</v>
      </c>
      <c r="E59" s="3218"/>
      <c r="F59" s="3218"/>
      <c r="G59" s="3218" t="str">
        <f>SURVEYOR</f>
        <v>MEHMET EROĞLU</v>
      </c>
      <c r="H59" s="3218"/>
      <c r="I59" s="3218"/>
    </row>
    <row r="60" spans="1:12" ht="12.75">
      <c r="A60" s="3225" t="s">
        <v>15</v>
      </c>
      <c r="B60" s="3225"/>
      <c r="C60" s="3225"/>
      <c r="D60" s="3225" t="s">
        <v>840</v>
      </c>
      <c r="E60" s="3225"/>
      <c r="F60" s="3225"/>
      <c r="G60" s="3226" t="str">
        <f>"Bunker Surveyor"&amp;IF(SPORE=TRUE,", License No. "&amp;SURVLIC,"")</f>
        <v>Bunker Surveyor</v>
      </c>
      <c r="H60" s="3226"/>
      <c r="I60" s="3226"/>
    </row>
    <row r="61" spans="1:12" ht="5.25" customHeight="1">
      <c r="A61" s="3219"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B61" s="3220"/>
      <c r="C61" s="3220"/>
      <c r="D61" s="3220"/>
      <c r="E61" s="3220"/>
      <c r="F61" s="3220"/>
      <c r="G61" s="3220"/>
      <c r="H61" s="3220"/>
      <c r="I61" s="3227"/>
    </row>
    <row r="62" spans="1:12" ht="7.5" customHeight="1">
      <c r="A62" s="3221"/>
      <c r="B62" s="3222"/>
      <c r="C62" s="3222"/>
      <c r="D62" s="3222"/>
      <c r="E62" s="3222"/>
      <c r="F62" s="3222"/>
      <c r="G62" s="3222"/>
      <c r="H62" s="3222"/>
      <c r="I62" s="3228"/>
      <c r="J62" s="1729"/>
      <c r="K62" s="1729"/>
      <c r="L62" s="1729"/>
    </row>
    <row r="63" spans="1:12" ht="7.5" customHeight="1">
      <c r="A63" s="3221"/>
      <c r="B63" s="3222"/>
      <c r="C63" s="3222"/>
      <c r="D63" s="3222"/>
      <c r="E63" s="3222"/>
      <c r="F63" s="3222"/>
      <c r="G63" s="3222"/>
      <c r="H63" s="3222"/>
      <c r="I63" s="3228"/>
      <c r="J63" s="1729"/>
      <c r="K63" s="1729"/>
      <c r="L63" s="1729"/>
    </row>
    <row r="64" spans="1:12" ht="7.5" customHeight="1">
      <c r="A64" s="3221"/>
      <c r="B64" s="3222"/>
      <c r="C64" s="3222"/>
      <c r="D64" s="3222"/>
      <c r="E64" s="3222"/>
      <c r="F64" s="3222"/>
      <c r="G64" s="3222"/>
      <c r="H64" s="3222"/>
      <c r="I64" s="3228"/>
      <c r="J64" s="1729"/>
      <c r="K64" s="1729"/>
      <c r="L64" s="1729"/>
    </row>
    <row r="65" spans="1:13" ht="7.5" customHeight="1">
      <c r="A65" s="3221"/>
      <c r="B65" s="3222"/>
      <c r="C65" s="3222"/>
      <c r="D65" s="3222"/>
      <c r="E65" s="3222"/>
      <c r="F65" s="3222"/>
      <c r="G65" s="3222"/>
      <c r="H65" s="3222"/>
      <c r="I65" s="3228"/>
      <c r="J65" s="1756"/>
      <c r="K65" s="1756"/>
      <c r="L65" s="1756"/>
    </row>
    <row r="66" spans="1:13" ht="7.5" customHeight="1">
      <c r="A66" s="3221"/>
      <c r="B66" s="3222"/>
      <c r="C66" s="3222"/>
      <c r="D66" s="3222"/>
      <c r="E66" s="3222"/>
      <c r="F66" s="3222"/>
      <c r="G66" s="3222"/>
      <c r="H66" s="3222"/>
      <c r="I66" s="3228"/>
      <c r="J66" s="1756"/>
      <c r="K66" s="1756"/>
      <c r="L66" s="1756"/>
    </row>
    <row r="67" spans="1:13" ht="7.5" customHeight="1">
      <c r="A67" s="3223"/>
      <c r="B67" s="3224"/>
      <c r="C67" s="3224"/>
      <c r="D67" s="3224"/>
      <c r="E67" s="3224"/>
      <c r="F67" s="3224"/>
      <c r="G67" s="3224"/>
      <c r="H67" s="3224"/>
      <c r="I67" s="3229"/>
      <c r="J67" s="1756"/>
      <c r="K67" s="1756"/>
      <c r="L67" s="1756"/>
    </row>
    <row r="68" spans="1:13" hidden="1">
      <c r="A68" s="1756"/>
      <c r="B68" s="1756"/>
      <c r="C68" s="1756"/>
      <c r="D68" s="1756"/>
      <c r="E68" s="1756"/>
      <c r="F68" s="1756"/>
      <c r="G68" s="1756"/>
      <c r="H68" s="1756"/>
      <c r="I68" s="1756"/>
      <c r="J68" s="1756"/>
      <c r="K68" s="1756"/>
      <c r="L68" s="1756"/>
    </row>
    <row r="69" spans="1:13" hidden="1">
      <c r="A69" s="1756"/>
      <c r="B69" s="1756"/>
      <c r="C69" s="1756"/>
      <c r="D69" s="1756"/>
      <c r="E69" s="1756"/>
      <c r="F69" s="1756"/>
      <c r="G69" s="1756"/>
      <c r="H69" s="1756"/>
      <c r="I69" s="1756"/>
      <c r="J69" s="1756"/>
      <c r="K69" s="1756"/>
      <c r="L69" s="1756"/>
    </row>
    <row r="70" spans="1:13" hidden="1">
      <c r="A70" s="1756"/>
      <c r="B70" s="1756"/>
      <c r="C70" s="1756"/>
      <c r="D70" s="1756"/>
      <c r="E70" s="1756"/>
      <c r="F70" s="1756"/>
      <c r="G70" s="1756"/>
      <c r="H70" s="1756"/>
      <c r="I70" s="1756"/>
      <c r="J70" s="1756"/>
      <c r="K70" s="1756"/>
      <c r="L70" s="1756"/>
    </row>
    <row r="71" spans="1:13" hidden="1">
      <c r="A71" s="1756"/>
      <c r="B71" s="1756"/>
      <c r="C71" s="1756"/>
      <c r="D71" s="1756"/>
      <c r="E71" s="1756"/>
      <c r="F71" s="1756"/>
      <c r="G71" s="1756"/>
      <c r="H71" s="1756"/>
      <c r="I71" s="1756"/>
      <c r="J71" s="1756"/>
      <c r="K71" s="1756"/>
      <c r="L71" s="1756"/>
    </row>
    <row r="72" spans="1:13" hidden="1">
      <c r="A72" s="1756"/>
      <c r="B72" s="1756"/>
      <c r="C72" s="1756"/>
      <c r="D72" s="1756"/>
      <c r="E72" s="1756"/>
      <c r="F72" s="1756"/>
      <c r="G72" s="1756"/>
      <c r="H72" s="1756"/>
      <c r="I72" s="1756"/>
      <c r="J72" s="1756"/>
      <c r="K72" s="1756"/>
      <c r="L72" s="1756"/>
    </row>
    <row r="73" spans="1:13" hidden="1">
      <c r="A73" s="1756"/>
      <c r="B73" s="1756"/>
      <c r="C73" s="1756"/>
      <c r="D73" s="1756"/>
      <c r="E73" s="1756"/>
      <c r="F73" s="1756"/>
      <c r="G73" s="1756"/>
      <c r="H73" s="1756"/>
      <c r="I73" s="1756"/>
      <c r="J73" s="1756"/>
      <c r="K73" s="1756"/>
      <c r="L73" s="1756"/>
    </row>
    <row r="74" spans="1:13" hidden="1">
      <c r="A74" s="1756"/>
      <c r="B74" s="1756"/>
      <c r="C74" s="1756"/>
      <c r="D74" s="1756"/>
      <c r="E74" s="1756"/>
      <c r="F74" s="1756"/>
      <c r="G74" s="1756"/>
      <c r="H74" s="1756"/>
      <c r="I74" s="1756"/>
      <c r="J74" s="1756"/>
      <c r="K74" s="1756"/>
      <c r="L74" s="1756"/>
    </row>
    <row r="75" spans="1:13" hidden="1">
      <c r="A75" s="1756"/>
      <c r="B75" s="1756"/>
      <c r="C75" s="1756"/>
      <c r="D75" s="1756"/>
      <c r="E75" s="1756"/>
      <c r="F75" s="1756"/>
      <c r="G75" s="1756"/>
      <c r="H75" s="1756"/>
      <c r="I75" s="1756"/>
      <c r="J75" s="1756"/>
      <c r="K75" s="1756"/>
      <c r="L75" s="1756"/>
    </row>
    <row r="76" spans="1:13" ht="12.75" hidden="1">
      <c r="A76" s="1756"/>
      <c r="B76" s="1756"/>
      <c r="C76" s="1756"/>
      <c r="D76" s="1756"/>
      <c r="E76" s="1756"/>
      <c r="F76" s="1756"/>
      <c r="G76" s="1756"/>
      <c r="H76" s="1756"/>
      <c r="I76" s="1756"/>
      <c r="J76" s="1756"/>
      <c r="K76" s="1756"/>
      <c r="L76" s="1756"/>
      <c r="M76" s="1693"/>
    </row>
    <row r="77" spans="1:13" hidden="1">
      <c r="A77" s="1756"/>
      <c r="B77" s="1756"/>
      <c r="C77" s="1756"/>
      <c r="D77" s="1756"/>
      <c r="E77" s="1756"/>
      <c r="F77" s="1756"/>
      <c r="G77" s="1756"/>
      <c r="H77" s="1756"/>
      <c r="I77" s="1756"/>
      <c r="J77" s="1756"/>
      <c r="K77" s="1756"/>
      <c r="L77" s="1756"/>
    </row>
    <row r="78" spans="1:13" hidden="1">
      <c r="J78" s="1756"/>
      <c r="K78" s="1756"/>
      <c r="L78" s="1756"/>
    </row>
  </sheetData>
  <sheetProtection algorithmName="SHA-512" hashValue="pNOF1OT7E3uIhrI0gOVNmRYcpmCbEZ2mesOt8aNI+UV2u8rf03uv626CK6/fzlZsGcKR57miFqjbAhljEdxhlA==" saltValue="+byAVArcTDS4cP+9c3cL1A==" spinCount="100000" sheet="1" objects="1" scenarios="1" autoFilter="0"/>
  <mergeCells count="103">
    <mergeCell ref="F14:G14"/>
    <mergeCell ref="A13:B13"/>
    <mergeCell ref="C13:E13"/>
    <mergeCell ref="F13:G13"/>
    <mergeCell ref="H13:I13"/>
    <mergeCell ref="C12:E12"/>
    <mergeCell ref="A12:B12"/>
    <mergeCell ref="H12:I12"/>
    <mergeCell ref="H14:I15"/>
    <mergeCell ref="F12:G12"/>
    <mergeCell ref="A17:B17"/>
    <mergeCell ref="E17:G17"/>
    <mergeCell ref="H17:I17"/>
    <mergeCell ref="A18:B18"/>
    <mergeCell ref="E18:G18"/>
    <mergeCell ref="H18:I18"/>
    <mergeCell ref="A16:B16"/>
    <mergeCell ref="E16:G16"/>
    <mergeCell ref="H16:I16"/>
    <mergeCell ref="A21:B21"/>
    <mergeCell ref="E21:G21"/>
    <mergeCell ref="H21:I21"/>
    <mergeCell ref="A22:B22"/>
    <mergeCell ref="E22:G22"/>
    <mergeCell ref="H22:I22"/>
    <mergeCell ref="A19:B19"/>
    <mergeCell ref="E19:G19"/>
    <mergeCell ref="H19:I19"/>
    <mergeCell ref="A20:B20"/>
    <mergeCell ref="E20:G20"/>
    <mergeCell ref="H20:I20"/>
    <mergeCell ref="A25:B25"/>
    <mergeCell ref="E25:G25"/>
    <mergeCell ref="H25:I25"/>
    <mergeCell ref="A26:B26"/>
    <mergeCell ref="E26:G26"/>
    <mergeCell ref="A27:B27"/>
    <mergeCell ref="E27:G27"/>
    <mergeCell ref="A23:B23"/>
    <mergeCell ref="E23:G23"/>
    <mergeCell ref="H23:I23"/>
    <mergeCell ref="A24:B24"/>
    <mergeCell ref="E24:G24"/>
    <mergeCell ref="H24:I24"/>
    <mergeCell ref="A30:B30"/>
    <mergeCell ref="E30:G30"/>
    <mergeCell ref="H30:I30"/>
    <mergeCell ref="A31:B31"/>
    <mergeCell ref="E31:G31"/>
    <mergeCell ref="H31:I31"/>
    <mergeCell ref="A28:B28"/>
    <mergeCell ref="E28:G28"/>
    <mergeCell ref="H28:I28"/>
    <mergeCell ref="A29:B29"/>
    <mergeCell ref="E29:G29"/>
    <mergeCell ref="H29:I29"/>
    <mergeCell ref="A35:B35"/>
    <mergeCell ref="E35:I35"/>
    <mergeCell ref="A36:B36"/>
    <mergeCell ref="E36:I36"/>
    <mergeCell ref="A37:B37"/>
    <mergeCell ref="E37:I37"/>
    <mergeCell ref="A32:B32"/>
    <mergeCell ref="E32:G32"/>
    <mergeCell ref="H32:I32"/>
    <mergeCell ref="A33:B33"/>
    <mergeCell ref="E33:G33"/>
    <mergeCell ref="H33:I33"/>
    <mergeCell ref="A41:B41"/>
    <mergeCell ref="E41:I41"/>
    <mergeCell ref="A42:B42"/>
    <mergeCell ref="E42:I42"/>
    <mergeCell ref="A43:B43"/>
    <mergeCell ref="E43:I43"/>
    <mergeCell ref="A38:B38"/>
    <mergeCell ref="E38:I38"/>
    <mergeCell ref="A39:B39"/>
    <mergeCell ref="E39:I39"/>
    <mergeCell ref="A40:B40"/>
    <mergeCell ref="E40:I40"/>
    <mergeCell ref="A52:I52"/>
    <mergeCell ref="A54:I54"/>
    <mergeCell ref="A59:C59"/>
    <mergeCell ref="D59:F59"/>
    <mergeCell ref="G59:I59"/>
    <mergeCell ref="A61:H67"/>
    <mergeCell ref="A53:I53"/>
    <mergeCell ref="A60:C60"/>
    <mergeCell ref="D60:F60"/>
    <mergeCell ref="G60:I60"/>
    <mergeCell ref="I61:I67"/>
    <mergeCell ref="A47:B47"/>
    <mergeCell ref="E47:I47"/>
    <mergeCell ref="A48:B48"/>
    <mergeCell ref="E48:I48"/>
    <mergeCell ref="A49:B49"/>
    <mergeCell ref="E49:I49"/>
    <mergeCell ref="A44:B44"/>
    <mergeCell ref="E44:I44"/>
    <mergeCell ref="A45:B45"/>
    <mergeCell ref="E45:I45"/>
    <mergeCell ref="A46:B46"/>
    <mergeCell ref="E46:I46"/>
  </mergeCells>
  <dataValidations count="1">
    <dataValidation type="list" errorStyle="information" allowBlank="1" showInputMessage="1" showErrorMessage="1" prompt="Choose Remarks from list or edit yours." sqref="A52:I54" xr:uid="{00000000-0002-0000-1A00-000000000000}">
      <formula1>REMCOL</formula1>
    </dataValidation>
  </dataValidations>
  <hyperlinks>
    <hyperlink ref="A51" location="REMCODE" display="Remarks:" xr:uid="{00000000-0004-0000-1A00-000000000000}"/>
  </hyperlinks>
  <printOptions horizontalCentered="1"/>
  <pageMargins left="0.3" right="0.3" top="0.2" bottom="0.3" header="0.3" footer="0.1"/>
  <pageSetup paperSize="9" orientation="portrait" r:id="rId1"/>
  <headerFooter scaleWithDoc="0">
    <oddFooter>&amp;L&amp;8BunkerManager, v1.12&amp;C&amp;8by AMS-Marine | www.ams-marine.com&amp;R&amp;8RefNo: BD/2015/00926 SG</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6">
    <tabColor theme="5"/>
    <pageSetUpPr fitToPage="1"/>
  </sheetPr>
  <dimension ref="A1:O76"/>
  <sheetViews>
    <sheetView showGridLines="0" showRowColHeaders="0" topLeftCell="A8" zoomScaleNormal="100" zoomScaleSheetLayoutView="100" workbookViewId="0">
      <pane ySplit="10" topLeftCell="A18" activePane="bottomLeft" state="frozen"/>
      <selection pane="bottomLeft"/>
    </sheetView>
  </sheetViews>
  <sheetFormatPr defaultColWidth="0" defaultRowHeight="12.75" zeroHeight="1"/>
  <cols>
    <col min="1" max="1" width="3.75" style="1693" customWidth="1"/>
    <col min="2" max="2" width="6.375" style="1693" customWidth="1"/>
    <col min="3" max="4" width="7.625" style="1693" customWidth="1"/>
    <col min="5" max="5" width="3.75" style="1693" customWidth="1"/>
    <col min="6" max="6" width="7.625" style="1693" customWidth="1"/>
    <col min="7" max="7" width="6.125" style="1693" customWidth="1"/>
    <col min="8" max="8" width="6.625" style="1693" customWidth="1"/>
    <col min="9" max="9" width="8" style="1693" customWidth="1"/>
    <col min="10" max="10" width="7.625" style="1693" customWidth="1"/>
    <col min="11" max="11" width="17.875" style="1693" customWidth="1"/>
    <col min="12" max="12" width="4" style="1693" customWidth="1"/>
    <col min="13" max="13" width="0.25" style="1693" customWidth="1"/>
    <col min="14" max="15" width="0" style="1693" hidden="1" customWidth="1"/>
    <col min="16" max="16384" width="7.625" style="1693" hidden="1"/>
  </cols>
  <sheetData>
    <row r="1" spans="1:15" ht="15" hidden="1">
      <c r="A1" s="1690"/>
      <c r="B1" s="1691"/>
      <c r="C1" s="1691"/>
      <c r="D1" s="1691"/>
      <c r="E1" s="1692"/>
      <c r="F1" s="1692"/>
      <c r="G1" s="1692"/>
      <c r="H1" s="1692"/>
      <c r="I1" s="1692"/>
      <c r="J1" s="1692"/>
      <c r="K1" s="1692"/>
      <c r="L1" s="1692"/>
    </row>
    <row r="2" spans="1:15" ht="15">
      <c r="A2" s="1691"/>
      <c r="B2" s="1691"/>
      <c r="C2" s="1691"/>
      <c r="D2" s="1691"/>
      <c r="E2" s="1692"/>
      <c r="F2" s="1692"/>
      <c r="G2" s="1692"/>
      <c r="H2" s="1692"/>
      <c r="I2" s="1692"/>
      <c r="J2" s="1692"/>
      <c r="K2" s="1692"/>
      <c r="L2" s="1692"/>
    </row>
    <row r="3" spans="1:15" ht="15">
      <c r="A3" s="1691"/>
      <c r="B3" s="1691"/>
      <c r="C3" s="1691"/>
      <c r="D3" s="1691"/>
      <c r="E3" s="1692"/>
      <c r="F3" s="1692"/>
      <c r="G3" s="1692"/>
      <c r="H3" s="1692"/>
      <c r="I3" s="1692"/>
      <c r="J3" s="1692"/>
      <c r="K3" s="1692"/>
      <c r="L3" s="1692"/>
    </row>
    <row r="4" spans="1:15" ht="18.75">
      <c r="A4" s="1691"/>
      <c r="B4" s="1691"/>
      <c r="C4" s="1691"/>
      <c r="D4" s="1691"/>
      <c r="E4" s="1692"/>
      <c r="F4" s="1692"/>
      <c r="G4" s="1691"/>
      <c r="H4" s="1692"/>
      <c r="I4" s="1692"/>
      <c r="J4" s="1692"/>
      <c r="K4" s="1692"/>
      <c r="L4" s="1593" t="str">
        <f>COMPANY1</f>
        <v>Petro Inspect International</v>
      </c>
    </row>
    <row r="5" spans="1:15" ht="15">
      <c r="A5" s="1691"/>
      <c r="B5" s="1691"/>
      <c r="C5" s="1691"/>
      <c r="D5" s="1691"/>
      <c r="E5" s="1692"/>
      <c r="F5" s="1692"/>
      <c r="G5" s="1691"/>
      <c r="H5" s="1692"/>
      <c r="I5" s="1692"/>
      <c r="J5" s="1692"/>
      <c r="K5" s="1692"/>
      <c r="L5" s="1595" t="str">
        <f>COMPANY2</f>
        <v>ops@petro-inspect.com</v>
      </c>
    </row>
    <row r="6" spans="1:15" ht="15">
      <c r="A6" s="1691"/>
      <c r="B6" s="1691"/>
      <c r="C6" s="1691"/>
      <c r="D6" s="1691"/>
      <c r="E6" s="1692"/>
      <c r="F6" s="1692"/>
      <c r="G6" s="1691"/>
      <c r="H6" s="1692"/>
      <c r="I6" s="1692"/>
      <c r="J6" s="1692"/>
      <c r="K6" s="1692"/>
      <c r="L6" s="1595" t="str">
        <f>COMPANY3</f>
        <v/>
      </c>
    </row>
    <row r="7" spans="1:15" ht="15">
      <c r="A7" s="1691"/>
      <c r="B7" s="1691"/>
      <c r="C7" s="1691"/>
      <c r="D7" s="1691"/>
      <c r="E7" s="1692"/>
      <c r="F7" s="1692"/>
      <c r="G7" s="1691"/>
      <c r="H7" s="1692"/>
      <c r="I7" s="1692"/>
      <c r="J7" s="1692"/>
      <c r="K7" s="1692"/>
      <c r="L7" s="1595" t="str">
        <f>COMPANY4</f>
        <v/>
      </c>
    </row>
    <row r="8" spans="1:15" s="1710" customFormat="1" ht="3" customHeight="1" thickBot="1">
      <c r="A8" s="1036"/>
      <c r="B8" s="1036"/>
      <c r="C8" s="1036"/>
      <c r="D8" s="1036"/>
      <c r="E8" s="1758"/>
      <c r="F8" s="1758"/>
      <c r="G8" s="1759"/>
      <c r="H8" s="1760"/>
      <c r="I8" s="1760"/>
      <c r="J8" s="1760"/>
      <c r="K8" s="1760"/>
      <c r="L8" s="1760"/>
    </row>
    <row r="9" spans="1:15" s="1710" customFormat="1" ht="3" customHeight="1">
      <c r="A9" s="1037"/>
      <c r="B9" s="1037"/>
      <c r="C9" s="1037"/>
      <c r="D9" s="1037"/>
      <c r="E9" s="1761"/>
      <c r="F9" s="1761"/>
      <c r="G9" s="1762"/>
      <c r="H9" s="1763"/>
      <c r="I9" s="1763"/>
      <c r="J9" s="1763"/>
      <c r="K9" s="1763"/>
      <c r="L9" s="1763"/>
    </row>
    <row r="10" spans="1:15" ht="26.25" customHeight="1">
      <c r="A10" s="1764"/>
      <c r="B10" s="1764"/>
      <c r="C10" s="1764"/>
      <c r="D10" s="1764"/>
      <c r="E10" s="1764"/>
      <c r="F10" s="1764"/>
      <c r="G10" s="1764"/>
      <c r="H10" s="1765" t="s">
        <v>852</v>
      </c>
      <c r="I10" s="1764"/>
      <c r="J10" s="1764"/>
      <c r="K10" s="1764"/>
      <c r="L10" s="1764"/>
    </row>
    <row r="11" spans="1:15" s="1710" customFormat="1" ht="3" customHeight="1">
      <c r="A11" s="1766"/>
      <c r="B11" s="1766"/>
      <c r="C11" s="1766"/>
      <c r="D11" s="1767"/>
      <c r="E11" s="1767"/>
      <c r="F11" s="1767"/>
      <c r="G11" s="1767"/>
      <c r="H11" s="1767"/>
      <c r="I11" s="1767"/>
      <c r="J11" s="1767"/>
      <c r="K11" s="1767"/>
      <c r="L11" s="1767"/>
    </row>
    <row r="12" spans="1:15">
      <c r="A12" s="3245" t="s">
        <v>788</v>
      </c>
      <c r="B12" s="3245"/>
      <c r="C12" s="3245"/>
      <c r="D12" s="3078" t="str">
        <f>MYBARGENAME</f>
        <v>M/T YALÇIN 2</v>
      </c>
      <c r="E12" s="3078"/>
      <c r="F12" s="3078"/>
      <c r="G12" s="3078"/>
      <c r="H12" s="3246" t="s">
        <v>789</v>
      </c>
      <c r="I12" s="3246"/>
      <c r="J12" s="3271" t="str">
        <f>PORT</f>
        <v>ISTANBUL / TURKEY</v>
      </c>
      <c r="K12" s="3271"/>
      <c r="L12" s="3271"/>
      <c r="O12" s="1705" t="s">
        <v>897</v>
      </c>
    </row>
    <row r="13" spans="1:15">
      <c r="A13" s="3245" t="s">
        <v>160</v>
      </c>
      <c r="B13" s="3245"/>
      <c r="C13" s="3245"/>
      <c r="D13" s="3078" t="str">
        <f>VESSEL</f>
        <v>MV PESSADA</v>
      </c>
      <c r="E13" s="3078"/>
      <c r="F13" s="3078"/>
      <c r="G13" s="3078"/>
      <c r="H13" s="3246" t="s">
        <v>790</v>
      </c>
      <c r="I13" s="3246"/>
      <c r="J13" s="3269">
        <f>DATESURVC</f>
        <v>44792</v>
      </c>
      <c r="K13" s="3269"/>
      <c r="L13" s="3269"/>
      <c r="O13" s="1705" t="s">
        <v>857</v>
      </c>
    </row>
    <row r="14" spans="1:15" ht="12.75" customHeight="1">
      <c r="A14" s="1768"/>
      <c r="B14" s="1768"/>
      <c r="C14" s="1768"/>
      <c r="D14" s="1768"/>
      <c r="G14" s="1768"/>
      <c r="H14" s="3246" t="s">
        <v>925</v>
      </c>
      <c r="I14" s="3246"/>
      <c r="J14" s="3270" t="str">
        <f>VSLRCVD_ALL</f>
        <v>LSFO, LSMGO</v>
      </c>
      <c r="K14" s="3270"/>
      <c r="L14" s="3270"/>
      <c r="O14" s="1705" t="s">
        <v>898</v>
      </c>
    </row>
    <row r="15" spans="1:15" ht="9.9499999999999993" customHeight="1">
      <c r="A15" s="1769"/>
      <c r="B15" s="1769"/>
      <c r="C15" s="1769"/>
      <c r="D15" s="1769"/>
      <c r="E15" s="1769"/>
      <c r="F15" s="1769"/>
      <c r="G15" s="1769"/>
      <c r="H15" s="1769"/>
      <c r="I15" s="1769"/>
      <c r="J15" s="3270"/>
      <c r="K15" s="3270"/>
      <c r="L15" s="3270"/>
    </row>
    <row r="16" spans="1:15" ht="26.25" customHeight="1">
      <c r="A16" s="1769"/>
      <c r="B16" s="3263" t="s">
        <v>621</v>
      </c>
      <c r="C16" s="3263" t="s">
        <v>853</v>
      </c>
      <c r="D16" s="3263"/>
      <c r="E16" s="3263"/>
      <c r="F16" s="3263" t="s">
        <v>854</v>
      </c>
      <c r="G16" s="3264" t="s">
        <v>855</v>
      </c>
      <c r="H16" s="3265"/>
      <c r="I16" s="3267" t="s">
        <v>856</v>
      </c>
      <c r="J16" s="3268"/>
      <c r="K16" s="3263" t="s">
        <v>49</v>
      </c>
      <c r="L16" s="1770"/>
    </row>
    <row r="17" spans="1:12">
      <c r="A17" s="1769"/>
      <c r="B17" s="3263"/>
      <c r="C17" s="3263"/>
      <c r="D17" s="3263"/>
      <c r="E17" s="3263"/>
      <c r="F17" s="3263"/>
      <c r="G17" s="1771" t="s">
        <v>772</v>
      </c>
      <c r="H17" s="1772" t="s">
        <v>621</v>
      </c>
      <c r="I17" s="1771" t="s">
        <v>772</v>
      </c>
      <c r="J17" s="1772" t="s">
        <v>621</v>
      </c>
      <c r="K17" s="3263"/>
      <c r="L17" s="1770"/>
    </row>
    <row r="18" spans="1:12" ht="15">
      <c r="A18" s="1769"/>
      <c r="B18" s="1773">
        <v>1</v>
      </c>
      <c r="C18" s="3266"/>
      <c r="D18" s="3266"/>
      <c r="E18" s="3266"/>
      <c r="F18" s="1774"/>
      <c r="G18" s="1038" t="s">
        <v>857</v>
      </c>
      <c r="H18" s="1039"/>
      <c r="I18" s="1038" t="s">
        <v>857</v>
      </c>
      <c r="J18" s="1039"/>
      <c r="K18" s="1775"/>
      <c r="L18" s="1770"/>
    </row>
    <row r="19" spans="1:12" ht="15">
      <c r="A19" s="1769"/>
      <c r="B19" s="1776">
        <v>2</v>
      </c>
      <c r="C19" s="3262"/>
      <c r="D19" s="3262"/>
      <c r="E19" s="3262"/>
      <c r="F19" s="1777"/>
      <c r="G19" s="1040" t="s">
        <v>857</v>
      </c>
      <c r="H19" s="1041"/>
      <c r="I19" s="1040" t="s">
        <v>857</v>
      </c>
      <c r="J19" s="1041"/>
      <c r="K19" s="1778"/>
      <c r="L19" s="1770"/>
    </row>
    <row r="20" spans="1:12" ht="15">
      <c r="A20" s="1769"/>
      <c r="B20" s="1776">
        <v>3</v>
      </c>
      <c r="C20" s="3262"/>
      <c r="D20" s="3262"/>
      <c r="E20" s="3262"/>
      <c r="F20" s="1777"/>
      <c r="G20" s="1040" t="s">
        <v>857</v>
      </c>
      <c r="H20" s="1041"/>
      <c r="I20" s="1040" t="s">
        <v>857</v>
      </c>
      <c r="J20" s="1041"/>
      <c r="K20" s="1778"/>
      <c r="L20" s="1770"/>
    </row>
    <row r="21" spans="1:12" ht="15">
      <c r="A21" s="1769"/>
      <c r="B21" s="1776">
        <v>4</v>
      </c>
      <c r="C21" s="3262"/>
      <c r="D21" s="3262"/>
      <c r="E21" s="3262"/>
      <c r="F21" s="1777"/>
      <c r="G21" s="1040" t="s">
        <v>857</v>
      </c>
      <c r="H21" s="1041"/>
      <c r="I21" s="1040" t="s">
        <v>857</v>
      </c>
      <c r="J21" s="1041"/>
      <c r="K21" s="1778"/>
      <c r="L21" s="1770"/>
    </row>
    <row r="22" spans="1:12" ht="15">
      <c r="A22" s="1769"/>
      <c r="B22" s="1776">
        <v>5</v>
      </c>
      <c r="C22" s="3262"/>
      <c r="D22" s="3262"/>
      <c r="E22" s="3262"/>
      <c r="F22" s="1777"/>
      <c r="G22" s="1040" t="s">
        <v>857</v>
      </c>
      <c r="H22" s="1041"/>
      <c r="I22" s="1040" t="s">
        <v>857</v>
      </c>
      <c r="J22" s="1041"/>
      <c r="K22" s="1778"/>
      <c r="L22" s="1770"/>
    </row>
    <row r="23" spans="1:12" ht="15">
      <c r="A23" s="1769"/>
      <c r="B23" s="1776">
        <v>6</v>
      </c>
      <c r="C23" s="3262"/>
      <c r="D23" s="3262"/>
      <c r="E23" s="3262"/>
      <c r="F23" s="1777"/>
      <c r="G23" s="1040" t="s">
        <v>857</v>
      </c>
      <c r="H23" s="1041"/>
      <c r="I23" s="1040" t="s">
        <v>857</v>
      </c>
      <c r="J23" s="1041"/>
      <c r="K23" s="1778"/>
      <c r="L23" s="1770"/>
    </row>
    <row r="24" spans="1:12" ht="15">
      <c r="A24" s="1769"/>
      <c r="B24" s="1776">
        <v>7</v>
      </c>
      <c r="C24" s="3262"/>
      <c r="D24" s="3262"/>
      <c r="E24" s="3262"/>
      <c r="F24" s="1777"/>
      <c r="G24" s="1040" t="s">
        <v>857</v>
      </c>
      <c r="H24" s="1041"/>
      <c r="I24" s="1040" t="s">
        <v>857</v>
      </c>
      <c r="J24" s="1041"/>
      <c r="K24" s="1778"/>
      <c r="L24" s="1770"/>
    </row>
    <row r="25" spans="1:12" ht="15">
      <c r="A25" s="1769"/>
      <c r="B25" s="1776">
        <v>8</v>
      </c>
      <c r="C25" s="3262"/>
      <c r="D25" s="3262"/>
      <c r="E25" s="3262"/>
      <c r="F25" s="1777"/>
      <c r="G25" s="1040" t="s">
        <v>857</v>
      </c>
      <c r="H25" s="1041"/>
      <c r="I25" s="1040" t="s">
        <v>857</v>
      </c>
      <c r="J25" s="1041"/>
      <c r="K25" s="1778"/>
      <c r="L25" s="1770"/>
    </row>
    <row r="26" spans="1:12" ht="15">
      <c r="A26" s="1769"/>
      <c r="B26" s="1776">
        <v>9</v>
      </c>
      <c r="C26" s="3262"/>
      <c r="D26" s="3262"/>
      <c r="E26" s="3262"/>
      <c r="F26" s="1777"/>
      <c r="G26" s="1040" t="s">
        <v>857</v>
      </c>
      <c r="H26" s="1041"/>
      <c r="I26" s="1040" t="s">
        <v>857</v>
      </c>
      <c r="J26" s="1041"/>
      <c r="K26" s="1778"/>
      <c r="L26" s="1770"/>
    </row>
    <row r="27" spans="1:12" ht="15">
      <c r="A27" s="1769"/>
      <c r="B27" s="1776">
        <v>10</v>
      </c>
      <c r="C27" s="3262"/>
      <c r="D27" s="3262"/>
      <c r="E27" s="3262"/>
      <c r="F27" s="1777"/>
      <c r="G27" s="1040" t="s">
        <v>857</v>
      </c>
      <c r="H27" s="1041"/>
      <c r="I27" s="1040" t="s">
        <v>857</v>
      </c>
      <c r="J27" s="1041"/>
      <c r="K27" s="1778"/>
      <c r="L27" s="1770"/>
    </row>
    <row r="28" spans="1:12" ht="15">
      <c r="A28" s="1769"/>
      <c r="B28" s="1776">
        <v>11</v>
      </c>
      <c r="C28" s="3262"/>
      <c r="D28" s="3262"/>
      <c r="E28" s="3262"/>
      <c r="F28" s="1777"/>
      <c r="G28" s="1040" t="s">
        <v>857</v>
      </c>
      <c r="H28" s="1041"/>
      <c r="I28" s="1040" t="s">
        <v>857</v>
      </c>
      <c r="J28" s="1041"/>
      <c r="K28" s="1778"/>
      <c r="L28" s="1770"/>
    </row>
    <row r="29" spans="1:12" ht="15">
      <c r="A29" s="1769"/>
      <c r="B29" s="1776">
        <v>12</v>
      </c>
      <c r="C29" s="3262"/>
      <c r="D29" s="3262"/>
      <c r="E29" s="3262"/>
      <c r="F29" s="1777"/>
      <c r="G29" s="1040" t="s">
        <v>857</v>
      </c>
      <c r="H29" s="1041"/>
      <c r="I29" s="1040" t="s">
        <v>857</v>
      </c>
      <c r="J29" s="1041"/>
      <c r="K29" s="1778"/>
      <c r="L29" s="1770"/>
    </row>
    <row r="30" spans="1:12" ht="15">
      <c r="A30" s="1769"/>
      <c r="B30" s="1776">
        <v>13</v>
      </c>
      <c r="C30" s="3262"/>
      <c r="D30" s="3262"/>
      <c r="E30" s="3262"/>
      <c r="F30" s="1777"/>
      <c r="G30" s="1040" t="s">
        <v>857</v>
      </c>
      <c r="H30" s="1041"/>
      <c r="I30" s="1040" t="s">
        <v>857</v>
      </c>
      <c r="J30" s="1041"/>
      <c r="K30" s="1778"/>
      <c r="L30" s="1770"/>
    </row>
    <row r="31" spans="1:12" ht="15">
      <c r="A31" s="1769"/>
      <c r="B31" s="1776">
        <v>14</v>
      </c>
      <c r="C31" s="3262"/>
      <c r="D31" s="3262"/>
      <c r="E31" s="3262"/>
      <c r="F31" s="1777"/>
      <c r="G31" s="1040" t="s">
        <v>857</v>
      </c>
      <c r="H31" s="1041"/>
      <c r="I31" s="1040" t="s">
        <v>857</v>
      </c>
      <c r="J31" s="1041"/>
      <c r="K31" s="1778"/>
      <c r="L31" s="1770"/>
    </row>
    <row r="32" spans="1:12" ht="15">
      <c r="A32" s="1769"/>
      <c r="B32" s="1776">
        <v>15</v>
      </c>
      <c r="C32" s="3262"/>
      <c r="D32" s="3262"/>
      <c r="E32" s="3262"/>
      <c r="F32" s="1777"/>
      <c r="G32" s="1040" t="s">
        <v>857</v>
      </c>
      <c r="H32" s="1041"/>
      <c r="I32" s="1040" t="s">
        <v>857</v>
      </c>
      <c r="J32" s="1041"/>
      <c r="K32" s="1778"/>
      <c r="L32" s="1770"/>
    </row>
    <row r="33" spans="1:12" ht="15">
      <c r="A33" s="1769"/>
      <c r="B33" s="1776">
        <v>16</v>
      </c>
      <c r="C33" s="3262"/>
      <c r="D33" s="3262"/>
      <c r="E33" s="3262"/>
      <c r="F33" s="1777"/>
      <c r="G33" s="1040" t="s">
        <v>857</v>
      </c>
      <c r="H33" s="1041"/>
      <c r="I33" s="1040" t="s">
        <v>857</v>
      </c>
      <c r="J33" s="1041"/>
      <c r="K33" s="1778"/>
      <c r="L33" s="1770"/>
    </row>
    <row r="34" spans="1:12" ht="15">
      <c r="A34" s="1769"/>
      <c r="B34" s="1776">
        <v>17</v>
      </c>
      <c r="C34" s="3262"/>
      <c r="D34" s="3262"/>
      <c r="E34" s="3262"/>
      <c r="F34" s="1777"/>
      <c r="G34" s="1040" t="s">
        <v>857</v>
      </c>
      <c r="H34" s="1041"/>
      <c r="I34" s="1040" t="s">
        <v>857</v>
      </c>
      <c r="J34" s="1041"/>
      <c r="K34" s="1778"/>
      <c r="L34" s="1770"/>
    </row>
    <row r="35" spans="1:12" ht="15">
      <c r="A35" s="1769"/>
      <c r="B35" s="1776">
        <v>18</v>
      </c>
      <c r="C35" s="3262"/>
      <c r="D35" s="3262"/>
      <c r="E35" s="3262"/>
      <c r="F35" s="1777"/>
      <c r="G35" s="1040" t="s">
        <v>857</v>
      </c>
      <c r="H35" s="1041"/>
      <c r="I35" s="1040" t="s">
        <v>857</v>
      </c>
      <c r="J35" s="1041"/>
      <c r="K35" s="1778"/>
      <c r="L35" s="1770"/>
    </row>
    <row r="36" spans="1:12" ht="15">
      <c r="A36" s="1769"/>
      <c r="B36" s="1776">
        <v>19</v>
      </c>
      <c r="C36" s="3262"/>
      <c r="D36" s="3262"/>
      <c r="E36" s="3262"/>
      <c r="F36" s="1777"/>
      <c r="G36" s="1040" t="s">
        <v>857</v>
      </c>
      <c r="H36" s="1041"/>
      <c r="I36" s="1040" t="s">
        <v>857</v>
      </c>
      <c r="J36" s="1041"/>
      <c r="K36" s="1778"/>
      <c r="L36" s="1770"/>
    </row>
    <row r="37" spans="1:12" ht="15">
      <c r="A37" s="1769"/>
      <c r="B37" s="1776">
        <v>20</v>
      </c>
      <c r="C37" s="3262"/>
      <c r="D37" s="3262"/>
      <c r="E37" s="3262"/>
      <c r="F37" s="1777"/>
      <c r="G37" s="1040" t="s">
        <v>857</v>
      </c>
      <c r="H37" s="1041"/>
      <c r="I37" s="1040" t="s">
        <v>857</v>
      </c>
      <c r="J37" s="1041"/>
      <c r="K37" s="1778"/>
      <c r="L37" s="1770"/>
    </row>
    <row r="38" spans="1:12" ht="15">
      <c r="A38" s="1769"/>
      <c r="B38" s="1776">
        <v>21</v>
      </c>
      <c r="C38" s="3262"/>
      <c r="D38" s="3262"/>
      <c r="E38" s="3262"/>
      <c r="F38" s="1777"/>
      <c r="G38" s="1040" t="s">
        <v>857</v>
      </c>
      <c r="H38" s="1041"/>
      <c r="I38" s="1040" t="s">
        <v>857</v>
      </c>
      <c r="J38" s="1041"/>
      <c r="K38" s="1778"/>
      <c r="L38" s="1770"/>
    </row>
    <row r="39" spans="1:12" ht="15">
      <c r="A39" s="1769"/>
      <c r="B39" s="1776">
        <v>22</v>
      </c>
      <c r="C39" s="3262"/>
      <c r="D39" s="3262"/>
      <c r="E39" s="3262"/>
      <c r="F39" s="1777"/>
      <c r="G39" s="1040" t="s">
        <v>857</v>
      </c>
      <c r="H39" s="1041"/>
      <c r="I39" s="1040" t="s">
        <v>857</v>
      </c>
      <c r="J39" s="1041"/>
      <c r="K39" s="1778"/>
      <c r="L39" s="1770"/>
    </row>
    <row r="40" spans="1:12" ht="15">
      <c r="A40" s="1769"/>
      <c r="B40" s="1776">
        <v>23</v>
      </c>
      <c r="C40" s="3262"/>
      <c r="D40" s="3262"/>
      <c r="E40" s="3262"/>
      <c r="F40" s="1777"/>
      <c r="G40" s="1040" t="s">
        <v>857</v>
      </c>
      <c r="H40" s="1041"/>
      <c r="I40" s="1040" t="s">
        <v>857</v>
      </c>
      <c r="J40" s="1041"/>
      <c r="K40" s="1778"/>
      <c r="L40" s="1770"/>
    </row>
    <row r="41" spans="1:12" ht="15">
      <c r="A41" s="1769"/>
      <c r="B41" s="1776">
        <v>24</v>
      </c>
      <c r="C41" s="3262"/>
      <c r="D41" s="3262"/>
      <c r="E41" s="3262"/>
      <c r="F41" s="1777"/>
      <c r="G41" s="1040" t="s">
        <v>857</v>
      </c>
      <c r="H41" s="1041"/>
      <c r="I41" s="1040" t="s">
        <v>857</v>
      </c>
      <c r="J41" s="1041"/>
      <c r="K41" s="1778"/>
      <c r="L41" s="1770"/>
    </row>
    <row r="42" spans="1:12" ht="15">
      <c r="A42" s="1769"/>
      <c r="B42" s="1776">
        <v>25</v>
      </c>
      <c r="C42" s="3262"/>
      <c r="D42" s="3262"/>
      <c r="E42" s="3262"/>
      <c r="F42" s="1777"/>
      <c r="G42" s="1040" t="s">
        <v>857</v>
      </c>
      <c r="H42" s="1041"/>
      <c r="I42" s="1040" t="s">
        <v>857</v>
      </c>
      <c r="J42" s="1041"/>
      <c r="K42" s="1778"/>
      <c r="L42" s="1770"/>
    </row>
    <row r="43" spans="1:12" ht="15">
      <c r="A43" s="1769"/>
      <c r="B43" s="1776">
        <v>26</v>
      </c>
      <c r="C43" s="3262"/>
      <c r="D43" s="3262"/>
      <c r="E43" s="3262"/>
      <c r="F43" s="1777"/>
      <c r="G43" s="1040" t="s">
        <v>857</v>
      </c>
      <c r="H43" s="1041"/>
      <c r="I43" s="1040" t="s">
        <v>857</v>
      </c>
      <c r="J43" s="1041"/>
      <c r="K43" s="1778"/>
      <c r="L43" s="1770"/>
    </row>
    <row r="44" spans="1:12" ht="15">
      <c r="A44" s="1769"/>
      <c r="B44" s="1776">
        <v>27</v>
      </c>
      <c r="C44" s="3262"/>
      <c r="D44" s="3262"/>
      <c r="E44" s="3262"/>
      <c r="F44" s="1777"/>
      <c r="G44" s="1040" t="s">
        <v>857</v>
      </c>
      <c r="H44" s="1041"/>
      <c r="I44" s="1040" t="s">
        <v>857</v>
      </c>
      <c r="J44" s="1041"/>
      <c r="K44" s="1778"/>
      <c r="L44" s="1770"/>
    </row>
    <row r="45" spans="1:12" ht="15">
      <c r="A45" s="1769"/>
      <c r="B45" s="1776">
        <v>28</v>
      </c>
      <c r="C45" s="3262"/>
      <c r="D45" s="3262"/>
      <c r="E45" s="3262"/>
      <c r="F45" s="1777"/>
      <c r="G45" s="1040" t="s">
        <v>857</v>
      </c>
      <c r="H45" s="1041"/>
      <c r="I45" s="1040" t="s">
        <v>857</v>
      </c>
      <c r="J45" s="1041"/>
      <c r="K45" s="1778"/>
      <c r="L45" s="1770"/>
    </row>
    <row r="46" spans="1:12" ht="15">
      <c r="A46" s="1769"/>
      <c r="B46" s="1776">
        <v>29</v>
      </c>
      <c r="C46" s="3262"/>
      <c r="D46" s="3262"/>
      <c r="E46" s="3262"/>
      <c r="F46" s="1777"/>
      <c r="G46" s="1040" t="s">
        <v>857</v>
      </c>
      <c r="H46" s="1041"/>
      <c r="I46" s="1040" t="s">
        <v>857</v>
      </c>
      <c r="J46" s="1041"/>
      <c r="K46" s="1778"/>
      <c r="L46" s="1770"/>
    </row>
    <row r="47" spans="1:12" ht="15">
      <c r="A47" s="1769"/>
      <c r="B47" s="1779">
        <v>30</v>
      </c>
      <c r="C47" s="3259"/>
      <c r="D47" s="3260"/>
      <c r="E47" s="3261"/>
      <c r="F47" s="1780"/>
      <c r="G47" s="1042" t="s">
        <v>857</v>
      </c>
      <c r="H47" s="1043"/>
      <c r="I47" s="1042" t="s">
        <v>857</v>
      </c>
      <c r="J47" s="1043"/>
      <c r="K47" s="1781"/>
      <c r="L47" s="1770"/>
    </row>
    <row r="48" spans="1:12" ht="14.25" customHeight="1">
      <c r="A48" s="1782"/>
      <c r="B48" s="1782"/>
      <c r="C48" s="1782"/>
      <c r="D48" s="1782"/>
      <c r="E48" s="1782"/>
      <c r="F48" s="1782"/>
      <c r="G48" s="1782"/>
      <c r="H48" s="1782"/>
      <c r="I48" s="1769"/>
      <c r="J48" s="1769"/>
      <c r="K48" s="1769"/>
      <c r="L48" s="1770"/>
    </row>
    <row r="49" spans="1:12" ht="14.25" customHeight="1">
      <c r="A49" s="1782"/>
      <c r="B49" s="1783" t="s">
        <v>1272</v>
      </c>
      <c r="C49" s="1782"/>
      <c r="D49" s="1782"/>
      <c r="E49" s="1782"/>
      <c r="F49" s="1782"/>
      <c r="G49" s="1782"/>
      <c r="H49" s="1782"/>
      <c r="I49" s="1784" t="s">
        <v>1278</v>
      </c>
      <c r="J49" s="1769"/>
      <c r="K49" s="1769"/>
      <c r="L49" s="1770"/>
    </row>
    <row r="50" spans="1:12" s="1701" customFormat="1" ht="5.25">
      <c r="A50" s="1785"/>
      <c r="B50" s="1785"/>
      <c r="C50" s="1785"/>
      <c r="D50" s="1785"/>
      <c r="E50" s="1785"/>
      <c r="F50" s="1785"/>
      <c r="G50" s="1785"/>
      <c r="H50" s="1785"/>
      <c r="J50" s="1786"/>
      <c r="K50" s="1786"/>
      <c r="L50" s="1786"/>
    </row>
    <row r="51" spans="1:12" ht="14.25" customHeight="1">
      <c r="A51" s="1782"/>
      <c r="B51" s="1782"/>
      <c r="C51" s="1787">
        <v>1</v>
      </c>
      <c r="D51" s="1782" t="s">
        <v>1273</v>
      </c>
      <c r="E51" s="1782"/>
      <c r="F51" s="1782"/>
      <c r="G51" s="1782"/>
      <c r="H51" s="1782"/>
      <c r="I51" s="1531" t="s">
        <v>857</v>
      </c>
      <c r="J51" s="1769"/>
      <c r="K51" s="1769"/>
      <c r="L51" s="1770"/>
    </row>
    <row r="52" spans="1:12" ht="14.25" customHeight="1">
      <c r="A52" s="1782"/>
      <c r="B52" s="1782"/>
      <c r="C52" s="1787">
        <v>2</v>
      </c>
      <c r="D52" s="1782" t="s">
        <v>1274</v>
      </c>
      <c r="E52" s="1782"/>
      <c r="F52" s="1782"/>
      <c r="G52" s="1782"/>
      <c r="H52" s="1782"/>
      <c r="I52" s="1532" t="s">
        <v>857</v>
      </c>
      <c r="J52" s="1769"/>
      <c r="K52" s="1769"/>
      <c r="L52" s="1770"/>
    </row>
    <row r="53" spans="1:12" ht="14.25" customHeight="1">
      <c r="A53" s="1782"/>
      <c r="B53" s="1782"/>
      <c r="C53" s="1787">
        <v>3</v>
      </c>
      <c r="D53" s="1782" t="s">
        <v>1275</v>
      </c>
      <c r="E53" s="1782"/>
      <c r="F53" s="1782"/>
      <c r="G53" s="1782"/>
      <c r="H53" s="1782"/>
      <c r="I53" s="1532" t="s">
        <v>857</v>
      </c>
      <c r="J53" s="1769"/>
      <c r="K53" s="1769"/>
      <c r="L53" s="1770"/>
    </row>
    <row r="54" spans="1:12" ht="14.25" customHeight="1">
      <c r="A54" s="1782"/>
      <c r="B54" s="1782"/>
      <c r="C54" s="1787">
        <v>4</v>
      </c>
      <c r="D54" s="1782" t="s">
        <v>1276</v>
      </c>
      <c r="E54" s="1782"/>
      <c r="F54" s="1782"/>
      <c r="G54" s="1782"/>
      <c r="H54" s="1782"/>
      <c r="I54" s="1532" t="s">
        <v>857</v>
      </c>
      <c r="J54" s="1769"/>
      <c r="K54" s="1769"/>
      <c r="L54" s="1770"/>
    </row>
    <row r="55" spans="1:12" ht="14.25" customHeight="1">
      <c r="A55" s="1782"/>
      <c r="B55" s="1782"/>
      <c r="C55" s="1787">
        <v>5</v>
      </c>
      <c r="D55" s="1782" t="s">
        <v>1277</v>
      </c>
      <c r="E55" s="1782"/>
      <c r="F55" s="1782"/>
      <c r="G55" s="1782"/>
      <c r="H55" s="1782"/>
      <c r="I55" s="1533" t="s">
        <v>857</v>
      </c>
      <c r="J55" s="1769"/>
      <c r="K55" s="1769"/>
      <c r="L55" s="1770"/>
    </row>
    <row r="56" spans="1:12" s="1701" customFormat="1" ht="5.25">
      <c r="A56" s="1785"/>
      <c r="B56" s="1785"/>
      <c r="C56" s="1785"/>
      <c r="D56" s="1785"/>
      <c r="E56" s="1785"/>
      <c r="F56" s="1785"/>
      <c r="G56" s="1785"/>
      <c r="H56" s="1785"/>
      <c r="J56" s="1786"/>
      <c r="K56" s="1786"/>
      <c r="L56" s="1786"/>
    </row>
    <row r="57" spans="1:12" ht="14.25" customHeight="1">
      <c r="A57" s="1782"/>
      <c r="B57" s="1658" t="s">
        <v>179</v>
      </c>
      <c r="C57" s="1751"/>
      <c r="D57" s="1724"/>
      <c r="E57" s="1724"/>
      <c r="F57" s="1724"/>
      <c r="G57" s="1724"/>
      <c r="H57" s="1724"/>
      <c r="I57" s="1724"/>
      <c r="J57" s="1724"/>
      <c r="K57" s="1769"/>
      <c r="L57" s="1770"/>
    </row>
    <row r="58" spans="1:12" ht="14.25" customHeight="1">
      <c r="A58" s="1782"/>
      <c r="B58" s="2871"/>
      <c r="C58" s="2872"/>
      <c r="D58" s="2872"/>
      <c r="E58" s="2872"/>
      <c r="F58" s="2872"/>
      <c r="G58" s="2872"/>
      <c r="H58" s="2872"/>
      <c r="I58" s="2872"/>
      <c r="J58" s="2872"/>
      <c r="K58" s="2873"/>
      <c r="L58" s="1770"/>
    </row>
    <row r="59" spans="1:12" ht="14.25" customHeight="1">
      <c r="A59" s="1782"/>
      <c r="B59" s="2882"/>
      <c r="C59" s="2883"/>
      <c r="D59" s="2883"/>
      <c r="E59" s="2883"/>
      <c r="F59" s="2883"/>
      <c r="G59" s="2883"/>
      <c r="H59" s="2883"/>
      <c r="I59" s="2883"/>
      <c r="J59" s="2883"/>
      <c r="K59" s="2884"/>
      <c r="L59" s="1770"/>
    </row>
    <row r="60" spans="1:12" ht="14.25" customHeight="1">
      <c r="A60" s="1782"/>
      <c r="B60" s="2885"/>
      <c r="C60" s="2886"/>
      <c r="D60" s="2886"/>
      <c r="E60" s="2886"/>
      <c r="F60" s="2886"/>
      <c r="G60" s="2886"/>
      <c r="H60" s="2886"/>
      <c r="I60" s="2886"/>
      <c r="J60" s="2886"/>
      <c r="K60" s="2887"/>
      <c r="L60" s="1770"/>
    </row>
    <row r="61" spans="1:12" s="1701" customFormat="1" ht="5.25">
      <c r="A61" s="1785"/>
      <c r="B61" s="1785"/>
      <c r="C61" s="1785"/>
      <c r="D61" s="1785"/>
      <c r="E61" s="1785"/>
      <c r="F61" s="1785"/>
      <c r="G61" s="1785"/>
      <c r="H61" s="1785"/>
      <c r="J61" s="1786"/>
      <c r="K61" s="1786"/>
      <c r="L61" s="1786"/>
    </row>
    <row r="62" spans="1:12" ht="14.25" customHeight="1">
      <c r="A62" s="1782"/>
      <c r="B62" s="3252" t="s">
        <v>858</v>
      </c>
      <c r="C62" s="3252"/>
      <c r="D62" s="3252"/>
      <c r="E62" s="1782"/>
      <c r="F62" s="1782"/>
      <c r="G62" s="1782"/>
      <c r="H62" s="1782"/>
      <c r="I62" s="1769"/>
      <c r="J62" s="1769"/>
      <c r="K62" s="1769"/>
      <c r="L62" s="1770"/>
    </row>
    <row r="63" spans="1:12" ht="14.25" customHeight="1">
      <c r="A63" s="1782"/>
      <c r="B63" s="1782" t="s">
        <v>977</v>
      </c>
      <c r="C63" s="1782"/>
      <c r="D63" s="1782"/>
      <c r="E63" s="1782"/>
      <c r="F63" s="1782"/>
      <c r="G63" s="1782"/>
      <c r="H63" s="1782"/>
      <c r="I63" s="1769"/>
      <c r="J63" s="1769"/>
      <c r="K63" s="1769"/>
      <c r="L63" s="1770"/>
    </row>
    <row r="64" spans="1:12" ht="9" customHeight="1">
      <c r="A64" s="3253"/>
      <c r="B64" s="3253"/>
      <c r="C64" s="3253"/>
      <c r="D64" s="3253"/>
      <c r="E64" s="3253"/>
      <c r="F64" s="3253"/>
      <c r="G64" s="3253"/>
      <c r="H64" s="3253"/>
      <c r="I64" s="3238"/>
      <c r="J64" s="3238"/>
      <c r="K64" s="3238"/>
      <c r="L64" s="3238"/>
    </row>
    <row r="65" spans="1:12" ht="9" customHeight="1">
      <c r="A65" s="3253"/>
      <c r="B65" s="3253"/>
      <c r="C65" s="3253"/>
      <c r="D65" s="3253"/>
      <c r="E65" s="3253"/>
      <c r="F65" s="3253"/>
      <c r="G65" s="3253"/>
      <c r="H65" s="3253"/>
      <c r="I65" s="3238"/>
      <c r="J65" s="3238"/>
      <c r="K65" s="3238"/>
      <c r="L65" s="3238"/>
    </row>
    <row r="66" spans="1:12" ht="9" customHeight="1">
      <c r="A66" s="3238"/>
      <c r="B66" s="3238"/>
      <c r="C66" s="3238"/>
      <c r="D66" s="3238"/>
      <c r="E66" s="3238"/>
      <c r="F66" s="3238"/>
      <c r="G66" s="3238"/>
      <c r="H66" s="3238"/>
      <c r="I66" s="3238"/>
      <c r="J66" s="3238"/>
      <c r="K66" s="3238"/>
      <c r="L66" s="3238"/>
    </row>
    <row r="67" spans="1:12" ht="9" customHeight="1">
      <c r="A67" s="3238"/>
      <c r="B67" s="3238"/>
      <c r="C67" s="3238"/>
      <c r="D67" s="3238"/>
      <c r="E67" s="3238"/>
      <c r="F67" s="3238"/>
      <c r="G67" s="3238"/>
      <c r="H67" s="3238"/>
      <c r="I67" s="3238"/>
      <c r="J67" s="3238"/>
      <c r="K67" s="3238"/>
      <c r="L67" s="3238"/>
    </row>
    <row r="68" spans="1:12">
      <c r="A68" s="3141" t="str">
        <f>CHENG</f>
        <v>CANO ARTHUR D. CADAVOS</v>
      </c>
      <c r="B68" s="3141"/>
      <c r="C68" s="3141"/>
      <c r="D68" s="3141"/>
      <c r="E68" s="3141"/>
      <c r="F68" s="3254" t="str">
        <f>IF(BARGESEL=1,BARGEREP,MYBARGECHIEF)</f>
        <v>TEMEL KALYONCU</v>
      </c>
      <c r="G68" s="3254"/>
      <c r="H68" s="3254"/>
      <c r="I68" s="3254"/>
      <c r="J68" s="3141" t="str">
        <f>SURVEYOR</f>
        <v>MEHMET EROĞLU</v>
      </c>
      <c r="K68" s="3141"/>
      <c r="L68" s="3141"/>
    </row>
    <row r="69" spans="1:12">
      <c r="A69" s="3255" t="s">
        <v>15</v>
      </c>
      <c r="B69" s="3255"/>
      <c r="C69" s="3255"/>
      <c r="D69" s="3255"/>
      <c r="E69" s="3255"/>
      <c r="F69" s="3255" t="s">
        <v>840</v>
      </c>
      <c r="G69" s="3255"/>
      <c r="H69" s="3255"/>
      <c r="I69" s="3255"/>
      <c r="J69" s="3141" t="str">
        <f>"Bunker Surveyor"&amp;IF(SPORE=TRUE,", License No. "&amp;SURVLIC,"")</f>
        <v>Bunker Surveyor</v>
      </c>
      <c r="K69" s="3141"/>
      <c r="L69" s="3141"/>
    </row>
    <row r="70" spans="1:12" ht="6" customHeight="1">
      <c r="A70" s="1788"/>
      <c r="B70" s="1788"/>
      <c r="C70" s="1788"/>
      <c r="D70" s="1788"/>
      <c r="E70" s="1788"/>
      <c r="F70" s="1788"/>
      <c r="G70" s="1788"/>
      <c r="H70" s="1788"/>
      <c r="I70" s="1788"/>
      <c r="J70" s="1788"/>
      <c r="K70" s="1788"/>
      <c r="L70" s="1788"/>
    </row>
    <row r="71" spans="1:12" ht="9" customHeight="1">
      <c r="A71"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B71" s="3155"/>
      <c r="C71" s="3155"/>
      <c r="D71" s="3155"/>
      <c r="E71" s="3155"/>
      <c r="F71" s="3155"/>
      <c r="G71" s="3155"/>
      <c r="H71" s="3155"/>
      <c r="I71" s="3155"/>
      <c r="J71" s="3155"/>
      <c r="K71" s="3256"/>
      <c r="L71" s="3126"/>
    </row>
    <row r="72" spans="1:12" ht="8.25" customHeight="1">
      <c r="A72" s="3157"/>
      <c r="B72" s="3158"/>
      <c r="C72" s="3158"/>
      <c r="D72" s="3158"/>
      <c r="E72" s="3158"/>
      <c r="F72" s="3158"/>
      <c r="G72" s="3158"/>
      <c r="H72" s="3158"/>
      <c r="I72" s="3158"/>
      <c r="J72" s="3158"/>
      <c r="K72" s="3257"/>
      <c r="L72" s="3127"/>
    </row>
    <row r="73" spans="1:12" ht="8.25" customHeight="1">
      <c r="A73" s="3157"/>
      <c r="B73" s="3158"/>
      <c r="C73" s="3158"/>
      <c r="D73" s="3158"/>
      <c r="E73" s="3158"/>
      <c r="F73" s="3158"/>
      <c r="G73" s="3158"/>
      <c r="H73" s="3158"/>
      <c r="I73" s="3158"/>
      <c r="J73" s="3158"/>
      <c r="K73" s="3257"/>
      <c r="L73" s="3127"/>
    </row>
    <row r="74" spans="1:12" ht="8.25" customHeight="1">
      <c r="A74" s="3157"/>
      <c r="B74" s="3158"/>
      <c r="C74" s="3158"/>
      <c r="D74" s="3158"/>
      <c r="E74" s="3158"/>
      <c r="F74" s="3158"/>
      <c r="G74" s="3158"/>
      <c r="H74" s="3158"/>
      <c r="I74" s="3158"/>
      <c r="J74" s="3158"/>
      <c r="K74" s="3257"/>
      <c r="L74" s="3127"/>
    </row>
    <row r="75" spans="1:12" ht="8.25" customHeight="1">
      <c r="A75" s="3157"/>
      <c r="B75" s="3158"/>
      <c r="C75" s="3158"/>
      <c r="D75" s="3158"/>
      <c r="E75" s="3158"/>
      <c r="F75" s="3158"/>
      <c r="G75" s="3158"/>
      <c r="H75" s="3158"/>
      <c r="I75" s="3158"/>
      <c r="J75" s="3158"/>
      <c r="K75" s="3257"/>
      <c r="L75" s="3127"/>
    </row>
    <row r="76" spans="1:12" ht="8.25" customHeight="1">
      <c r="A76" s="3159"/>
      <c r="B76" s="3160"/>
      <c r="C76" s="3160"/>
      <c r="D76" s="3160"/>
      <c r="E76" s="3160"/>
      <c r="F76" s="3160"/>
      <c r="G76" s="3160"/>
      <c r="H76" s="3160"/>
      <c r="I76" s="3160"/>
      <c r="J76" s="3160"/>
      <c r="K76" s="3258"/>
      <c r="L76" s="3128"/>
    </row>
  </sheetData>
  <sheetProtection algorithmName="SHA-512" hashValue="YdFw/zYy3Uq6CfcnIPlgemcQJyCJcJpWjJCN2k53EanVqUGJQGBJsNx6BK23fzQFLHM41bC0wynfPBG3YhQhXA==" saltValue="gYFTXghorKOCUiVqJ2ym5g==" spinCount="100000" sheet="1" objects="1" scenarios="1" autoFilter="0"/>
  <mergeCells count="59">
    <mergeCell ref="A13:C13"/>
    <mergeCell ref="D13:G13"/>
    <mergeCell ref="A12:C12"/>
    <mergeCell ref="D12:G12"/>
    <mergeCell ref="J12:L12"/>
    <mergeCell ref="H12:I12"/>
    <mergeCell ref="I16:J16"/>
    <mergeCell ref="K16:K17"/>
    <mergeCell ref="H13:I13"/>
    <mergeCell ref="J13:L13"/>
    <mergeCell ref="J14:L15"/>
    <mergeCell ref="H14:I14"/>
    <mergeCell ref="C23:E23"/>
    <mergeCell ref="B16:B17"/>
    <mergeCell ref="C16:E17"/>
    <mergeCell ref="F16:F17"/>
    <mergeCell ref="G16:H16"/>
    <mergeCell ref="C18:E18"/>
    <mergeCell ref="C19:E19"/>
    <mergeCell ref="C20:E20"/>
    <mergeCell ref="C21:E21"/>
    <mergeCell ref="C22:E22"/>
    <mergeCell ref="C35:E35"/>
    <mergeCell ref="C24:E24"/>
    <mergeCell ref="C25:E25"/>
    <mergeCell ref="C26:E26"/>
    <mergeCell ref="C27:E27"/>
    <mergeCell ref="C28:E28"/>
    <mergeCell ref="C29:E29"/>
    <mergeCell ref="C30:E30"/>
    <mergeCell ref="C31:E31"/>
    <mergeCell ref="C32:E32"/>
    <mergeCell ref="C33:E33"/>
    <mergeCell ref="C34:E34"/>
    <mergeCell ref="C47:E47"/>
    <mergeCell ref="C36:E36"/>
    <mergeCell ref="C37:E37"/>
    <mergeCell ref="C38:E38"/>
    <mergeCell ref="C39:E39"/>
    <mergeCell ref="C40:E40"/>
    <mergeCell ref="C41:E41"/>
    <mergeCell ref="C42:E42"/>
    <mergeCell ref="C43:E43"/>
    <mergeCell ref="C44:E44"/>
    <mergeCell ref="C45:E45"/>
    <mergeCell ref="C46:E46"/>
    <mergeCell ref="B58:K58"/>
    <mergeCell ref="B59:K59"/>
    <mergeCell ref="B60:K60"/>
    <mergeCell ref="A71:J76"/>
    <mergeCell ref="B62:D62"/>
    <mergeCell ref="A64:L67"/>
    <mergeCell ref="A68:E68"/>
    <mergeCell ref="F68:I68"/>
    <mergeCell ref="J68:L68"/>
    <mergeCell ref="A69:E69"/>
    <mergeCell ref="F69:I69"/>
    <mergeCell ref="J69:L69"/>
    <mergeCell ref="K71:L76"/>
  </mergeCells>
  <dataValidations count="2">
    <dataValidation type="list" allowBlank="1" showInputMessage="1" showErrorMessage="1" sqref="G18:J47 I51:I55" xr:uid="{00000000-0002-0000-1B00-000000000000}">
      <formula1>$O$13:$O$13</formula1>
    </dataValidation>
    <dataValidation type="list" errorStyle="information" allowBlank="1" showInputMessage="1" showErrorMessage="1" prompt="Choose Remarks from list or edit yours." sqref="B58:B60" xr:uid="{00000000-0002-0000-1B00-000001000000}">
      <formula1>REMCOL</formula1>
    </dataValidation>
  </dataValidations>
  <hyperlinks>
    <hyperlink ref="B57" location="REMCODE" display="Remarks:" xr:uid="{00000000-0004-0000-1B00-000000000000}"/>
  </hyperlinks>
  <printOptions horizontalCentered="1"/>
  <pageMargins left="0.3" right="0.3" top="0.2" bottom="0.3" header="0.3" footer="0.1"/>
  <pageSetup paperSize="9" scale="96" orientation="portrait" r:id="rId1"/>
  <headerFooter scaleWithDoc="0">
    <oddFooter>&amp;L&amp;8BunkerManager, v1.12&amp;C&amp;8by AMS-Marine | www.ams-marine.com&amp;R&amp;8RefNo: BD/2015/00926 SG</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7" filterMode="1">
    <tabColor theme="5"/>
    <pageSetUpPr fitToPage="1"/>
  </sheetPr>
  <dimension ref="A1:Q396"/>
  <sheetViews>
    <sheetView showGridLines="0" showRowColHeaders="0" topLeftCell="B8" zoomScale="110" zoomScaleNormal="110" zoomScaleSheetLayoutView="100" workbookViewId="0">
      <pane ySplit="4" topLeftCell="A12" activePane="bottomLeft" state="frozen"/>
      <selection pane="bottomLeft"/>
    </sheetView>
  </sheetViews>
  <sheetFormatPr defaultColWidth="0" defaultRowHeight="12.75" zeroHeight="1"/>
  <cols>
    <col min="1" max="1" width="8" style="1693" hidden="1" customWidth="1"/>
    <col min="2" max="10" width="7.625" style="1693" customWidth="1"/>
    <col min="11" max="12" width="9.625" style="1693" customWidth="1"/>
    <col min="13" max="13" width="7.625" style="1693" customWidth="1"/>
    <col min="14" max="14" width="0.25" style="1693" customWidth="1"/>
    <col min="15" max="16384" width="7.625" style="1693" hidden="1"/>
  </cols>
  <sheetData>
    <row r="1" spans="1:17" ht="15" hidden="1">
      <c r="A1" s="1693">
        <f>SUM(A2:A7)</f>
        <v>1</v>
      </c>
      <c r="B1" s="1690"/>
      <c r="C1" s="1691"/>
      <c r="D1" s="1691"/>
      <c r="E1" s="1691"/>
      <c r="F1" s="1692"/>
      <c r="G1" s="1692"/>
      <c r="H1" s="1692"/>
      <c r="I1" s="1692"/>
      <c r="J1" s="1692"/>
      <c r="K1" s="1692"/>
      <c r="L1" s="1692"/>
      <c r="M1" s="1692"/>
      <c r="N1" s="1693">
        <v>2</v>
      </c>
    </row>
    <row r="2" spans="1:17" ht="15">
      <c r="A2" s="1693">
        <f>IF(PGUIDE1="Y",1,0)</f>
        <v>0</v>
      </c>
      <c r="B2" s="1690"/>
      <c r="C2" s="1691"/>
      <c r="D2" s="1691"/>
      <c r="E2" s="1691"/>
      <c r="F2" s="1692"/>
      <c r="G2" s="1692"/>
      <c r="H2" s="1692"/>
      <c r="I2" s="1692"/>
      <c r="J2" s="1692"/>
      <c r="K2" s="1692"/>
      <c r="L2" s="1692"/>
      <c r="M2" s="1692"/>
      <c r="Q2" s="1789">
        <v>1</v>
      </c>
    </row>
    <row r="3" spans="1:17" ht="15">
      <c r="A3" s="1693">
        <f>IF(PGUIDE2="Y",1,0)</f>
        <v>0</v>
      </c>
      <c r="B3" s="1690"/>
      <c r="C3" s="1691"/>
      <c r="D3" s="1691"/>
      <c r="E3" s="1691"/>
      <c r="F3" s="1692"/>
      <c r="G3" s="1692"/>
      <c r="H3" s="1692"/>
      <c r="I3" s="1692"/>
      <c r="J3" s="1692"/>
      <c r="K3" s="1692"/>
      <c r="L3" s="1692"/>
      <c r="M3" s="1692"/>
      <c r="Q3" s="1790" t="s">
        <v>978</v>
      </c>
    </row>
    <row r="4" spans="1:17" ht="18.75">
      <c r="A4" s="1693">
        <f>IF(PGUIDE3="Y",1,0)</f>
        <v>0</v>
      </c>
      <c r="B4" s="1690"/>
      <c r="C4" s="1691"/>
      <c r="D4" s="1691"/>
      <c r="E4" s="1691"/>
      <c r="F4" s="1692"/>
      <c r="G4" s="1692"/>
      <c r="H4" s="1690"/>
      <c r="I4" s="1692"/>
      <c r="J4" s="1692"/>
      <c r="K4" s="1692"/>
      <c r="L4" s="1692"/>
      <c r="M4" s="1696" t="str">
        <f>COMPANY1</f>
        <v>Petro Inspect International</v>
      </c>
      <c r="Q4" s="1790" t="s">
        <v>979</v>
      </c>
    </row>
    <row r="5" spans="1:17" ht="15">
      <c r="A5" s="1693">
        <f>IF(PGUIDE4="Y",1,0)</f>
        <v>0</v>
      </c>
      <c r="B5" s="1690"/>
      <c r="C5" s="1691"/>
      <c r="D5" s="1691"/>
      <c r="E5" s="1691"/>
      <c r="F5" s="1692"/>
      <c r="G5" s="1692"/>
      <c r="H5" s="1690"/>
      <c r="I5" s="1692"/>
      <c r="J5" s="1692"/>
      <c r="K5" s="1692"/>
      <c r="L5" s="1692"/>
      <c r="M5" s="1697" t="str">
        <f>COMPANY2</f>
        <v>ops@petro-inspect.com</v>
      </c>
    </row>
    <row r="6" spans="1:17" ht="15">
      <c r="A6" s="1693">
        <f>IF(PGUIDE5="Y",1,0)</f>
        <v>0</v>
      </c>
      <c r="B6" s="1690"/>
      <c r="C6" s="1691"/>
      <c r="D6" s="1691"/>
      <c r="E6" s="1691"/>
      <c r="F6" s="1692"/>
      <c r="G6" s="1692"/>
      <c r="H6" s="1690"/>
      <c r="I6" s="1692"/>
      <c r="J6" s="1692"/>
      <c r="K6" s="1692"/>
      <c r="L6" s="1692"/>
      <c r="M6" s="1697" t="str">
        <f>COMPANY3</f>
        <v/>
      </c>
    </row>
    <row r="7" spans="1:17" ht="15">
      <c r="A7" s="1693">
        <f>IF(PGUIDE6="Y",1,0)</f>
        <v>1</v>
      </c>
      <c r="B7" s="1691"/>
      <c r="C7" s="1691"/>
      <c r="D7" s="1691"/>
      <c r="E7" s="1691"/>
      <c r="F7" s="1692"/>
      <c r="G7" s="1692"/>
      <c r="H7" s="1690"/>
      <c r="I7" s="1692"/>
      <c r="J7" s="1692"/>
      <c r="K7" s="1692"/>
      <c r="L7" s="1692"/>
      <c r="M7" s="1697" t="str">
        <f>COMPANY4</f>
        <v/>
      </c>
    </row>
    <row r="8" spans="1:17" s="1710" customFormat="1" ht="3" customHeight="1" thickBot="1">
      <c r="B8" s="1036"/>
      <c r="C8" s="1036"/>
      <c r="D8" s="1036"/>
      <c r="E8" s="1036"/>
      <c r="F8" s="1758"/>
      <c r="G8" s="1758"/>
      <c r="H8" s="1759"/>
      <c r="I8" s="1760"/>
      <c r="J8" s="1760"/>
      <c r="K8" s="1760"/>
      <c r="L8" s="1760"/>
      <c r="M8" s="1760"/>
    </row>
    <row r="9" spans="1:17" s="1710" customFormat="1" ht="3" customHeight="1">
      <c r="B9" s="1037"/>
      <c r="C9" s="1037"/>
      <c r="D9" s="1037"/>
      <c r="E9" s="1037"/>
      <c r="F9" s="1761"/>
      <c r="G9" s="1761"/>
      <c r="H9" s="1762"/>
      <c r="I9" s="1763"/>
      <c r="J9" s="1763"/>
      <c r="K9" s="1763"/>
      <c r="L9" s="1763"/>
      <c r="M9" s="1763"/>
    </row>
    <row r="10" spans="1:17" ht="24.75" customHeight="1">
      <c r="A10" s="1693" t="s">
        <v>284</v>
      </c>
      <c r="B10" s="1764"/>
      <c r="C10" s="1764"/>
      <c r="D10" s="1764"/>
      <c r="E10" s="1764"/>
      <c r="F10" s="1764"/>
      <c r="G10" s="1764"/>
      <c r="H10" s="1765" t="s">
        <v>1458</v>
      </c>
      <c r="I10" s="1764"/>
      <c r="J10" s="1764"/>
      <c r="K10" s="1764"/>
      <c r="L10" s="1764"/>
      <c r="M10" s="1764"/>
    </row>
    <row r="11" spans="1:17" s="1710" customFormat="1" ht="3" customHeight="1">
      <c r="A11" s="1710" t="s">
        <v>284</v>
      </c>
      <c r="B11" s="1766"/>
      <c r="C11" s="1766"/>
      <c r="D11" s="1766"/>
      <c r="E11" s="1767"/>
      <c r="F11" s="1767"/>
      <c r="G11" s="1767"/>
      <c r="H11" s="1767"/>
      <c r="I11" s="1767"/>
      <c r="J11" s="1767"/>
      <c r="K11" s="1767"/>
      <c r="L11" s="1767"/>
      <c r="M11" s="1767"/>
    </row>
    <row r="12" spans="1:17" hidden="1">
      <c r="A12" s="1791" t="str">
        <f>IF(AND(FMTYPE1&lt;&gt;0,FMTYPE1&lt;&gt;"-",FMTYPE1&lt;&gt;TANKMEAS,MYBARGENAME=E12,K14&gt;0),"Y","N")</f>
        <v>N</v>
      </c>
      <c r="B12" s="3348" t="s">
        <v>788</v>
      </c>
      <c r="C12" s="3349"/>
      <c r="D12" s="3349"/>
      <c r="E12" s="3350" t="str">
        <f>'Cover Page'!I$89</f>
        <v/>
      </c>
      <c r="F12" s="3350"/>
      <c r="G12" s="3350"/>
      <c r="H12" s="3350"/>
      <c r="I12" s="3351" t="s">
        <v>789</v>
      </c>
      <c r="J12" s="3351"/>
      <c r="K12" s="3352" t="str">
        <f>PORT</f>
        <v>ISTANBUL / TURKEY</v>
      </c>
      <c r="L12" s="3352"/>
      <c r="M12" s="3353"/>
    </row>
    <row r="13" spans="1:17" hidden="1">
      <c r="A13" s="1693" t="str">
        <f>A12</f>
        <v>N</v>
      </c>
      <c r="B13" s="3354" t="s">
        <v>160</v>
      </c>
      <c r="C13" s="3355"/>
      <c r="D13" s="3355"/>
      <c r="E13" s="3356" t="str">
        <f>VESSEL</f>
        <v>MV PESSADA</v>
      </c>
      <c r="F13" s="3356"/>
      <c r="G13" s="3356"/>
      <c r="H13" s="3356"/>
      <c r="I13" s="3357" t="s">
        <v>790</v>
      </c>
      <c r="J13" s="3357"/>
      <c r="K13" s="3358">
        <f>DATESURVC</f>
        <v>44792</v>
      </c>
      <c r="L13" s="3358"/>
      <c r="M13" s="3359"/>
    </row>
    <row r="14" spans="1:17" hidden="1">
      <c r="A14" s="1693" t="str">
        <f t="shared" ref="A14:A35" si="0">A13</f>
        <v>N</v>
      </c>
      <c r="B14" s="3339" t="s">
        <v>367</v>
      </c>
      <c r="C14" s="3340"/>
      <c r="D14" s="3340"/>
      <c r="E14" s="3341"/>
      <c r="F14" s="3341"/>
      <c r="G14" s="3341"/>
      <c r="H14" s="3341"/>
      <c r="I14" s="3342" t="s">
        <v>764</v>
      </c>
      <c r="J14" s="3342"/>
      <c r="K14" s="3343" t="str">
        <f>'Cover Page'!I$88</f>
        <v>HSFO</v>
      </c>
      <c r="L14" s="3343"/>
      <c r="M14" s="3344"/>
    </row>
    <row r="15" spans="1:17" s="1813" customFormat="1" ht="9" hidden="1">
      <c r="A15" s="1813" t="str">
        <f t="shared" si="0"/>
        <v>N</v>
      </c>
      <c r="B15" s="1917"/>
      <c r="C15" s="1917"/>
      <c r="D15" s="1917"/>
      <c r="E15" s="1917"/>
      <c r="F15" s="1917"/>
      <c r="G15" s="1917"/>
      <c r="H15" s="1917"/>
      <c r="I15" s="1917"/>
      <c r="J15" s="1917"/>
      <c r="K15" s="1921"/>
      <c r="L15" s="1921"/>
      <c r="M15" s="1921"/>
    </row>
    <row r="16" spans="1:17" ht="18.75" hidden="1">
      <c r="A16" s="1924" t="str">
        <f t="shared" si="0"/>
        <v>N</v>
      </c>
      <c r="B16" s="1770"/>
      <c r="C16" s="3345" t="s">
        <v>859</v>
      </c>
      <c r="D16" s="3346"/>
      <c r="E16" s="3346"/>
      <c r="F16" s="3346"/>
      <c r="G16" s="3346"/>
      <c r="H16" s="3346"/>
      <c r="I16" s="3346"/>
      <c r="J16" s="3346"/>
      <c r="K16" s="3346"/>
      <c r="L16" s="3347"/>
      <c r="M16" s="1770"/>
    </row>
    <row r="17" spans="1:13" hidden="1">
      <c r="A17" s="1693" t="str">
        <f t="shared" si="0"/>
        <v>N</v>
      </c>
      <c r="B17" s="1770"/>
      <c r="C17" s="3330" t="s">
        <v>1112</v>
      </c>
      <c r="D17" s="3330"/>
      <c r="E17" s="3331"/>
      <c r="F17" s="3332" t="str">
        <f>IF(FMTYPE1=0,"",INDEX(FMTYPES,MATCH(FMTYPE1,METHOFCALCSHORT,0),1))</f>
        <v>Air</v>
      </c>
      <c r="G17" s="3333"/>
      <c r="H17" s="3330" t="s">
        <v>860</v>
      </c>
      <c r="I17" s="3330"/>
      <c r="J17" s="3331"/>
      <c r="K17" s="3334"/>
      <c r="L17" s="3335"/>
      <c r="M17" s="1770"/>
    </row>
    <row r="18" spans="1:13" hidden="1">
      <c r="A18" s="1693" t="str">
        <f t="shared" si="0"/>
        <v>N</v>
      </c>
      <c r="B18" s="1770"/>
      <c r="C18" s="3312" t="s">
        <v>1267</v>
      </c>
      <c r="D18" s="3312"/>
      <c r="E18" s="3313"/>
      <c r="F18" s="3311" t="s">
        <v>903</v>
      </c>
      <c r="G18" s="3336"/>
      <c r="H18" s="3312" t="s">
        <v>861</v>
      </c>
      <c r="I18" s="3312"/>
      <c r="J18" s="3313"/>
      <c r="K18" s="3337">
        <v>12</v>
      </c>
      <c r="L18" s="3338"/>
      <c r="M18" s="1770"/>
    </row>
    <row r="19" spans="1:13" hidden="1">
      <c r="A19" s="1693" t="str">
        <f t="shared" si="0"/>
        <v>N</v>
      </c>
      <c r="B19" s="1770"/>
      <c r="C19" s="3307" t="s">
        <v>962</v>
      </c>
      <c r="D19" s="3308"/>
      <c r="E19" s="3309"/>
      <c r="F19" s="3310">
        <v>12345</v>
      </c>
      <c r="G19" s="3311"/>
      <c r="H19" s="3312" t="s">
        <v>1266</v>
      </c>
      <c r="I19" s="3312"/>
      <c r="J19" s="3313"/>
      <c r="K19" s="3320">
        <v>0</v>
      </c>
      <c r="L19" s="3321"/>
      <c r="M19" s="1770"/>
    </row>
    <row r="20" spans="1:13" hidden="1">
      <c r="A20" s="1693" t="str">
        <f t="shared" si="0"/>
        <v>N</v>
      </c>
      <c r="B20" s="1770"/>
      <c r="C20" s="3307" t="s">
        <v>862</v>
      </c>
      <c r="D20" s="3308"/>
      <c r="E20" s="3309"/>
      <c r="F20" s="3328">
        <v>41032</v>
      </c>
      <c r="G20" s="3329"/>
      <c r="H20" s="3312" t="s">
        <v>864</v>
      </c>
      <c r="I20" s="3312"/>
      <c r="J20" s="3313"/>
      <c r="K20" s="1792">
        <v>2.8</v>
      </c>
      <c r="L20" s="1793">
        <v>3</v>
      </c>
      <c r="M20" s="1770"/>
    </row>
    <row r="21" spans="1:13" hidden="1">
      <c r="A21" s="1693" t="str">
        <f t="shared" si="0"/>
        <v>N</v>
      </c>
      <c r="B21" s="1770"/>
      <c r="C21" s="3307" t="s">
        <v>863</v>
      </c>
      <c r="D21" s="3308"/>
      <c r="E21" s="3309"/>
      <c r="F21" s="3310" t="s">
        <v>902</v>
      </c>
      <c r="G21" s="3311"/>
      <c r="H21" s="3312" t="s">
        <v>866</v>
      </c>
      <c r="I21" s="3312"/>
      <c r="J21" s="3313"/>
      <c r="K21" s="1794" t="s">
        <v>904</v>
      </c>
      <c r="L21" s="1795" t="s">
        <v>904</v>
      </c>
      <c r="M21" s="1770"/>
    </row>
    <row r="22" spans="1:13" hidden="1">
      <c r="A22" s="1693" t="str">
        <f t="shared" si="0"/>
        <v>N</v>
      </c>
      <c r="B22" s="1770"/>
      <c r="C22" s="3307" t="s">
        <v>865</v>
      </c>
      <c r="D22" s="3308"/>
      <c r="E22" s="3309"/>
      <c r="F22" s="3310">
        <v>987</v>
      </c>
      <c r="G22" s="3311"/>
      <c r="H22" s="3312" t="s">
        <v>1268</v>
      </c>
      <c r="I22" s="3312"/>
      <c r="J22" s="3313"/>
      <c r="K22" s="1792">
        <v>100</v>
      </c>
      <c r="L22" s="1793">
        <v>1000</v>
      </c>
      <c r="M22" s="1770"/>
    </row>
    <row r="23" spans="1:13" hidden="1">
      <c r="A23" s="1693" t="str">
        <f t="shared" si="0"/>
        <v>N</v>
      </c>
      <c r="B23" s="1770"/>
      <c r="C23" s="3307" t="s">
        <v>867</v>
      </c>
      <c r="D23" s="3308"/>
      <c r="E23" s="3309"/>
      <c r="F23" s="3310">
        <v>12345</v>
      </c>
      <c r="G23" s="3311"/>
      <c r="H23" s="3312" t="s">
        <v>1269</v>
      </c>
      <c r="I23" s="3312"/>
      <c r="J23" s="3313"/>
      <c r="K23" s="1792">
        <v>100</v>
      </c>
      <c r="L23" s="1793">
        <v>1000</v>
      </c>
      <c r="M23" s="1770"/>
    </row>
    <row r="24" spans="1:13" hidden="1">
      <c r="A24" s="1693" t="str">
        <f t="shared" si="0"/>
        <v>N</v>
      </c>
      <c r="B24" s="1770"/>
      <c r="C24" s="3314" t="s">
        <v>899</v>
      </c>
      <c r="D24" s="3314"/>
      <c r="E24" s="3315"/>
      <c r="F24" s="3316" t="s">
        <v>905</v>
      </c>
      <c r="G24" s="3317"/>
      <c r="H24" s="3312" t="s">
        <v>1270</v>
      </c>
      <c r="I24" s="3312"/>
      <c r="J24" s="3313"/>
      <c r="K24" s="3320" t="s">
        <v>772</v>
      </c>
      <c r="L24" s="3321"/>
      <c r="M24" s="1770"/>
    </row>
    <row r="25" spans="1:13" hidden="1">
      <c r="A25" s="1693" t="str">
        <f t="shared" si="0"/>
        <v>N</v>
      </c>
      <c r="B25" s="1770"/>
      <c r="C25" s="3322"/>
      <c r="D25" s="3322"/>
      <c r="E25" s="3323"/>
      <c r="F25" s="3318"/>
      <c r="G25" s="3319"/>
      <c r="H25" s="3324" t="s">
        <v>49</v>
      </c>
      <c r="I25" s="3324"/>
      <c r="J25" s="3325"/>
      <c r="K25" s="3326" t="s">
        <v>1351</v>
      </c>
      <c r="L25" s="3327"/>
      <c r="M25" s="1770"/>
    </row>
    <row r="26" spans="1:13" s="1813" customFormat="1" ht="9" hidden="1">
      <c r="A26" s="1813" t="str">
        <f t="shared" si="0"/>
        <v>N</v>
      </c>
      <c r="B26" s="1917"/>
      <c r="C26" s="1917"/>
      <c r="D26" s="1917"/>
      <c r="E26" s="1917"/>
      <c r="F26" s="1917"/>
      <c r="G26" s="1917"/>
      <c r="H26" s="1917"/>
      <c r="I26" s="1917"/>
      <c r="J26" s="1917"/>
      <c r="K26" s="1917"/>
      <c r="L26" s="1917"/>
      <c r="M26" s="1917"/>
    </row>
    <row r="27" spans="1:13" hidden="1">
      <c r="A27" s="1693" t="str">
        <f t="shared" si="0"/>
        <v>N</v>
      </c>
      <c r="B27" s="1770"/>
      <c r="C27" s="1796" t="s">
        <v>868</v>
      </c>
      <c r="D27" s="3291" t="s">
        <v>1345</v>
      </c>
      <c r="E27" s="3291"/>
      <c r="F27" s="3291"/>
      <c r="G27" s="3291"/>
      <c r="H27" s="3292"/>
      <c r="I27" s="3305">
        <v>0</v>
      </c>
      <c r="J27" s="3306"/>
      <c r="K27" s="3306"/>
      <c r="L27" s="3306"/>
      <c r="M27" s="1770"/>
    </row>
    <row r="28" spans="1:13" hidden="1">
      <c r="A28" s="1693" t="str">
        <f t="shared" si="0"/>
        <v>N</v>
      </c>
      <c r="B28" s="1770"/>
      <c r="C28" s="1797" t="s">
        <v>869</v>
      </c>
      <c r="D28" s="3273" t="s">
        <v>1346</v>
      </c>
      <c r="E28" s="3273"/>
      <c r="F28" s="3273"/>
      <c r="G28" s="3273"/>
      <c r="H28" s="3274"/>
      <c r="I28" s="3275">
        <v>0</v>
      </c>
      <c r="J28" s="3276"/>
      <c r="K28" s="3276"/>
      <c r="L28" s="3276"/>
      <c r="M28" s="1770"/>
    </row>
    <row r="29" spans="1:13" hidden="1">
      <c r="A29" s="1693" t="str">
        <f t="shared" si="0"/>
        <v>N</v>
      </c>
      <c r="B29" s="1770"/>
      <c r="C29" s="1798" t="s">
        <v>870</v>
      </c>
      <c r="D29" s="3298" t="str">
        <f>"Delivered Meter Quantity - Mass in "&amp;F17&amp;" (B-A)"</f>
        <v>Delivered Meter Quantity - Mass in Air (B-A)</v>
      </c>
      <c r="E29" s="3299"/>
      <c r="F29" s="3299"/>
      <c r="G29" s="3299"/>
      <c r="H29" s="3300"/>
      <c r="I29" s="3301">
        <f>I28-I27</f>
        <v>0</v>
      </c>
      <c r="J29" s="3302"/>
      <c r="K29" s="3302"/>
      <c r="L29" s="3302"/>
      <c r="M29" s="1770"/>
    </row>
    <row r="30" spans="1:13" s="1813" customFormat="1" ht="9" hidden="1">
      <c r="A30" s="1813" t="str">
        <f t="shared" si="0"/>
        <v>N</v>
      </c>
      <c r="B30" s="1917"/>
      <c r="C30" s="1918"/>
      <c r="D30" s="1919"/>
      <c r="E30" s="1919"/>
      <c r="F30" s="1919"/>
      <c r="G30" s="1919"/>
      <c r="H30" s="1919"/>
      <c r="I30" s="1919"/>
      <c r="J30" s="1919"/>
      <c r="K30" s="1919"/>
      <c r="L30" s="1920"/>
      <c r="M30" s="1917"/>
    </row>
    <row r="31" spans="1:13" hidden="1">
      <c r="A31" s="1693" t="str">
        <f t="shared" si="0"/>
        <v>N</v>
      </c>
      <c r="B31" s="1770"/>
      <c r="C31" s="1796" t="s">
        <v>871</v>
      </c>
      <c r="D31" s="3291" t="s">
        <v>1347</v>
      </c>
      <c r="E31" s="3291"/>
      <c r="F31" s="3291"/>
      <c r="G31" s="3291"/>
      <c r="H31" s="3292"/>
      <c r="I31" s="3305">
        <v>2001</v>
      </c>
      <c r="J31" s="3306"/>
      <c r="K31" s="3306"/>
      <c r="L31" s="3306"/>
      <c r="M31" s="1770"/>
    </row>
    <row r="32" spans="1:13" hidden="1">
      <c r="A32" s="1693" t="str">
        <f t="shared" si="0"/>
        <v>N</v>
      </c>
      <c r="B32" s="1770"/>
      <c r="C32" s="1797" t="s">
        <v>269</v>
      </c>
      <c r="D32" s="3273" t="s">
        <v>1348</v>
      </c>
      <c r="E32" s="3273"/>
      <c r="F32" s="3273"/>
      <c r="G32" s="3273"/>
      <c r="H32" s="3274"/>
      <c r="I32" s="3275">
        <v>1000</v>
      </c>
      <c r="J32" s="3276"/>
      <c r="K32" s="3276"/>
      <c r="L32" s="3276"/>
      <c r="M32" s="1770"/>
    </row>
    <row r="33" spans="1:13" hidden="1">
      <c r="A33" s="1693" t="str">
        <f t="shared" si="0"/>
        <v>N</v>
      </c>
      <c r="B33" s="1770"/>
      <c r="C33" s="1798" t="s">
        <v>872</v>
      </c>
      <c r="D33" s="3298" t="str">
        <f>"Loading Meter Quantity - Mass in "&amp;F17&amp;" (E-D)"</f>
        <v>Loading Meter Quantity - Mass in Air (E-D)</v>
      </c>
      <c r="E33" s="3299"/>
      <c r="F33" s="3299"/>
      <c r="G33" s="3299"/>
      <c r="H33" s="3300"/>
      <c r="I33" s="3301">
        <f>I32-I31</f>
        <v>-1001</v>
      </c>
      <c r="J33" s="3302"/>
      <c r="K33" s="3302"/>
      <c r="L33" s="3302"/>
      <c r="M33" s="1770"/>
    </row>
    <row r="34" spans="1:13" s="1813" customFormat="1" ht="9" hidden="1">
      <c r="A34" s="1813" t="str">
        <f t="shared" si="0"/>
        <v>N</v>
      </c>
      <c r="B34" s="1917"/>
      <c r="C34" s="1917"/>
      <c r="D34" s="1917"/>
      <c r="E34" s="1917"/>
      <c r="F34" s="1917"/>
      <c r="G34" s="1917"/>
      <c r="H34" s="1917"/>
      <c r="I34" s="1917"/>
      <c r="J34" s="1917"/>
      <c r="K34" s="1917"/>
      <c r="L34" s="1917"/>
      <c r="M34" s="1917"/>
    </row>
    <row r="35" spans="1:13" hidden="1">
      <c r="A35" s="1693" t="str">
        <f t="shared" si="0"/>
        <v>N</v>
      </c>
      <c r="B35" s="1770"/>
      <c r="C35" s="3303" t="str">
        <f>"Quantity Delivered - Mass in "&amp;F17&amp;" (C-F)"</f>
        <v>Quantity Delivered - Mass in Air (C-F)</v>
      </c>
      <c r="D35" s="3303"/>
      <c r="E35" s="3303"/>
      <c r="F35" s="3303"/>
      <c r="G35" s="3303"/>
      <c r="H35" s="3304"/>
      <c r="I35" s="3293">
        <f>I29-I33</f>
        <v>1001</v>
      </c>
      <c r="J35" s="3294"/>
      <c r="K35" s="3294"/>
      <c r="L35" s="3294"/>
      <c r="M35" s="1799"/>
    </row>
    <row r="36" spans="1:13" hidden="1">
      <c r="A36" s="1791" t="str">
        <f>IF(A35="N","N",IF($F17="Air","N","Y"))</f>
        <v>N</v>
      </c>
      <c r="B36" s="1770"/>
      <c r="C36" s="3283" t="s">
        <v>906</v>
      </c>
      <c r="D36" s="3283"/>
      <c r="E36" s="3283"/>
      <c r="F36" s="3283"/>
      <c r="G36" s="3283"/>
      <c r="H36" s="3284"/>
      <c r="I36" s="3285">
        <v>0.99892499999999995</v>
      </c>
      <c r="J36" s="3286"/>
      <c r="K36" s="3286"/>
      <c r="L36" s="3286"/>
      <c r="M36" s="1770"/>
    </row>
    <row r="37" spans="1:13" hidden="1">
      <c r="A37" s="1791" t="str">
        <f>IF(A35="N","N",IF($F17="Air","N","Y"))</f>
        <v>N</v>
      </c>
      <c r="B37" s="1770"/>
      <c r="C37" s="3287" t="s">
        <v>1375</v>
      </c>
      <c r="D37" s="3287"/>
      <c r="E37" s="3287"/>
      <c r="F37" s="3287"/>
      <c r="G37" s="3287"/>
      <c r="H37" s="3288"/>
      <c r="I37" s="3289">
        <f>IF(F17="Air",I35,I35*I36)</f>
        <v>1001</v>
      </c>
      <c r="J37" s="3290"/>
      <c r="K37" s="3290"/>
      <c r="L37" s="3290"/>
      <c r="M37" s="1770"/>
    </row>
    <row r="38" spans="1:13" s="1813" customFormat="1" ht="9" hidden="1">
      <c r="A38" s="1922" t="str">
        <f>A35</f>
        <v>N</v>
      </c>
      <c r="B38" s="1917"/>
      <c r="C38" s="1923"/>
      <c r="D38" s="1923"/>
      <c r="E38" s="1923"/>
      <c r="F38" s="1923"/>
      <c r="G38" s="1923"/>
      <c r="H38" s="1923"/>
      <c r="I38" s="1923"/>
      <c r="J38" s="1923"/>
      <c r="K38" s="1923"/>
      <c r="L38" s="1923"/>
      <c r="M38" s="1917"/>
    </row>
    <row r="39" spans="1:13" hidden="1">
      <c r="A39" s="1693" t="str">
        <f>A38</f>
        <v>N</v>
      </c>
      <c r="B39" s="1770"/>
      <c r="C39" s="3291" t="s">
        <v>900</v>
      </c>
      <c r="D39" s="3291"/>
      <c r="E39" s="3291"/>
      <c r="F39" s="3291"/>
      <c r="G39" s="3291"/>
      <c r="H39" s="3292"/>
      <c r="I39" s="3293" t="str">
        <f>'Preliminary Report'!$F$32</f>
        <v/>
      </c>
      <c r="J39" s="3294"/>
      <c r="K39" s="3294"/>
      <c r="L39" s="3294"/>
      <c r="M39" s="1770"/>
    </row>
    <row r="40" spans="1:13" hidden="1">
      <c r="A40" s="1693" t="str">
        <f t="shared" ref="A40:A75" si="1">A39</f>
        <v>N</v>
      </c>
      <c r="B40" s="1770"/>
      <c r="C40" s="3273" t="s">
        <v>1219</v>
      </c>
      <c r="D40" s="3273"/>
      <c r="E40" s="3273"/>
      <c r="F40" s="3273"/>
      <c r="G40" s="3273"/>
      <c r="H40" s="3274"/>
      <c r="I40" s="3275">
        <v>1000</v>
      </c>
      <c r="J40" s="3276"/>
      <c r="K40" s="3276"/>
      <c r="L40" s="3276"/>
      <c r="M40" s="1770"/>
    </row>
    <row r="41" spans="1:13" hidden="1">
      <c r="A41" s="1693" t="str">
        <f t="shared" si="1"/>
        <v>N</v>
      </c>
      <c r="B41" s="1770"/>
      <c r="C41" s="3273" t="s">
        <v>873</v>
      </c>
      <c r="D41" s="3273"/>
      <c r="E41" s="3273"/>
      <c r="F41" s="3273"/>
      <c r="G41" s="3273"/>
      <c r="H41" s="3274"/>
      <c r="I41" s="3277">
        <f>'Preliminary Report'!$H$32</f>
        <v>0</v>
      </c>
      <c r="J41" s="3278"/>
      <c r="K41" s="3278"/>
      <c r="L41" s="3278"/>
      <c r="M41" s="1770"/>
    </row>
    <row r="42" spans="1:13" hidden="1">
      <c r="A42" s="1693" t="str">
        <f t="shared" si="1"/>
        <v>N</v>
      </c>
      <c r="B42" s="1770"/>
      <c r="C42" s="3279" t="s">
        <v>901</v>
      </c>
      <c r="D42" s="3279"/>
      <c r="E42" s="3279"/>
      <c r="F42" s="3279"/>
      <c r="G42" s="3279"/>
      <c r="H42" s="3280"/>
      <c r="I42" s="3281" t="e">
        <f>'Summary Report'!$F$34</f>
        <v>#N/A</v>
      </c>
      <c r="J42" s="3282"/>
      <c r="K42" s="3282"/>
      <c r="L42" s="3282"/>
      <c r="M42" s="1770"/>
    </row>
    <row r="43" spans="1:13" hidden="1">
      <c r="A43" s="1693" t="str">
        <f t="shared" si="1"/>
        <v>N</v>
      </c>
      <c r="B43" s="1770"/>
      <c r="C43" s="1770"/>
      <c r="D43" s="1770"/>
      <c r="E43" s="1770"/>
      <c r="F43" s="1770"/>
      <c r="G43" s="1770"/>
      <c r="H43" s="1770"/>
      <c r="I43" s="1770"/>
      <c r="J43" s="1770"/>
      <c r="K43" s="1770"/>
      <c r="L43" s="1770"/>
      <c r="M43" s="1770"/>
    </row>
    <row r="44" spans="1:13" hidden="1">
      <c r="A44" s="1791" t="str">
        <f t="shared" ref="A44:A58" si="2">IF(AND(A43="Y",PICFLOWSEL=1),"Y","N")</f>
        <v>N</v>
      </c>
      <c r="B44" s="1770"/>
      <c r="C44" s="3238"/>
      <c r="D44" s="3238"/>
      <c r="E44" s="3238"/>
      <c r="F44" s="3238"/>
      <c r="G44" s="3238"/>
      <c r="H44" s="3238"/>
      <c r="I44" s="3238"/>
      <c r="J44" s="3238"/>
      <c r="K44" s="3238"/>
      <c r="L44" s="3238"/>
      <c r="M44" s="1770"/>
    </row>
    <row r="45" spans="1:13" hidden="1">
      <c r="A45" s="1791" t="str">
        <f t="shared" si="2"/>
        <v>N</v>
      </c>
      <c r="B45" s="1770"/>
      <c r="C45" s="3238"/>
      <c r="D45" s="3238"/>
      <c r="E45" s="3238"/>
      <c r="F45" s="3238"/>
      <c r="G45" s="3238"/>
      <c r="H45" s="3238"/>
      <c r="I45" s="3238"/>
      <c r="J45" s="3238"/>
      <c r="K45" s="3238"/>
      <c r="L45" s="3238"/>
      <c r="M45" s="1770"/>
    </row>
    <row r="46" spans="1:13" hidden="1">
      <c r="A46" s="1791" t="str">
        <f t="shared" si="2"/>
        <v>N</v>
      </c>
      <c r="B46" s="1770"/>
      <c r="C46" s="3238"/>
      <c r="D46" s="3238"/>
      <c r="E46" s="3238"/>
      <c r="F46" s="3238"/>
      <c r="G46" s="3238"/>
      <c r="H46" s="3238"/>
      <c r="I46" s="3238"/>
      <c r="J46" s="3238"/>
      <c r="K46" s="3238"/>
      <c r="L46" s="3238"/>
      <c r="M46" s="1770"/>
    </row>
    <row r="47" spans="1:13" hidden="1">
      <c r="A47" s="1791" t="str">
        <f t="shared" si="2"/>
        <v>N</v>
      </c>
      <c r="B47" s="1770"/>
      <c r="C47" s="3238"/>
      <c r="D47" s="3238"/>
      <c r="E47" s="3238"/>
      <c r="F47" s="3238"/>
      <c r="G47" s="3238"/>
      <c r="H47" s="3238"/>
      <c r="I47" s="3238"/>
      <c r="J47" s="3238"/>
      <c r="K47" s="3238"/>
      <c r="L47" s="3238"/>
      <c r="M47" s="1770"/>
    </row>
    <row r="48" spans="1:13" hidden="1">
      <c r="A48" s="1791" t="str">
        <f t="shared" si="2"/>
        <v>N</v>
      </c>
      <c r="B48" s="1770"/>
      <c r="C48" s="3238"/>
      <c r="D48" s="3238"/>
      <c r="E48" s="3238"/>
      <c r="F48" s="3238"/>
      <c r="G48" s="3238"/>
      <c r="H48" s="3238"/>
      <c r="I48" s="3238"/>
      <c r="J48" s="3238"/>
      <c r="K48" s="3238"/>
      <c r="L48" s="3238"/>
      <c r="M48" s="1770"/>
    </row>
    <row r="49" spans="1:13" hidden="1">
      <c r="A49" s="1791" t="str">
        <f t="shared" si="2"/>
        <v>N</v>
      </c>
      <c r="B49" s="1770"/>
      <c r="C49" s="3238"/>
      <c r="D49" s="3238"/>
      <c r="E49" s="3238"/>
      <c r="F49" s="3238"/>
      <c r="G49" s="3238"/>
      <c r="H49" s="3238"/>
      <c r="I49" s="3238"/>
      <c r="J49" s="3238"/>
      <c r="K49" s="3238"/>
      <c r="L49" s="3238"/>
      <c r="M49" s="1770"/>
    </row>
    <row r="50" spans="1:13" hidden="1">
      <c r="A50" s="1791" t="str">
        <f t="shared" si="2"/>
        <v>N</v>
      </c>
      <c r="B50" s="1770"/>
      <c r="C50" s="3238"/>
      <c r="D50" s="3238"/>
      <c r="E50" s="3238"/>
      <c r="F50" s="3238"/>
      <c r="G50" s="3238"/>
      <c r="H50" s="3238"/>
      <c r="I50" s="3238"/>
      <c r="J50" s="3238"/>
      <c r="K50" s="3238"/>
      <c r="L50" s="3238"/>
      <c r="M50" s="1770"/>
    </row>
    <row r="51" spans="1:13" hidden="1">
      <c r="A51" s="1791" t="str">
        <f t="shared" si="2"/>
        <v>N</v>
      </c>
      <c r="B51" s="1770"/>
      <c r="C51" s="3238"/>
      <c r="D51" s="3238"/>
      <c r="E51" s="3238"/>
      <c r="F51" s="3238"/>
      <c r="G51" s="3238"/>
      <c r="H51" s="3238"/>
      <c r="I51" s="3238"/>
      <c r="J51" s="3238"/>
      <c r="K51" s="3238"/>
      <c r="L51" s="3238"/>
      <c r="M51" s="1770"/>
    </row>
    <row r="52" spans="1:13" hidden="1">
      <c r="A52" s="1791" t="str">
        <f t="shared" si="2"/>
        <v>N</v>
      </c>
      <c r="B52" s="1770"/>
      <c r="C52" s="3238"/>
      <c r="D52" s="3238"/>
      <c r="E52" s="3238"/>
      <c r="F52" s="3238"/>
      <c r="G52" s="3238"/>
      <c r="H52" s="3238"/>
      <c r="I52" s="3238"/>
      <c r="J52" s="3238"/>
      <c r="K52" s="3238"/>
      <c r="L52" s="3238"/>
      <c r="M52" s="1770"/>
    </row>
    <row r="53" spans="1:13" hidden="1">
      <c r="A53" s="1791" t="str">
        <f t="shared" si="2"/>
        <v>N</v>
      </c>
      <c r="B53" s="1770"/>
      <c r="C53" s="3238"/>
      <c r="D53" s="3238"/>
      <c r="E53" s="3238"/>
      <c r="F53" s="3238"/>
      <c r="G53" s="3238"/>
      <c r="H53" s="3238"/>
      <c r="I53" s="3238"/>
      <c r="J53" s="3238"/>
      <c r="K53" s="3238"/>
      <c r="L53" s="3238"/>
      <c r="M53" s="1770"/>
    </row>
    <row r="54" spans="1:13" hidden="1">
      <c r="A54" s="1791" t="str">
        <f t="shared" si="2"/>
        <v>N</v>
      </c>
      <c r="B54" s="1770"/>
      <c r="C54" s="3238"/>
      <c r="D54" s="3238"/>
      <c r="E54" s="3238"/>
      <c r="F54" s="3238"/>
      <c r="G54" s="3238"/>
      <c r="H54" s="3238"/>
      <c r="I54" s="3238"/>
      <c r="J54" s="3238"/>
      <c r="K54" s="3238"/>
      <c r="L54" s="3238"/>
      <c r="M54" s="1770"/>
    </row>
    <row r="55" spans="1:13" hidden="1">
      <c r="A55" s="1791" t="str">
        <f t="shared" si="2"/>
        <v>N</v>
      </c>
      <c r="B55" s="1770"/>
      <c r="C55" s="3238"/>
      <c r="D55" s="3238"/>
      <c r="E55" s="3238"/>
      <c r="F55" s="3238"/>
      <c r="G55" s="3238"/>
      <c r="H55" s="3238"/>
      <c r="I55" s="3238"/>
      <c r="J55" s="3238"/>
      <c r="K55" s="3238"/>
      <c r="L55" s="3238"/>
      <c r="M55" s="1770"/>
    </row>
    <row r="56" spans="1:13" hidden="1">
      <c r="A56" s="1791" t="str">
        <f t="shared" si="2"/>
        <v>N</v>
      </c>
      <c r="B56" s="1770"/>
      <c r="C56" s="3238"/>
      <c r="D56" s="3238"/>
      <c r="E56" s="3238"/>
      <c r="F56" s="3238"/>
      <c r="G56" s="3238"/>
      <c r="H56" s="3238"/>
      <c r="I56" s="3238"/>
      <c r="J56" s="3238"/>
      <c r="K56" s="3238"/>
      <c r="L56" s="3238"/>
      <c r="M56" s="1770"/>
    </row>
    <row r="57" spans="1:13" hidden="1">
      <c r="A57" s="1791" t="str">
        <f t="shared" si="2"/>
        <v>N</v>
      </c>
      <c r="B57" s="1770"/>
      <c r="C57" s="3272" t="s">
        <v>1377</v>
      </c>
      <c r="D57" s="3272"/>
      <c r="E57" s="3272"/>
      <c r="F57" s="3272"/>
      <c r="G57" s="3272"/>
      <c r="H57" s="3272" t="s">
        <v>1378</v>
      </c>
      <c r="I57" s="3272"/>
      <c r="J57" s="3272"/>
      <c r="K57" s="3272"/>
      <c r="L57" s="3272"/>
      <c r="M57" s="1770"/>
    </row>
    <row r="58" spans="1:13" hidden="1">
      <c r="A58" s="1791" t="str">
        <f t="shared" si="2"/>
        <v>N</v>
      </c>
      <c r="B58" s="1770"/>
      <c r="C58" s="1800"/>
      <c r="D58" s="1800"/>
      <c r="E58" s="1800"/>
      <c r="F58" s="1800"/>
      <c r="G58" s="1800"/>
      <c r="H58" s="1770"/>
      <c r="I58" s="1800"/>
      <c r="J58" s="1800"/>
      <c r="K58" s="1800"/>
      <c r="L58" s="1800"/>
      <c r="M58" s="1770"/>
    </row>
    <row r="59" spans="1:13" hidden="1">
      <c r="A59" s="1693" t="str">
        <f>A43</f>
        <v>N</v>
      </c>
      <c r="B59" s="1801"/>
      <c r="C59" s="1801" t="s">
        <v>179</v>
      </c>
      <c r="D59" s="1724"/>
      <c r="E59" s="1724"/>
      <c r="F59" s="1724"/>
      <c r="G59" s="1724"/>
      <c r="H59" s="1724"/>
      <c r="I59" s="1724"/>
      <c r="J59" s="1724"/>
      <c r="K59" s="1802"/>
      <c r="L59" s="1802"/>
      <c r="M59" s="1803"/>
    </row>
    <row r="60" spans="1:13" hidden="1">
      <c r="A60" s="1693" t="str">
        <f t="shared" si="1"/>
        <v>N</v>
      </c>
      <c r="B60" s="1804"/>
      <c r="C60" s="2871"/>
      <c r="D60" s="2872"/>
      <c r="E60" s="2872"/>
      <c r="F60" s="2872"/>
      <c r="G60" s="2872"/>
      <c r="H60" s="2872"/>
      <c r="I60" s="2872"/>
      <c r="J60" s="2872"/>
      <c r="K60" s="2872"/>
      <c r="L60" s="2873"/>
      <c r="M60" s="1805"/>
    </row>
    <row r="61" spans="1:13" hidden="1">
      <c r="A61" s="1693" t="str">
        <f t="shared" si="1"/>
        <v>N</v>
      </c>
      <c r="B61" s="1804"/>
      <c r="C61" s="2882"/>
      <c r="D61" s="2883"/>
      <c r="E61" s="2883"/>
      <c r="F61" s="2883"/>
      <c r="G61" s="2883"/>
      <c r="H61" s="2883"/>
      <c r="I61" s="2883"/>
      <c r="J61" s="2883"/>
      <c r="K61" s="2883"/>
      <c r="L61" s="2884"/>
      <c r="M61" s="1805"/>
    </row>
    <row r="62" spans="1:13" hidden="1">
      <c r="A62" s="1693" t="str">
        <f t="shared" si="1"/>
        <v>N</v>
      </c>
      <c r="B62" s="1804"/>
      <c r="C62" s="2885"/>
      <c r="D62" s="2886"/>
      <c r="E62" s="2886"/>
      <c r="F62" s="2886"/>
      <c r="G62" s="2886"/>
      <c r="H62" s="2886"/>
      <c r="I62" s="2886"/>
      <c r="J62" s="2886"/>
      <c r="K62" s="2886"/>
      <c r="L62" s="2887"/>
      <c r="M62" s="1805"/>
    </row>
    <row r="63" spans="1:13" s="1710" customFormat="1" ht="5.25" hidden="1">
      <c r="A63" s="1710" t="str">
        <f t="shared" si="1"/>
        <v>N</v>
      </c>
      <c r="B63" s="1806"/>
      <c r="C63" s="1807"/>
      <c r="D63" s="1807"/>
      <c r="E63" s="1807"/>
      <c r="F63" s="1807"/>
      <c r="G63" s="1807"/>
      <c r="H63" s="1807"/>
      <c r="I63" s="1807"/>
      <c r="J63" s="1808"/>
      <c r="K63" s="1808"/>
      <c r="L63" s="1808"/>
      <c r="M63" s="1809"/>
    </row>
    <row r="64" spans="1:13" hidden="1">
      <c r="A64" s="1693" t="str">
        <f t="shared" si="1"/>
        <v>N</v>
      </c>
      <c r="B64" s="1810"/>
      <c r="C64" s="1810"/>
      <c r="D64" s="1810"/>
      <c r="E64" s="1810"/>
      <c r="F64" s="1810"/>
      <c r="G64" s="1810"/>
      <c r="H64" s="1810"/>
      <c r="I64" s="1810"/>
      <c r="J64" s="1800"/>
      <c r="K64" s="1800"/>
      <c r="L64" s="1800"/>
      <c r="M64" s="1800"/>
    </row>
    <row r="65" spans="1:13" hidden="1">
      <c r="A65" s="1693" t="str">
        <f t="shared" si="1"/>
        <v>N</v>
      </c>
      <c r="B65" s="1810"/>
      <c r="C65" s="1810"/>
      <c r="D65" s="1810"/>
      <c r="E65" s="1810"/>
      <c r="F65" s="1810"/>
      <c r="G65" s="1810"/>
      <c r="H65" s="1810"/>
      <c r="I65" s="1810"/>
      <c r="J65" s="1800"/>
      <c r="K65" s="1800"/>
      <c r="L65" s="1800"/>
      <c r="M65" s="1800"/>
    </row>
    <row r="66" spans="1:13" hidden="1">
      <c r="A66" s="1693" t="str">
        <f t="shared" si="1"/>
        <v>N</v>
      </c>
      <c r="B66" s="1810"/>
      <c r="C66" s="1810"/>
      <c r="D66" s="1810"/>
      <c r="E66" s="1810"/>
      <c r="F66" s="1810"/>
      <c r="G66" s="1810"/>
      <c r="H66" s="1810"/>
      <c r="I66" s="1810"/>
      <c r="J66" s="1800"/>
      <c r="K66" s="1800"/>
      <c r="L66" s="1800"/>
      <c r="M66" s="1800"/>
    </row>
    <row r="67" spans="1:13" hidden="1">
      <c r="A67" s="1693" t="str">
        <f t="shared" si="1"/>
        <v>N</v>
      </c>
      <c r="B67" s="2859" t="str">
        <f>CHENG</f>
        <v>CANO ARTHUR D. CADAVOS</v>
      </c>
      <c r="C67" s="2859"/>
      <c r="D67" s="2859"/>
      <c r="E67" s="2859"/>
      <c r="F67" s="2859"/>
      <c r="G67" s="3297" t="str">
        <f>IF(BARGESEL=1,BARGEREP,INDEX(BARGETABLE,MATCH($E12,BARGENAMES,0),4))</f>
        <v>TEMEL KALYONCU</v>
      </c>
      <c r="H67" s="3297"/>
      <c r="I67" s="3297"/>
      <c r="J67" s="3297"/>
      <c r="K67" s="2859" t="str">
        <f>SURVEYOR</f>
        <v>MEHMET EROĞLU</v>
      </c>
      <c r="L67" s="2859"/>
      <c r="M67" s="2859"/>
    </row>
    <row r="68" spans="1:13" s="1710" customFormat="1" ht="5.25" hidden="1">
      <c r="A68" s="1710" t="s">
        <v>270</v>
      </c>
      <c r="B68" s="1806"/>
      <c r="C68" s="1806"/>
      <c r="D68" s="1806"/>
      <c r="E68" s="1806"/>
      <c r="F68" s="1806"/>
      <c r="G68" s="1806"/>
      <c r="H68" s="1806"/>
      <c r="I68" s="1806"/>
      <c r="J68" s="1811"/>
      <c r="K68" s="1812"/>
      <c r="L68" s="1812"/>
      <c r="M68" s="1812"/>
    </row>
    <row r="69" spans="1:13" hidden="1">
      <c r="A69" s="1693" t="str">
        <f>A67</f>
        <v>N</v>
      </c>
      <c r="B69" s="3295" t="s">
        <v>15</v>
      </c>
      <c r="C69" s="3295"/>
      <c r="D69" s="3295"/>
      <c r="E69" s="3295"/>
      <c r="F69" s="3295"/>
      <c r="G69" s="3295" t="s">
        <v>840</v>
      </c>
      <c r="H69" s="3295"/>
      <c r="I69" s="3295"/>
      <c r="J69" s="3295"/>
      <c r="K69" s="3296" t="str">
        <f>"Bunker Surveyor"&amp;IF(SPORE=TRUE,", License No. "&amp;SURVLIC,"")</f>
        <v>Bunker Surveyor</v>
      </c>
      <c r="L69" s="3296"/>
      <c r="M69" s="3296"/>
    </row>
    <row r="70" spans="1:13" s="1719" customFormat="1" ht="9" hidden="1">
      <c r="A70" s="1813" t="str">
        <f t="shared" si="1"/>
        <v>N</v>
      </c>
      <c r="B70"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70" s="3155"/>
      <c r="D70" s="3155"/>
      <c r="E70" s="3155"/>
      <c r="F70" s="3155"/>
      <c r="G70" s="3155"/>
      <c r="H70" s="3155"/>
      <c r="I70" s="3155"/>
      <c r="J70" s="3155"/>
      <c r="K70" s="3155"/>
      <c r="L70" s="3360"/>
      <c r="M70" s="3361"/>
    </row>
    <row r="71" spans="1:13" s="1719" customFormat="1" ht="9" hidden="1">
      <c r="A71" s="1813" t="str">
        <f t="shared" si="1"/>
        <v>N</v>
      </c>
      <c r="B71" s="3157"/>
      <c r="C71" s="3158"/>
      <c r="D71" s="3158"/>
      <c r="E71" s="3158"/>
      <c r="F71" s="3158"/>
      <c r="G71" s="3158"/>
      <c r="H71" s="3158"/>
      <c r="I71" s="3158"/>
      <c r="J71" s="3158"/>
      <c r="K71" s="3158"/>
      <c r="L71" s="3362"/>
      <c r="M71" s="3363"/>
    </row>
    <row r="72" spans="1:13" s="1719" customFormat="1" ht="9" hidden="1">
      <c r="A72" s="1813" t="str">
        <f t="shared" si="1"/>
        <v>N</v>
      </c>
      <c r="B72" s="3157"/>
      <c r="C72" s="3158"/>
      <c r="D72" s="3158"/>
      <c r="E72" s="3158"/>
      <c r="F72" s="3158"/>
      <c r="G72" s="3158"/>
      <c r="H72" s="3158"/>
      <c r="I72" s="3158"/>
      <c r="J72" s="3158"/>
      <c r="K72" s="3158"/>
      <c r="L72" s="3362"/>
      <c r="M72" s="3363"/>
    </row>
    <row r="73" spans="1:13" s="1719" customFormat="1" ht="9" hidden="1">
      <c r="A73" s="1813" t="str">
        <f t="shared" si="1"/>
        <v>N</v>
      </c>
      <c r="B73" s="3157"/>
      <c r="C73" s="3158"/>
      <c r="D73" s="3158"/>
      <c r="E73" s="3158"/>
      <c r="F73" s="3158"/>
      <c r="G73" s="3158"/>
      <c r="H73" s="3158"/>
      <c r="I73" s="3158"/>
      <c r="J73" s="3158"/>
      <c r="K73" s="3158"/>
      <c r="L73" s="3362"/>
      <c r="M73" s="3363"/>
    </row>
    <row r="74" spans="1:13" s="1719" customFormat="1" ht="9" hidden="1">
      <c r="A74" s="1813" t="str">
        <f t="shared" si="1"/>
        <v>N</v>
      </c>
      <c r="B74" s="3157"/>
      <c r="C74" s="3158"/>
      <c r="D74" s="3158"/>
      <c r="E74" s="3158"/>
      <c r="F74" s="3158"/>
      <c r="G74" s="3158"/>
      <c r="H74" s="3158"/>
      <c r="I74" s="3158"/>
      <c r="J74" s="3158"/>
      <c r="K74" s="3158"/>
      <c r="L74" s="3362"/>
      <c r="M74" s="3363"/>
    </row>
    <row r="75" spans="1:13" s="1719" customFormat="1" ht="9" hidden="1">
      <c r="A75" s="1813" t="str">
        <f t="shared" si="1"/>
        <v>N</v>
      </c>
      <c r="B75" s="3159"/>
      <c r="C75" s="3160"/>
      <c r="D75" s="3160"/>
      <c r="E75" s="3160"/>
      <c r="F75" s="3160"/>
      <c r="G75" s="3160"/>
      <c r="H75" s="3160"/>
      <c r="I75" s="3160"/>
      <c r="J75" s="3160"/>
      <c r="K75" s="3160"/>
      <c r="L75" s="3364"/>
      <c r="M75" s="3365"/>
    </row>
    <row r="76" spans="1:13" hidden="1">
      <c r="A76" s="1791" t="str">
        <f>IF(AND(FMTYPE2&lt;&gt;0,FMTYPE2&lt;&gt;"-",FMTYPE2&lt;&gt;TANKMEAS,MYBARGENAME=E76,K78&gt;0),"Y","N")</f>
        <v>N</v>
      </c>
      <c r="B76" s="3348" t="s">
        <v>788</v>
      </c>
      <c r="C76" s="3349"/>
      <c r="D76" s="3349"/>
      <c r="E76" s="3350" t="str">
        <f>'Cover Page'!J$89</f>
        <v>M/T YALÇIN 2</v>
      </c>
      <c r="F76" s="3350"/>
      <c r="G76" s="3350"/>
      <c r="H76" s="3350"/>
      <c r="I76" s="3351" t="s">
        <v>789</v>
      </c>
      <c r="J76" s="3351"/>
      <c r="K76" s="3352" t="str">
        <f>PORT</f>
        <v>ISTANBUL / TURKEY</v>
      </c>
      <c r="L76" s="3352"/>
      <c r="M76" s="3353"/>
    </row>
    <row r="77" spans="1:13" hidden="1">
      <c r="A77" s="1693" t="str">
        <f>A76</f>
        <v>N</v>
      </c>
      <c r="B77" s="3354" t="s">
        <v>160</v>
      </c>
      <c r="C77" s="3355"/>
      <c r="D77" s="3355"/>
      <c r="E77" s="3356" t="str">
        <f>VESSEL</f>
        <v>MV PESSADA</v>
      </c>
      <c r="F77" s="3356"/>
      <c r="G77" s="3356"/>
      <c r="H77" s="3356"/>
      <c r="I77" s="3357" t="s">
        <v>790</v>
      </c>
      <c r="J77" s="3357"/>
      <c r="K77" s="3358">
        <f>DATESURVC</f>
        <v>44792</v>
      </c>
      <c r="L77" s="3358"/>
      <c r="M77" s="3359"/>
    </row>
    <row r="78" spans="1:13" hidden="1">
      <c r="A78" s="1693" t="str">
        <f t="shared" ref="A78:A99" si="3">A77</f>
        <v>N</v>
      </c>
      <c r="B78" s="3339">
        <v>2</v>
      </c>
      <c r="C78" s="3340"/>
      <c r="D78" s="3340"/>
      <c r="E78" s="3341"/>
      <c r="F78" s="3341"/>
      <c r="G78" s="3341"/>
      <c r="H78" s="3341"/>
      <c r="I78" s="3342" t="s">
        <v>764</v>
      </c>
      <c r="J78" s="3342"/>
      <c r="K78" s="3343" t="str">
        <f>'Cover Page'!J$88</f>
        <v>LSFO</v>
      </c>
      <c r="L78" s="3343"/>
      <c r="M78" s="3344"/>
    </row>
    <row r="79" spans="1:13" s="1813" customFormat="1" ht="9" hidden="1">
      <c r="A79" s="1813" t="str">
        <f t="shared" si="3"/>
        <v>N</v>
      </c>
      <c r="B79" s="1917"/>
      <c r="C79" s="1917"/>
      <c r="D79" s="1917"/>
      <c r="E79" s="1917"/>
      <c r="F79" s="1917"/>
      <c r="G79" s="1917"/>
      <c r="H79" s="1917"/>
      <c r="I79" s="1917"/>
      <c r="J79" s="1917"/>
      <c r="K79" s="1921"/>
      <c r="L79" s="1921"/>
      <c r="M79" s="1921"/>
    </row>
    <row r="80" spans="1:13" ht="18.75" hidden="1">
      <c r="A80" s="1924" t="str">
        <f t="shared" si="3"/>
        <v>N</v>
      </c>
      <c r="B80" s="1770"/>
      <c r="C80" s="3345" t="s">
        <v>859</v>
      </c>
      <c r="D80" s="3346"/>
      <c r="E80" s="3346"/>
      <c r="F80" s="3346"/>
      <c r="G80" s="3346"/>
      <c r="H80" s="3346"/>
      <c r="I80" s="3346"/>
      <c r="J80" s="3346"/>
      <c r="K80" s="3346"/>
      <c r="L80" s="3347"/>
      <c r="M80" s="1770"/>
    </row>
    <row r="81" spans="1:13" hidden="1">
      <c r="A81" s="1693" t="str">
        <f t="shared" si="3"/>
        <v>N</v>
      </c>
      <c r="B81" s="1770"/>
      <c r="C81" s="3330" t="s">
        <v>1112</v>
      </c>
      <c r="D81" s="3330"/>
      <c r="E81" s="3331"/>
      <c r="F81" s="3332" t="str">
        <f>IF(FMTYPE2=0,"",INDEX(FMTYPES,MATCH(FMTYPE2,METHOFCALCSHORT,0),1))</f>
        <v/>
      </c>
      <c r="G81" s="3333"/>
      <c r="H81" s="3330" t="s">
        <v>860</v>
      </c>
      <c r="I81" s="3330"/>
      <c r="J81" s="3331"/>
      <c r="K81" s="3334">
        <v>0.98765400000000003</v>
      </c>
      <c r="L81" s="3335"/>
      <c r="M81" s="1770"/>
    </row>
    <row r="82" spans="1:13" hidden="1">
      <c r="A82" s="1693" t="str">
        <f t="shared" si="3"/>
        <v>N</v>
      </c>
      <c r="B82" s="1770"/>
      <c r="C82" s="3312" t="s">
        <v>1267</v>
      </c>
      <c r="D82" s="3312"/>
      <c r="E82" s="3313"/>
      <c r="F82" s="3311" t="s">
        <v>903</v>
      </c>
      <c r="G82" s="3336"/>
      <c r="H82" s="3312" t="s">
        <v>861</v>
      </c>
      <c r="I82" s="3312"/>
      <c r="J82" s="3313"/>
      <c r="K82" s="3337">
        <v>12</v>
      </c>
      <c r="L82" s="3338"/>
      <c r="M82" s="1770"/>
    </row>
    <row r="83" spans="1:13" hidden="1">
      <c r="A83" s="1693" t="str">
        <f t="shared" si="3"/>
        <v>N</v>
      </c>
      <c r="B83" s="1770"/>
      <c r="C83" s="3307" t="s">
        <v>962</v>
      </c>
      <c r="D83" s="3308"/>
      <c r="E83" s="3309"/>
      <c r="F83" s="3310">
        <v>12345</v>
      </c>
      <c r="G83" s="3311"/>
      <c r="H83" s="3312" t="s">
        <v>1266</v>
      </c>
      <c r="I83" s="3312"/>
      <c r="J83" s="3313"/>
      <c r="K83" s="3320">
        <v>0</v>
      </c>
      <c r="L83" s="3321"/>
      <c r="M83" s="1770"/>
    </row>
    <row r="84" spans="1:13" hidden="1">
      <c r="A84" s="1693" t="str">
        <f t="shared" si="3"/>
        <v>N</v>
      </c>
      <c r="B84" s="1770"/>
      <c r="C84" s="3307" t="s">
        <v>862</v>
      </c>
      <c r="D84" s="3308"/>
      <c r="E84" s="3309"/>
      <c r="F84" s="3328">
        <v>41032</v>
      </c>
      <c r="G84" s="3329"/>
      <c r="H84" s="3312" t="s">
        <v>864</v>
      </c>
      <c r="I84" s="3312"/>
      <c r="J84" s="3313"/>
      <c r="K84" s="1792">
        <v>2.8</v>
      </c>
      <c r="L84" s="1793">
        <v>3</v>
      </c>
      <c r="M84" s="1770"/>
    </row>
    <row r="85" spans="1:13" hidden="1">
      <c r="A85" s="1693" t="str">
        <f t="shared" si="3"/>
        <v>N</v>
      </c>
      <c r="B85" s="1770"/>
      <c r="C85" s="3307" t="s">
        <v>863</v>
      </c>
      <c r="D85" s="3308"/>
      <c r="E85" s="3309"/>
      <c r="F85" s="3310" t="s">
        <v>902</v>
      </c>
      <c r="G85" s="3311"/>
      <c r="H85" s="3312" t="s">
        <v>866</v>
      </c>
      <c r="I85" s="3312"/>
      <c r="J85" s="3313"/>
      <c r="K85" s="1794" t="s">
        <v>904</v>
      </c>
      <c r="L85" s="1795" t="s">
        <v>904</v>
      </c>
      <c r="M85" s="1770"/>
    </row>
    <row r="86" spans="1:13" hidden="1">
      <c r="A86" s="1693" t="str">
        <f t="shared" si="3"/>
        <v>N</v>
      </c>
      <c r="B86" s="1770"/>
      <c r="C86" s="3307" t="s">
        <v>865</v>
      </c>
      <c r="D86" s="3308"/>
      <c r="E86" s="3309"/>
      <c r="F86" s="3310">
        <v>987</v>
      </c>
      <c r="G86" s="3311"/>
      <c r="H86" s="3312" t="s">
        <v>1268</v>
      </c>
      <c r="I86" s="3312"/>
      <c r="J86" s="3313"/>
      <c r="K86" s="1792">
        <v>100</v>
      </c>
      <c r="L86" s="1793">
        <v>1000</v>
      </c>
      <c r="M86" s="1770"/>
    </row>
    <row r="87" spans="1:13" hidden="1">
      <c r="A87" s="1693" t="str">
        <f t="shared" si="3"/>
        <v>N</v>
      </c>
      <c r="B87" s="1770"/>
      <c r="C87" s="3307" t="s">
        <v>867</v>
      </c>
      <c r="D87" s="3308"/>
      <c r="E87" s="3309"/>
      <c r="F87" s="3310">
        <v>12345</v>
      </c>
      <c r="G87" s="3311"/>
      <c r="H87" s="3312" t="s">
        <v>1269</v>
      </c>
      <c r="I87" s="3312"/>
      <c r="J87" s="3313"/>
      <c r="K87" s="1792">
        <v>100</v>
      </c>
      <c r="L87" s="1793">
        <v>1000</v>
      </c>
      <c r="M87" s="1770"/>
    </row>
    <row r="88" spans="1:13" hidden="1">
      <c r="A88" s="1693" t="str">
        <f t="shared" si="3"/>
        <v>N</v>
      </c>
      <c r="B88" s="1770"/>
      <c r="C88" s="3314" t="s">
        <v>899</v>
      </c>
      <c r="D88" s="3314"/>
      <c r="E88" s="3315"/>
      <c r="F88" s="3316" t="s">
        <v>905</v>
      </c>
      <c r="G88" s="3317"/>
      <c r="H88" s="3312" t="s">
        <v>1270</v>
      </c>
      <c r="I88" s="3312"/>
      <c r="J88" s="3313"/>
      <c r="K88" s="3320" t="s">
        <v>772</v>
      </c>
      <c r="L88" s="3321"/>
      <c r="M88" s="1770"/>
    </row>
    <row r="89" spans="1:13" hidden="1">
      <c r="A89" s="1693" t="str">
        <f t="shared" si="3"/>
        <v>N</v>
      </c>
      <c r="B89" s="1770"/>
      <c r="C89" s="3322"/>
      <c r="D89" s="3322"/>
      <c r="E89" s="3323"/>
      <c r="F89" s="3318"/>
      <c r="G89" s="3319"/>
      <c r="H89" s="3324" t="s">
        <v>49</v>
      </c>
      <c r="I89" s="3324"/>
      <c r="J89" s="3325"/>
      <c r="K89" s="3326" t="s">
        <v>1271</v>
      </c>
      <c r="L89" s="3327"/>
      <c r="M89" s="1770"/>
    </row>
    <row r="90" spans="1:13" s="1813" customFormat="1" ht="9" hidden="1">
      <c r="A90" s="1813" t="str">
        <f t="shared" si="3"/>
        <v>N</v>
      </c>
      <c r="B90" s="1917"/>
      <c r="C90" s="1917"/>
      <c r="D90" s="1917"/>
      <c r="E90" s="1917"/>
      <c r="F90" s="1917"/>
      <c r="G90" s="1917"/>
      <c r="H90" s="1917"/>
      <c r="I90" s="1917"/>
      <c r="J90" s="1917"/>
      <c r="K90" s="1917"/>
      <c r="L90" s="1917"/>
      <c r="M90" s="1917"/>
    </row>
    <row r="91" spans="1:13" hidden="1">
      <c r="A91" s="1693" t="str">
        <f t="shared" si="3"/>
        <v>N</v>
      </c>
      <c r="B91" s="1770"/>
      <c r="C91" s="1796" t="s">
        <v>868</v>
      </c>
      <c r="D91" s="3291" t="s">
        <v>1345</v>
      </c>
      <c r="E91" s="3291"/>
      <c r="F91" s="3291"/>
      <c r="G91" s="3291"/>
      <c r="H91" s="3292"/>
      <c r="I91" s="3305">
        <v>0</v>
      </c>
      <c r="J91" s="3306"/>
      <c r="K91" s="3306"/>
      <c r="L91" s="3306"/>
      <c r="M91" s="1770"/>
    </row>
    <row r="92" spans="1:13" hidden="1">
      <c r="A92" s="1693" t="str">
        <f t="shared" si="3"/>
        <v>N</v>
      </c>
      <c r="B92" s="1770"/>
      <c r="C92" s="1797" t="s">
        <v>869</v>
      </c>
      <c r="D92" s="3273" t="s">
        <v>1346</v>
      </c>
      <c r="E92" s="3273"/>
      <c r="F92" s="3273"/>
      <c r="G92" s="3273"/>
      <c r="H92" s="3274"/>
      <c r="I92" s="3275">
        <v>0</v>
      </c>
      <c r="J92" s="3276"/>
      <c r="K92" s="3276"/>
      <c r="L92" s="3276"/>
      <c r="M92" s="1770"/>
    </row>
    <row r="93" spans="1:13" hidden="1">
      <c r="A93" s="1693" t="str">
        <f t="shared" si="3"/>
        <v>N</v>
      </c>
      <c r="B93" s="1770"/>
      <c r="C93" s="1798" t="s">
        <v>870</v>
      </c>
      <c r="D93" s="3298" t="str">
        <f>"Delivered Meter Quantity - Mass in "&amp;F81&amp;" (B-A)"</f>
        <v>Delivered Meter Quantity - Mass in  (B-A)</v>
      </c>
      <c r="E93" s="3299"/>
      <c r="F93" s="3299"/>
      <c r="G93" s="3299"/>
      <c r="H93" s="3300"/>
      <c r="I93" s="3301">
        <f>I92-I91</f>
        <v>0</v>
      </c>
      <c r="J93" s="3302"/>
      <c r="K93" s="3302"/>
      <c r="L93" s="3302"/>
      <c r="M93" s="1770"/>
    </row>
    <row r="94" spans="1:13" s="1813" customFormat="1" ht="9" hidden="1">
      <c r="A94" s="1813" t="str">
        <f t="shared" si="3"/>
        <v>N</v>
      </c>
      <c r="B94" s="1917"/>
      <c r="C94" s="1918"/>
      <c r="D94" s="1919"/>
      <c r="E94" s="1919"/>
      <c r="F94" s="1919"/>
      <c r="G94" s="1919"/>
      <c r="H94" s="1919"/>
      <c r="I94" s="1919"/>
      <c r="J94" s="1919"/>
      <c r="K94" s="1919"/>
      <c r="L94" s="1920"/>
      <c r="M94" s="1917"/>
    </row>
    <row r="95" spans="1:13" hidden="1">
      <c r="A95" s="1693" t="str">
        <f t="shared" si="3"/>
        <v>N</v>
      </c>
      <c r="B95" s="1770"/>
      <c r="C95" s="1796" t="s">
        <v>871</v>
      </c>
      <c r="D95" s="3291" t="s">
        <v>1347</v>
      </c>
      <c r="E95" s="3291"/>
      <c r="F95" s="3291"/>
      <c r="G95" s="3291"/>
      <c r="H95" s="3292"/>
      <c r="I95" s="3305">
        <v>2000</v>
      </c>
      <c r="J95" s="3306"/>
      <c r="K95" s="3306"/>
      <c r="L95" s="3306"/>
      <c r="M95" s="1770"/>
    </row>
    <row r="96" spans="1:13" hidden="1">
      <c r="A96" s="1693" t="str">
        <f t="shared" si="3"/>
        <v>N</v>
      </c>
      <c r="B96" s="1770"/>
      <c r="C96" s="1797" t="s">
        <v>269</v>
      </c>
      <c r="D96" s="3273" t="s">
        <v>1348</v>
      </c>
      <c r="E96" s="3273"/>
      <c r="F96" s="3273"/>
      <c r="G96" s="3273"/>
      <c r="H96" s="3274"/>
      <c r="I96" s="3275">
        <v>1000</v>
      </c>
      <c r="J96" s="3276"/>
      <c r="K96" s="3276"/>
      <c r="L96" s="3276"/>
      <c r="M96" s="1770"/>
    </row>
    <row r="97" spans="1:13" hidden="1">
      <c r="A97" s="1693" t="str">
        <f t="shared" si="3"/>
        <v>N</v>
      </c>
      <c r="B97" s="1770"/>
      <c r="C97" s="1798" t="s">
        <v>872</v>
      </c>
      <c r="D97" s="3298" t="str">
        <f>"Loading Meter Quantity - Mass in "&amp;F81&amp;" (E-D)"</f>
        <v>Loading Meter Quantity - Mass in  (E-D)</v>
      </c>
      <c r="E97" s="3299"/>
      <c r="F97" s="3299"/>
      <c r="G97" s="3299"/>
      <c r="H97" s="3300"/>
      <c r="I97" s="3301">
        <f>I96-I95</f>
        <v>-1000</v>
      </c>
      <c r="J97" s="3302"/>
      <c r="K97" s="3302"/>
      <c r="L97" s="3302"/>
      <c r="M97" s="1770"/>
    </row>
    <row r="98" spans="1:13" s="1813" customFormat="1" ht="9" hidden="1">
      <c r="A98" s="1813" t="str">
        <f t="shared" si="3"/>
        <v>N</v>
      </c>
      <c r="B98" s="1917"/>
      <c r="C98" s="1917"/>
      <c r="D98" s="1917"/>
      <c r="E98" s="1917"/>
      <c r="F98" s="1917"/>
      <c r="G98" s="1917"/>
      <c r="H98" s="1917"/>
      <c r="I98" s="1917"/>
      <c r="J98" s="1917"/>
      <c r="K98" s="1917"/>
      <c r="L98" s="1917"/>
      <c r="M98" s="1917"/>
    </row>
    <row r="99" spans="1:13" hidden="1">
      <c r="A99" s="1693" t="str">
        <f t="shared" si="3"/>
        <v>N</v>
      </c>
      <c r="B99" s="1770"/>
      <c r="C99" s="3303" t="str">
        <f>"Quantity Delivered - Mass in "&amp;F81&amp;" (C-F)"</f>
        <v>Quantity Delivered - Mass in  (C-F)</v>
      </c>
      <c r="D99" s="3303"/>
      <c r="E99" s="3303"/>
      <c r="F99" s="3303"/>
      <c r="G99" s="3303"/>
      <c r="H99" s="3304"/>
      <c r="I99" s="3293">
        <f>I93-I97</f>
        <v>1000</v>
      </c>
      <c r="J99" s="3294"/>
      <c r="K99" s="3294"/>
      <c r="L99" s="3294"/>
      <c r="M99" s="1799"/>
    </row>
    <row r="100" spans="1:13" hidden="1">
      <c r="A100" s="1791" t="str">
        <f>IF(A99="N","N",IF($F81="Air","N","Y"))</f>
        <v>N</v>
      </c>
      <c r="B100" s="1770"/>
      <c r="C100" s="3283" t="s">
        <v>906</v>
      </c>
      <c r="D100" s="3283"/>
      <c r="E100" s="3283"/>
      <c r="F100" s="3283"/>
      <c r="G100" s="3283"/>
      <c r="H100" s="3284"/>
      <c r="I100" s="3285">
        <v>0.99892499999999995</v>
      </c>
      <c r="J100" s="3286"/>
      <c r="K100" s="3286"/>
      <c r="L100" s="3286"/>
      <c r="M100" s="1770"/>
    </row>
    <row r="101" spans="1:13" hidden="1">
      <c r="A101" s="1791" t="str">
        <f>IF(A99="N","N",IF($F81="Air","N","Y"))</f>
        <v>N</v>
      </c>
      <c r="B101" s="1770"/>
      <c r="C101" s="3287" t="s">
        <v>1375</v>
      </c>
      <c r="D101" s="3287"/>
      <c r="E101" s="3287"/>
      <c r="F101" s="3287"/>
      <c r="G101" s="3287"/>
      <c r="H101" s="3288"/>
      <c r="I101" s="3289">
        <f>IF(F81="Air",I99,I99*I100)</f>
        <v>998.92499999999995</v>
      </c>
      <c r="J101" s="3290"/>
      <c r="K101" s="3290"/>
      <c r="L101" s="3290"/>
      <c r="M101" s="1770"/>
    </row>
    <row r="102" spans="1:13" s="1813" customFormat="1" ht="9" hidden="1">
      <c r="A102" s="1922" t="str">
        <f>A99</f>
        <v>N</v>
      </c>
      <c r="B102" s="1917"/>
      <c r="C102" s="1923"/>
      <c r="D102" s="1923"/>
      <c r="E102" s="1923"/>
      <c r="F102" s="1923"/>
      <c r="G102" s="1923"/>
      <c r="H102" s="1923"/>
      <c r="I102" s="1923"/>
      <c r="J102" s="1923"/>
      <c r="K102" s="1923"/>
      <c r="L102" s="1923"/>
      <c r="M102" s="1917"/>
    </row>
    <row r="103" spans="1:13" hidden="1">
      <c r="A103" s="1693" t="str">
        <f>A102</f>
        <v>N</v>
      </c>
      <c r="B103" s="1770"/>
      <c r="C103" s="3291" t="s">
        <v>900</v>
      </c>
      <c r="D103" s="3291"/>
      <c r="E103" s="3291"/>
      <c r="F103" s="3291"/>
      <c r="G103" s="3291"/>
      <c r="H103" s="3292"/>
      <c r="I103" s="3293">
        <f>'Preliminary Report'!$F$37</f>
        <v>250</v>
      </c>
      <c r="J103" s="3294"/>
      <c r="K103" s="3294"/>
      <c r="L103" s="3294"/>
      <c r="M103" s="1770"/>
    </row>
    <row r="104" spans="1:13" hidden="1">
      <c r="A104" s="1693" t="str">
        <f t="shared" ref="A104:A139" si="4">A103</f>
        <v>N</v>
      </c>
      <c r="B104" s="1770"/>
      <c r="C104" s="3273" t="s">
        <v>1219</v>
      </c>
      <c r="D104" s="3273"/>
      <c r="E104" s="3273"/>
      <c r="F104" s="3273"/>
      <c r="G104" s="3273"/>
      <c r="H104" s="3274"/>
      <c r="I104" s="3275">
        <v>2</v>
      </c>
      <c r="J104" s="3276"/>
      <c r="K104" s="3276"/>
      <c r="L104" s="3276"/>
      <c r="M104" s="1770"/>
    </row>
    <row r="105" spans="1:13" hidden="1">
      <c r="A105" s="1693" t="str">
        <f t="shared" si="4"/>
        <v>N</v>
      </c>
      <c r="B105" s="1770"/>
      <c r="C105" s="3273" t="s">
        <v>873</v>
      </c>
      <c r="D105" s="3273"/>
      <c r="E105" s="3273"/>
      <c r="F105" s="3273"/>
      <c r="G105" s="3273"/>
      <c r="H105" s="3274"/>
      <c r="I105" s="3277">
        <f>'Preliminary Report'!$H$37</f>
        <v>250.06200000000001</v>
      </c>
      <c r="J105" s="3278"/>
      <c r="K105" s="3278"/>
      <c r="L105" s="3278"/>
      <c r="M105" s="1770"/>
    </row>
    <row r="106" spans="1:13" hidden="1">
      <c r="A106" s="1693" t="str">
        <f t="shared" si="4"/>
        <v>N</v>
      </c>
      <c r="B106" s="1770"/>
      <c r="C106" s="3279" t="s">
        <v>901</v>
      </c>
      <c r="D106" s="3279"/>
      <c r="E106" s="3279"/>
      <c r="F106" s="3279"/>
      <c r="G106" s="3279"/>
      <c r="H106" s="3280"/>
      <c r="I106" s="3281">
        <f>'Summary Report'!$F$60</f>
        <v>0.92059999999999997</v>
      </c>
      <c r="J106" s="3282"/>
      <c r="K106" s="3282"/>
      <c r="L106" s="3282"/>
      <c r="M106" s="1770"/>
    </row>
    <row r="107" spans="1:13" hidden="1">
      <c r="A107" s="1693" t="str">
        <f t="shared" si="4"/>
        <v>N</v>
      </c>
      <c r="B107" s="1770"/>
      <c r="C107" s="1770"/>
      <c r="D107" s="1770"/>
      <c r="E107" s="1770"/>
      <c r="F107" s="1770"/>
      <c r="G107" s="1770"/>
      <c r="H107" s="1770"/>
      <c r="I107" s="1770"/>
      <c r="J107" s="1770"/>
      <c r="K107" s="1770"/>
      <c r="L107" s="1770"/>
      <c r="M107" s="1770"/>
    </row>
    <row r="108" spans="1:13" hidden="1">
      <c r="A108" s="1791" t="str">
        <f t="shared" ref="A108:A122" si="5">IF(AND(A107="Y",PICFLOWSEL=1),"Y","N")</f>
        <v>N</v>
      </c>
      <c r="B108" s="1770"/>
      <c r="C108" s="3238"/>
      <c r="D108" s="3238"/>
      <c r="E108" s="3238"/>
      <c r="F108" s="3238"/>
      <c r="G108" s="3238"/>
      <c r="H108" s="3238"/>
      <c r="I108" s="3238"/>
      <c r="J108" s="3238"/>
      <c r="K108" s="3238"/>
      <c r="L108" s="3238"/>
      <c r="M108" s="1770"/>
    </row>
    <row r="109" spans="1:13" hidden="1">
      <c r="A109" s="1791" t="str">
        <f t="shared" si="5"/>
        <v>N</v>
      </c>
      <c r="B109" s="1770"/>
      <c r="C109" s="3238"/>
      <c r="D109" s="3238"/>
      <c r="E109" s="3238"/>
      <c r="F109" s="3238"/>
      <c r="G109" s="3238"/>
      <c r="H109" s="3238"/>
      <c r="I109" s="3238"/>
      <c r="J109" s="3238"/>
      <c r="K109" s="3238"/>
      <c r="L109" s="3238"/>
      <c r="M109" s="1770"/>
    </row>
    <row r="110" spans="1:13" hidden="1">
      <c r="A110" s="1791" t="str">
        <f t="shared" si="5"/>
        <v>N</v>
      </c>
      <c r="B110" s="1770"/>
      <c r="C110" s="3238"/>
      <c r="D110" s="3238"/>
      <c r="E110" s="3238"/>
      <c r="F110" s="3238"/>
      <c r="G110" s="3238"/>
      <c r="H110" s="3238"/>
      <c r="I110" s="3238"/>
      <c r="J110" s="3238"/>
      <c r="K110" s="3238"/>
      <c r="L110" s="3238"/>
      <c r="M110" s="1770"/>
    </row>
    <row r="111" spans="1:13" hidden="1">
      <c r="A111" s="1791" t="str">
        <f t="shared" si="5"/>
        <v>N</v>
      </c>
      <c r="B111" s="1770"/>
      <c r="C111" s="3238"/>
      <c r="D111" s="3238"/>
      <c r="E111" s="3238"/>
      <c r="F111" s="3238"/>
      <c r="G111" s="3238"/>
      <c r="H111" s="3238"/>
      <c r="I111" s="3238"/>
      <c r="J111" s="3238"/>
      <c r="K111" s="3238"/>
      <c r="L111" s="3238"/>
      <c r="M111" s="1770"/>
    </row>
    <row r="112" spans="1:13" hidden="1">
      <c r="A112" s="1791" t="str">
        <f t="shared" si="5"/>
        <v>N</v>
      </c>
      <c r="B112" s="1770"/>
      <c r="C112" s="3238"/>
      <c r="D112" s="3238"/>
      <c r="E112" s="3238"/>
      <c r="F112" s="3238"/>
      <c r="G112" s="3238"/>
      <c r="H112" s="3238"/>
      <c r="I112" s="3238"/>
      <c r="J112" s="3238"/>
      <c r="K112" s="3238"/>
      <c r="L112" s="3238"/>
      <c r="M112" s="1770"/>
    </row>
    <row r="113" spans="1:13" hidden="1">
      <c r="A113" s="1791" t="str">
        <f t="shared" si="5"/>
        <v>N</v>
      </c>
      <c r="B113" s="1770"/>
      <c r="C113" s="3238"/>
      <c r="D113" s="3238"/>
      <c r="E113" s="3238"/>
      <c r="F113" s="3238"/>
      <c r="G113" s="3238"/>
      <c r="H113" s="3238"/>
      <c r="I113" s="3238"/>
      <c r="J113" s="3238"/>
      <c r="K113" s="3238"/>
      <c r="L113" s="3238"/>
      <c r="M113" s="1770"/>
    </row>
    <row r="114" spans="1:13" hidden="1">
      <c r="A114" s="1791" t="str">
        <f t="shared" si="5"/>
        <v>N</v>
      </c>
      <c r="B114" s="1770"/>
      <c r="C114" s="3238"/>
      <c r="D114" s="3238"/>
      <c r="E114" s="3238"/>
      <c r="F114" s="3238"/>
      <c r="G114" s="3238"/>
      <c r="H114" s="3238"/>
      <c r="I114" s="3238"/>
      <c r="J114" s="3238"/>
      <c r="K114" s="3238"/>
      <c r="L114" s="3238"/>
      <c r="M114" s="1770"/>
    </row>
    <row r="115" spans="1:13" hidden="1">
      <c r="A115" s="1791" t="str">
        <f t="shared" si="5"/>
        <v>N</v>
      </c>
      <c r="B115" s="1770"/>
      <c r="C115" s="3238"/>
      <c r="D115" s="3238"/>
      <c r="E115" s="3238"/>
      <c r="F115" s="3238"/>
      <c r="G115" s="3238"/>
      <c r="H115" s="3238"/>
      <c r="I115" s="3238"/>
      <c r="J115" s="3238"/>
      <c r="K115" s="3238"/>
      <c r="L115" s="3238"/>
      <c r="M115" s="1770"/>
    </row>
    <row r="116" spans="1:13" hidden="1">
      <c r="A116" s="1791" t="str">
        <f t="shared" si="5"/>
        <v>N</v>
      </c>
      <c r="B116" s="1770"/>
      <c r="C116" s="3238"/>
      <c r="D116" s="3238"/>
      <c r="E116" s="3238"/>
      <c r="F116" s="3238"/>
      <c r="G116" s="3238"/>
      <c r="H116" s="3238"/>
      <c r="I116" s="3238"/>
      <c r="J116" s="3238"/>
      <c r="K116" s="3238"/>
      <c r="L116" s="3238"/>
      <c r="M116" s="1770"/>
    </row>
    <row r="117" spans="1:13" hidden="1">
      <c r="A117" s="1791" t="str">
        <f t="shared" si="5"/>
        <v>N</v>
      </c>
      <c r="B117" s="1770"/>
      <c r="C117" s="3238"/>
      <c r="D117" s="3238"/>
      <c r="E117" s="3238"/>
      <c r="F117" s="3238"/>
      <c r="G117" s="3238"/>
      <c r="H117" s="3238"/>
      <c r="I117" s="3238"/>
      <c r="J117" s="3238"/>
      <c r="K117" s="3238"/>
      <c r="L117" s="3238"/>
      <c r="M117" s="1770"/>
    </row>
    <row r="118" spans="1:13" hidden="1">
      <c r="A118" s="1791" t="str">
        <f t="shared" si="5"/>
        <v>N</v>
      </c>
      <c r="B118" s="1770"/>
      <c r="C118" s="3238"/>
      <c r="D118" s="3238"/>
      <c r="E118" s="3238"/>
      <c r="F118" s="3238"/>
      <c r="G118" s="3238"/>
      <c r="H118" s="3238"/>
      <c r="I118" s="3238"/>
      <c r="J118" s="3238"/>
      <c r="K118" s="3238"/>
      <c r="L118" s="3238"/>
      <c r="M118" s="1770"/>
    </row>
    <row r="119" spans="1:13" hidden="1">
      <c r="A119" s="1791" t="str">
        <f t="shared" si="5"/>
        <v>N</v>
      </c>
      <c r="B119" s="1770"/>
      <c r="C119" s="3238"/>
      <c r="D119" s="3238"/>
      <c r="E119" s="3238"/>
      <c r="F119" s="3238"/>
      <c r="G119" s="3238"/>
      <c r="H119" s="3238"/>
      <c r="I119" s="3238"/>
      <c r="J119" s="3238"/>
      <c r="K119" s="3238"/>
      <c r="L119" s="3238"/>
      <c r="M119" s="1770"/>
    </row>
    <row r="120" spans="1:13" hidden="1">
      <c r="A120" s="1791" t="str">
        <f t="shared" si="5"/>
        <v>N</v>
      </c>
      <c r="B120" s="1770"/>
      <c r="C120" s="3238"/>
      <c r="D120" s="3238"/>
      <c r="E120" s="3238"/>
      <c r="F120" s="3238"/>
      <c r="G120" s="3238"/>
      <c r="H120" s="3238"/>
      <c r="I120" s="3238"/>
      <c r="J120" s="3238"/>
      <c r="K120" s="3238"/>
      <c r="L120" s="3238"/>
      <c r="M120" s="1770"/>
    </row>
    <row r="121" spans="1:13" hidden="1">
      <c r="A121" s="1791" t="str">
        <f t="shared" si="5"/>
        <v>N</v>
      </c>
      <c r="B121" s="1770"/>
      <c r="C121" s="3272" t="s">
        <v>1377</v>
      </c>
      <c r="D121" s="3272"/>
      <c r="E121" s="3272"/>
      <c r="F121" s="3272"/>
      <c r="G121" s="3272"/>
      <c r="H121" s="3272" t="s">
        <v>1378</v>
      </c>
      <c r="I121" s="3272"/>
      <c r="J121" s="3272"/>
      <c r="K121" s="3272"/>
      <c r="L121" s="3272"/>
      <c r="M121" s="1770"/>
    </row>
    <row r="122" spans="1:13" hidden="1">
      <c r="A122" s="1791" t="str">
        <f t="shared" si="5"/>
        <v>N</v>
      </c>
      <c r="B122" s="1770"/>
      <c r="C122" s="1800"/>
      <c r="D122" s="1800"/>
      <c r="E122" s="1800"/>
      <c r="F122" s="1800"/>
      <c r="G122" s="1800"/>
      <c r="H122" s="1770"/>
      <c r="I122" s="1800"/>
      <c r="J122" s="1800"/>
      <c r="K122" s="1800"/>
      <c r="L122" s="1800"/>
      <c r="M122" s="1770"/>
    </row>
    <row r="123" spans="1:13" hidden="1">
      <c r="A123" s="1693" t="str">
        <f>A107</f>
        <v>N</v>
      </c>
      <c r="B123" s="1801"/>
      <c r="C123" s="1801" t="s">
        <v>179</v>
      </c>
      <c r="D123" s="1724"/>
      <c r="E123" s="1724"/>
      <c r="F123" s="1724"/>
      <c r="G123" s="1724"/>
      <c r="H123" s="1724"/>
      <c r="I123" s="1724"/>
      <c r="J123" s="1724"/>
      <c r="K123" s="1802"/>
      <c r="L123" s="1802"/>
      <c r="M123" s="1803"/>
    </row>
    <row r="124" spans="1:13" hidden="1">
      <c r="A124" s="1693" t="str">
        <f t="shared" si="4"/>
        <v>N</v>
      </c>
      <c r="B124" s="1804"/>
      <c r="C124" s="2871"/>
      <c r="D124" s="2872"/>
      <c r="E124" s="2872"/>
      <c r="F124" s="2872"/>
      <c r="G124" s="2872"/>
      <c r="H124" s="2872"/>
      <c r="I124" s="2872"/>
      <c r="J124" s="2872"/>
      <c r="K124" s="2872"/>
      <c r="L124" s="2873"/>
      <c r="M124" s="1805"/>
    </row>
    <row r="125" spans="1:13" hidden="1">
      <c r="A125" s="1693" t="str">
        <f t="shared" si="4"/>
        <v>N</v>
      </c>
      <c r="B125" s="1804"/>
      <c r="C125" s="2882"/>
      <c r="D125" s="2883"/>
      <c r="E125" s="2883"/>
      <c r="F125" s="2883"/>
      <c r="G125" s="2883"/>
      <c r="H125" s="2883"/>
      <c r="I125" s="2883"/>
      <c r="J125" s="2883"/>
      <c r="K125" s="2883"/>
      <c r="L125" s="2884"/>
      <c r="M125" s="1805"/>
    </row>
    <row r="126" spans="1:13" hidden="1">
      <c r="A126" s="1693" t="str">
        <f t="shared" si="4"/>
        <v>N</v>
      </c>
      <c r="B126" s="1804"/>
      <c r="C126" s="2885"/>
      <c r="D126" s="2886"/>
      <c r="E126" s="2886"/>
      <c r="F126" s="2886"/>
      <c r="G126" s="2886"/>
      <c r="H126" s="2886"/>
      <c r="I126" s="2886"/>
      <c r="J126" s="2886"/>
      <c r="K126" s="2886"/>
      <c r="L126" s="2887"/>
      <c r="M126" s="1805"/>
    </row>
    <row r="127" spans="1:13" s="1710" customFormat="1" ht="5.25" hidden="1">
      <c r="A127" s="1710" t="str">
        <f t="shared" si="4"/>
        <v>N</v>
      </c>
      <c r="B127" s="1806"/>
      <c r="C127" s="1807"/>
      <c r="D127" s="1807"/>
      <c r="E127" s="1807"/>
      <c r="F127" s="1807"/>
      <c r="G127" s="1807"/>
      <c r="H127" s="1807"/>
      <c r="I127" s="1807"/>
      <c r="J127" s="1808"/>
      <c r="K127" s="1808"/>
      <c r="L127" s="1808"/>
      <c r="M127" s="1809"/>
    </row>
    <row r="128" spans="1:13" hidden="1">
      <c r="A128" s="1693" t="str">
        <f t="shared" si="4"/>
        <v>N</v>
      </c>
      <c r="B128" s="1810"/>
      <c r="C128" s="1810"/>
      <c r="D128" s="1810"/>
      <c r="E128" s="1810"/>
      <c r="F128" s="1810"/>
      <c r="G128" s="1810"/>
      <c r="H128" s="1810"/>
      <c r="I128" s="1810"/>
      <c r="J128" s="1800"/>
      <c r="K128" s="1800"/>
      <c r="L128" s="1800"/>
      <c r="M128" s="1800"/>
    </row>
    <row r="129" spans="1:13" hidden="1">
      <c r="A129" s="1693" t="str">
        <f t="shared" si="4"/>
        <v>N</v>
      </c>
      <c r="B129" s="1810"/>
      <c r="C129" s="1810"/>
      <c r="D129" s="1810"/>
      <c r="E129" s="1810"/>
      <c r="F129" s="1810"/>
      <c r="G129" s="1810"/>
      <c r="H129" s="1810"/>
      <c r="I129" s="1810"/>
      <c r="J129" s="1800"/>
      <c r="K129" s="1800"/>
      <c r="L129" s="1800"/>
      <c r="M129" s="1800"/>
    </row>
    <row r="130" spans="1:13" hidden="1">
      <c r="A130" s="1693" t="str">
        <f t="shared" si="4"/>
        <v>N</v>
      </c>
      <c r="B130" s="1810"/>
      <c r="C130" s="1810"/>
      <c r="D130" s="1810"/>
      <c r="E130" s="1810"/>
      <c r="F130" s="1810"/>
      <c r="G130" s="1810"/>
      <c r="H130" s="1810"/>
      <c r="I130" s="1810"/>
      <c r="J130" s="1800"/>
      <c r="K130" s="1800"/>
      <c r="L130" s="1800"/>
      <c r="M130" s="1800"/>
    </row>
    <row r="131" spans="1:13" hidden="1">
      <c r="A131" s="1693" t="str">
        <f t="shared" si="4"/>
        <v>N</v>
      </c>
      <c r="B131" s="2859" t="str">
        <f>CHENG</f>
        <v>CANO ARTHUR D. CADAVOS</v>
      </c>
      <c r="C131" s="2859"/>
      <c r="D131" s="2859"/>
      <c r="E131" s="2859"/>
      <c r="F131" s="2859"/>
      <c r="G131" s="3297" t="str">
        <f>IF(BARGESEL=1,BARGEREP,INDEX(BARGETABLE,MATCH(E76,BARGENAMES,0),4))</f>
        <v>TEMEL KALYONCU</v>
      </c>
      <c r="H131" s="3297"/>
      <c r="I131" s="3297"/>
      <c r="J131" s="3297"/>
      <c r="K131" s="2859" t="str">
        <f>SURVEYOR</f>
        <v>MEHMET EROĞLU</v>
      </c>
      <c r="L131" s="2859"/>
      <c r="M131" s="2859"/>
    </row>
    <row r="132" spans="1:13" s="1710" customFormat="1" ht="5.25" hidden="1">
      <c r="A132" s="1710" t="s">
        <v>270</v>
      </c>
      <c r="B132" s="1806"/>
      <c r="C132" s="1806"/>
      <c r="D132" s="1806"/>
      <c r="E132" s="1806"/>
      <c r="F132" s="1806"/>
      <c r="G132" s="1806"/>
      <c r="H132" s="1806"/>
      <c r="I132" s="1806"/>
      <c r="J132" s="1811"/>
      <c r="K132" s="1812"/>
      <c r="L132" s="1812"/>
      <c r="M132" s="1812"/>
    </row>
    <row r="133" spans="1:13" hidden="1">
      <c r="A133" s="1693" t="str">
        <f>A131</f>
        <v>N</v>
      </c>
      <c r="B133" s="3295" t="s">
        <v>15</v>
      </c>
      <c r="C133" s="3295"/>
      <c r="D133" s="3295"/>
      <c r="E133" s="3295"/>
      <c r="F133" s="3295"/>
      <c r="G133" s="3295" t="s">
        <v>840</v>
      </c>
      <c r="H133" s="3295"/>
      <c r="I133" s="3295"/>
      <c r="J133" s="3295"/>
      <c r="K133" s="3296" t="str">
        <f>"Bunker Surveyor"&amp;IF(SPORE=TRUE,", License No. "&amp;SURVLIC,"")</f>
        <v>Bunker Surveyor</v>
      </c>
      <c r="L133" s="3296"/>
      <c r="M133" s="3296"/>
    </row>
    <row r="134" spans="1:13" s="1719" customFormat="1" ht="9" hidden="1">
      <c r="A134" s="1813" t="str">
        <f t="shared" si="4"/>
        <v>N</v>
      </c>
      <c r="B134"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134" s="3155"/>
      <c r="D134" s="3155"/>
      <c r="E134" s="3155"/>
      <c r="F134" s="3155"/>
      <c r="G134" s="3155"/>
      <c r="H134" s="3155"/>
      <c r="I134" s="3155"/>
      <c r="J134" s="3155"/>
      <c r="K134" s="3155"/>
      <c r="L134" s="3256"/>
      <c r="M134" s="3126"/>
    </row>
    <row r="135" spans="1:13" s="1719" customFormat="1" ht="9" hidden="1">
      <c r="A135" s="1813" t="str">
        <f t="shared" si="4"/>
        <v>N</v>
      </c>
      <c r="B135" s="3157"/>
      <c r="C135" s="3158"/>
      <c r="D135" s="3158"/>
      <c r="E135" s="3158"/>
      <c r="F135" s="3158"/>
      <c r="G135" s="3158"/>
      <c r="H135" s="3158"/>
      <c r="I135" s="3158"/>
      <c r="J135" s="3158"/>
      <c r="K135" s="3158"/>
      <c r="L135" s="3257"/>
      <c r="M135" s="3127"/>
    </row>
    <row r="136" spans="1:13" s="1719" customFormat="1" ht="9" hidden="1">
      <c r="A136" s="1813" t="str">
        <f t="shared" si="4"/>
        <v>N</v>
      </c>
      <c r="B136" s="3157"/>
      <c r="C136" s="3158"/>
      <c r="D136" s="3158"/>
      <c r="E136" s="3158"/>
      <c r="F136" s="3158"/>
      <c r="G136" s="3158"/>
      <c r="H136" s="3158"/>
      <c r="I136" s="3158"/>
      <c r="J136" s="3158"/>
      <c r="K136" s="3158"/>
      <c r="L136" s="3257"/>
      <c r="M136" s="3127"/>
    </row>
    <row r="137" spans="1:13" s="1719" customFormat="1" ht="9" hidden="1">
      <c r="A137" s="1813" t="str">
        <f t="shared" si="4"/>
        <v>N</v>
      </c>
      <c r="B137" s="3157"/>
      <c r="C137" s="3158"/>
      <c r="D137" s="3158"/>
      <c r="E137" s="3158"/>
      <c r="F137" s="3158"/>
      <c r="G137" s="3158"/>
      <c r="H137" s="3158"/>
      <c r="I137" s="3158"/>
      <c r="J137" s="3158"/>
      <c r="K137" s="3158"/>
      <c r="L137" s="3257"/>
      <c r="M137" s="3127"/>
    </row>
    <row r="138" spans="1:13" s="1719" customFormat="1" ht="9" hidden="1">
      <c r="A138" s="1813" t="str">
        <f t="shared" si="4"/>
        <v>N</v>
      </c>
      <c r="B138" s="3157"/>
      <c r="C138" s="3158"/>
      <c r="D138" s="3158"/>
      <c r="E138" s="3158"/>
      <c r="F138" s="3158"/>
      <c r="G138" s="3158"/>
      <c r="H138" s="3158"/>
      <c r="I138" s="3158"/>
      <c r="J138" s="3158"/>
      <c r="K138" s="3158"/>
      <c r="L138" s="3257"/>
      <c r="M138" s="3127"/>
    </row>
    <row r="139" spans="1:13" s="1719" customFormat="1" ht="9" hidden="1">
      <c r="A139" s="1813" t="str">
        <f t="shared" si="4"/>
        <v>N</v>
      </c>
      <c r="B139" s="3159"/>
      <c r="C139" s="3160"/>
      <c r="D139" s="3160"/>
      <c r="E139" s="3160"/>
      <c r="F139" s="3160"/>
      <c r="G139" s="3160"/>
      <c r="H139" s="3160"/>
      <c r="I139" s="3160"/>
      <c r="J139" s="3160"/>
      <c r="K139" s="3160"/>
      <c r="L139" s="3258"/>
      <c r="M139" s="3128"/>
    </row>
    <row r="140" spans="1:13" hidden="1">
      <c r="A140" s="1791" t="str">
        <f>IF(AND(FMTYPE3&lt;&gt;0,FMTYPE3&lt;&gt;"-",FMTYPE3&lt;&gt;TANKMEAS,MYBARGENAME=E140,K142&gt;0),"Y","N")</f>
        <v>N</v>
      </c>
      <c r="B140" s="3348" t="s">
        <v>788</v>
      </c>
      <c r="C140" s="3349"/>
      <c r="D140" s="3349"/>
      <c r="E140" s="3350" t="str">
        <f>'Cover Page'!K$89</f>
        <v/>
      </c>
      <c r="F140" s="3350"/>
      <c r="G140" s="3350"/>
      <c r="H140" s="3350"/>
      <c r="I140" s="3351" t="s">
        <v>789</v>
      </c>
      <c r="J140" s="3351"/>
      <c r="K140" s="3352" t="str">
        <f>PORT</f>
        <v>ISTANBUL / TURKEY</v>
      </c>
      <c r="L140" s="3352"/>
      <c r="M140" s="3353"/>
    </row>
    <row r="141" spans="1:13" hidden="1">
      <c r="A141" s="1693" t="str">
        <f>A140</f>
        <v>N</v>
      </c>
      <c r="B141" s="3354" t="s">
        <v>160</v>
      </c>
      <c r="C141" s="3355"/>
      <c r="D141" s="3355"/>
      <c r="E141" s="3356" t="str">
        <f>VESSEL</f>
        <v>MV PESSADA</v>
      </c>
      <c r="F141" s="3356"/>
      <c r="G141" s="3356"/>
      <c r="H141" s="3356"/>
      <c r="I141" s="3357" t="s">
        <v>790</v>
      </c>
      <c r="J141" s="3357"/>
      <c r="K141" s="3358">
        <f>DATESURVC</f>
        <v>44792</v>
      </c>
      <c r="L141" s="3358"/>
      <c r="M141" s="3359"/>
    </row>
    <row r="142" spans="1:13" hidden="1">
      <c r="A142" s="1693" t="str">
        <f t="shared" ref="A142:A163" si="6">A141</f>
        <v>N</v>
      </c>
      <c r="B142" s="3339">
        <v>3</v>
      </c>
      <c r="C142" s="3340"/>
      <c r="D142" s="3340"/>
      <c r="E142" s="3341"/>
      <c r="F142" s="3341"/>
      <c r="G142" s="3341"/>
      <c r="H142" s="3341"/>
      <c r="I142" s="3342" t="s">
        <v>764</v>
      </c>
      <c r="J142" s="3342"/>
      <c r="K142" s="3343" t="str">
        <f>'Cover Page'!K$88</f>
        <v>MDO</v>
      </c>
      <c r="L142" s="3343"/>
      <c r="M142" s="3344"/>
    </row>
    <row r="143" spans="1:13" s="1813" customFormat="1" ht="9" hidden="1">
      <c r="A143" s="1813" t="str">
        <f t="shared" si="6"/>
        <v>N</v>
      </c>
      <c r="B143" s="1917"/>
      <c r="C143" s="1917"/>
      <c r="D143" s="1917"/>
      <c r="E143" s="1917"/>
      <c r="F143" s="1917"/>
      <c r="G143" s="1917"/>
      <c r="H143" s="1917"/>
      <c r="I143" s="1917"/>
      <c r="J143" s="1917"/>
      <c r="K143" s="1921"/>
      <c r="L143" s="1921"/>
      <c r="M143" s="1921"/>
    </row>
    <row r="144" spans="1:13" ht="18.75" hidden="1">
      <c r="A144" s="1924" t="str">
        <f t="shared" si="6"/>
        <v>N</v>
      </c>
      <c r="B144" s="1770"/>
      <c r="C144" s="3345" t="s">
        <v>859</v>
      </c>
      <c r="D144" s="3346"/>
      <c r="E144" s="3346"/>
      <c r="F144" s="3346"/>
      <c r="G144" s="3346"/>
      <c r="H144" s="3346"/>
      <c r="I144" s="3346"/>
      <c r="J144" s="3346"/>
      <c r="K144" s="3346"/>
      <c r="L144" s="3347"/>
      <c r="M144" s="1770"/>
    </row>
    <row r="145" spans="1:13" hidden="1">
      <c r="A145" s="1693" t="str">
        <f t="shared" si="6"/>
        <v>N</v>
      </c>
      <c r="B145" s="1770"/>
      <c r="C145" s="3330" t="s">
        <v>1112</v>
      </c>
      <c r="D145" s="3330"/>
      <c r="E145" s="3331"/>
      <c r="F145" s="3332" t="str">
        <f>IF(FMTYPE3=0,"",INDEX(FMTYPES,MATCH(FMTYPE3,METHOFCALCSHORT,0),1))</f>
        <v/>
      </c>
      <c r="G145" s="3333"/>
      <c r="H145" s="3330" t="s">
        <v>860</v>
      </c>
      <c r="I145" s="3330"/>
      <c r="J145" s="3331"/>
      <c r="K145" s="3334">
        <v>0.98765400000000003</v>
      </c>
      <c r="L145" s="3335"/>
      <c r="M145" s="1770"/>
    </row>
    <row r="146" spans="1:13" hidden="1">
      <c r="A146" s="1693" t="str">
        <f t="shared" si="6"/>
        <v>N</v>
      </c>
      <c r="B146" s="1770"/>
      <c r="C146" s="3312" t="s">
        <v>1267</v>
      </c>
      <c r="D146" s="3312"/>
      <c r="E146" s="3313"/>
      <c r="F146" s="3311" t="s">
        <v>903</v>
      </c>
      <c r="G146" s="3336"/>
      <c r="H146" s="3312" t="s">
        <v>861</v>
      </c>
      <c r="I146" s="3312"/>
      <c r="J146" s="3313"/>
      <c r="K146" s="3337">
        <v>12</v>
      </c>
      <c r="L146" s="3338"/>
      <c r="M146" s="1770"/>
    </row>
    <row r="147" spans="1:13" hidden="1">
      <c r="A147" s="1693" t="str">
        <f t="shared" si="6"/>
        <v>N</v>
      </c>
      <c r="B147" s="1770"/>
      <c r="C147" s="3307" t="s">
        <v>962</v>
      </c>
      <c r="D147" s="3308"/>
      <c r="E147" s="3309"/>
      <c r="F147" s="3310">
        <v>12345</v>
      </c>
      <c r="G147" s="3311"/>
      <c r="H147" s="3312" t="s">
        <v>1266</v>
      </c>
      <c r="I147" s="3312"/>
      <c r="J147" s="3313"/>
      <c r="K147" s="3320">
        <v>0</v>
      </c>
      <c r="L147" s="3321"/>
      <c r="M147" s="1770"/>
    </row>
    <row r="148" spans="1:13" hidden="1">
      <c r="A148" s="1693" t="str">
        <f t="shared" si="6"/>
        <v>N</v>
      </c>
      <c r="B148" s="1770"/>
      <c r="C148" s="3307" t="s">
        <v>862</v>
      </c>
      <c r="D148" s="3308"/>
      <c r="E148" s="3309"/>
      <c r="F148" s="3328">
        <v>41032</v>
      </c>
      <c r="G148" s="3329"/>
      <c r="H148" s="3312" t="s">
        <v>864</v>
      </c>
      <c r="I148" s="3312"/>
      <c r="J148" s="3313"/>
      <c r="K148" s="1792">
        <v>2.8</v>
      </c>
      <c r="L148" s="1793">
        <v>3</v>
      </c>
      <c r="M148" s="1770"/>
    </row>
    <row r="149" spans="1:13" hidden="1">
      <c r="A149" s="1693" t="str">
        <f t="shared" si="6"/>
        <v>N</v>
      </c>
      <c r="B149" s="1770"/>
      <c r="C149" s="3307" t="s">
        <v>863</v>
      </c>
      <c r="D149" s="3308"/>
      <c r="E149" s="3309"/>
      <c r="F149" s="3310" t="s">
        <v>902</v>
      </c>
      <c r="G149" s="3311"/>
      <c r="H149" s="3312" t="s">
        <v>866</v>
      </c>
      <c r="I149" s="3312"/>
      <c r="J149" s="3313"/>
      <c r="K149" s="1794" t="s">
        <v>904</v>
      </c>
      <c r="L149" s="1795" t="s">
        <v>904</v>
      </c>
      <c r="M149" s="1770"/>
    </row>
    <row r="150" spans="1:13" hidden="1">
      <c r="A150" s="1693" t="str">
        <f t="shared" si="6"/>
        <v>N</v>
      </c>
      <c r="B150" s="1770"/>
      <c r="C150" s="3307" t="s">
        <v>865</v>
      </c>
      <c r="D150" s="3308"/>
      <c r="E150" s="3309"/>
      <c r="F150" s="3310">
        <v>987</v>
      </c>
      <c r="G150" s="3311"/>
      <c r="H150" s="3312" t="s">
        <v>1268</v>
      </c>
      <c r="I150" s="3312"/>
      <c r="J150" s="3313"/>
      <c r="K150" s="1792">
        <v>100</v>
      </c>
      <c r="L150" s="1793">
        <v>1000</v>
      </c>
      <c r="M150" s="1770"/>
    </row>
    <row r="151" spans="1:13" hidden="1">
      <c r="A151" s="1693" t="str">
        <f t="shared" si="6"/>
        <v>N</v>
      </c>
      <c r="B151" s="1770"/>
      <c r="C151" s="3307" t="s">
        <v>867</v>
      </c>
      <c r="D151" s="3308"/>
      <c r="E151" s="3309"/>
      <c r="F151" s="3310">
        <v>12345</v>
      </c>
      <c r="G151" s="3311"/>
      <c r="H151" s="3312" t="s">
        <v>1269</v>
      </c>
      <c r="I151" s="3312"/>
      <c r="J151" s="3313"/>
      <c r="K151" s="1792">
        <v>100</v>
      </c>
      <c r="L151" s="1793">
        <v>1000</v>
      </c>
      <c r="M151" s="1770"/>
    </row>
    <row r="152" spans="1:13" hidden="1">
      <c r="A152" s="1693" t="str">
        <f t="shared" si="6"/>
        <v>N</v>
      </c>
      <c r="B152" s="1770"/>
      <c r="C152" s="3314" t="s">
        <v>899</v>
      </c>
      <c r="D152" s="3314"/>
      <c r="E152" s="3315"/>
      <c r="F152" s="3316" t="s">
        <v>905</v>
      </c>
      <c r="G152" s="3317"/>
      <c r="H152" s="3312" t="s">
        <v>1270</v>
      </c>
      <c r="I152" s="3312"/>
      <c r="J152" s="3313"/>
      <c r="K152" s="3320" t="s">
        <v>772</v>
      </c>
      <c r="L152" s="3321"/>
      <c r="M152" s="1770"/>
    </row>
    <row r="153" spans="1:13" hidden="1">
      <c r="A153" s="1693" t="str">
        <f t="shared" si="6"/>
        <v>N</v>
      </c>
      <c r="B153" s="1770"/>
      <c r="C153" s="3322"/>
      <c r="D153" s="3322"/>
      <c r="E153" s="3323"/>
      <c r="F153" s="3318"/>
      <c r="G153" s="3319"/>
      <c r="H153" s="3324" t="s">
        <v>49</v>
      </c>
      <c r="I153" s="3324"/>
      <c r="J153" s="3325"/>
      <c r="K153" s="3326" t="s">
        <v>1271</v>
      </c>
      <c r="L153" s="3327"/>
      <c r="M153" s="1770"/>
    </row>
    <row r="154" spans="1:13" s="1813" customFormat="1" ht="9" hidden="1">
      <c r="A154" s="1813" t="str">
        <f t="shared" si="6"/>
        <v>N</v>
      </c>
      <c r="B154" s="1917"/>
      <c r="C154" s="1917"/>
      <c r="D154" s="1917"/>
      <c r="E154" s="1917"/>
      <c r="F154" s="1917"/>
      <c r="G154" s="1917"/>
      <c r="H154" s="1917"/>
      <c r="I154" s="1917"/>
      <c r="J154" s="1917"/>
      <c r="K154" s="1917"/>
      <c r="L154" s="1917"/>
      <c r="M154" s="1917"/>
    </row>
    <row r="155" spans="1:13" hidden="1">
      <c r="A155" s="1693" t="str">
        <f t="shared" si="6"/>
        <v>N</v>
      </c>
      <c r="B155" s="1770"/>
      <c r="C155" s="1796" t="s">
        <v>868</v>
      </c>
      <c r="D155" s="3291" t="s">
        <v>1345</v>
      </c>
      <c r="E155" s="3291"/>
      <c r="F155" s="3291"/>
      <c r="G155" s="3291"/>
      <c r="H155" s="3292"/>
      <c r="I155" s="3305">
        <v>0</v>
      </c>
      <c r="J155" s="3306"/>
      <c r="K155" s="3306"/>
      <c r="L155" s="3306"/>
      <c r="M155" s="1770"/>
    </row>
    <row r="156" spans="1:13" hidden="1">
      <c r="A156" s="1693" t="str">
        <f t="shared" si="6"/>
        <v>N</v>
      </c>
      <c r="B156" s="1770"/>
      <c r="C156" s="1797" t="s">
        <v>869</v>
      </c>
      <c r="D156" s="3273" t="s">
        <v>1346</v>
      </c>
      <c r="E156" s="3273"/>
      <c r="F156" s="3273"/>
      <c r="G156" s="3273"/>
      <c r="H156" s="3274"/>
      <c r="I156" s="3275">
        <v>0</v>
      </c>
      <c r="J156" s="3276"/>
      <c r="K156" s="3276"/>
      <c r="L156" s="3276"/>
      <c r="M156" s="1770"/>
    </row>
    <row r="157" spans="1:13" hidden="1">
      <c r="A157" s="1693" t="str">
        <f t="shared" si="6"/>
        <v>N</v>
      </c>
      <c r="B157" s="1770"/>
      <c r="C157" s="1798" t="s">
        <v>870</v>
      </c>
      <c r="D157" s="3298" t="str">
        <f>"Delivered Meter Quantity - Mass in "&amp;F145&amp;" (B-A)"</f>
        <v>Delivered Meter Quantity - Mass in  (B-A)</v>
      </c>
      <c r="E157" s="3299"/>
      <c r="F157" s="3299"/>
      <c r="G157" s="3299"/>
      <c r="H157" s="3300"/>
      <c r="I157" s="3301">
        <f>I156-I155</f>
        <v>0</v>
      </c>
      <c r="J157" s="3302"/>
      <c r="K157" s="3302"/>
      <c r="L157" s="3302"/>
      <c r="M157" s="1770"/>
    </row>
    <row r="158" spans="1:13" s="1813" customFormat="1" ht="9" hidden="1">
      <c r="A158" s="1813" t="str">
        <f t="shared" si="6"/>
        <v>N</v>
      </c>
      <c r="B158" s="1917"/>
      <c r="C158" s="1918"/>
      <c r="D158" s="1919"/>
      <c r="E158" s="1919"/>
      <c r="F158" s="1919"/>
      <c r="G158" s="1919"/>
      <c r="H158" s="1919"/>
      <c r="I158" s="1919"/>
      <c r="J158" s="1919"/>
      <c r="K158" s="1919"/>
      <c r="L158" s="1920"/>
      <c r="M158" s="1917"/>
    </row>
    <row r="159" spans="1:13" hidden="1">
      <c r="A159" s="1693" t="str">
        <f t="shared" si="6"/>
        <v>N</v>
      </c>
      <c r="B159" s="1770"/>
      <c r="C159" s="1796" t="s">
        <v>871</v>
      </c>
      <c r="D159" s="3291" t="s">
        <v>1347</v>
      </c>
      <c r="E159" s="3291"/>
      <c r="F159" s="3291"/>
      <c r="G159" s="3291"/>
      <c r="H159" s="3292"/>
      <c r="I159" s="3305">
        <v>2000</v>
      </c>
      <c r="J159" s="3306"/>
      <c r="K159" s="3306"/>
      <c r="L159" s="3306"/>
      <c r="M159" s="1770"/>
    </row>
    <row r="160" spans="1:13" hidden="1">
      <c r="A160" s="1693" t="str">
        <f t="shared" si="6"/>
        <v>N</v>
      </c>
      <c r="B160" s="1770"/>
      <c r="C160" s="1797" t="s">
        <v>269</v>
      </c>
      <c r="D160" s="3273" t="s">
        <v>1348</v>
      </c>
      <c r="E160" s="3273"/>
      <c r="F160" s="3273"/>
      <c r="G160" s="3273"/>
      <c r="H160" s="3274"/>
      <c r="I160" s="3275">
        <v>1000</v>
      </c>
      <c r="J160" s="3276"/>
      <c r="K160" s="3276"/>
      <c r="L160" s="3276"/>
      <c r="M160" s="1770"/>
    </row>
    <row r="161" spans="1:13" hidden="1">
      <c r="A161" s="1693" t="str">
        <f t="shared" si="6"/>
        <v>N</v>
      </c>
      <c r="B161" s="1770"/>
      <c r="C161" s="1798" t="s">
        <v>872</v>
      </c>
      <c r="D161" s="3298" t="str">
        <f>"Loading Meter Quantity - Mass in "&amp;F145&amp;" (E-D)"</f>
        <v>Loading Meter Quantity - Mass in  (E-D)</v>
      </c>
      <c r="E161" s="3299"/>
      <c r="F161" s="3299"/>
      <c r="G161" s="3299"/>
      <c r="H161" s="3300"/>
      <c r="I161" s="3301">
        <f>I160-I159</f>
        <v>-1000</v>
      </c>
      <c r="J161" s="3302"/>
      <c r="K161" s="3302"/>
      <c r="L161" s="3302"/>
      <c r="M161" s="1770"/>
    </row>
    <row r="162" spans="1:13" s="1813" customFormat="1" ht="9" hidden="1">
      <c r="A162" s="1813" t="str">
        <f t="shared" si="6"/>
        <v>N</v>
      </c>
      <c r="B162" s="1917"/>
      <c r="C162" s="1917"/>
      <c r="D162" s="1917"/>
      <c r="E162" s="1917"/>
      <c r="F162" s="1917"/>
      <c r="G162" s="1917"/>
      <c r="H162" s="1917"/>
      <c r="I162" s="1917"/>
      <c r="J162" s="1917"/>
      <c r="K162" s="1917"/>
      <c r="L162" s="1917"/>
      <c r="M162" s="1917"/>
    </row>
    <row r="163" spans="1:13" hidden="1">
      <c r="A163" s="1693" t="str">
        <f t="shared" si="6"/>
        <v>N</v>
      </c>
      <c r="B163" s="1770"/>
      <c r="C163" s="3303" t="str">
        <f>"Quantity Delivered - Mass in "&amp;F145&amp;" (C-F)"</f>
        <v>Quantity Delivered - Mass in  (C-F)</v>
      </c>
      <c r="D163" s="3303"/>
      <c r="E163" s="3303"/>
      <c r="F163" s="3303"/>
      <c r="G163" s="3303"/>
      <c r="H163" s="3304"/>
      <c r="I163" s="3293">
        <f>I157-I161</f>
        <v>1000</v>
      </c>
      <c r="J163" s="3294"/>
      <c r="K163" s="3294"/>
      <c r="L163" s="3294"/>
      <c r="M163" s="1799"/>
    </row>
    <row r="164" spans="1:13" hidden="1">
      <c r="A164" s="1791" t="str">
        <f>IF(A163="N","N",IF($F145="Air","N","Y"))</f>
        <v>N</v>
      </c>
      <c r="B164" s="1770"/>
      <c r="C164" s="3283" t="s">
        <v>906</v>
      </c>
      <c r="D164" s="3283"/>
      <c r="E164" s="3283"/>
      <c r="F164" s="3283"/>
      <c r="G164" s="3283"/>
      <c r="H164" s="3284"/>
      <c r="I164" s="3285">
        <v>0.99892499999999995</v>
      </c>
      <c r="J164" s="3286"/>
      <c r="K164" s="3286"/>
      <c r="L164" s="3286"/>
      <c r="M164" s="1770"/>
    </row>
    <row r="165" spans="1:13" hidden="1">
      <c r="A165" s="1791" t="str">
        <f>IF(A163="N","N",IF($F145="Air","N","Y"))</f>
        <v>N</v>
      </c>
      <c r="B165" s="1770"/>
      <c r="C165" s="3287" t="s">
        <v>1375</v>
      </c>
      <c r="D165" s="3287"/>
      <c r="E165" s="3287"/>
      <c r="F165" s="3287"/>
      <c r="G165" s="3287"/>
      <c r="H165" s="3288"/>
      <c r="I165" s="3289">
        <f>IF(F145="Air",I163,I163*I164)</f>
        <v>998.92499999999995</v>
      </c>
      <c r="J165" s="3290"/>
      <c r="K165" s="3290"/>
      <c r="L165" s="3290"/>
      <c r="M165" s="1770"/>
    </row>
    <row r="166" spans="1:13" s="1813" customFormat="1" ht="9" hidden="1">
      <c r="A166" s="1922" t="str">
        <f>A163</f>
        <v>N</v>
      </c>
      <c r="B166" s="1917"/>
      <c r="C166" s="1923"/>
      <c r="D166" s="1923"/>
      <c r="E166" s="1923"/>
      <c r="F166" s="1923"/>
      <c r="G166" s="1923"/>
      <c r="H166" s="1923"/>
      <c r="I166" s="1923"/>
      <c r="J166" s="1923"/>
      <c r="K166" s="1923"/>
      <c r="L166" s="1923"/>
      <c r="M166" s="1917"/>
    </row>
    <row r="167" spans="1:13" hidden="1">
      <c r="A167" s="1693" t="str">
        <f>A166</f>
        <v>N</v>
      </c>
      <c r="B167" s="1770"/>
      <c r="C167" s="3291" t="s">
        <v>900</v>
      </c>
      <c r="D167" s="3291"/>
      <c r="E167" s="3291"/>
      <c r="F167" s="3291"/>
      <c r="G167" s="3291"/>
      <c r="H167" s="3292"/>
      <c r="I167" s="3293" t="str">
        <f>'Preliminary Report'!$F$42</f>
        <v/>
      </c>
      <c r="J167" s="3294"/>
      <c r="K167" s="3294"/>
      <c r="L167" s="3294"/>
      <c r="M167" s="1770"/>
    </row>
    <row r="168" spans="1:13" hidden="1">
      <c r="A168" s="1693" t="str">
        <f t="shared" ref="A168:A203" si="7">A167</f>
        <v>N</v>
      </c>
      <c r="B168" s="1770"/>
      <c r="C168" s="3273" t="s">
        <v>1219</v>
      </c>
      <c r="D168" s="3273"/>
      <c r="E168" s="3273"/>
      <c r="F168" s="3273"/>
      <c r="G168" s="3273"/>
      <c r="H168" s="3274"/>
      <c r="I168" s="3275">
        <v>2</v>
      </c>
      <c r="J168" s="3276"/>
      <c r="K168" s="3276"/>
      <c r="L168" s="3276"/>
      <c r="M168" s="1770"/>
    </row>
    <row r="169" spans="1:13" hidden="1">
      <c r="A169" s="1693" t="str">
        <f t="shared" si="7"/>
        <v>N</v>
      </c>
      <c r="B169" s="1770"/>
      <c r="C169" s="3273" t="s">
        <v>873</v>
      </c>
      <c r="D169" s="3273"/>
      <c r="E169" s="3273"/>
      <c r="F169" s="3273"/>
      <c r="G169" s="3273"/>
      <c r="H169" s="3274"/>
      <c r="I169" s="3277">
        <f>'Preliminary Report'!$H$42</f>
        <v>0</v>
      </c>
      <c r="J169" s="3278"/>
      <c r="K169" s="3278"/>
      <c r="L169" s="3278"/>
      <c r="M169" s="1770"/>
    </row>
    <row r="170" spans="1:13" hidden="1">
      <c r="A170" s="1693" t="str">
        <f t="shared" si="7"/>
        <v>N</v>
      </c>
      <c r="B170" s="1770"/>
      <c r="C170" s="3279" t="s">
        <v>901</v>
      </c>
      <c r="D170" s="3279"/>
      <c r="E170" s="3279"/>
      <c r="F170" s="3279"/>
      <c r="G170" s="3279"/>
      <c r="H170" s="3280"/>
      <c r="I170" s="3281" t="e">
        <f>'Summary Report'!$F$86</f>
        <v>#N/A</v>
      </c>
      <c r="J170" s="3282"/>
      <c r="K170" s="3282"/>
      <c r="L170" s="3282"/>
      <c r="M170" s="1770"/>
    </row>
    <row r="171" spans="1:13" hidden="1">
      <c r="A171" s="1693" t="str">
        <f t="shared" si="7"/>
        <v>N</v>
      </c>
      <c r="B171" s="1770"/>
      <c r="C171" s="1770"/>
      <c r="D171" s="1770"/>
      <c r="E171" s="1770"/>
      <c r="F171" s="1770"/>
      <c r="G171" s="1770"/>
      <c r="H171" s="1770"/>
      <c r="I171" s="1770"/>
      <c r="J171" s="1770"/>
      <c r="K171" s="1770"/>
      <c r="L171" s="1770"/>
      <c r="M171" s="1770"/>
    </row>
    <row r="172" spans="1:13" hidden="1">
      <c r="A172" s="1791" t="str">
        <f t="shared" ref="A172:A186" si="8">IF(AND(A171="Y",PICFLOWSEL=1),"Y","N")</f>
        <v>N</v>
      </c>
      <c r="B172" s="1770"/>
      <c r="C172" s="3238"/>
      <c r="D172" s="3238"/>
      <c r="E172" s="3238"/>
      <c r="F172" s="3238"/>
      <c r="G172" s="3238"/>
      <c r="H172" s="3238"/>
      <c r="I172" s="3238"/>
      <c r="J172" s="3238"/>
      <c r="K172" s="3238"/>
      <c r="L172" s="3238"/>
      <c r="M172" s="1770"/>
    </row>
    <row r="173" spans="1:13" hidden="1">
      <c r="A173" s="1791" t="str">
        <f t="shared" si="8"/>
        <v>N</v>
      </c>
      <c r="B173" s="1770"/>
      <c r="C173" s="3238"/>
      <c r="D173" s="3238"/>
      <c r="E173" s="3238"/>
      <c r="F173" s="3238"/>
      <c r="G173" s="3238"/>
      <c r="H173" s="3238"/>
      <c r="I173" s="3238"/>
      <c r="J173" s="3238"/>
      <c r="K173" s="3238"/>
      <c r="L173" s="3238"/>
      <c r="M173" s="1770"/>
    </row>
    <row r="174" spans="1:13" hidden="1">
      <c r="A174" s="1791" t="str">
        <f t="shared" si="8"/>
        <v>N</v>
      </c>
      <c r="B174" s="1770"/>
      <c r="C174" s="3238"/>
      <c r="D174" s="3238"/>
      <c r="E174" s="3238"/>
      <c r="F174" s="3238"/>
      <c r="G174" s="3238"/>
      <c r="H174" s="3238"/>
      <c r="I174" s="3238"/>
      <c r="J174" s="3238"/>
      <c r="K174" s="3238"/>
      <c r="L174" s="3238"/>
      <c r="M174" s="1770"/>
    </row>
    <row r="175" spans="1:13" hidden="1">
      <c r="A175" s="1791" t="str">
        <f t="shared" si="8"/>
        <v>N</v>
      </c>
      <c r="B175" s="1770"/>
      <c r="C175" s="3238"/>
      <c r="D175" s="3238"/>
      <c r="E175" s="3238"/>
      <c r="F175" s="3238"/>
      <c r="G175" s="3238"/>
      <c r="H175" s="3238"/>
      <c r="I175" s="3238"/>
      <c r="J175" s="3238"/>
      <c r="K175" s="3238"/>
      <c r="L175" s="3238"/>
      <c r="M175" s="1770"/>
    </row>
    <row r="176" spans="1:13" hidden="1">
      <c r="A176" s="1791" t="str">
        <f t="shared" si="8"/>
        <v>N</v>
      </c>
      <c r="B176" s="1770"/>
      <c r="C176" s="3238"/>
      <c r="D176" s="3238"/>
      <c r="E176" s="3238"/>
      <c r="F176" s="3238"/>
      <c r="G176" s="3238"/>
      <c r="H176" s="3238"/>
      <c r="I176" s="3238"/>
      <c r="J176" s="3238"/>
      <c r="K176" s="3238"/>
      <c r="L176" s="3238"/>
      <c r="M176" s="1770"/>
    </row>
    <row r="177" spans="1:13" hidden="1">
      <c r="A177" s="1791" t="str">
        <f t="shared" si="8"/>
        <v>N</v>
      </c>
      <c r="B177" s="1770"/>
      <c r="C177" s="3238"/>
      <c r="D177" s="3238"/>
      <c r="E177" s="3238"/>
      <c r="F177" s="3238"/>
      <c r="G177" s="3238"/>
      <c r="H177" s="3238"/>
      <c r="I177" s="3238"/>
      <c r="J177" s="3238"/>
      <c r="K177" s="3238"/>
      <c r="L177" s="3238"/>
      <c r="M177" s="1770"/>
    </row>
    <row r="178" spans="1:13" hidden="1">
      <c r="A178" s="1791" t="str">
        <f t="shared" si="8"/>
        <v>N</v>
      </c>
      <c r="B178" s="1770"/>
      <c r="C178" s="3238"/>
      <c r="D178" s="3238"/>
      <c r="E178" s="3238"/>
      <c r="F178" s="3238"/>
      <c r="G178" s="3238"/>
      <c r="H178" s="3238"/>
      <c r="I178" s="3238"/>
      <c r="J178" s="3238"/>
      <c r="K178" s="3238"/>
      <c r="L178" s="3238"/>
      <c r="M178" s="1770"/>
    </row>
    <row r="179" spans="1:13" hidden="1">
      <c r="A179" s="1791" t="str">
        <f t="shared" si="8"/>
        <v>N</v>
      </c>
      <c r="B179" s="1770"/>
      <c r="C179" s="3238"/>
      <c r="D179" s="3238"/>
      <c r="E179" s="3238"/>
      <c r="F179" s="3238"/>
      <c r="G179" s="3238"/>
      <c r="H179" s="3238"/>
      <c r="I179" s="3238"/>
      <c r="J179" s="3238"/>
      <c r="K179" s="3238"/>
      <c r="L179" s="3238"/>
      <c r="M179" s="1770"/>
    </row>
    <row r="180" spans="1:13" hidden="1">
      <c r="A180" s="1791" t="str">
        <f t="shared" si="8"/>
        <v>N</v>
      </c>
      <c r="B180" s="1770"/>
      <c r="C180" s="3238"/>
      <c r="D180" s="3238"/>
      <c r="E180" s="3238"/>
      <c r="F180" s="3238"/>
      <c r="G180" s="3238"/>
      <c r="H180" s="3238"/>
      <c r="I180" s="3238"/>
      <c r="J180" s="3238"/>
      <c r="K180" s="3238"/>
      <c r="L180" s="3238"/>
      <c r="M180" s="1770"/>
    </row>
    <row r="181" spans="1:13" hidden="1">
      <c r="A181" s="1791" t="str">
        <f t="shared" si="8"/>
        <v>N</v>
      </c>
      <c r="B181" s="1770"/>
      <c r="C181" s="3238"/>
      <c r="D181" s="3238"/>
      <c r="E181" s="3238"/>
      <c r="F181" s="3238"/>
      <c r="G181" s="3238"/>
      <c r="H181" s="3238"/>
      <c r="I181" s="3238"/>
      <c r="J181" s="3238"/>
      <c r="K181" s="3238"/>
      <c r="L181" s="3238"/>
      <c r="M181" s="1770"/>
    </row>
    <row r="182" spans="1:13" hidden="1">
      <c r="A182" s="1791" t="str">
        <f t="shared" si="8"/>
        <v>N</v>
      </c>
      <c r="B182" s="1770"/>
      <c r="C182" s="3238"/>
      <c r="D182" s="3238"/>
      <c r="E182" s="3238"/>
      <c r="F182" s="3238"/>
      <c r="G182" s="3238"/>
      <c r="H182" s="3238"/>
      <c r="I182" s="3238"/>
      <c r="J182" s="3238"/>
      <c r="K182" s="3238"/>
      <c r="L182" s="3238"/>
      <c r="M182" s="1770"/>
    </row>
    <row r="183" spans="1:13" hidden="1">
      <c r="A183" s="1791" t="str">
        <f t="shared" si="8"/>
        <v>N</v>
      </c>
      <c r="B183" s="1770"/>
      <c r="C183" s="3238"/>
      <c r="D183" s="3238"/>
      <c r="E183" s="3238"/>
      <c r="F183" s="3238"/>
      <c r="G183" s="3238"/>
      <c r="H183" s="3238"/>
      <c r="I183" s="3238"/>
      <c r="J183" s="3238"/>
      <c r="K183" s="3238"/>
      <c r="L183" s="3238"/>
      <c r="M183" s="1770"/>
    </row>
    <row r="184" spans="1:13" hidden="1">
      <c r="A184" s="1791" t="str">
        <f t="shared" si="8"/>
        <v>N</v>
      </c>
      <c r="B184" s="1770"/>
      <c r="C184" s="3238"/>
      <c r="D184" s="3238"/>
      <c r="E184" s="3238"/>
      <c r="F184" s="3238"/>
      <c r="G184" s="3238"/>
      <c r="H184" s="3238"/>
      <c r="I184" s="3238"/>
      <c r="J184" s="3238"/>
      <c r="K184" s="3238"/>
      <c r="L184" s="3238"/>
      <c r="M184" s="1770"/>
    </row>
    <row r="185" spans="1:13" hidden="1">
      <c r="A185" s="1791" t="str">
        <f t="shared" si="8"/>
        <v>N</v>
      </c>
      <c r="B185" s="1770"/>
      <c r="C185" s="3272" t="s">
        <v>1377</v>
      </c>
      <c r="D185" s="3272"/>
      <c r="E185" s="3272"/>
      <c r="F185" s="3272"/>
      <c r="G185" s="3272"/>
      <c r="H185" s="3272" t="s">
        <v>1378</v>
      </c>
      <c r="I185" s="3272"/>
      <c r="J185" s="3272"/>
      <c r="K185" s="3272"/>
      <c r="L185" s="3272"/>
      <c r="M185" s="1770"/>
    </row>
    <row r="186" spans="1:13" hidden="1">
      <c r="A186" s="1791" t="str">
        <f t="shared" si="8"/>
        <v>N</v>
      </c>
      <c r="B186" s="1770"/>
      <c r="C186" s="1800"/>
      <c r="D186" s="1800"/>
      <c r="E186" s="1800"/>
      <c r="F186" s="1800"/>
      <c r="G186" s="1800"/>
      <c r="H186" s="1770"/>
      <c r="I186" s="1800"/>
      <c r="J186" s="1800"/>
      <c r="K186" s="1800"/>
      <c r="L186" s="1800"/>
      <c r="M186" s="1770"/>
    </row>
    <row r="187" spans="1:13" hidden="1">
      <c r="A187" s="1693" t="str">
        <f>A171</f>
        <v>N</v>
      </c>
      <c r="B187" s="1801"/>
      <c r="C187" s="1801" t="s">
        <v>179</v>
      </c>
      <c r="D187" s="1724"/>
      <c r="E187" s="1724"/>
      <c r="F187" s="1724"/>
      <c r="G187" s="1724"/>
      <c r="H187" s="1724"/>
      <c r="I187" s="1724"/>
      <c r="J187" s="1724"/>
      <c r="K187" s="1802"/>
      <c r="L187" s="1802"/>
      <c r="M187" s="1803"/>
    </row>
    <row r="188" spans="1:13" hidden="1">
      <c r="A188" s="1693" t="str">
        <f t="shared" si="7"/>
        <v>N</v>
      </c>
      <c r="B188" s="1804"/>
      <c r="C188" s="2871"/>
      <c r="D188" s="2872"/>
      <c r="E188" s="2872"/>
      <c r="F188" s="2872"/>
      <c r="G188" s="2872"/>
      <c r="H188" s="2872"/>
      <c r="I188" s="2872"/>
      <c r="J188" s="2872"/>
      <c r="K188" s="2872"/>
      <c r="L188" s="2873"/>
      <c r="M188" s="1805"/>
    </row>
    <row r="189" spans="1:13" hidden="1">
      <c r="A189" s="1693" t="str">
        <f t="shared" si="7"/>
        <v>N</v>
      </c>
      <c r="B189" s="1804"/>
      <c r="C189" s="2882"/>
      <c r="D189" s="2883"/>
      <c r="E189" s="2883"/>
      <c r="F189" s="2883"/>
      <c r="G189" s="2883"/>
      <c r="H189" s="2883"/>
      <c r="I189" s="2883"/>
      <c r="J189" s="2883"/>
      <c r="K189" s="2883"/>
      <c r="L189" s="2884"/>
      <c r="M189" s="1805"/>
    </row>
    <row r="190" spans="1:13" hidden="1">
      <c r="A190" s="1693" t="str">
        <f t="shared" si="7"/>
        <v>N</v>
      </c>
      <c r="B190" s="1804"/>
      <c r="C190" s="2885"/>
      <c r="D190" s="2886"/>
      <c r="E190" s="2886"/>
      <c r="F190" s="2886"/>
      <c r="G190" s="2886"/>
      <c r="H190" s="2886"/>
      <c r="I190" s="2886"/>
      <c r="J190" s="2886"/>
      <c r="K190" s="2886"/>
      <c r="L190" s="2887"/>
      <c r="M190" s="1805"/>
    </row>
    <row r="191" spans="1:13" s="1710" customFormat="1" ht="5.25" hidden="1">
      <c r="A191" s="1710" t="str">
        <f t="shared" si="7"/>
        <v>N</v>
      </c>
      <c r="B191" s="1806"/>
      <c r="C191" s="1807"/>
      <c r="D191" s="1807"/>
      <c r="E191" s="1807"/>
      <c r="F191" s="1807"/>
      <c r="G191" s="1807"/>
      <c r="H191" s="1807"/>
      <c r="I191" s="1807"/>
      <c r="J191" s="1808"/>
      <c r="K191" s="1808"/>
      <c r="L191" s="1808"/>
      <c r="M191" s="1809"/>
    </row>
    <row r="192" spans="1:13" hidden="1">
      <c r="A192" s="1693" t="str">
        <f t="shared" si="7"/>
        <v>N</v>
      </c>
      <c r="B192" s="1810"/>
      <c r="C192" s="1810"/>
      <c r="D192" s="1810"/>
      <c r="E192" s="1810"/>
      <c r="F192" s="1810"/>
      <c r="G192" s="1810"/>
      <c r="H192" s="1810"/>
      <c r="I192" s="1810"/>
      <c r="J192" s="1800"/>
      <c r="K192" s="1800"/>
      <c r="L192" s="1800"/>
      <c r="M192" s="1800"/>
    </row>
    <row r="193" spans="1:13" hidden="1">
      <c r="A193" s="1693" t="str">
        <f t="shared" si="7"/>
        <v>N</v>
      </c>
      <c r="B193" s="1810"/>
      <c r="C193" s="1810"/>
      <c r="D193" s="1810"/>
      <c r="E193" s="1810"/>
      <c r="F193" s="1810"/>
      <c r="G193" s="1810"/>
      <c r="H193" s="1810"/>
      <c r="I193" s="1810"/>
      <c r="J193" s="1800"/>
      <c r="K193" s="1800"/>
      <c r="L193" s="1800"/>
      <c r="M193" s="1800"/>
    </row>
    <row r="194" spans="1:13" hidden="1">
      <c r="A194" s="1693" t="str">
        <f t="shared" si="7"/>
        <v>N</v>
      </c>
      <c r="B194" s="1810"/>
      <c r="C194" s="1810"/>
      <c r="D194" s="1810"/>
      <c r="E194" s="1810"/>
      <c r="F194" s="1810"/>
      <c r="G194" s="1810"/>
      <c r="H194" s="1810"/>
      <c r="I194" s="1810"/>
      <c r="J194" s="1800"/>
      <c r="K194" s="1800"/>
      <c r="L194" s="1800"/>
      <c r="M194" s="1800"/>
    </row>
    <row r="195" spans="1:13" hidden="1">
      <c r="A195" s="1693" t="str">
        <f t="shared" si="7"/>
        <v>N</v>
      </c>
      <c r="B195" s="2859" t="str">
        <f>CHENG</f>
        <v>CANO ARTHUR D. CADAVOS</v>
      </c>
      <c r="C195" s="2859"/>
      <c r="D195" s="2859"/>
      <c r="E195" s="2859"/>
      <c r="F195" s="2859"/>
      <c r="G195" s="3297" t="str">
        <f>IF(BARGESEL=1,BARGEREP,INDEX(BARGETABLE,MATCH(E140,BARGENAMES,0),4))</f>
        <v>TEMEL KALYONCU</v>
      </c>
      <c r="H195" s="3297"/>
      <c r="I195" s="3297"/>
      <c r="J195" s="3297"/>
      <c r="K195" s="2859" t="str">
        <f>SURVEYOR</f>
        <v>MEHMET EROĞLU</v>
      </c>
      <c r="L195" s="2859"/>
      <c r="M195" s="2859"/>
    </row>
    <row r="196" spans="1:13" s="1710" customFormat="1" ht="5.25" hidden="1">
      <c r="A196" s="1710" t="s">
        <v>270</v>
      </c>
      <c r="B196" s="1806"/>
      <c r="C196" s="1806"/>
      <c r="D196" s="1806"/>
      <c r="E196" s="1806"/>
      <c r="F196" s="1806"/>
      <c r="G196" s="1806"/>
      <c r="H196" s="1806"/>
      <c r="I196" s="1806"/>
      <c r="J196" s="1811"/>
      <c r="K196" s="1812"/>
      <c r="L196" s="1812"/>
      <c r="M196" s="1812"/>
    </row>
    <row r="197" spans="1:13" hidden="1">
      <c r="A197" s="1693" t="str">
        <f>A195</f>
        <v>N</v>
      </c>
      <c r="B197" s="3295" t="s">
        <v>15</v>
      </c>
      <c r="C197" s="3295"/>
      <c r="D197" s="3295"/>
      <c r="E197" s="3295"/>
      <c r="F197" s="3295"/>
      <c r="G197" s="3295" t="s">
        <v>840</v>
      </c>
      <c r="H197" s="3295"/>
      <c r="I197" s="3295"/>
      <c r="J197" s="3295"/>
      <c r="K197" s="3296" t="str">
        <f>"Bunker Surveyor"&amp;IF(SPORE=TRUE,", License No. "&amp;SURVLIC,"")</f>
        <v>Bunker Surveyor</v>
      </c>
      <c r="L197" s="3296"/>
      <c r="M197" s="3296"/>
    </row>
    <row r="198" spans="1:13" s="1719" customFormat="1" ht="9" hidden="1">
      <c r="A198" s="1813" t="str">
        <f t="shared" si="7"/>
        <v>N</v>
      </c>
      <c r="B198"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198" s="3155"/>
      <c r="D198" s="3155"/>
      <c r="E198" s="3155"/>
      <c r="F198" s="3155"/>
      <c r="G198" s="3155"/>
      <c r="H198" s="3155"/>
      <c r="I198" s="3155"/>
      <c r="J198" s="3155"/>
      <c r="K198" s="3155"/>
      <c r="L198" s="3256"/>
      <c r="M198" s="3126"/>
    </row>
    <row r="199" spans="1:13" s="1719" customFormat="1" ht="9" hidden="1">
      <c r="A199" s="1813" t="str">
        <f t="shared" si="7"/>
        <v>N</v>
      </c>
      <c r="B199" s="3157"/>
      <c r="C199" s="3158"/>
      <c r="D199" s="3158"/>
      <c r="E199" s="3158"/>
      <c r="F199" s="3158"/>
      <c r="G199" s="3158"/>
      <c r="H199" s="3158"/>
      <c r="I199" s="3158"/>
      <c r="J199" s="3158"/>
      <c r="K199" s="3158"/>
      <c r="L199" s="3257"/>
      <c r="M199" s="3127"/>
    </row>
    <row r="200" spans="1:13" s="1719" customFormat="1" ht="9" hidden="1">
      <c r="A200" s="1813" t="str">
        <f t="shared" si="7"/>
        <v>N</v>
      </c>
      <c r="B200" s="3157"/>
      <c r="C200" s="3158"/>
      <c r="D200" s="3158"/>
      <c r="E200" s="3158"/>
      <c r="F200" s="3158"/>
      <c r="G200" s="3158"/>
      <c r="H200" s="3158"/>
      <c r="I200" s="3158"/>
      <c r="J200" s="3158"/>
      <c r="K200" s="3158"/>
      <c r="L200" s="3257"/>
      <c r="M200" s="3127"/>
    </row>
    <row r="201" spans="1:13" s="1719" customFormat="1" ht="9" hidden="1">
      <c r="A201" s="1813" t="str">
        <f t="shared" si="7"/>
        <v>N</v>
      </c>
      <c r="B201" s="3157"/>
      <c r="C201" s="3158"/>
      <c r="D201" s="3158"/>
      <c r="E201" s="3158"/>
      <c r="F201" s="3158"/>
      <c r="G201" s="3158"/>
      <c r="H201" s="3158"/>
      <c r="I201" s="3158"/>
      <c r="J201" s="3158"/>
      <c r="K201" s="3158"/>
      <c r="L201" s="3257"/>
      <c r="M201" s="3127"/>
    </row>
    <row r="202" spans="1:13" s="1719" customFormat="1" ht="9" hidden="1">
      <c r="A202" s="1813" t="str">
        <f t="shared" si="7"/>
        <v>N</v>
      </c>
      <c r="B202" s="3157"/>
      <c r="C202" s="3158"/>
      <c r="D202" s="3158"/>
      <c r="E202" s="3158"/>
      <c r="F202" s="3158"/>
      <c r="G202" s="3158"/>
      <c r="H202" s="3158"/>
      <c r="I202" s="3158"/>
      <c r="J202" s="3158"/>
      <c r="K202" s="3158"/>
      <c r="L202" s="3257"/>
      <c r="M202" s="3127"/>
    </row>
    <row r="203" spans="1:13" s="1719" customFormat="1" ht="9" hidden="1">
      <c r="A203" s="1813" t="str">
        <f t="shared" si="7"/>
        <v>N</v>
      </c>
      <c r="B203" s="3159"/>
      <c r="C203" s="3160"/>
      <c r="D203" s="3160"/>
      <c r="E203" s="3160"/>
      <c r="F203" s="3160"/>
      <c r="G203" s="3160"/>
      <c r="H203" s="3160"/>
      <c r="I203" s="3160"/>
      <c r="J203" s="3160"/>
      <c r="K203" s="3160"/>
      <c r="L203" s="3258"/>
      <c r="M203" s="3128"/>
    </row>
    <row r="204" spans="1:13" hidden="1">
      <c r="A204" s="1791" t="str">
        <f>IF(AND(FMTYPE4&lt;&gt;0,FMTYPE4&lt;&gt;"-",FMTYPE4&lt;&gt;TANKMEAS,MYBARGENAME=E204,K206&gt;0),"Y","N")</f>
        <v>N</v>
      </c>
      <c r="B204" s="3348" t="s">
        <v>788</v>
      </c>
      <c r="C204" s="3349"/>
      <c r="D204" s="3349"/>
      <c r="E204" s="3350" t="str">
        <f>'Cover Page'!L$89</f>
        <v/>
      </c>
      <c r="F204" s="3350"/>
      <c r="G204" s="3350"/>
      <c r="H204" s="3350"/>
      <c r="I204" s="3351" t="s">
        <v>789</v>
      </c>
      <c r="J204" s="3351"/>
      <c r="K204" s="3352" t="str">
        <f>PORT</f>
        <v>ISTANBUL / TURKEY</v>
      </c>
      <c r="L204" s="3352"/>
      <c r="M204" s="3353"/>
    </row>
    <row r="205" spans="1:13" hidden="1">
      <c r="A205" s="1693" t="str">
        <f>A204</f>
        <v>N</v>
      </c>
      <c r="B205" s="3354" t="s">
        <v>160</v>
      </c>
      <c r="C205" s="3355"/>
      <c r="D205" s="3355"/>
      <c r="E205" s="3356" t="str">
        <f>VESSEL</f>
        <v>MV PESSADA</v>
      </c>
      <c r="F205" s="3356"/>
      <c r="G205" s="3356"/>
      <c r="H205" s="3356"/>
      <c r="I205" s="3357" t="s">
        <v>790</v>
      </c>
      <c r="J205" s="3357"/>
      <c r="K205" s="3358">
        <f>DATESURVC</f>
        <v>44792</v>
      </c>
      <c r="L205" s="3358"/>
      <c r="M205" s="3359"/>
    </row>
    <row r="206" spans="1:13" hidden="1">
      <c r="A206" s="1693" t="str">
        <f t="shared" ref="A206:A227" si="9">A205</f>
        <v>N</v>
      </c>
      <c r="B206" s="3339">
        <v>4</v>
      </c>
      <c r="C206" s="3340"/>
      <c r="D206" s="3340"/>
      <c r="E206" s="3341"/>
      <c r="F206" s="3341"/>
      <c r="G206" s="3341"/>
      <c r="H206" s="3341"/>
      <c r="I206" s="3342" t="s">
        <v>764</v>
      </c>
      <c r="J206" s="3342"/>
      <c r="K206" s="3343" t="str">
        <f>'Cover Page'!L$88</f>
        <v>LSMDO</v>
      </c>
      <c r="L206" s="3343"/>
      <c r="M206" s="3344"/>
    </row>
    <row r="207" spans="1:13" s="1813" customFormat="1" ht="9" hidden="1">
      <c r="A207" s="1813" t="str">
        <f t="shared" si="9"/>
        <v>N</v>
      </c>
      <c r="B207" s="1917"/>
      <c r="C207" s="1917"/>
      <c r="D207" s="1917"/>
      <c r="E207" s="1917"/>
      <c r="F207" s="1917"/>
      <c r="G207" s="1917"/>
      <c r="H207" s="1917"/>
      <c r="I207" s="1917"/>
      <c r="J207" s="1917"/>
      <c r="K207" s="1921"/>
      <c r="L207" s="1921"/>
      <c r="M207" s="1921"/>
    </row>
    <row r="208" spans="1:13" ht="18.75" hidden="1">
      <c r="A208" s="1924" t="str">
        <f t="shared" si="9"/>
        <v>N</v>
      </c>
      <c r="B208" s="1770"/>
      <c r="C208" s="3345" t="s">
        <v>859</v>
      </c>
      <c r="D208" s="3346"/>
      <c r="E208" s="3346"/>
      <c r="F208" s="3346"/>
      <c r="G208" s="3346"/>
      <c r="H208" s="3346"/>
      <c r="I208" s="3346"/>
      <c r="J208" s="3346"/>
      <c r="K208" s="3346"/>
      <c r="L208" s="3347"/>
      <c r="M208" s="1770"/>
    </row>
    <row r="209" spans="1:13" hidden="1">
      <c r="A209" s="1693" t="str">
        <f t="shared" si="9"/>
        <v>N</v>
      </c>
      <c r="B209" s="1770"/>
      <c r="C209" s="3330" t="s">
        <v>1112</v>
      </c>
      <c r="D209" s="3330"/>
      <c r="E209" s="3331"/>
      <c r="F209" s="3332" t="str">
        <f>IF(FMTYPE4=0,"",INDEX(FMTYPES,MATCH(FMTYPE4,METHOFCALCSHORT,0),1))</f>
        <v/>
      </c>
      <c r="G209" s="3333"/>
      <c r="H209" s="3330" t="s">
        <v>860</v>
      </c>
      <c r="I209" s="3330"/>
      <c r="J209" s="3331"/>
      <c r="K209" s="3334">
        <v>0.98765400000000003</v>
      </c>
      <c r="L209" s="3335"/>
      <c r="M209" s="1770"/>
    </row>
    <row r="210" spans="1:13" hidden="1">
      <c r="A210" s="1693" t="str">
        <f t="shared" si="9"/>
        <v>N</v>
      </c>
      <c r="B210" s="1770"/>
      <c r="C210" s="3312" t="s">
        <v>1267</v>
      </c>
      <c r="D210" s="3312"/>
      <c r="E210" s="3313"/>
      <c r="F210" s="3311" t="s">
        <v>903</v>
      </c>
      <c r="G210" s="3336"/>
      <c r="H210" s="3312" t="s">
        <v>861</v>
      </c>
      <c r="I210" s="3312"/>
      <c r="J210" s="3313"/>
      <c r="K210" s="3337">
        <v>12</v>
      </c>
      <c r="L210" s="3338"/>
      <c r="M210" s="1770"/>
    </row>
    <row r="211" spans="1:13" hidden="1">
      <c r="A211" s="1693" t="str">
        <f t="shared" si="9"/>
        <v>N</v>
      </c>
      <c r="B211" s="1770"/>
      <c r="C211" s="3307" t="s">
        <v>962</v>
      </c>
      <c r="D211" s="3308"/>
      <c r="E211" s="3309"/>
      <c r="F211" s="3310">
        <v>12345</v>
      </c>
      <c r="G211" s="3311"/>
      <c r="H211" s="3312" t="s">
        <v>1266</v>
      </c>
      <c r="I211" s="3312"/>
      <c r="J211" s="3313"/>
      <c r="K211" s="3320">
        <v>0</v>
      </c>
      <c r="L211" s="3321"/>
      <c r="M211" s="1770"/>
    </row>
    <row r="212" spans="1:13" hidden="1">
      <c r="A212" s="1693" t="str">
        <f t="shared" si="9"/>
        <v>N</v>
      </c>
      <c r="B212" s="1770"/>
      <c r="C212" s="3307" t="s">
        <v>862</v>
      </c>
      <c r="D212" s="3308"/>
      <c r="E212" s="3309"/>
      <c r="F212" s="3328">
        <v>41032</v>
      </c>
      <c r="G212" s="3329"/>
      <c r="H212" s="3312" t="s">
        <v>864</v>
      </c>
      <c r="I212" s="3312"/>
      <c r="J212" s="3313"/>
      <c r="K212" s="1792">
        <v>2.8</v>
      </c>
      <c r="L212" s="1793">
        <v>3</v>
      </c>
      <c r="M212" s="1770"/>
    </row>
    <row r="213" spans="1:13" hidden="1">
      <c r="A213" s="1693" t="str">
        <f t="shared" si="9"/>
        <v>N</v>
      </c>
      <c r="B213" s="1770"/>
      <c r="C213" s="3307" t="s">
        <v>863</v>
      </c>
      <c r="D213" s="3308"/>
      <c r="E213" s="3309"/>
      <c r="F213" s="3310" t="s">
        <v>902</v>
      </c>
      <c r="G213" s="3311"/>
      <c r="H213" s="3312" t="s">
        <v>866</v>
      </c>
      <c r="I213" s="3312"/>
      <c r="J213" s="3313"/>
      <c r="K213" s="1794" t="s">
        <v>904</v>
      </c>
      <c r="L213" s="1795" t="s">
        <v>904</v>
      </c>
      <c r="M213" s="1770"/>
    </row>
    <row r="214" spans="1:13" hidden="1">
      <c r="A214" s="1693" t="str">
        <f t="shared" si="9"/>
        <v>N</v>
      </c>
      <c r="B214" s="1770"/>
      <c r="C214" s="3307" t="s">
        <v>865</v>
      </c>
      <c r="D214" s="3308"/>
      <c r="E214" s="3309"/>
      <c r="F214" s="3310">
        <v>987</v>
      </c>
      <c r="G214" s="3311"/>
      <c r="H214" s="3312" t="s">
        <v>1268</v>
      </c>
      <c r="I214" s="3312"/>
      <c r="J214" s="3313"/>
      <c r="K214" s="1792">
        <v>100</v>
      </c>
      <c r="L214" s="1793">
        <v>1000</v>
      </c>
      <c r="M214" s="1770"/>
    </row>
    <row r="215" spans="1:13" hidden="1">
      <c r="A215" s="1693" t="str">
        <f t="shared" si="9"/>
        <v>N</v>
      </c>
      <c r="B215" s="1770"/>
      <c r="C215" s="3307" t="s">
        <v>867</v>
      </c>
      <c r="D215" s="3308"/>
      <c r="E215" s="3309"/>
      <c r="F215" s="3310">
        <v>12345</v>
      </c>
      <c r="G215" s="3311"/>
      <c r="H215" s="3312" t="s">
        <v>1269</v>
      </c>
      <c r="I215" s="3312"/>
      <c r="J215" s="3313"/>
      <c r="K215" s="1792">
        <v>100</v>
      </c>
      <c r="L215" s="1793">
        <v>1000</v>
      </c>
      <c r="M215" s="1770"/>
    </row>
    <row r="216" spans="1:13" hidden="1">
      <c r="A216" s="1693" t="str">
        <f t="shared" si="9"/>
        <v>N</v>
      </c>
      <c r="B216" s="1770"/>
      <c r="C216" s="3314" t="s">
        <v>899</v>
      </c>
      <c r="D216" s="3314"/>
      <c r="E216" s="3315"/>
      <c r="F216" s="3316" t="s">
        <v>905</v>
      </c>
      <c r="G216" s="3317"/>
      <c r="H216" s="3312" t="s">
        <v>1270</v>
      </c>
      <c r="I216" s="3312"/>
      <c r="J216" s="3313"/>
      <c r="K216" s="3320" t="s">
        <v>772</v>
      </c>
      <c r="L216" s="3321"/>
      <c r="M216" s="1770"/>
    </row>
    <row r="217" spans="1:13" hidden="1">
      <c r="A217" s="1693" t="str">
        <f t="shared" si="9"/>
        <v>N</v>
      </c>
      <c r="B217" s="1770"/>
      <c r="C217" s="3322"/>
      <c r="D217" s="3322"/>
      <c r="E217" s="3323"/>
      <c r="F217" s="3318"/>
      <c r="G217" s="3319"/>
      <c r="H217" s="3324" t="s">
        <v>49</v>
      </c>
      <c r="I217" s="3324"/>
      <c r="J217" s="3325"/>
      <c r="K217" s="3326" t="s">
        <v>1271</v>
      </c>
      <c r="L217" s="3327"/>
      <c r="M217" s="1770"/>
    </row>
    <row r="218" spans="1:13" s="1813" customFormat="1" ht="9" hidden="1">
      <c r="A218" s="1813" t="str">
        <f t="shared" si="9"/>
        <v>N</v>
      </c>
      <c r="B218" s="1917"/>
      <c r="C218" s="1917"/>
      <c r="D218" s="1917"/>
      <c r="E218" s="1917"/>
      <c r="F218" s="1917"/>
      <c r="G218" s="1917"/>
      <c r="H218" s="1917"/>
      <c r="I218" s="1917"/>
      <c r="J218" s="1917"/>
      <c r="K218" s="1917"/>
      <c r="L218" s="1917"/>
      <c r="M218" s="1917"/>
    </row>
    <row r="219" spans="1:13" hidden="1">
      <c r="A219" s="1693" t="str">
        <f t="shared" si="9"/>
        <v>N</v>
      </c>
      <c r="B219" s="1770"/>
      <c r="C219" s="1796" t="s">
        <v>868</v>
      </c>
      <c r="D219" s="3291" t="s">
        <v>1345</v>
      </c>
      <c r="E219" s="3291"/>
      <c r="F219" s="3291"/>
      <c r="G219" s="3291"/>
      <c r="H219" s="3292"/>
      <c r="I219" s="3305">
        <v>0</v>
      </c>
      <c r="J219" s="3306"/>
      <c r="K219" s="3306"/>
      <c r="L219" s="3306"/>
      <c r="M219" s="1770"/>
    </row>
    <row r="220" spans="1:13" hidden="1">
      <c r="A220" s="1693" t="str">
        <f t="shared" si="9"/>
        <v>N</v>
      </c>
      <c r="B220" s="1770"/>
      <c r="C220" s="1797" t="s">
        <v>869</v>
      </c>
      <c r="D220" s="3273" t="s">
        <v>1346</v>
      </c>
      <c r="E220" s="3273"/>
      <c r="F220" s="3273"/>
      <c r="G220" s="3273"/>
      <c r="H220" s="3274"/>
      <c r="I220" s="3275">
        <v>0</v>
      </c>
      <c r="J220" s="3276"/>
      <c r="K220" s="3276"/>
      <c r="L220" s="3276"/>
      <c r="M220" s="1770"/>
    </row>
    <row r="221" spans="1:13" hidden="1">
      <c r="A221" s="1693" t="str">
        <f t="shared" si="9"/>
        <v>N</v>
      </c>
      <c r="B221" s="1770"/>
      <c r="C221" s="1798" t="s">
        <v>870</v>
      </c>
      <c r="D221" s="3298" t="str">
        <f>"Delivered Meter Quantity - Mass in "&amp;F209&amp;" (B-A)"</f>
        <v>Delivered Meter Quantity - Mass in  (B-A)</v>
      </c>
      <c r="E221" s="3299"/>
      <c r="F221" s="3299"/>
      <c r="G221" s="3299"/>
      <c r="H221" s="3300"/>
      <c r="I221" s="3301">
        <f>I220-I219</f>
        <v>0</v>
      </c>
      <c r="J221" s="3302"/>
      <c r="K221" s="3302"/>
      <c r="L221" s="3302"/>
      <c r="M221" s="1770"/>
    </row>
    <row r="222" spans="1:13" s="1813" customFormat="1" ht="9" hidden="1">
      <c r="A222" s="1813" t="str">
        <f t="shared" si="9"/>
        <v>N</v>
      </c>
      <c r="B222" s="1917"/>
      <c r="C222" s="1918"/>
      <c r="D222" s="1919"/>
      <c r="E222" s="1919"/>
      <c r="F222" s="1919"/>
      <c r="G222" s="1919"/>
      <c r="H222" s="1919"/>
      <c r="I222" s="1919"/>
      <c r="J222" s="1919"/>
      <c r="K222" s="1919"/>
      <c r="L222" s="1920"/>
      <c r="M222" s="1917"/>
    </row>
    <row r="223" spans="1:13" hidden="1">
      <c r="A223" s="1693" t="str">
        <f t="shared" si="9"/>
        <v>N</v>
      </c>
      <c r="B223" s="1770"/>
      <c r="C223" s="1796" t="s">
        <v>871</v>
      </c>
      <c r="D223" s="3291" t="s">
        <v>1347</v>
      </c>
      <c r="E223" s="3291"/>
      <c r="F223" s="3291"/>
      <c r="G223" s="3291"/>
      <c r="H223" s="3292"/>
      <c r="I223" s="3305">
        <v>2000</v>
      </c>
      <c r="J223" s="3306"/>
      <c r="K223" s="3306"/>
      <c r="L223" s="3306"/>
      <c r="M223" s="1770"/>
    </row>
    <row r="224" spans="1:13" hidden="1">
      <c r="A224" s="1693" t="str">
        <f t="shared" si="9"/>
        <v>N</v>
      </c>
      <c r="B224" s="1770"/>
      <c r="C224" s="1797" t="s">
        <v>269</v>
      </c>
      <c r="D224" s="3273" t="s">
        <v>1348</v>
      </c>
      <c r="E224" s="3273"/>
      <c r="F224" s="3273"/>
      <c r="G224" s="3273"/>
      <c r="H224" s="3274"/>
      <c r="I224" s="3275">
        <v>1000</v>
      </c>
      <c r="J224" s="3276"/>
      <c r="K224" s="3276"/>
      <c r="L224" s="3276"/>
      <c r="M224" s="1770"/>
    </row>
    <row r="225" spans="1:13" hidden="1">
      <c r="A225" s="1693" t="str">
        <f t="shared" si="9"/>
        <v>N</v>
      </c>
      <c r="B225" s="1770"/>
      <c r="C225" s="1798" t="s">
        <v>872</v>
      </c>
      <c r="D225" s="3298" t="str">
        <f>"Loading Meter Quantity - Mass in "&amp;F209&amp;" (E-D)"</f>
        <v>Loading Meter Quantity - Mass in  (E-D)</v>
      </c>
      <c r="E225" s="3299"/>
      <c r="F225" s="3299"/>
      <c r="G225" s="3299"/>
      <c r="H225" s="3300"/>
      <c r="I225" s="3301">
        <f>I224-I223</f>
        <v>-1000</v>
      </c>
      <c r="J225" s="3302"/>
      <c r="K225" s="3302"/>
      <c r="L225" s="3302"/>
      <c r="M225" s="1770"/>
    </row>
    <row r="226" spans="1:13" s="1813" customFormat="1" ht="9" hidden="1">
      <c r="A226" s="1813" t="str">
        <f t="shared" si="9"/>
        <v>N</v>
      </c>
      <c r="B226" s="1917"/>
      <c r="C226" s="1917"/>
      <c r="D226" s="1917"/>
      <c r="E226" s="1917"/>
      <c r="F226" s="1917"/>
      <c r="G226" s="1917"/>
      <c r="H226" s="1917"/>
      <c r="I226" s="1917"/>
      <c r="J226" s="1917"/>
      <c r="K226" s="1917"/>
      <c r="L226" s="1917"/>
      <c r="M226" s="1917"/>
    </row>
    <row r="227" spans="1:13" hidden="1">
      <c r="A227" s="1693" t="str">
        <f t="shared" si="9"/>
        <v>N</v>
      </c>
      <c r="B227" s="1770"/>
      <c r="C227" s="3303" t="str">
        <f>"Quantity Delivered - Mass in "&amp;F209&amp;" (C-F)"</f>
        <v>Quantity Delivered - Mass in  (C-F)</v>
      </c>
      <c r="D227" s="3303"/>
      <c r="E227" s="3303"/>
      <c r="F227" s="3303"/>
      <c r="G227" s="3303"/>
      <c r="H227" s="3304"/>
      <c r="I227" s="3293">
        <f>I221-I225</f>
        <v>1000</v>
      </c>
      <c r="J227" s="3294"/>
      <c r="K227" s="3294"/>
      <c r="L227" s="3294"/>
      <c r="M227" s="1799"/>
    </row>
    <row r="228" spans="1:13" hidden="1">
      <c r="A228" s="1791" t="str">
        <f>IF(A227="N","N",IF($F209="Air","N","Y"))</f>
        <v>N</v>
      </c>
      <c r="B228" s="1770"/>
      <c r="C228" s="3283" t="s">
        <v>906</v>
      </c>
      <c r="D228" s="3283"/>
      <c r="E228" s="3283"/>
      <c r="F228" s="3283"/>
      <c r="G228" s="3283"/>
      <c r="H228" s="3284"/>
      <c r="I228" s="3285">
        <v>0.99892499999999995</v>
      </c>
      <c r="J228" s="3286"/>
      <c r="K228" s="3286"/>
      <c r="L228" s="3286"/>
      <c r="M228" s="1770"/>
    </row>
    <row r="229" spans="1:13" hidden="1">
      <c r="A229" s="1791" t="str">
        <f>IF(A227="N","N",IF($F209="Air","N","Y"))</f>
        <v>N</v>
      </c>
      <c r="B229" s="1770"/>
      <c r="C229" s="3287" t="s">
        <v>1375</v>
      </c>
      <c r="D229" s="3287"/>
      <c r="E229" s="3287"/>
      <c r="F229" s="3287"/>
      <c r="G229" s="3287"/>
      <c r="H229" s="3288"/>
      <c r="I229" s="3289">
        <f>IF(F209="Air",I227,I227*I228)</f>
        <v>998.92499999999995</v>
      </c>
      <c r="J229" s="3290"/>
      <c r="K229" s="3290"/>
      <c r="L229" s="3290"/>
      <c r="M229" s="1770"/>
    </row>
    <row r="230" spans="1:13" s="1813" customFormat="1" ht="9" hidden="1">
      <c r="A230" s="1922" t="str">
        <f>A227</f>
        <v>N</v>
      </c>
      <c r="B230" s="1917"/>
      <c r="C230" s="1923"/>
      <c r="D230" s="1923"/>
      <c r="E230" s="1923"/>
      <c r="F230" s="1923"/>
      <c r="G230" s="1923"/>
      <c r="H230" s="1923"/>
      <c r="I230" s="1923"/>
      <c r="J230" s="1923"/>
      <c r="K230" s="1923"/>
      <c r="L230" s="1923"/>
      <c r="M230" s="1917"/>
    </row>
    <row r="231" spans="1:13" hidden="1">
      <c r="A231" s="1693" t="str">
        <f>A230</f>
        <v>N</v>
      </c>
      <c r="B231" s="1770"/>
      <c r="C231" s="3291" t="s">
        <v>900</v>
      </c>
      <c r="D231" s="3291"/>
      <c r="E231" s="3291"/>
      <c r="F231" s="3291"/>
      <c r="G231" s="3291"/>
      <c r="H231" s="3292"/>
      <c r="I231" s="3293" t="str">
        <f>'Preliminary Report'!$F$47</f>
        <v/>
      </c>
      <c r="J231" s="3294"/>
      <c r="K231" s="3294"/>
      <c r="L231" s="3294"/>
      <c r="M231" s="1770"/>
    </row>
    <row r="232" spans="1:13" hidden="1">
      <c r="A232" s="1693" t="str">
        <f t="shared" ref="A232:A267" si="10">A231</f>
        <v>N</v>
      </c>
      <c r="B232" s="1770"/>
      <c r="C232" s="3273" t="s">
        <v>1219</v>
      </c>
      <c r="D232" s="3273"/>
      <c r="E232" s="3273"/>
      <c r="F232" s="3273"/>
      <c r="G232" s="3273"/>
      <c r="H232" s="3274"/>
      <c r="I232" s="3275">
        <v>2</v>
      </c>
      <c r="J232" s="3276"/>
      <c r="K232" s="3276"/>
      <c r="L232" s="3276"/>
      <c r="M232" s="1770"/>
    </row>
    <row r="233" spans="1:13" hidden="1">
      <c r="A233" s="1693" t="str">
        <f t="shared" si="10"/>
        <v>N</v>
      </c>
      <c r="B233" s="1770"/>
      <c r="C233" s="3273" t="s">
        <v>873</v>
      </c>
      <c r="D233" s="3273"/>
      <c r="E233" s="3273"/>
      <c r="F233" s="3273"/>
      <c r="G233" s="3273"/>
      <c r="H233" s="3274"/>
      <c r="I233" s="3277">
        <f>'Preliminary Report'!$H$47</f>
        <v>0</v>
      </c>
      <c r="J233" s="3278"/>
      <c r="K233" s="3278"/>
      <c r="L233" s="3278"/>
      <c r="M233" s="1770"/>
    </row>
    <row r="234" spans="1:13" hidden="1">
      <c r="A234" s="1693" t="str">
        <f t="shared" si="10"/>
        <v>N</v>
      </c>
      <c r="B234" s="1770"/>
      <c r="C234" s="3279" t="s">
        <v>901</v>
      </c>
      <c r="D234" s="3279"/>
      <c r="E234" s="3279"/>
      <c r="F234" s="3279"/>
      <c r="G234" s="3279"/>
      <c r="H234" s="3280"/>
      <c r="I234" s="3281" t="e">
        <f>'Summary Report'!$F$112</f>
        <v>#N/A</v>
      </c>
      <c r="J234" s="3282"/>
      <c r="K234" s="3282"/>
      <c r="L234" s="3282"/>
      <c r="M234" s="1770"/>
    </row>
    <row r="235" spans="1:13" hidden="1">
      <c r="A235" s="1693" t="str">
        <f t="shared" si="10"/>
        <v>N</v>
      </c>
      <c r="B235" s="1770"/>
      <c r="C235" s="1770"/>
      <c r="D235" s="1770"/>
      <c r="E235" s="1770"/>
      <c r="F235" s="1770"/>
      <c r="G235" s="1770"/>
      <c r="H235" s="1770"/>
      <c r="I235" s="1770"/>
      <c r="J235" s="1770"/>
      <c r="K235" s="1770"/>
      <c r="L235" s="1770"/>
      <c r="M235" s="1770"/>
    </row>
    <row r="236" spans="1:13" hidden="1">
      <c r="A236" s="1791" t="str">
        <f t="shared" ref="A236:A250" si="11">IF(AND(A235="Y",PICFLOWSEL=1),"Y","N")</f>
        <v>N</v>
      </c>
      <c r="B236" s="1770"/>
      <c r="C236" s="3238"/>
      <c r="D236" s="3238"/>
      <c r="E236" s="3238"/>
      <c r="F236" s="3238"/>
      <c r="G236" s="3238"/>
      <c r="H236" s="3238"/>
      <c r="I236" s="3238"/>
      <c r="J236" s="3238"/>
      <c r="K236" s="3238"/>
      <c r="L236" s="3238"/>
      <c r="M236" s="1770"/>
    </row>
    <row r="237" spans="1:13" hidden="1">
      <c r="A237" s="1791" t="str">
        <f t="shared" si="11"/>
        <v>N</v>
      </c>
      <c r="B237" s="1770"/>
      <c r="C237" s="3238"/>
      <c r="D237" s="3238"/>
      <c r="E237" s="3238"/>
      <c r="F237" s="3238"/>
      <c r="G237" s="3238"/>
      <c r="H237" s="3238"/>
      <c r="I237" s="3238"/>
      <c r="J237" s="3238"/>
      <c r="K237" s="3238"/>
      <c r="L237" s="3238"/>
      <c r="M237" s="1770"/>
    </row>
    <row r="238" spans="1:13" hidden="1">
      <c r="A238" s="1791" t="str">
        <f t="shared" si="11"/>
        <v>N</v>
      </c>
      <c r="B238" s="1770"/>
      <c r="C238" s="3238"/>
      <c r="D238" s="3238"/>
      <c r="E238" s="3238"/>
      <c r="F238" s="3238"/>
      <c r="G238" s="3238"/>
      <c r="H238" s="3238"/>
      <c r="I238" s="3238"/>
      <c r="J238" s="3238"/>
      <c r="K238" s="3238"/>
      <c r="L238" s="3238"/>
      <c r="M238" s="1770"/>
    </row>
    <row r="239" spans="1:13" hidden="1">
      <c r="A239" s="1791" t="str">
        <f t="shared" si="11"/>
        <v>N</v>
      </c>
      <c r="B239" s="1770"/>
      <c r="C239" s="3238"/>
      <c r="D239" s="3238"/>
      <c r="E239" s="3238"/>
      <c r="F239" s="3238"/>
      <c r="G239" s="3238"/>
      <c r="H239" s="3238"/>
      <c r="I239" s="3238"/>
      <c r="J239" s="3238"/>
      <c r="K239" s="3238"/>
      <c r="L239" s="3238"/>
      <c r="M239" s="1770"/>
    </row>
    <row r="240" spans="1:13" hidden="1">
      <c r="A240" s="1791" t="str">
        <f t="shared" si="11"/>
        <v>N</v>
      </c>
      <c r="B240" s="1770"/>
      <c r="C240" s="3238"/>
      <c r="D240" s="3238"/>
      <c r="E240" s="3238"/>
      <c r="F240" s="3238"/>
      <c r="G240" s="3238"/>
      <c r="H240" s="3238"/>
      <c r="I240" s="3238"/>
      <c r="J240" s="3238"/>
      <c r="K240" s="3238"/>
      <c r="L240" s="3238"/>
      <c r="M240" s="1770"/>
    </row>
    <row r="241" spans="1:13" hidden="1">
      <c r="A241" s="1791" t="str">
        <f t="shared" si="11"/>
        <v>N</v>
      </c>
      <c r="B241" s="1770"/>
      <c r="C241" s="3238"/>
      <c r="D241" s="3238"/>
      <c r="E241" s="3238"/>
      <c r="F241" s="3238"/>
      <c r="G241" s="3238"/>
      <c r="H241" s="3238"/>
      <c r="I241" s="3238"/>
      <c r="J241" s="3238"/>
      <c r="K241" s="3238"/>
      <c r="L241" s="3238"/>
      <c r="M241" s="1770"/>
    </row>
    <row r="242" spans="1:13" hidden="1">
      <c r="A242" s="1791" t="str">
        <f t="shared" si="11"/>
        <v>N</v>
      </c>
      <c r="B242" s="1770"/>
      <c r="C242" s="3238"/>
      <c r="D242" s="3238"/>
      <c r="E242" s="3238"/>
      <c r="F242" s="3238"/>
      <c r="G242" s="3238"/>
      <c r="H242" s="3238"/>
      <c r="I242" s="3238"/>
      <c r="J242" s="3238"/>
      <c r="K242" s="3238"/>
      <c r="L242" s="3238"/>
      <c r="M242" s="1770"/>
    </row>
    <row r="243" spans="1:13" hidden="1">
      <c r="A243" s="1791" t="str">
        <f t="shared" si="11"/>
        <v>N</v>
      </c>
      <c r="B243" s="1770"/>
      <c r="C243" s="3238"/>
      <c r="D243" s="3238"/>
      <c r="E243" s="3238"/>
      <c r="F243" s="3238"/>
      <c r="G243" s="3238"/>
      <c r="H243" s="3238"/>
      <c r="I243" s="3238"/>
      <c r="J243" s="3238"/>
      <c r="K243" s="3238"/>
      <c r="L243" s="3238"/>
      <c r="M243" s="1770"/>
    </row>
    <row r="244" spans="1:13" hidden="1">
      <c r="A244" s="1791" t="str">
        <f t="shared" si="11"/>
        <v>N</v>
      </c>
      <c r="B244" s="1770"/>
      <c r="C244" s="3238"/>
      <c r="D244" s="3238"/>
      <c r="E244" s="3238"/>
      <c r="F244" s="3238"/>
      <c r="G244" s="3238"/>
      <c r="H244" s="3238"/>
      <c r="I244" s="3238"/>
      <c r="J244" s="3238"/>
      <c r="K244" s="3238"/>
      <c r="L244" s="3238"/>
      <c r="M244" s="1770"/>
    </row>
    <row r="245" spans="1:13" hidden="1">
      <c r="A245" s="1791" t="str">
        <f t="shared" si="11"/>
        <v>N</v>
      </c>
      <c r="B245" s="1770"/>
      <c r="C245" s="3238"/>
      <c r="D245" s="3238"/>
      <c r="E245" s="3238"/>
      <c r="F245" s="3238"/>
      <c r="G245" s="3238"/>
      <c r="H245" s="3238"/>
      <c r="I245" s="3238"/>
      <c r="J245" s="3238"/>
      <c r="K245" s="3238"/>
      <c r="L245" s="3238"/>
      <c r="M245" s="1770"/>
    </row>
    <row r="246" spans="1:13" hidden="1">
      <c r="A246" s="1791" t="str">
        <f t="shared" si="11"/>
        <v>N</v>
      </c>
      <c r="B246" s="1770"/>
      <c r="C246" s="3238"/>
      <c r="D246" s="3238"/>
      <c r="E246" s="3238"/>
      <c r="F246" s="3238"/>
      <c r="G246" s="3238"/>
      <c r="H246" s="3238"/>
      <c r="I246" s="3238"/>
      <c r="J246" s="3238"/>
      <c r="K246" s="3238"/>
      <c r="L246" s="3238"/>
      <c r="M246" s="1770"/>
    </row>
    <row r="247" spans="1:13" hidden="1">
      <c r="A247" s="1791" t="str">
        <f t="shared" si="11"/>
        <v>N</v>
      </c>
      <c r="B247" s="1770"/>
      <c r="C247" s="3238"/>
      <c r="D247" s="3238"/>
      <c r="E247" s="3238"/>
      <c r="F247" s="3238"/>
      <c r="G247" s="3238"/>
      <c r="H247" s="3238"/>
      <c r="I247" s="3238"/>
      <c r="J247" s="3238"/>
      <c r="K247" s="3238"/>
      <c r="L247" s="3238"/>
      <c r="M247" s="1770"/>
    </row>
    <row r="248" spans="1:13" hidden="1">
      <c r="A248" s="1791" t="str">
        <f t="shared" si="11"/>
        <v>N</v>
      </c>
      <c r="B248" s="1770"/>
      <c r="C248" s="3238"/>
      <c r="D248" s="3238"/>
      <c r="E248" s="3238"/>
      <c r="F248" s="3238"/>
      <c r="G248" s="3238"/>
      <c r="H248" s="3238"/>
      <c r="I248" s="3238"/>
      <c r="J248" s="3238"/>
      <c r="K248" s="3238"/>
      <c r="L248" s="3238"/>
      <c r="M248" s="1770"/>
    </row>
    <row r="249" spans="1:13" hidden="1">
      <c r="A249" s="1791" t="str">
        <f t="shared" si="11"/>
        <v>N</v>
      </c>
      <c r="B249" s="1770"/>
      <c r="C249" s="3272" t="s">
        <v>1377</v>
      </c>
      <c r="D249" s="3272"/>
      <c r="E249" s="3272"/>
      <c r="F249" s="3272"/>
      <c r="G249" s="3272"/>
      <c r="H249" s="3272" t="s">
        <v>1378</v>
      </c>
      <c r="I249" s="3272"/>
      <c r="J249" s="3272"/>
      <c r="K249" s="3272"/>
      <c r="L249" s="3272"/>
      <c r="M249" s="1770"/>
    </row>
    <row r="250" spans="1:13" hidden="1">
      <c r="A250" s="1791" t="str">
        <f t="shared" si="11"/>
        <v>N</v>
      </c>
      <c r="B250" s="1770"/>
      <c r="C250" s="1800"/>
      <c r="D250" s="1800"/>
      <c r="E250" s="1800"/>
      <c r="F250" s="1800"/>
      <c r="G250" s="1800"/>
      <c r="H250" s="1770"/>
      <c r="I250" s="1800"/>
      <c r="J250" s="1800"/>
      <c r="K250" s="1800"/>
      <c r="L250" s="1800"/>
      <c r="M250" s="1770"/>
    </row>
    <row r="251" spans="1:13" hidden="1">
      <c r="A251" s="1693" t="str">
        <f>A235</f>
        <v>N</v>
      </c>
      <c r="B251" s="1801"/>
      <c r="C251" s="1801" t="s">
        <v>179</v>
      </c>
      <c r="D251" s="1724"/>
      <c r="E251" s="1724"/>
      <c r="F251" s="1724"/>
      <c r="G251" s="1724"/>
      <c r="H251" s="1724"/>
      <c r="I251" s="1724"/>
      <c r="J251" s="1724"/>
      <c r="K251" s="1802"/>
      <c r="L251" s="1802"/>
      <c r="M251" s="1803"/>
    </row>
    <row r="252" spans="1:13" hidden="1">
      <c r="A252" s="1693" t="str">
        <f t="shared" si="10"/>
        <v>N</v>
      </c>
      <c r="B252" s="1804"/>
      <c r="C252" s="2871"/>
      <c r="D252" s="2872"/>
      <c r="E252" s="2872"/>
      <c r="F252" s="2872"/>
      <c r="G252" s="2872"/>
      <c r="H252" s="2872"/>
      <c r="I252" s="2872"/>
      <c r="J252" s="2872"/>
      <c r="K252" s="2872"/>
      <c r="L252" s="2873"/>
      <c r="M252" s="1805"/>
    </row>
    <row r="253" spans="1:13" hidden="1">
      <c r="A253" s="1693" t="str">
        <f t="shared" si="10"/>
        <v>N</v>
      </c>
      <c r="B253" s="1804"/>
      <c r="C253" s="2882"/>
      <c r="D253" s="2883"/>
      <c r="E253" s="2883"/>
      <c r="F253" s="2883"/>
      <c r="G253" s="2883"/>
      <c r="H253" s="2883"/>
      <c r="I253" s="2883"/>
      <c r="J253" s="2883"/>
      <c r="K253" s="2883"/>
      <c r="L253" s="2884"/>
      <c r="M253" s="1805"/>
    </row>
    <row r="254" spans="1:13" hidden="1">
      <c r="A254" s="1693" t="str">
        <f t="shared" si="10"/>
        <v>N</v>
      </c>
      <c r="B254" s="1804"/>
      <c r="C254" s="2885"/>
      <c r="D254" s="2886"/>
      <c r="E254" s="2886"/>
      <c r="F254" s="2886"/>
      <c r="G254" s="2886"/>
      <c r="H254" s="2886"/>
      <c r="I254" s="2886"/>
      <c r="J254" s="2886"/>
      <c r="K254" s="2886"/>
      <c r="L254" s="2887"/>
      <c r="M254" s="1805"/>
    </row>
    <row r="255" spans="1:13" s="1710" customFormat="1" ht="5.25" hidden="1">
      <c r="A255" s="1710" t="str">
        <f t="shared" si="10"/>
        <v>N</v>
      </c>
      <c r="B255" s="1806"/>
      <c r="C255" s="1807"/>
      <c r="D255" s="1807"/>
      <c r="E255" s="1807"/>
      <c r="F255" s="1807"/>
      <c r="G255" s="1807"/>
      <c r="H255" s="1807"/>
      <c r="I255" s="1807"/>
      <c r="J255" s="1808"/>
      <c r="K255" s="1808"/>
      <c r="L255" s="1808"/>
      <c r="M255" s="1809"/>
    </row>
    <row r="256" spans="1:13" hidden="1">
      <c r="A256" s="1693" t="str">
        <f t="shared" si="10"/>
        <v>N</v>
      </c>
      <c r="B256" s="1810"/>
      <c r="C256" s="1810"/>
      <c r="D256" s="1810"/>
      <c r="E256" s="1810"/>
      <c r="F256" s="1810"/>
      <c r="G256" s="1810"/>
      <c r="H256" s="1810"/>
      <c r="I256" s="1810"/>
      <c r="J256" s="1800"/>
      <c r="K256" s="1800"/>
      <c r="L256" s="1800"/>
      <c r="M256" s="1800"/>
    </row>
    <row r="257" spans="1:13" hidden="1">
      <c r="A257" s="1693" t="str">
        <f t="shared" si="10"/>
        <v>N</v>
      </c>
      <c r="B257" s="1810"/>
      <c r="C257" s="1810"/>
      <c r="D257" s="1810"/>
      <c r="E257" s="1810"/>
      <c r="F257" s="1810"/>
      <c r="G257" s="1810"/>
      <c r="H257" s="1810"/>
      <c r="I257" s="1810"/>
      <c r="J257" s="1800"/>
      <c r="K257" s="1800"/>
      <c r="L257" s="1800"/>
      <c r="M257" s="1800"/>
    </row>
    <row r="258" spans="1:13" hidden="1">
      <c r="A258" s="1693" t="str">
        <f t="shared" si="10"/>
        <v>N</v>
      </c>
      <c r="B258" s="1810"/>
      <c r="C258" s="1810"/>
      <c r="D258" s="1810"/>
      <c r="E258" s="1810"/>
      <c r="F258" s="1810"/>
      <c r="G258" s="1810"/>
      <c r="H258" s="1810"/>
      <c r="I258" s="1810"/>
      <c r="J258" s="1800"/>
      <c r="K258" s="1800"/>
      <c r="L258" s="1800"/>
      <c r="M258" s="1800"/>
    </row>
    <row r="259" spans="1:13" hidden="1">
      <c r="A259" s="1693" t="str">
        <f t="shared" si="10"/>
        <v>N</v>
      </c>
      <c r="B259" s="2859" t="str">
        <f>CHENG</f>
        <v>CANO ARTHUR D. CADAVOS</v>
      </c>
      <c r="C259" s="2859"/>
      <c r="D259" s="2859"/>
      <c r="E259" s="2859"/>
      <c r="F259" s="2859"/>
      <c r="G259" s="3297" t="str">
        <f>IF(BARGESEL=1,BARGEREP,INDEX(BARGETABLE,MATCH(E204,BARGENAMES,0),4))</f>
        <v>TEMEL KALYONCU</v>
      </c>
      <c r="H259" s="3297"/>
      <c r="I259" s="3297"/>
      <c r="J259" s="3297"/>
      <c r="K259" s="2859" t="str">
        <f>SURVEYOR</f>
        <v>MEHMET EROĞLU</v>
      </c>
      <c r="L259" s="2859"/>
      <c r="M259" s="2859"/>
    </row>
    <row r="260" spans="1:13" s="1710" customFormat="1" ht="5.25" hidden="1">
      <c r="A260" s="1710" t="s">
        <v>270</v>
      </c>
      <c r="B260" s="1806"/>
      <c r="C260" s="1806"/>
      <c r="D260" s="1806"/>
      <c r="E260" s="1806"/>
      <c r="F260" s="1806"/>
      <c r="G260" s="1806"/>
      <c r="H260" s="1806"/>
      <c r="I260" s="1806"/>
      <c r="J260" s="1811"/>
      <c r="K260" s="1812"/>
      <c r="L260" s="1812"/>
      <c r="M260" s="1812"/>
    </row>
    <row r="261" spans="1:13" hidden="1">
      <c r="A261" s="1693" t="str">
        <f>A259</f>
        <v>N</v>
      </c>
      <c r="B261" s="3295" t="s">
        <v>15</v>
      </c>
      <c r="C261" s="3295"/>
      <c r="D261" s="3295"/>
      <c r="E261" s="3295"/>
      <c r="F261" s="3295"/>
      <c r="G261" s="3295" t="s">
        <v>840</v>
      </c>
      <c r="H261" s="3295"/>
      <c r="I261" s="3295"/>
      <c r="J261" s="3295"/>
      <c r="K261" s="3296" t="str">
        <f>"Bunker Surveyor"&amp;IF(SPORE=TRUE,", License No. "&amp;SURVLIC,"")</f>
        <v>Bunker Surveyor</v>
      </c>
      <c r="L261" s="3296"/>
      <c r="M261" s="3296"/>
    </row>
    <row r="262" spans="1:13" s="1719" customFormat="1" ht="9" hidden="1">
      <c r="A262" s="1813" t="str">
        <f t="shared" si="10"/>
        <v>N</v>
      </c>
      <c r="B262"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262" s="3155"/>
      <c r="D262" s="3155"/>
      <c r="E262" s="3155"/>
      <c r="F262" s="3155"/>
      <c r="G262" s="3155"/>
      <c r="H262" s="3155"/>
      <c r="I262" s="3155"/>
      <c r="J262" s="3155"/>
      <c r="K262" s="3155"/>
      <c r="L262" s="3256"/>
      <c r="M262" s="3126"/>
    </row>
    <row r="263" spans="1:13" s="1719" customFormat="1" ht="9" hidden="1">
      <c r="A263" s="1813" t="str">
        <f t="shared" si="10"/>
        <v>N</v>
      </c>
      <c r="B263" s="3157"/>
      <c r="C263" s="3158"/>
      <c r="D263" s="3158"/>
      <c r="E263" s="3158"/>
      <c r="F263" s="3158"/>
      <c r="G263" s="3158"/>
      <c r="H263" s="3158"/>
      <c r="I263" s="3158"/>
      <c r="J263" s="3158"/>
      <c r="K263" s="3158"/>
      <c r="L263" s="3257"/>
      <c r="M263" s="3127"/>
    </row>
    <row r="264" spans="1:13" s="1719" customFormat="1" ht="9" hidden="1">
      <c r="A264" s="1813" t="str">
        <f t="shared" si="10"/>
        <v>N</v>
      </c>
      <c r="B264" s="3157"/>
      <c r="C264" s="3158"/>
      <c r="D264" s="3158"/>
      <c r="E264" s="3158"/>
      <c r="F264" s="3158"/>
      <c r="G264" s="3158"/>
      <c r="H264" s="3158"/>
      <c r="I264" s="3158"/>
      <c r="J264" s="3158"/>
      <c r="K264" s="3158"/>
      <c r="L264" s="3257"/>
      <c r="M264" s="3127"/>
    </row>
    <row r="265" spans="1:13" s="1719" customFormat="1" ht="9" hidden="1">
      <c r="A265" s="1813" t="str">
        <f t="shared" si="10"/>
        <v>N</v>
      </c>
      <c r="B265" s="3157"/>
      <c r="C265" s="3158"/>
      <c r="D265" s="3158"/>
      <c r="E265" s="3158"/>
      <c r="F265" s="3158"/>
      <c r="G265" s="3158"/>
      <c r="H265" s="3158"/>
      <c r="I265" s="3158"/>
      <c r="J265" s="3158"/>
      <c r="K265" s="3158"/>
      <c r="L265" s="3257"/>
      <c r="M265" s="3127"/>
    </row>
    <row r="266" spans="1:13" s="1719" customFormat="1" ht="9" hidden="1">
      <c r="A266" s="1813" t="str">
        <f t="shared" si="10"/>
        <v>N</v>
      </c>
      <c r="B266" s="3157"/>
      <c r="C266" s="3158"/>
      <c r="D266" s="3158"/>
      <c r="E266" s="3158"/>
      <c r="F266" s="3158"/>
      <c r="G266" s="3158"/>
      <c r="H266" s="3158"/>
      <c r="I266" s="3158"/>
      <c r="J266" s="3158"/>
      <c r="K266" s="3158"/>
      <c r="L266" s="3257"/>
      <c r="M266" s="3127"/>
    </row>
    <row r="267" spans="1:13" s="1719" customFormat="1" ht="9" hidden="1">
      <c r="A267" s="1813" t="str">
        <f t="shared" si="10"/>
        <v>N</v>
      </c>
      <c r="B267" s="3159"/>
      <c r="C267" s="3160"/>
      <c r="D267" s="3160"/>
      <c r="E267" s="3160"/>
      <c r="F267" s="3160"/>
      <c r="G267" s="3160"/>
      <c r="H267" s="3160"/>
      <c r="I267" s="3160"/>
      <c r="J267" s="3160"/>
      <c r="K267" s="3160"/>
      <c r="L267" s="3258"/>
      <c r="M267" s="3128"/>
    </row>
    <row r="268" spans="1:13" hidden="1">
      <c r="A268" s="1791" t="str">
        <f>IF(AND(FMTYPE5&lt;&gt;0,FMTYPE5&lt;&gt;"-",FMTYPE5&lt;&gt;TANKMEAS,MYBARGENAME=E268,K270&gt;0),"Y","N")</f>
        <v>N</v>
      </c>
      <c r="B268" s="3348" t="s">
        <v>788</v>
      </c>
      <c r="C268" s="3349"/>
      <c r="D268" s="3349"/>
      <c r="E268" s="3350" t="str">
        <f>'Cover Page'!M$89</f>
        <v/>
      </c>
      <c r="F268" s="3350"/>
      <c r="G268" s="3350"/>
      <c r="H268" s="3350"/>
      <c r="I268" s="3351" t="s">
        <v>789</v>
      </c>
      <c r="J268" s="3351"/>
      <c r="K268" s="3352" t="str">
        <f>PORT</f>
        <v>ISTANBUL / TURKEY</v>
      </c>
      <c r="L268" s="3352"/>
      <c r="M268" s="3353"/>
    </row>
    <row r="269" spans="1:13" hidden="1">
      <c r="A269" s="1693" t="str">
        <f>A268</f>
        <v>N</v>
      </c>
      <c r="B269" s="3354" t="s">
        <v>160</v>
      </c>
      <c r="C269" s="3355"/>
      <c r="D269" s="3355"/>
      <c r="E269" s="3356" t="str">
        <f>VESSEL</f>
        <v>MV PESSADA</v>
      </c>
      <c r="F269" s="3356"/>
      <c r="G269" s="3356"/>
      <c r="H269" s="3356"/>
      <c r="I269" s="3357" t="s">
        <v>790</v>
      </c>
      <c r="J269" s="3357"/>
      <c r="K269" s="3358">
        <f>DATESURVC</f>
        <v>44792</v>
      </c>
      <c r="L269" s="3358"/>
      <c r="M269" s="3359"/>
    </row>
    <row r="270" spans="1:13" hidden="1">
      <c r="A270" s="1693" t="str">
        <f t="shared" ref="A270:A291" si="12">A269</f>
        <v>N</v>
      </c>
      <c r="B270" s="3339">
        <v>5</v>
      </c>
      <c r="C270" s="3340"/>
      <c r="D270" s="3340"/>
      <c r="E270" s="3341"/>
      <c r="F270" s="3341"/>
      <c r="G270" s="3341"/>
      <c r="H270" s="3341"/>
      <c r="I270" s="3342" t="s">
        <v>764</v>
      </c>
      <c r="J270" s="3342"/>
      <c r="K270" s="3343" t="str">
        <f>'Cover Page'!M$88</f>
        <v>MGO</v>
      </c>
      <c r="L270" s="3343"/>
      <c r="M270" s="3344"/>
    </row>
    <row r="271" spans="1:13" s="1813" customFormat="1" ht="9" hidden="1">
      <c r="A271" s="1813" t="str">
        <f t="shared" si="12"/>
        <v>N</v>
      </c>
      <c r="B271" s="1917"/>
      <c r="C271" s="1917"/>
      <c r="D271" s="1917"/>
      <c r="E271" s="1917"/>
      <c r="F271" s="1917"/>
      <c r="G271" s="1917"/>
      <c r="H271" s="1917"/>
      <c r="I271" s="1917"/>
      <c r="J271" s="1917"/>
      <c r="K271" s="1921"/>
      <c r="L271" s="1921"/>
      <c r="M271" s="1921"/>
    </row>
    <row r="272" spans="1:13" ht="18.75" hidden="1">
      <c r="A272" s="1924" t="str">
        <f t="shared" si="12"/>
        <v>N</v>
      </c>
      <c r="B272" s="1770"/>
      <c r="C272" s="3345" t="s">
        <v>859</v>
      </c>
      <c r="D272" s="3346"/>
      <c r="E272" s="3346"/>
      <c r="F272" s="3346"/>
      <c r="G272" s="3346"/>
      <c r="H272" s="3346"/>
      <c r="I272" s="3346"/>
      <c r="J272" s="3346"/>
      <c r="K272" s="3346"/>
      <c r="L272" s="3347"/>
      <c r="M272" s="1770"/>
    </row>
    <row r="273" spans="1:13" hidden="1">
      <c r="A273" s="1693" t="str">
        <f t="shared" si="12"/>
        <v>N</v>
      </c>
      <c r="B273" s="1770"/>
      <c r="C273" s="3330" t="s">
        <v>1112</v>
      </c>
      <c r="D273" s="3330"/>
      <c r="E273" s="3331"/>
      <c r="F273" s="3332" t="str">
        <f>IF(FMTYPE5=0,"",INDEX(FMTYPES,MATCH(FMTYPE5,METHOFCALCSHORT,0),1))</f>
        <v/>
      </c>
      <c r="G273" s="3333"/>
      <c r="H273" s="3330" t="s">
        <v>860</v>
      </c>
      <c r="I273" s="3330"/>
      <c r="J273" s="3331"/>
      <c r="K273" s="3334">
        <v>0.98765400000000003</v>
      </c>
      <c r="L273" s="3335"/>
      <c r="M273" s="1770"/>
    </row>
    <row r="274" spans="1:13" hidden="1">
      <c r="A274" s="1693" t="str">
        <f t="shared" si="12"/>
        <v>N</v>
      </c>
      <c r="B274" s="1770"/>
      <c r="C274" s="3312" t="s">
        <v>1267</v>
      </c>
      <c r="D274" s="3312"/>
      <c r="E274" s="3313"/>
      <c r="F274" s="3311" t="s">
        <v>903</v>
      </c>
      <c r="G274" s="3336"/>
      <c r="H274" s="3312" t="s">
        <v>861</v>
      </c>
      <c r="I274" s="3312"/>
      <c r="J274" s="3313"/>
      <c r="K274" s="3337">
        <v>12</v>
      </c>
      <c r="L274" s="3338"/>
      <c r="M274" s="1770"/>
    </row>
    <row r="275" spans="1:13" hidden="1">
      <c r="A275" s="1693" t="str">
        <f t="shared" si="12"/>
        <v>N</v>
      </c>
      <c r="B275" s="1770"/>
      <c r="C275" s="3307" t="s">
        <v>962</v>
      </c>
      <c r="D275" s="3308"/>
      <c r="E275" s="3309"/>
      <c r="F275" s="3310">
        <v>12345</v>
      </c>
      <c r="G275" s="3311"/>
      <c r="H275" s="3312" t="s">
        <v>1266</v>
      </c>
      <c r="I275" s="3312"/>
      <c r="J275" s="3313"/>
      <c r="K275" s="3320">
        <v>0</v>
      </c>
      <c r="L275" s="3321"/>
      <c r="M275" s="1770"/>
    </row>
    <row r="276" spans="1:13" hidden="1">
      <c r="A276" s="1693" t="str">
        <f t="shared" si="12"/>
        <v>N</v>
      </c>
      <c r="B276" s="1770"/>
      <c r="C276" s="3307" t="s">
        <v>862</v>
      </c>
      <c r="D276" s="3308"/>
      <c r="E276" s="3309"/>
      <c r="F276" s="3328">
        <v>41032</v>
      </c>
      <c r="G276" s="3329"/>
      <c r="H276" s="3312" t="s">
        <v>864</v>
      </c>
      <c r="I276" s="3312"/>
      <c r="J276" s="3313"/>
      <c r="K276" s="1792">
        <v>2.8</v>
      </c>
      <c r="L276" s="1793">
        <v>3</v>
      </c>
      <c r="M276" s="1770"/>
    </row>
    <row r="277" spans="1:13" hidden="1">
      <c r="A277" s="1693" t="str">
        <f t="shared" si="12"/>
        <v>N</v>
      </c>
      <c r="B277" s="1770"/>
      <c r="C277" s="3307" t="s">
        <v>863</v>
      </c>
      <c r="D277" s="3308"/>
      <c r="E277" s="3309"/>
      <c r="F277" s="3310" t="s">
        <v>902</v>
      </c>
      <c r="G277" s="3311"/>
      <c r="H277" s="3312" t="s">
        <v>866</v>
      </c>
      <c r="I277" s="3312"/>
      <c r="J277" s="3313"/>
      <c r="K277" s="1794" t="s">
        <v>904</v>
      </c>
      <c r="L277" s="1795" t="s">
        <v>904</v>
      </c>
      <c r="M277" s="1770"/>
    </row>
    <row r="278" spans="1:13" hidden="1">
      <c r="A278" s="1693" t="str">
        <f t="shared" si="12"/>
        <v>N</v>
      </c>
      <c r="B278" s="1770"/>
      <c r="C278" s="3307" t="s">
        <v>865</v>
      </c>
      <c r="D278" s="3308"/>
      <c r="E278" s="3309"/>
      <c r="F278" s="3310">
        <v>987</v>
      </c>
      <c r="G278" s="3311"/>
      <c r="H278" s="3312" t="s">
        <v>1268</v>
      </c>
      <c r="I278" s="3312"/>
      <c r="J278" s="3313"/>
      <c r="K278" s="1792">
        <v>100</v>
      </c>
      <c r="L278" s="1793">
        <v>1000</v>
      </c>
      <c r="M278" s="1770"/>
    </row>
    <row r="279" spans="1:13" hidden="1">
      <c r="A279" s="1693" t="str">
        <f t="shared" si="12"/>
        <v>N</v>
      </c>
      <c r="B279" s="1770"/>
      <c r="C279" s="3307" t="s">
        <v>867</v>
      </c>
      <c r="D279" s="3308"/>
      <c r="E279" s="3309"/>
      <c r="F279" s="3310">
        <v>12345</v>
      </c>
      <c r="G279" s="3311"/>
      <c r="H279" s="3312" t="s">
        <v>1269</v>
      </c>
      <c r="I279" s="3312"/>
      <c r="J279" s="3313"/>
      <c r="K279" s="1792">
        <v>100</v>
      </c>
      <c r="L279" s="1793">
        <v>1000</v>
      </c>
      <c r="M279" s="1770"/>
    </row>
    <row r="280" spans="1:13" hidden="1">
      <c r="A280" s="1693" t="str">
        <f t="shared" si="12"/>
        <v>N</v>
      </c>
      <c r="B280" s="1770"/>
      <c r="C280" s="3314" t="s">
        <v>899</v>
      </c>
      <c r="D280" s="3314"/>
      <c r="E280" s="3315"/>
      <c r="F280" s="3316" t="s">
        <v>905</v>
      </c>
      <c r="G280" s="3317"/>
      <c r="H280" s="3312" t="s">
        <v>1270</v>
      </c>
      <c r="I280" s="3312"/>
      <c r="J280" s="3313"/>
      <c r="K280" s="3320" t="s">
        <v>772</v>
      </c>
      <c r="L280" s="3321"/>
      <c r="M280" s="1770"/>
    </row>
    <row r="281" spans="1:13" hidden="1">
      <c r="A281" s="1693" t="str">
        <f t="shared" si="12"/>
        <v>N</v>
      </c>
      <c r="B281" s="1770"/>
      <c r="C281" s="3322"/>
      <c r="D281" s="3322"/>
      <c r="E281" s="3323"/>
      <c r="F281" s="3318"/>
      <c r="G281" s="3319"/>
      <c r="H281" s="3324" t="s">
        <v>49</v>
      </c>
      <c r="I281" s="3324"/>
      <c r="J281" s="3325"/>
      <c r="K281" s="3326" t="s">
        <v>1271</v>
      </c>
      <c r="L281" s="3327"/>
      <c r="M281" s="1770"/>
    </row>
    <row r="282" spans="1:13" s="1813" customFormat="1" ht="9" hidden="1">
      <c r="A282" s="1813" t="str">
        <f t="shared" si="12"/>
        <v>N</v>
      </c>
      <c r="B282" s="1917"/>
      <c r="C282" s="1917"/>
      <c r="D282" s="1917"/>
      <c r="E282" s="1917"/>
      <c r="F282" s="1917"/>
      <c r="G282" s="1917"/>
      <c r="H282" s="1917"/>
      <c r="I282" s="1917"/>
      <c r="J282" s="1917"/>
      <c r="K282" s="1917"/>
      <c r="L282" s="1917"/>
      <c r="M282" s="1917"/>
    </row>
    <row r="283" spans="1:13" hidden="1">
      <c r="A283" s="1693" t="str">
        <f t="shared" si="12"/>
        <v>N</v>
      </c>
      <c r="B283" s="1770"/>
      <c r="C283" s="1796" t="s">
        <v>868</v>
      </c>
      <c r="D283" s="3291" t="s">
        <v>1345</v>
      </c>
      <c r="E283" s="3291"/>
      <c r="F283" s="3291"/>
      <c r="G283" s="3291"/>
      <c r="H283" s="3292"/>
      <c r="I283" s="3305">
        <v>0</v>
      </c>
      <c r="J283" s="3306"/>
      <c r="K283" s="3306"/>
      <c r="L283" s="3306"/>
      <c r="M283" s="1770"/>
    </row>
    <row r="284" spans="1:13" hidden="1">
      <c r="A284" s="1693" t="str">
        <f t="shared" si="12"/>
        <v>N</v>
      </c>
      <c r="B284" s="1770"/>
      <c r="C284" s="1797" t="s">
        <v>869</v>
      </c>
      <c r="D284" s="3273" t="s">
        <v>1346</v>
      </c>
      <c r="E284" s="3273"/>
      <c r="F284" s="3273"/>
      <c r="G284" s="3273"/>
      <c r="H284" s="3274"/>
      <c r="I284" s="3275">
        <v>0</v>
      </c>
      <c r="J284" s="3276"/>
      <c r="K284" s="3276"/>
      <c r="L284" s="3276"/>
      <c r="M284" s="1770"/>
    </row>
    <row r="285" spans="1:13" hidden="1">
      <c r="A285" s="1693" t="str">
        <f t="shared" si="12"/>
        <v>N</v>
      </c>
      <c r="B285" s="1770"/>
      <c r="C285" s="1798" t="s">
        <v>870</v>
      </c>
      <c r="D285" s="3298" t="str">
        <f>"Delivered Meter Quantity - Mass in "&amp;F273&amp;" (B-A)"</f>
        <v>Delivered Meter Quantity - Mass in  (B-A)</v>
      </c>
      <c r="E285" s="3299"/>
      <c r="F285" s="3299"/>
      <c r="G285" s="3299"/>
      <c r="H285" s="3300"/>
      <c r="I285" s="3301">
        <f>I284-I283</f>
        <v>0</v>
      </c>
      <c r="J285" s="3302"/>
      <c r="K285" s="3302"/>
      <c r="L285" s="3302"/>
      <c r="M285" s="1770"/>
    </row>
    <row r="286" spans="1:13" s="1813" customFormat="1" ht="9" hidden="1">
      <c r="A286" s="1813" t="str">
        <f t="shared" si="12"/>
        <v>N</v>
      </c>
      <c r="B286" s="1917"/>
      <c r="C286" s="1918"/>
      <c r="D286" s="1919"/>
      <c r="E286" s="1919"/>
      <c r="F286" s="1919"/>
      <c r="G286" s="1919"/>
      <c r="H286" s="1919"/>
      <c r="I286" s="1919"/>
      <c r="J286" s="1919"/>
      <c r="K286" s="1919"/>
      <c r="L286" s="1920"/>
      <c r="M286" s="1917"/>
    </row>
    <row r="287" spans="1:13" hidden="1">
      <c r="A287" s="1693" t="str">
        <f t="shared" si="12"/>
        <v>N</v>
      </c>
      <c r="B287" s="1770"/>
      <c r="C287" s="1796" t="s">
        <v>871</v>
      </c>
      <c r="D287" s="3291" t="s">
        <v>1347</v>
      </c>
      <c r="E287" s="3291"/>
      <c r="F287" s="3291"/>
      <c r="G287" s="3291"/>
      <c r="H287" s="3292"/>
      <c r="I287" s="3305">
        <v>2000</v>
      </c>
      <c r="J287" s="3306"/>
      <c r="K287" s="3306"/>
      <c r="L287" s="3306"/>
      <c r="M287" s="1770"/>
    </row>
    <row r="288" spans="1:13" hidden="1">
      <c r="A288" s="1693" t="str">
        <f t="shared" si="12"/>
        <v>N</v>
      </c>
      <c r="B288" s="1770"/>
      <c r="C288" s="1797" t="s">
        <v>269</v>
      </c>
      <c r="D288" s="3273" t="s">
        <v>1348</v>
      </c>
      <c r="E288" s="3273"/>
      <c r="F288" s="3273"/>
      <c r="G288" s="3273"/>
      <c r="H288" s="3274"/>
      <c r="I288" s="3275">
        <v>1000</v>
      </c>
      <c r="J288" s="3276"/>
      <c r="K288" s="3276"/>
      <c r="L288" s="3276"/>
      <c r="M288" s="1770"/>
    </row>
    <row r="289" spans="1:13" hidden="1">
      <c r="A289" s="1693" t="str">
        <f t="shared" si="12"/>
        <v>N</v>
      </c>
      <c r="B289" s="1770"/>
      <c r="C289" s="1798" t="s">
        <v>872</v>
      </c>
      <c r="D289" s="3298" t="str">
        <f>"Loading Meter Quantity - Mass in "&amp;F273&amp;" (E-D)"</f>
        <v>Loading Meter Quantity - Mass in  (E-D)</v>
      </c>
      <c r="E289" s="3299"/>
      <c r="F289" s="3299"/>
      <c r="G289" s="3299"/>
      <c r="H289" s="3300"/>
      <c r="I289" s="3301">
        <f>I288-I287</f>
        <v>-1000</v>
      </c>
      <c r="J289" s="3302"/>
      <c r="K289" s="3302"/>
      <c r="L289" s="3302"/>
      <c r="M289" s="1770"/>
    </row>
    <row r="290" spans="1:13" s="1813" customFormat="1" ht="9" hidden="1">
      <c r="A290" s="1813" t="str">
        <f t="shared" si="12"/>
        <v>N</v>
      </c>
      <c r="B290" s="1917"/>
      <c r="C290" s="1917"/>
      <c r="D290" s="1917"/>
      <c r="E290" s="1917"/>
      <c r="F290" s="1917"/>
      <c r="G290" s="1917"/>
      <c r="H290" s="1917"/>
      <c r="I290" s="1917"/>
      <c r="J290" s="1917"/>
      <c r="K290" s="1917"/>
      <c r="L290" s="1917"/>
      <c r="M290" s="1917"/>
    </row>
    <row r="291" spans="1:13" hidden="1">
      <c r="A291" s="1693" t="str">
        <f t="shared" si="12"/>
        <v>N</v>
      </c>
      <c r="B291" s="1770"/>
      <c r="C291" s="3303" t="str">
        <f>"Quantity Delivered - Mass in "&amp;F273&amp;" (C-F)"</f>
        <v>Quantity Delivered - Mass in  (C-F)</v>
      </c>
      <c r="D291" s="3303"/>
      <c r="E291" s="3303"/>
      <c r="F291" s="3303"/>
      <c r="G291" s="3303"/>
      <c r="H291" s="3304"/>
      <c r="I291" s="3293">
        <f>I285-I289</f>
        <v>1000</v>
      </c>
      <c r="J291" s="3294"/>
      <c r="K291" s="3294"/>
      <c r="L291" s="3294"/>
      <c r="M291" s="1799"/>
    </row>
    <row r="292" spans="1:13" hidden="1">
      <c r="A292" s="1791" t="str">
        <f>IF(A291="N","N",IF($F273="Air","N","Y"))</f>
        <v>N</v>
      </c>
      <c r="B292" s="1770"/>
      <c r="C292" s="3283" t="s">
        <v>906</v>
      </c>
      <c r="D292" s="3283"/>
      <c r="E292" s="3283"/>
      <c r="F292" s="3283"/>
      <c r="G292" s="3283"/>
      <c r="H292" s="3284"/>
      <c r="I292" s="3285">
        <v>0.99892499999999995</v>
      </c>
      <c r="J292" s="3286"/>
      <c r="K292" s="3286"/>
      <c r="L292" s="3286"/>
      <c r="M292" s="1770"/>
    </row>
    <row r="293" spans="1:13" hidden="1">
      <c r="A293" s="1791" t="str">
        <f>IF(A291="N","N",IF($F273="Air","N","Y"))</f>
        <v>N</v>
      </c>
      <c r="B293" s="1770"/>
      <c r="C293" s="3287" t="s">
        <v>1375</v>
      </c>
      <c r="D293" s="3287"/>
      <c r="E293" s="3287"/>
      <c r="F293" s="3287"/>
      <c r="G293" s="3287"/>
      <c r="H293" s="3288"/>
      <c r="I293" s="3289">
        <f>IF(F273="Air",I291,I291*I292)</f>
        <v>998.92499999999995</v>
      </c>
      <c r="J293" s="3290"/>
      <c r="K293" s="3290"/>
      <c r="L293" s="3290"/>
      <c r="M293" s="1770"/>
    </row>
    <row r="294" spans="1:13" s="1813" customFormat="1" ht="9" hidden="1">
      <c r="A294" s="1922" t="str">
        <f>A291</f>
        <v>N</v>
      </c>
      <c r="B294" s="1917"/>
      <c r="C294" s="1923"/>
      <c r="D294" s="1923"/>
      <c r="E294" s="1923"/>
      <c r="F294" s="1923"/>
      <c r="G294" s="1923"/>
      <c r="H294" s="1923"/>
      <c r="I294" s="1923"/>
      <c r="J294" s="1923"/>
      <c r="K294" s="1923"/>
      <c r="L294" s="1923"/>
      <c r="M294" s="1917"/>
    </row>
    <row r="295" spans="1:13" hidden="1">
      <c r="A295" s="1693" t="str">
        <f>A294</f>
        <v>N</v>
      </c>
      <c r="B295" s="1770"/>
      <c r="C295" s="3291" t="s">
        <v>900</v>
      </c>
      <c r="D295" s="3291"/>
      <c r="E295" s="3291"/>
      <c r="F295" s="3291"/>
      <c r="G295" s="3291"/>
      <c r="H295" s="3292"/>
      <c r="I295" s="3293" t="str">
        <f>'Preliminary Report'!$F$52</f>
        <v/>
      </c>
      <c r="J295" s="3294"/>
      <c r="K295" s="3294"/>
      <c r="L295" s="3294"/>
      <c r="M295" s="1770"/>
    </row>
    <row r="296" spans="1:13" hidden="1">
      <c r="A296" s="1693" t="str">
        <f t="shared" ref="A296:A331" si="13">A295</f>
        <v>N</v>
      </c>
      <c r="B296" s="1770"/>
      <c r="C296" s="3273" t="s">
        <v>1219</v>
      </c>
      <c r="D296" s="3273"/>
      <c r="E296" s="3273"/>
      <c r="F296" s="3273"/>
      <c r="G296" s="3273"/>
      <c r="H296" s="3274"/>
      <c r="I296" s="3275">
        <v>2</v>
      </c>
      <c r="J296" s="3276"/>
      <c r="K296" s="3276"/>
      <c r="L296" s="3276"/>
      <c r="M296" s="1770"/>
    </row>
    <row r="297" spans="1:13" hidden="1">
      <c r="A297" s="1693" t="str">
        <f t="shared" si="13"/>
        <v>N</v>
      </c>
      <c r="B297" s="1770"/>
      <c r="C297" s="3273" t="s">
        <v>873</v>
      </c>
      <c r="D297" s="3273"/>
      <c r="E297" s="3273"/>
      <c r="F297" s="3273"/>
      <c r="G297" s="3273"/>
      <c r="H297" s="3274"/>
      <c r="I297" s="3277">
        <f>'Preliminary Report'!$H$52</f>
        <v>0</v>
      </c>
      <c r="J297" s="3278"/>
      <c r="K297" s="3278"/>
      <c r="L297" s="3278"/>
      <c r="M297" s="1770"/>
    </row>
    <row r="298" spans="1:13" hidden="1">
      <c r="A298" s="1693" t="str">
        <f t="shared" si="13"/>
        <v>N</v>
      </c>
      <c r="B298" s="1770"/>
      <c r="C298" s="3279" t="s">
        <v>901</v>
      </c>
      <c r="D298" s="3279"/>
      <c r="E298" s="3279"/>
      <c r="F298" s="3279"/>
      <c r="G298" s="3279"/>
      <c r="H298" s="3280"/>
      <c r="I298" s="3281" t="e">
        <f>'Summary Report'!$F$138</f>
        <v>#N/A</v>
      </c>
      <c r="J298" s="3282"/>
      <c r="K298" s="3282"/>
      <c r="L298" s="3282"/>
      <c r="M298" s="1770"/>
    </row>
    <row r="299" spans="1:13" hidden="1">
      <c r="A299" s="1693" t="str">
        <f t="shared" si="13"/>
        <v>N</v>
      </c>
      <c r="B299" s="1770"/>
      <c r="C299" s="1770"/>
      <c r="D299" s="1770"/>
      <c r="E299" s="1770"/>
      <c r="F299" s="1770"/>
      <c r="G299" s="1770"/>
      <c r="H299" s="1770"/>
      <c r="I299" s="1770"/>
      <c r="J299" s="1770"/>
      <c r="K299" s="1770"/>
      <c r="L299" s="1770"/>
      <c r="M299" s="1770"/>
    </row>
    <row r="300" spans="1:13" hidden="1">
      <c r="A300" s="1791" t="str">
        <f t="shared" ref="A300:A314" si="14">IF(AND(A299="Y",PICFLOWSEL=1),"Y","N")</f>
        <v>N</v>
      </c>
      <c r="B300" s="1770"/>
      <c r="C300" s="3238"/>
      <c r="D300" s="3238"/>
      <c r="E300" s="3238"/>
      <c r="F300" s="3238"/>
      <c r="G300" s="3238"/>
      <c r="H300" s="3238"/>
      <c r="I300" s="3238"/>
      <c r="J300" s="3238"/>
      <c r="K300" s="3238"/>
      <c r="L300" s="3238"/>
      <c r="M300" s="1770"/>
    </row>
    <row r="301" spans="1:13" hidden="1">
      <c r="A301" s="1791" t="str">
        <f t="shared" si="14"/>
        <v>N</v>
      </c>
      <c r="B301" s="1770"/>
      <c r="C301" s="3238"/>
      <c r="D301" s="3238"/>
      <c r="E301" s="3238"/>
      <c r="F301" s="3238"/>
      <c r="G301" s="3238"/>
      <c r="H301" s="3238"/>
      <c r="I301" s="3238"/>
      <c r="J301" s="3238"/>
      <c r="K301" s="3238"/>
      <c r="L301" s="3238"/>
      <c r="M301" s="1770"/>
    </row>
    <row r="302" spans="1:13" hidden="1">
      <c r="A302" s="1791" t="str">
        <f t="shared" si="14"/>
        <v>N</v>
      </c>
      <c r="B302" s="1770"/>
      <c r="C302" s="3238"/>
      <c r="D302" s="3238"/>
      <c r="E302" s="3238"/>
      <c r="F302" s="3238"/>
      <c r="G302" s="3238"/>
      <c r="H302" s="3238"/>
      <c r="I302" s="3238"/>
      <c r="J302" s="3238"/>
      <c r="K302" s="3238"/>
      <c r="L302" s="3238"/>
      <c r="M302" s="1770"/>
    </row>
    <row r="303" spans="1:13" hidden="1">
      <c r="A303" s="1791" t="str">
        <f t="shared" si="14"/>
        <v>N</v>
      </c>
      <c r="B303" s="1770"/>
      <c r="C303" s="3238"/>
      <c r="D303" s="3238"/>
      <c r="E303" s="3238"/>
      <c r="F303" s="3238"/>
      <c r="G303" s="3238"/>
      <c r="H303" s="3238"/>
      <c r="I303" s="3238"/>
      <c r="J303" s="3238"/>
      <c r="K303" s="3238"/>
      <c r="L303" s="3238"/>
      <c r="M303" s="1770"/>
    </row>
    <row r="304" spans="1:13" hidden="1">
      <c r="A304" s="1791" t="str">
        <f t="shared" si="14"/>
        <v>N</v>
      </c>
      <c r="B304" s="1770"/>
      <c r="C304" s="3238"/>
      <c r="D304" s="3238"/>
      <c r="E304" s="3238"/>
      <c r="F304" s="3238"/>
      <c r="G304" s="3238"/>
      <c r="H304" s="3238"/>
      <c r="I304" s="3238"/>
      <c r="J304" s="3238"/>
      <c r="K304" s="3238"/>
      <c r="L304" s="3238"/>
      <c r="M304" s="1770"/>
    </row>
    <row r="305" spans="1:13" hidden="1">
      <c r="A305" s="1791" t="str">
        <f t="shared" si="14"/>
        <v>N</v>
      </c>
      <c r="B305" s="1770"/>
      <c r="C305" s="3238"/>
      <c r="D305" s="3238"/>
      <c r="E305" s="3238"/>
      <c r="F305" s="3238"/>
      <c r="G305" s="3238"/>
      <c r="H305" s="3238"/>
      <c r="I305" s="3238"/>
      <c r="J305" s="3238"/>
      <c r="K305" s="3238"/>
      <c r="L305" s="3238"/>
      <c r="M305" s="1770"/>
    </row>
    <row r="306" spans="1:13" hidden="1">
      <c r="A306" s="1791" t="str">
        <f t="shared" si="14"/>
        <v>N</v>
      </c>
      <c r="B306" s="1770"/>
      <c r="C306" s="3238"/>
      <c r="D306" s="3238"/>
      <c r="E306" s="3238"/>
      <c r="F306" s="3238"/>
      <c r="G306" s="3238"/>
      <c r="H306" s="3238"/>
      <c r="I306" s="3238"/>
      <c r="J306" s="3238"/>
      <c r="K306" s="3238"/>
      <c r="L306" s="3238"/>
      <c r="M306" s="1770"/>
    </row>
    <row r="307" spans="1:13" hidden="1">
      <c r="A307" s="1791" t="str">
        <f t="shared" si="14"/>
        <v>N</v>
      </c>
      <c r="B307" s="1770"/>
      <c r="C307" s="3238"/>
      <c r="D307" s="3238"/>
      <c r="E307" s="3238"/>
      <c r="F307" s="3238"/>
      <c r="G307" s="3238"/>
      <c r="H307" s="3238"/>
      <c r="I307" s="3238"/>
      <c r="J307" s="3238"/>
      <c r="K307" s="3238"/>
      <c r="L307" s="3238"/>
      <c r="M307" s="1770"/>
    </row>
    <row r="308" spans="1:13" hidden="1">
      <c r="A308" s="1791" t="str">
        <f t="shared" si="14"/>
        <v>N</v>
      </c>
      <c r="B308" s="1770"/>
      <c r="C308" s="3238"/>
      <c r="D308" s="3238"/>
      <c r="E308" s="3238"/>
      <c r="F308" s="3238"/>
      <c r="G308" s="3238"/>
      <c r="H308" s="3238"/>
      <c r="I308" s="3238"/>
      <c r="J308" s="3238"/>
      <c r="K308" s="3238"/>
      <c r="L308" s="3238"/>
      <c r="M308" s="1770"/>
    </row>
    <row r="309" spans="1:13" hidden="1">
      <c r="A309" s="1791" t="str">
        <f t="shared" si="14"/>
        <v>N</v>
      </c>
      <c r="B309" s="1770"/>
      <c r="C309" s="3238"/>
      <c r="D309" s="3238"/>
      <c r="E309" s="3238"/>
      <c r="F309" s="3238"/>
      <c r="G309" s="3238"/>
      <c r="H309" s="3238"/>
      <c r="I309" s="3238"/>
      <c r="J309" s="3238"/>
      <c r="K309" s="3238"/>
      <c r="L309" s="3238"/>
      <c r="M309" s="1770"/>
    </row>
    <row r="310" spans="1:13" hidden="1">
      <c r="A310" s="1791" t="str">
        <f t="shared" si="14"/>
        <v>N</v>
      </c>
      <c r="B310" s="1770"/>
      <c r="C310" s="3238"/>
      <c r="D310" s="3238"/>
      <c r="E310" s="3238"/>
      <c r="F310" s="3238"/>
      <c r="G310" s="3238"/>
      <c r="H310" s="3238"/>
      <c r="I310" s="3238"/>
      <c r="J310" s="3238"/>
      <c r="K310" s="3238"/>
      <c r="L310" s="3238"/>
      <c r="M310" s="1770"/>
    </row>
    <row r="311" spans="1:13" hidden="1">
      <c r="A311" s="1791" t="str">
        <f t="shared" si="14"/>
        <v>N</v>
      </c>
      <c r="B311" s="1770"/>
      <c r="C311" s="3238"/>
      <c r="D311" s="3238"/>
      <c r="E311" s="3238"/>
      <c r="F311" s="3238"/>
      <c r="G311" s="3238"/>
      <c r="H311" s="3238"/>
      <c r="I311" s="3238"/>
      <c r="J311" s="3238"/>
      <c r="K311" s="3238"/>
      <c r="L311" s="3238"/>
      <c r="M311" s="1770"/>
    </row>
    <row r="312" spans="1:13" hidden="1">
      <c r="A312" s="1791" t="str">
        <f t="shared" si="14"/>
        <v>N</v>
      </c>
      <c r="B312" s="1770"/>
      <c r="C312" s="3238"/>
      <c r="D312" s="3238"/>
      <c r="E312" s="3238"/>
      <c r="F312" s="3238"/>
      <c r="G312" s="3238"/>
      <c r="H312" s="3238"/>
      <c r="I312" s="3238"/>
      <c r="J312" s="3238"/>
      <c r="K312" s="3238"/>
      <c r="L312" s="3238"/>
      <c r="M312" s="1770"/>
    </row>
    <row r="313" spans="1:13" hidden="1">
      <c r="A313" s="1791" t="str">
        <f t="shared" si="14"/>
        <v>N</v>
      </c>
      <c r="B313" s="1770"/>
      <c r="C313" s="3272" t="s">
        <v>1377</v>
      </c>
      <c r="D313" s="3272"/>
      <c r="E313" s="3272"/>
      <c r="F313" s="3272"/>
      <c r="G313" s="3272"/>
      <c r="H313" s="3272" t="s">
        <v>1378</v>
      </c>
      <c r="I313" s="3272"/>
      <c r="J313" s="3272"/>
      <c r="K313" s="3272"/>
      <c r="L313" s="3272"/>
      <c r="M313" s="1770"/>
    </row>
    <row r="314" spans="1:13" hidden="1">
      <c r="A314" s="1791" t="str">
        <f t="shared" si="14"/>
        <v>N</v>
      </c>
      <c r="B314" s="1770"/>
      <c r="C314" s="1800"/>
      <c r="D314" s="1800"/>
      <c r="E314" s="1800"/>
      <c r="F314" s="1800"/>
      <c r="G314" s="1800"/>
      <c r="H314" s="1770"/>
      <c r="I314" s="1800"/>
      <c r="J314" s="1800"/>
      <c r="K314" s="1800"/>
      <c r="L314" s="1800"/>
      <c r="M314" s="1770"/>
    </row>
    <row r="315" spans="1:13" hidden="1">
      <c r="A315" s="1693" t="str">
        <f>A299</f>
        <v>N</v>
      </c>
      <c r="B315" s="1801"/>
      <c r="C315" s="1801" t="s">
        <v>179</v>
      </c>
      <c r="D315" s="1724"/>
      <c r="E315" s="1724"/>
      <c r="F315" s="1724"/>
      <c r="G315" s="1724"/>
      <c r="H315" s="1724"/>
      <c r="I315" s="1724"/>
      <c r="J315" s="1724"/>
      <c r="K315" s="1802"/>
      <c r="L315" s="1802"/>
      <c r="M315" s="1803"/>
    </row>
    <row r="316" spans="1:13" hidden="1">
      <c r="A316" s="1693" t="str">
        <f t="shared" si="13"/>
        <v>N</v>
      </c>
      <c r="B316" s="1804"/>
      <c r="C316" s="2871"/>
      <c r="D316" s="2872"/>
      <c r="E316" s="2872"/>
      <c r="F316" s="2872"/>
      <c r="G316" s="2872"/>
      <c r="H316" s="2872"/>
      <c r="I316" s="2872"/>
      <c r="J316" s="2872"/>
      <c r="K316" s="2872"/>
      <c r="L316" s="2873"/>
      <c r="M316" s="1805"/>
    </row>
    <row r="317" spans="1:13" hidden="1">
      <c r="A317" s="1693" t="str">
        <f t="shared" si="13"/>
        <v>N</v>
      </c>
      <c r="B317" s="1804"/>
      <c r="C317" s="2882"/>
      <c r="D317" s="2883"/>
      <c r="E317" s="2883"/>
      <c r="F317" s="2883"/>
      <c r="G317" s="2883"/>
      <c r="H317" s="2883"/>
      <c r="I317" s="2883"/>
      <c r="J317" s="2883"/>
      <c r="K317" s="2883"/>
      <c r="L317" s="2884"/>
      <c r="M317" s="1805"/>
    </row>
    <row r="318" spans="1:13" hidden="1">
      <c r="A318" s="1693" t="str">
        <f t="shared" si="13"/>
        <v>N</v>
      </c>
      <c r="B318" s="1804"/>
      <c r="C318" s="2885"/>
      <c r="D318" s="2886"/>
      <c r="E318" s="2886"/>
      <c r="F318" s="2886"/>
      <c r="G318" s="2886"/>
      <c r="H318" s="2886"/>
      <c r="I318" s="2886"/>
      <c r="J318" s="2886"/>
      <c r="K318" s="2886"/>
      <c r="L318" s="2887"/>
      <c r="M318" s="1805"/>
    </row>
    <row r="319" spans="1:13" s="1710" customFormat="1" ht="5.25" hidden="1">
      <c r="A319" s="1710" t="str">
        <f t="shared" si="13"/>
        <v>N</v>
      </c>
      <c r="B319" s="1806"/>
      <c r="C319" s="1807"/>
      <c r="D319" s="1807"/>
      <c r="E319" s="1807"/>
      <c r="F319" s="1807"/>
      <c r="G319" s="1807"/>
      <c r="H319" s="1807"/>
      <c r="I319" s="1807"/>
      <c r="J319" s="1808"/>
      <c r="K319" s="1808"/>
      <c r="L319" s="1808"/>
      <c r="M319" s="1809"/>
    </row>
    <row r="320" spans="1:13" hidden="1">
      <c r="A320" s="1693" t="str">
        <f t="shared" si="13"/>
        <v>N</v>
      </c>
      <c r="B320" s="1810"/>
      <c r="C320" s="1810"/>
      <c r="D320" s="1810"/>
      <c r="E320" s="1810"/>
      <c r="F320" s="1810"/>
      <c r="G320" s="1810"/>
      <c r="H320" s="1810"/>
      <c r="I320" s="1810"/>
      <c r="J320" s="1800"/>
      <c r="K320" s="1800"/>
      <c r="L320" s="1800"/>
      <c r="M320" s="1800"/>
    </row>
    <row r="321" spans="1:13" hidden="1">
      <c r="A321" s="1693" t="str">
        <f t="shared" si="13"/>
        <v>N</v>
      </c>
      <c r="B321" s="1810"/>
      <c r="C321" s="1810"/>
      <c r="D321" s="1810"/>
      <c r="E321" s="1810"/>
      <c r="F321" s="1810"/>
      <c r="G321" s="1810"/>
      <c r="H321" s="1810"/>
      <c r="I321" s="1810"/>
      <c r="J321" s="1800"/>
      <c r="K321" s="1800"/>
      <c r="L321" s="1800"/>
      <c r="M321" s="1800"/>
    </row>
    <row r="322" spans="1:13" hidden="1">
      <c r="A322" s="1693" t="str">
        <f t="shared" si="13"/>
        <v>N</v>
      </c>
      <c r="B322" s="1810"/>
      <c r="C322" s="1810"/>
      <c r="D322" s="1810"/>
      <c r="E322" s="1810"/>
      <c r="F322" s="1810"/>
      <c r="G322" s="1810"/>
      <c r="H322" s="1810"/>
      <c r="I322" s="1810"/>
      <c r="J322" s="1800"/>
      <c r="K322" s="1800"/>
      <c r="L322" s="1800"/>
      <c r="M322" s="1800"/>
    </row>
    <row r="323" spans="1:13" hidden="1">
      <c r="A323" s="1693" t="str">
        <f t="shared" si="13"/>
        <v>N</v>
      </c>
      <c r="B323" s="2859" t="str">
        <f>CHENG</f>
        <v>CANO ARTHUR D. CADAVOS</v>
      </c>
      <c r="C323" s="2859"/>
      <c r="D323" s="2859"/>
      <c r="E323" s="2859"/>
      <c r="F323" s="2859"/>
      <c r="G323" s="3297" t="str">
        <f>IF(BARGESEL=1,BARGEREP,INDEX(BARGETABLE,MATCH(E268,BARGENAMES,0),4))</f>
        <v>TEMEL KALYONCU</v>
      </c>
      <c r="H323" s="3297"/>
      <c r="I323" s="3297"/>
      <c r="J323" s="3297"/>
      <c r="K323" s="2859" t="str">
        <f>SURVEYOR</f>
        <v>MEHMET EROĞLU</v>
      </c>
      <c r="L323" s="2859"/>
      <c r="M323" s="2859"/>
    </row>
    <row r="324" spans="1:13" s="1710" customFormat="1" ht="5.25" hidden="1">
      <c r="A324" s="1710" t="s">
        <v>270</v>
      </c>
      <c r="B324" s="1806"/>
      <c r="C324" s="1806"/>
      <c r="D324" s="1806"/>
      <c r="E324" s="1806"/>
      <c r="F324" s="1806"/>
      <c r="G324" s="1806"/>
      <c r="H324" s="1806"/>
      <c r="I324" s="1806"/>
      <c r="J324" s="1811"/>
      <c r="K324" s="1812"/>
      <c r="L324" s="1812"/>
      <c r="M324" s="1812"/>
    </row>
    <row r="325" spans="1:13" hidden="1">
      <c r="A325" s="1693" t="str">
        <f>A323</f>
        <v>N</v>
      </c>
      <c r="B325" s="3295" t="s">
        <v>15</v>
      </c>
      <c r="C325" s="3295"/>
      <c r="D325" s="3295"/>
      <c r="E325" s="3295"/>
      <c r="F325" s="3295"/>
      <c r="G325" s="3295" t="s">
        <v>840</v>
      </c>
      <c r="H325" s="3295"/>
      <c r="I325" s="3295"/>
      <c r="J325" s="3295"/>
      <c r="K325" s="3296" t="str">
        <f>"Bunker Surveyor"&amp;IF(SPORE=TRUE,", License No. "&amp;SURVLIC,"")</f>
        <v>Bunker Surveyor</v>
      </c>
      <c r="L325" s="3296"/>
      <c r="M325" s="3296"/>
    </row>
    <row r="326" spans="1:13" s="1719" customFormat="1" ht="9" hidden="1">
      <c r="A326" s="1813" t="str">
        <f t="shared" si="13"/>
        <v>N</v>
      </c>
      <c r="B326"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326" s="3155"/>
      <c r="D326" s="3155"/>
      <c r="E326" s="3155"/>
      <c r="F326" s="3155"/>
      <c r="G326" s="3155"/>
      <c r="H326" s="3155"/>
      <c r="I326" s="3155"/>
      <c r="J326" s="3155"/>
      <c r="K326" s="3155"/>
      <c r="L326" s="3256"/>
      <c r="M326" s="3126"/>
    </row>
    <row r="327" spans="1:13" s="1719" customFormat="1" ht="9" hidden="1">
      <c r="A327" s="1813" t="str">
        <f t="shared" si="13"/>
        <v>N</v>
      </c>
      <c r="B327" s="3157"/>
      <c r="C327" s="3158"/>
      <c r="D327" s="3158"/>
      <c r="E327" s="3158"/>
      <c r="F327" s="3158"/>
      <c r="G327" s="3158"/>
      <c r="H327" s="3158"/>
      <c r="I327" s="3158"/>
      <c r="J327" s="3158"/>
      <c r="K327" s="3158"/>
      <c r="L327" s="3257"/>
      <c r="M327" s="3127"/>
    </row>
    <row r="328" spans="1:13" s="1719" customFormat="1" ht="9" hidden="1">
      <c r="A328" s="1813" t="str">
        <f t="shared" si="13"/>
        <v>N</v>
      </c>
      <c r="B328" s="3157"/>
      <c r="C328" s="3158"/>
      <c r="D328" s="3158"/>
      <c r="E328" s="3158"/>
      <c r="F328" s="3158"/>
      <c r="G328" s="3158"/>
      <c r="H328" s="3158"/>
      <c r="I328" s="3158"/>
      <c r="J328" s="3158"/>
      <c r="K328" s="3158"/>
      <c r="L328" s="3257"/>
      <c r="M328" s="3127"/>
    </row>
    <row r="329" spans="1:13" s="1719" customFormat="1" ht="9" hidden="1">
      <c r="A329" s="1813" t="str">
        <f t="shared" si="13"/>
        <v>N</v>
      </c>
      <c r="B329" s="3157"/>
      <c r="C329" s="3158"/>
      <c r="D329" s="3158"/>
      <c r="E329" s="3158"/>
      <c r="F329" s="3158"/>
      <c r="G329" s="3158"/>
      <c r="H329" s="3158"/>
      <c r="I329" s="3158"/>
      <c r="J329" s="3158"/>
      <c r="K329" s="3158"/>
      <c r="L329" s="3257"/>
      <c r="M329" s="3127"/>
    </row>
    <row r="330" spans="1:13" s="1719" customFormat="1" ht="9" hidden="1">
      <c r="A330" s="1813" t="str">
        <f t="shared" si="13"/>
        <v>N</v>
      </c>
      <c r="B330" s="3157"/>
      <c r="C330" s="3158"/>
      <c r="D330" s="3158"/>
      <c r="E330" s="3158"/>
      <c r="F330" s="3158"/>
      <c r="G330" s="3158"/>
      <c r="H330" s="3158"/>
      <c r="I330" s="3158"/>
      <c r="J330" s="3158"/>
      <c r="K330" s="3158"/>
      <c r="L330" s="3257"/>
      <c r="M330" s="3127"/>
    </row>
    <row r="331" spans="1:13" s="1719" customFormat="1" ht="9" hidden="1">
      <c r="A331" s="1813" t="str">
        <f t="shared" si="13"/>
        <v>N</v>
      </c>
      <c r="B331" s="3159"/>
      <c r="C331" s="3160"/>
      <c r="D331" s="3160"/>
      <c r="E331" s="3160"/>
      <c r="F331" s="3160"/>
      <c r="G331" s="3160"/>
      <c r="H331" s="3160"/>
      <c r="I331" s="3160"/>
      <c r="J331" s="3160"/>
      <c r="K331" s="3160"/>
      <c r="L331" s="3258"/>
      <c r="M331" s="3128"/>
    </row>
    <row r="332" spans="1:13">
      <c r="A332" s="1791" t="str">
        <f>IF(AND(FMTYPE6&lt;&gt;0,FMTYPE6&lt;&gt;"-",FMTYPE6&lt;&gt;TANKMEAS,MYBARGENAME=E332,K334&gt;0),"Y","N")</f>
        <v>Y</v>
      </c>
      <c r="B332" s="3348" t="s">
        <v>788</v>
      </c>
      <c r="C332" s="3349"/>
      <c r="D332" s="3349"/>
      <c r="E332" s="3350" t="str">
        <f>'Cover Page'!N$89</f>
        <v>M/T YALÇIN 2</v>
      </c>
      <c r="F332" s="3350"/>
      <c r="G332" s="3350"/>
      <c r="H332" s="3350"/>
      <c r="I332" s="3351" t="s">
        <v>789</v>
      </c>
      <c r="J332" s="3351"/>
      <c r="K332" s="3352" t="str">
        <f>PORT</f>
        <v>ISTANBUL / TURKEY</v>
      </c>
      <c r="L332" s="3352"/>
      <c r="M332" s="3353"/>
    </row>
    <row r="333" spans="1:13">
      <c r="A333" s="1693" t="str">
        <f>A332</f>
        <v>Y</v>
      </c>
      <c r="B333" s="3354" t="s">
        <v>160</v>
      </c>
      <c r="C333" s="3355"/>
      <c r="D333" s="3355"/>
      <c r="E333" s="3356" t="str">
        <f>VESSEL</f>
        <v>MV PESSADA</v>
      </c>
      <c r="F333" s="3356"/>
      <c r="G333" s="3356"/>
      <c r="H333" s="3356"/>
      <c r="I333" s="3357" t="s">
        <v>790</v>
      </c>
      <c r="J333" s="3357"/>
      <c r="K333" s="3358">
        <f>DATESURVC</f>
        <v>44792</v>
      </c>
      <c r="L333" s="3358"/>
      <c r="M333" s="3359"/>
    </row>
    <row r="334" spans="1:13">
      <c r="A334" s="1693" t="str">
        <f t="shared" ref="A334:A355" si="15">A333</f>
        <v>Y</v>
      </c>
      <c r="B334" s="3339">
        <v>6</v>
      </c>
      <c r="C334" s="3340"/>
      <c r="D334" s="3340"/>
      <c r="E334" s="3341"/>
      <c r="F334" s="3341"/>
      <c r="G334" s="3341"/>
      <c r="H334" s="3341"/>
      <c r="I334" s="3342" t="s">
        <v>764</v>
      </c>
      <c r="J334" s="3342"/>
      <c r="K334" s="3343" t="str">
        <f>'Cover Page'!N$88</f>
        <v>LSMGO</v>
      </c>
      <c r="L334" s="3343"/>
      <c r="M334" s="3344"/>
    </row>
    <row r="335" spans="1:13" s="1813" customFormat="1" ht="9">
      <c r="A335" s="1813" t="str">
        <f t="shared" si="15"/>
        <v>Y</v>
      </c>
      <c r="B335" s="1917"/>
      <c r="C335" s="1917"/>
      <c r="D335" s="1917"/>
      <c r="E335" s="1917"/>
      <c r="F335" s="1917"/>
      <c r="G335" s="1917"/>
      <c r="H335" s="1917"/>
      <c r="I335" s="1917"/>
      <c r="J335" s="1917"/>
      <c r="K335" s="1921"/>
      <c r="L335" s="1921"/>
      <c r="M335" s="1921"/>
    </row>
    <row r="336" spans="1:13" ht="18.75">
      <c r="A336" s="1924" t="str">
        <f t="shared" si="15"/>
        <v>Y</v>
      </c>
      <c r="B336" s="1770"/>
      <c r="C336" s="3345" t="s">
        <v>859</v>
      </c>
      <c r="D336" s="3346"/>
      <c r="E336" s="3346"/>
      <c r="F336" s="3346"/>
      <c r="G336" s="3346"/>
      <c r="H336" s="3346"/>
      <c r="I336" s="3346"/>
      <c r="J336" s="3346"/>
      <c r="K336" s="3346"/>
      <c r="L336" s="3347"/>
      <c r="M336" s="1770"/>
    </row>
    <row r="337" spans="1:13">
      <c r="A337" s="1693" t="str">
        <f t="shared" si="15"/>
        <v>Y</v>
      </c>
      <c r="B337" s="1770"/>
      <c r="C337" s="3330" t="s">
        <v>1112</v>
      </c>
      <c r="D337" s="3330"/>
      <c r="E337" s="3331"/>
      <c r="F337" s="3332" t="str">
        <f>IF(FMTYPE6=0,"",INDEX(FMTYPES,MATCH(FMTYPE6,METHOFCALCSHORT,0),1))</f>
        <v>Vaccum</v>
      </c>
      <c r="G337" s="3333"/>
      <c r="H337" s="3330" t="s">
        <v>860</v>
      </c>
      <c r="I337" s="3330"/>
      <c r="J337" s="3331"/>
      <c r="K337" s="3334"/>
      <c r="L337" s="3335"/>
      <c r="M337" s="1770"/>
    </row>
    <row r="338" spans="1:13">
      <c r="A338" s="1693" t="str">
        <f t="shared" si="15"/>
        <v>Y</v>
      </c>
      <c r="B338" s="1770"/>
      <c r="C338" s="3312" t="s">
        <v>1267</v>
      </c>
      <c r="D338" s="3312"/>
      <c r="E338" s="3313"/>
      <c r="F338" s="3311" t="s">
        <v>1339</v>
      </c>
      <c r="G338" s="3336"/>
      <c r="H338" s="3312" t="s">
        <v>861</v>
      </c>
      <c r="I338" s="3312"/>
      <c r="J338" s="3313"/>
      <c r="K338" s="3337">
        <v>38.1</v>
      </c>
      <c r="L338" s="3338"/>
      <c r="M338" s="1770"/>
    </row>
    <row r="339" spans="1:13">
      <c r="A339" s="1693" t="str">
        <f t="shared" si="15"/>
        <v>Y</v>
      </c>
      <c r="B339" s="1770"/>
      <c r="C339" s="3307" t="s">
        <v>962</v>
      </c>
      <c r="D339" s="3308"/>
      <c r="E339" s="3309"/>
      <c r="F339" s="3310" t="s">
        <v>1340</v>
      </c>
      <c r="G339" s="3311"/>
      <c r="H339" s="3312" t="s">
        <v>1266</v>
      </c>
      <c r="I339" s="3312"/>
      <c r="J339" s="3313"/>
      <c r="K339" s="3320">
        <v>273.5</v>
      </c>
      <c r="L339" s="3321"/>
      <c r="M339" s="1770"/>
    </row>
    <row r="340" spans="1:13">
      <c r="A340" s="1693" t="str">
        <f t="shared" si="15"/>
        <v>Y</v>
      </c>
      <c r="B340" s="1770"/>
      <c r="C340" s="3307" t="s">
        <v>862</v>
      </c>
      <c r="D340" s="3308"/>
      <c r="E340" s="3309"/>
      <c r="F340" s="3328">
        <v>42182</v>
      </c>
      <c r="G340" s="3329"/>
      <c r="H340" s="3312" t="s">
        <v>864</v>
      </c>
      <c r="I340" s="3312"/>
      <c r="J340" s="3313"/>
      <c r="K340" s="1792">
        <v>5.43</v>
      </c>
      <c r="L340" s="1793">
        <v>4.84</v>
      </c>
      <c r="M340" s="1770"/>
    </row>
    <row r="341" spans="1:13">
      <c r="A341" s="1693" t="str">
        <f t="shared" si="15"/>
        <v>Y</v>
      </c>
      <c r="B341" s="1770"/>
      <c r="C341" s="3307" t="s">
        <v>863</v>
      </c>
      <c r="D341" s="3308"/>
      <c r="E341" s="3309"/>
      <c r="F341" s="3310" t="s">
        <v>1341</v>
      </c>
      <c r="G341" s="3311"/>
      <c r="H341" s="3312" t="s">
        <v>866</v>
      </c>
      <c r="I341" s="3312"/>
      <c r="J341" s="3313"/>
      <c r="K341" s="1794" t="s">
        <v>904</v>
      </c>
      <c r="L341" s="1795" t="s">
        <v>904</v>
      </c>
      <c r="M341" s="1770"/>
    </row>
    <row r="342" spans="1:13">
      <c r="A342" s="1693" t="str">
        <f t="shared" si="15"/>
        <v>Y</v>
      </c>
      <c r="B342" s="1770"/>
      <c r="C342" s="3307" t="s">
        <v>865</v>
      </c>
      <c r="D342" s="3308"/>
      <c r="E342" s="3309"/>
      <c r="F342" s="3310" t="s">
        <v>1342</v>
      </c>
      <c r="G342" s="3311"/>
      <c r="H342" s="3312" t="s">
        <v>1268</v>
      </c>
      <c r="I342" s="3312"/>
      <c r="J342" s="3313"/>
      <c r="K342" s="1792">
        <v>88</v>
      </c>
      <c r="L342" s="1793">
        <v>1025</v>
      </c>
      <c r="M342" s="1770"/>
    </row>
    <row r="343" spans="1:13">
      <c r="A343" s="1693" t="str">
        <f t="shared" si="15"/>
        <v>Y</v>
      </c>
      <c r="B343" s="1770"/>
      <c r="C343" s="3307" t="s">
        <v>867</v>
      </c>
      <c r="D343" s="3308"/>
      <c r="E343" s="3309"/>
      <c r="F343" s="3310">
        <v>92544</v>
      </c>
      <c r="G343" s="3311"/>
      <c r="H343" s="3312" t="s">
        <v>1269</v>
      </c>
      <c r="I343" s="3312"/>
      <c r="J343" s="3313"/>
      <c r="K343" s="1792">
        <v>88</v>
      </c>
      <c r="L343" s="1793">
        <v>1023</v>
      </c>
      <c r="M343" s="1770"/>
    </row>
    <row r="344" spans="1:13">
      <c r="A344" s="1693" t="str">
        <f t="shared" si="15"/>
        <v>Y</v>
      </c>
      <c r="B344" s="1770"/>
      <c r="C344" s="3314" t="s">
        <v>899</v>
      </c>
      <c r="D344" s="3314"/>
      <c r="E344" s="3315"/>
      <c r="F344" s="3316" t="s">
        <v>1343</v>
      </c>
      <c r="G344" s="3317"/>
      <c r="H344" s="3312" t="s">
        <v>1270</v>
      </c>
      <c r="I344" s="3312"/>
      <c r="J344" s="3313"/>
      <c r="K344" s="3320" t="s">
        <v>621</v>
      </c>
      <c r="L344" s="3321"/>
      <c r="M344" s="1770"/>
    </row>
    <row r="345" spans="1:13">
      <c r="A345" s="1693" t="str">
        <f t="shared" si="15"/>
        <v>Y</v>
      </c>
      <c r="B345" s="1770"/>
      <c r="C345" s="3322"/>
      <c r="D345" s="3322"/>
      <c r="E345" s="3323"/>
      <c r="F345" s="3318"/>
      <c r="G345" s="3319"/>
      <c r="H345" s="3324" t="s">
        <v>49</v>
      </c>
      <c r="I345" s="3324"/>
      <c r="J345" s="3325"/>
      <c r="K345" s="3326" t="s">
        <v>1344</v>
      </c>
      <c r="L345" s="3327"/>
      <c r="M345" s="1770"/>
    </row>
    <row r="346" spans="1:13" s="1813" customFormat="1" ht="9">
      <c r="A346" s="1813" t="str">
        <f t="shared" si="15"/>
        <v>Y</v>
      </c>
      <c r="B346" s="1917"/>
      <c r="C346" s="1917"/>
      <c r="D346" s="1917"/>
      <c r="E346" s="1917"/>
      <c r="F346" s="1917"/>
      <c r="G346" s="1917"/>
      <c r="H346" s="1917"/>
      <c r="I346" s="1917"/>
      <c r="J346" s="1917"/>
      <c r="K346" s="1917"/>
      <c r="L346" s="1917"/>
      <c r="M346" s="1917"/>
    </row>
    <row r="347" spans="1:13">
      <c r="A347" s="1693" t="str">
        <f t="shared" si="15"/>
        <v>Y</v>
      </c>
      <c r="B347" s="1770"/>
      <c r="C347" s="1796" t="s">
        <v>868</v>
      </c>
      <c r="D347" s="3291" t="s">
        <v>1345</v>
      </c>
      <c r="E347" s="3291"/>
      <c r="F347" s="3291"/>
      <c r="G347" s="3291"/>
      <c r="H347" s="3292"/>
      <c r="I347" s="3305">
        <v>646700.21600000001</v>
      </c>
      <c r="J347" s="3306"/>
      <c r="K347" s="3306"/>
      <c r="L347" s="3306"/>
      <c r="M347" s="1770"/>
    </row>
    <row r="348" spans="1:13">
      <c r="A348" s="1693" t="str">
        <f t="shared" si="15"/>
        <v>Y</v>
      </c>
      <c r="B348" s="1770"/>
      <c r="C348" s="1797" t="s">
        <v>869</v>
      </c>
      <c r="D348" s="3273" t="s">
        <v>1346</v>
      </c>
      <c r="E348" s="3273"/>
      <c r="F348" s="3273"/>
      <c r="G348" s="3273"/>
      <c r="H348" s="3274"/>
      <c r="I348" s="3275">
        <v>646770</v>
      </c>
      <c r="J348" s="3276"/>
      <c r="K348" s="3276"/>
      <c r="L348" s="3276"/>
      <c r="M348" s="1770"/>
    </row>
    <row r="349" spans="1:13">
      <c r="A349" s="1693" t="str">
        <f t="shared" si="15"/>
        <v>Y</v>
      </c>
      <c r="B349" s="1770"/>
      <c r="C349" s="1798" t="s">
        <v>870</v>
      </c>
      <c r="D349" s="3298" t="str">
        <f>"Delivered Meter Quantity - Mass in "&amp;F337&amp;" (B-A)"</f>
        <v>Delivered Meter Quantity - Mass in Vaccum (B-A)</v>
      </c>
      <c r="E349" s="3299"/>
      <c r="F349" s="3299"/>
      <c r="G349" s="3299"/>
      <c r="H349" s="3300"/>
      <c r="I349" s="3301">
        <f>I348-I347</f>
        <v>69.783999999985099</v>
      </c>
      <c r="J349" s="3302"/>
      <c r="K349" s="3302"/>
      <c r="L349" s="3302"/>
      <c r="M349" s="1770"/>
    </row>
    <row r="350" spans="1:13" s="1813" customFormat="1" ht="9">
      <c r="A350" s="1813" t="str">
        <f t="shared" si="15"/>
        <v>Y</v>
      </c>
      <c r="B350" s="1917"/>
      <c r="C350" s="1918"/>
      <c r="D350" s="1919"/>
      <c r="E350" s="1919"/>
      <c r="F350" s="1919"/>
      <c r="G350" s="1919"/>
      <c r="H350" s="1919"/>
      <c r="I350" s="1919"/>
      <c r="J350" s="1919"/>
      <c r="K350" s="1919"/>
      <c r="L350" s="1920"/>
      <c r="M350" s="1917"/>
    </row>
    <row r="351" spans="1:13">
      <c r="A351" s="1693" t="str">
        <f t="shared" si="15"/>
        <v>Y</v>
      </c>
      <c r="B351" s="1770"/>
      <c r="C351" s="1796" t="s">
        <v>871</v>
      </c>
      <c r="D351" s="3291" t="s">
        <v>1347</v>
      </c>
      <c r="E351" s="3291"/>
      <c r="F351" s="3291"/>
      <c r="G351" s="3291"/>
      <c r="H351" s="3292"/>
      <c r="I351" s="3305">
        <v>646035.67000000004</v>
      </c>
      <c r="J351" s="3306"/>
      <c r="K351" s="3306"/>
      <c r="L351" s="3306"/>
      <c r="M351" s="1770"/>
    </row>
    <row r="352" spans="1:13">
      <c r="A352" s="1693" t="str">
        <f t="shared" si="15"/>
        <v>Y</v>
      </c>
      <c r="B352" s="1770"/>
      <c r="C352" s="1797" t="s">
        <v>269</v>
      </c>
      <c r="D352" s="3273" t="s">
        <v>1348</v>
      </c>
      <c r="E352" s="3273"/>
      <c r="F352" s="3273"/>
      <c r="G352" s="3273"/>
      <c r="H352" s="3274"/>
      <c r="I352" s="3275">
        <v>646035.67000000004</v>
      </c>
      <c r="J352" s="3276"/>
      <c r="K352" s="3276"/>
      <c r="L352" s="3276"/>
      <c r="M352" s="1770"/>
    </row>
    <row r="353" spans="1:13">
      <c r="A353" s="1693" t="str">
        <f t="shared" si="15"/>
        <v>Y</v>
      </c>
      <c r="B353" s="1770"/>
      <c r="C353" s="1798" t="s">
        <v>872</v>
      </c>
      <c r="D353" s="3298" t="str">
        <f>"Loading Meter Quantity - Mass in "&amp;F337&amp;" (E-D)"</f>
        <v>Loading Meter Quantity - Mass in Vaccum (E-D)</v>
      </c>
      <c r="E353" s="3299"/>
      <c r="F353" s="3299"/>
      <c r="G353" s="3299"/>
      <c r="H353" s="3300"/>
      <c r="I353" s="3301">
        <f>I352-I351</f>
        <v>0</v>
      </c>
      <c r="J353" s="3302"/>
      <c r="K353" s="3302"/>
      <c r="L353" s="3302"/>
      <c r="M353" s="1770"/>
    </row>
    <row r="354" spans="1:13" s="1813" customFormat="1" ht="9">
      <c r="A354" s="1813" t="str">
        <f t="shared" si="15"/>
        <v>Y</v>
      </c>
      <c r="B354" s="1917"/>
      <c r="C354" s="1917"/>
      <c r="D354" s="1917"/>
      <c r="E354" s="1917"/>
      <c r="F354" s="1917"/>
      <c r="G354" s="1917"/>
      <c r="H354" s="1917"/>
      <c r="I354" s="1917"/>
      <c r="J354" s="1917"/>
      <c r="K354" s="1917"/>
      <c r="L354" s="1917"/>
      <c r="M354" s="1917"/>
    </row>
    <row r="355" spans="1:13">
      <c r="A355" s="1693" t="str">
        <f t="shared" si="15"/>
        <v>Y</v>
      </c>
      <c r="B355" s="1770"/>
      <c r="C355" s="3303" t="str">
        <f>"Quantity Delivered - Mass in "&amp;F337&amp;" (C-F)"</f>
        <v>Quantity Delivered - Mass in Vaccum (C-F)</v>
      </c>
      <c r="D355" s="3303"/>
      <c r="E355" s="3303"/>
      <c r="F355" s="3303"/>
      <c r="G355" s="3303"/>
      <c r="H355" s="3304"/>
      <c r="I355" s="3293">
        <f>I349-I353</f>
        <v>69.783999999985099</v>
      </c>
      <c r="J355" s="3294"/>
      <c r="K355" s="3294"/>
      <c r="L355" s="3294"/>
      <c r="M355" s="1799"/>
    </row>
    <row r="356" spans="1:13">
      <c r="A356" s="1791" t="str">
        <f>IF(A355="N","N",IF($F337="Air","N","Y"))</f>
        <v>Y</v>
      </c>
      <c r="B356" s="1770"/>
      <c r="C356" s="3283" t="s">
        <v>906</v>
      </c>
      <c r="D356" s="3283"/>
      <c r="E356" s="3283"/>
      <c r="F356" s="3283"/>
      <c r="G356" s="3283"/>
      <c r="H356" s="3284"/>
      <c r="I356" s="3285">
        <v>0.99892499999999995</v>
      </c>
      <c r="J356" s="3286"/>
      <c r="K356" s="3286"/>
      <c r="L356" s="3286"/>
      <c r="M356" s="1770"/>
    </row>
    <row r="357" spans="1:13">
      <c r="A357" s="1791" t="str">
        <f>IF(A355="N","N",IF($F337="Air","N","Y"))</f>
        <v>Y</v>
      </c>
      <c r="B357" s="1770"/>
      <c r="C357" s="3287" t="s">
        <v>1375</v>
      </c>
      <c r="D357" s="3287"/>
      <c r="E357" s="3287"/>
      <c r="F357" s="3287"/>
      <c r="G357" s="3287"/>
      <c r="H357" s="3288"/>
      <c r="I357" s="3289">
        <f>IF(F337="Air",I355,I355*I356)</f>
        <v>69.708982199985115</v>
      </c>
      <c r="J357" s="3290"/>
      <c r="K357" s="3290"/>
      <c r="L357" s="3290"/>
      <c r="M357" s="1770"/>
    </row>
    <row r="358" spans="1:13" s="1813" customFormat="1" ht="9">
      <c r="A358" s="1922" t="str">
        <f>A355</f>
        <v>Y</v>
      </c>
      <c r="B358" s="1917"/>
      <c r="C358" s="1923"/>
      <c r="D358" s="1923"/>
      <c r="E358" s="1923"/>
      <c r="F358" s="1923"/>
      <c r="G358" s="1923"/>
      <c r="H358" s="1923"/>
      <c r="I358" s="1923"/>
      <c r="J358" s="1923"/>
      <c r="K358" s="1923"/>
      <c r="L358" s="1923"/>
      <c r="M358" s="1917"/>
    </row>
    <row r="359" spans="1:13">
      <c r="A359" s="1693" t="str">
        <f>A358</f>
        <v>Y</v>
      </c>
      <c r="B359" s="1770"/>
      <c r="C359" s="3291" t="s">
        <v>900</v>
      </c>
      <c r="D359" s="3291"/>
      <c r="E359" s="3291"/>
      <c r="F359" s="3291"/>
      <c r="G359" s="3291"/>
      <c r="H359" s="3292"/>
      <c r="I359" s="3293">
        <f>'Preliminary Report'!$F$57</f>
        <v>40</v>
      </c>
      <c r="J359" s="3294"/>
      <c r="K359" s="3294"/>
      <c r="L359" s="3294"/>
      <c r="M359" s="1770"/>
    </row>
    <row r="360" spans="1:13">
      <c r="A360" s="1693" t="str">
        <f t="shared" ref="A360:A395" si="16">A359</f>
        <v>Y</v>
      </c>
      <c r="B360" s="1770"/>
      <c r="C360" s="3273" t="s">
        <v>1219</v>
      </c>
      <c r="D360" s="3273"/>
      <c r="E360" s="3273"/>
      <c r="F360" s="3273"/>
      <c r="G360" s="3273"/>
      <c r="H360" s="3274"/>
      <c r="I360" s="3275" t="s">
        <v>155</v>
      </c>
      <c r="J360" s="3276"/>
      <c r="K360" s="3276"/>
      <c r="L360" s="3276"/>
      <c r="M360" s="1770"/>
    </row>
    <row r="361" spans="1:13">
      <c r="A361" s="1693" t="str">
        <f t="shared" si="16"/>
        <v>Y</v>
      </c>
      <c r="B361" s="1770"/>
      <c r="C361" s="3273" t="s">
        <v>873</v>
      </c>
      <c r="D361" s="3273"/>
      <c r="E361" s="3273"/>
      <c r="F361" s="3273"/>
      <c r="G361" s="3273"/>
      <c r="H361" s="3274"/>
      <c r="I361" s="3277">
        <f>'Preliminary Report'!$H$57</f>
        <v>40.061999999999998</v>
      </c>
      <c r="J361" s="3278"/>
      <c r="K361" s="3278"/>
      <c r="L361" s="3278"/>
      <c r="M361" s="1770"/>
    </row>
    <row r="362" spans="1:13">
      <c r="A362" s="1693" t="str">
        <f t="shared" si="16"/>
        <v>Y</v>
      </c>
      <c r="B362" s="1770"/>
      <c r="C362" s="3279" t="s">
        <v>901</v>
      </c>
      <c r="D362" s="3279"/>
      <c r="E362" s="3279"/>
      <c r="F362" s="3279"/>
      <c r="G362" s="3279"/>
      <c r="H362" s="3280"/>
      <c r="I362" s="3281">
        <f>'Summary Report'!$F$164</f>
        <v>0.83520000000000005</v>
      </c>
      <c r="J362" s="3282"/>
      <c r="K362" s="3282"/>
      <c r="L362" s="3282"/>
      <c r="M362" s="1770"/>
    </row>
    <row r="363" spans="1:13">
      <c r="A363" s="1693" t="str">
        <f t="shared" si="16"/>
        <v>Y</v>
      </c>
      <c r="B363" s="1770"/>
      <c r="C363" s="1770"/>
      <c r="D363" s="1770"/>
      <c r="E363" s="1770"/>
      <c r="F363" s="1770"/>
      <c r="G363" s="1770"/>
      <c r="H363" s="1770"/>
      <c r="I363" s="1770"/>
      <c r="J363" s="1770"/>
      <c r="K363" s="1770"/>
      <c r="L363" s="1770"/>
      <c r="M363" s="1770"/>
    </row>
    <row r="364" spans="1:13">
      <c r="A364" s="1791" t="str">
        <f t="shared" ref="A364:A378" si="17">IF(AND(A363="Y",PICFLOWSEL=1),"Y","N")</f>
        <v>Y</v>
      </c>
      <c r="B364" s="1770"/>
      <c r="C364" s="3238"/>
      <c r="D364" s="3238"/>
      <c r="E364" s="3238"/>
      <c r="F364" s="3238"/>
      <c r="G364" s="3238"/>
      <c r="H364" s="3238"/>
      <c r="I364" s="3238"/>
      <c r="J364" s="3238"/>
      <c r="K364" s="3238"/>
      <c r="L364" s="3238"/>
      <c r="M364" s="1770"/>
    </row>
    <row r="365" spans="1:13">
      <c r="A365" s="1791" t="str">
        <f t="shared" si="17"/>
        <v>Y</v>
      </c>
      <c r="B365" s="1770"/>
      <c r="C365" s="3238"/>
      <c r="D365" s="3238"/>
      <c r="E365" s="3238"/>
      <c r="F365" s="3238"/>
      <c r="G365" s="3238"/>
      <c r="H365" s="3238"/>
      <c r="I365" s="3238"/>
      <c r="J365" s="3238"/>
      <c r="K365" s="3238"/>
      <c r="L365" s="3238"/>
      <c r="M365" s="1770"/>
    </row>
    <row r="366" spans="1:13">
      <c r="A366" s="1791" t="str">
        <f t="shared" si="17"/>
        <v>Y</v>
      </c>
      <c r="B366" s="1770"/>
      <c r="C366" s="3238"/>
      <c r="D366" s="3238"/>
      <c r="E366" s="3238"/>
      <c r="F366" s="3238"/>
      <c r="G366" s="3238"/>
      <c r="H366" s="3238"/>
      <c r="I366" s="3238"/>
      <c r="J366" s="3238"/>
      <c r="K366" s="3238"/>
      <c r="L366" s="3238"/>
      <c r="M366" s="1770"/>
    </row>
    <row r="367" spans="1:13">
      <c r="A367" s="1791" t="str">
        <f t="shared" si="17"/>
        <v>Y</v>
      </c>
      <c r="B367" s="1770"/>
      <c r="C367" s="3238"/>
      <c r="D367" s="3238"/>
      <c r="E367" s="3238"/>
      <c r="F367" s="3238"/>
      <c r="G367" s="3238"/>
      <c r="H367" s="3238"/>
      <c r="I367" s="3238"/>
      <c r="J367" s="3238"/>
      <c r="K367" s="3238"/>
      <c r="L367" s="3238"/>
      <c r="M367" s="1770"/>
    </row>
    <row r="368" spans="1:13">
      <c r="A368" s="1791" t="str">
        <f t="shared" si="17"/>
        <v>Y</v>
      </c>
      <c r="B368" s="1770"/>
      <c r="C368" s="3238"/>
      <c r="D368" s="3238"/>
      <c r="E368" s="3238"/>
      <c r="F368" s="3238"/>
      <c r="G368" s="3238"/>
      <c r="H368" s="3238"/>
      <c r="I368" s="3238"/>
      <c r="J368" s="3238"/>
      <c r="K368" s="3238"/>
      <c r="L368" s="3238"/>
      <c r="M368" s="1770"/>
    </row>
    <row r="369" spans="1:13">
      <c r="A369" s="1791" t="str">
        <f t="shared" si="17"/>
        <v>Y</v>
      </c>
      <c r="B369" s="1770"/>
      <c r="C369" s="3238"/>
      <c r="D369" s="3238"/>
      <c r="E369" s="3238"/>
      <c r="F369" s="3238"/>
      <c r="G369" s="3238"/>
      <c r="H369" s="3238"/>
      <c r="I369" s="3238"/>
      <c r="J369" s="3238"/>
      <c r="K369" s="3238"/>
      <c r="L369" s="3238"/>
      <c r="M369" s="1770"/>
    </row>
    <row r="370" spans="1:13">
      <c r="A370" s="1791" t="str">
        <f t="shared" si="17"/>
        <v>Y</v>
      </c>
      <c r="B370" s="1770"/>
      <c r="C370" s="3238"/>
      <c r="D370" s="3238"/>
      <c r="E370" s="3238"/>
      <c r="F370" s="3238"/>
      <c r="G370" s="3238"/>
      <c r="H370" s="3238"/>
      <c r="I370" s="3238"/>
      <c r="J370" s="3238"/>
      <c r="K370" s="3238"/>
      <c r="L370" s="3238"/>
      <c r="M370" s="1770"/>
    </row>
    <row r="371" spans="1:13">
      <c r="A371" s="1791" t="str">
        <f t="shared" si="17"/>
        <v>Y</v>
      </c>
      <c r="B371" s="1770"/>
      <c r="C371" s="3238"/>
      <c r="D371" s="3238"/>
      <c r="E371" s="3238"/>
      <c r="F371" s="3238"/>
      <c r="G371" s="3238"/>
      <c r="H371" s="3238"/>
      <c r="I371" s="3238"/>
      <c r="J371" s="3238"/>
      <c r="K371" s="3238"/>
      <c r="L371" s="3238"/>
      <c r="M371" s="1770"/>
    </row>
    <row r="372" spans="1:13">
      <c r="A372" s="1791" t="str">
        <f t="shared" si="17"/>
        <v>Y</v>
      </c>
      <c r="B372" s="1770"/>
      <c r="C372" s="3238"/>
      <c r="D372" s="3238"/>
      <c r="E372" s="3238"/>
      <c r="F372" s="3238"/>
      <c r="G372" s="3238"/>
      <c r="H372" s="3238"/>
      <c r="I372" s="3238"/>
      <c r="J372" s="3238"/>
      <c r="K372" s="3238"/>
      <c r="L372" s="3238"/>
      <c r="M372" s="1770"/>
    </row>
    <row r="373" spans="1:13">
      <c r="A373" s="1791" t="str">
        <f t="shared" si="17"/>
        <v>Y</v>
      </c>
      <c r="B373" s="1770"/>
      <c r="C373" s="3238"/>
      <c r="D373" s="3238"/>
      <c r="E373" s="3238"/>
      <c r="F373" s="3238"/>
      <c r="G373" s="3238"/>
      <c r="H373" s="3238"/>
      <c r="I373" s="3238"/>
      <c r="J373" s="3238"/>
      <c r="K373" s="3238"/>
      <c r="L373" s="3238"/>
      <c r="M373" s="1770"/>
    </row>
    <row r="374" spans="1:13">
      <c r="A374" s="1791" t="str">
        <f t="shared" si="17"/>
        <v>Y</v>
      </c>
      <c r="B374" s="1770"/>
      <c r="C374" s="3238"/>
      <c r="D374" s="3238"/>
      <c r="E374" s="3238"/>
      <c r="F374" s="3238"/>
      <c r="G374" s="3238"/>
      <c r="H374" s="3238"/>
      <c r="I374" s="3238"/>
      <c r="J374" s="3238"/>
      <c r="K374" s="3238"/>
      <c r="L374" s="3238"/>
      <c r="M374" s="1770"/>
    </row>
    <row r="375" spans="1:13">
      <c r="A375" s="1791" t="str">
        <f t="shared" si="17"/>
        <v>Y</v>
      </c>
      <c r="B375" s="1770"/>
      <c r="C375" s="3238"/>
      <c r="D375" s="3238"/>
      <c r="E375" s="3238"/>
      <c r="F375" s="3238"/>
      <c r="G375" s="3238"/>
      <c r="H375" s="3238"/>
      <c r="I375" s="3238"/>
      <c r="J375" s="3238"/>
      <c r="K375" s="3238"/>
      <c r="L375" s="3238"/>
      <c r="M375" s="1770"/>
    </row>
    <row r="376" spans="1:13">
      <c r="A376" s="1791" t="str">
        <f t="shared" si="17"/>
        <v>Y</v>
      </c>
      <c r="B376" s="1770"/>
      <c r="C376" s="3238"/>
      <c r="D376" s="3238"/>
      <c r="E376" s="3238"/>
      <c r="F376" s="3238"/>
      <c r="G376" s="3238"/>
      <c r="H376" s="3238"/>
      <c r="I376" s="3238"/>
      <c r="J376" s="3238"/>
      <c r="K376" s="3238"/>
      <c r="L376" s="3238"/>
      <c r="M376" s="1770"/>
    </row>
    <row r="377" spans="1:13">
      <c r="A377" s="1791" t="str">
        <f t="shared" si="17"/>
        <v>Y</v>
      </c>
      <c r="B377" s="1770"/>
      <c r="C377" s="3272" t="s">
        <v>1377</v>
      </c>
      <c r="D377" s="3272"/>
      <c r="E377" s="3272"/>
      <c r="F377" s="3272"/>
      <c r="G377" s="3272"/>
      <c r="H377" s="3272" t="s">
        <v>1378</v>
      </c>
      <c r="I377" s="3272"/>
      <c r="J377" s="3272"/>
      <c r="K377" s="3272"/>
      <c r="L377" s="3272"/>
      <c r="M377" s="1770"/>
    </row>
    <row r="378" spans="1:13">
      <c r="A378" s="1791" t="str">
        <f t="shared" si="17"/>
        <v>Y</v>
      </c>
      <c r="B378" s="1770"/>
      <c r="C378" s="1800"/>
      <c r="D378" s="1800"/>
      <c r="E378" s="1800"/>
      <c r="F378" s="1800"/>
      <c r="G378" s="1800"/>
      <c r="H378" s="1770"/>
      <c r="I378" s="1800"/>
      <c r="J378" s="1800"/>
      <c r="K378" s="1800"/>
      <c r="L378" s="1800"/>
      <c r="M378" s="1770"/>
    </row>
    <row r="379" spans="1:13">
      <c r="A379" s="1693" t="str">
        <f>A363</f>
        <v>Y</v>
      </c>
      <c r="B379" s="1801"/>
      <c r="C379" s="1801" t="s">
        <v>179</v>
      </c>
      <c r="D379" s="1724"/>
      <c r="E379" s="1724"/>
      <c r="F379" s="1724"/>
      <c r="G379" s="1724"/>
      <c r="H379" s="1724"/>
      <c r="I379" s="1724"/>
      <c r="J379" s="1724"/>
      <c r="K379" s="1802"/>
      <c r="L379" s="1802"/>
      <c r="M379" s="1803"/>
    </row>
    <row r="380" spans="1:13">
      <c r="A380" s="1693" t="str">
        <f t="shared" si="16"/>
        <v>Y</v>
      </c>
      <c r="B380" s="1804"/>
      <c r="C380" s="2871"/>
      <c r="D380" s="2872"/>
      <c r="E380" s="2872"/>
      <c r="F380" s="2872"/>
      <c r="G380" s="2872"/>
      <c r="H380" s="2872"/>
      <c r="I380" s="2872"/>
      <c r="J380" s="2872"/>
      <c r="K380" s="2872"/>
      <c r="L380" s="2873"/>
      <c r="M380" s="1805"/>
    </row>
    <row r="381" spans="1:13">
      <c r="A381" s="1693" t="str">
        <f t="shared" si="16"/>
        <v>Y</v>
      </c>
      <c r="B381" s="1804"/>
      <c r="C381" s="2882"/>
      <c r="D381" s="2883"/>
      <c r="E381" s="2883"/>
      <c r="F381" s="2883"/>
      <c r="G381" s="2883"/>
      <c r="H381" s="2883"/>
      <c r="I381" s="2883"/>
      <c r="J381" s="2883"/>
      <c r="K381" s="2883"/>
      <c r="L381" s="2884"/>
      <c r="M381" s="1805"/>
    </row>
    <row r="382" spans="1:13">
      <c r="A382" s="1693" t="str">
        <f t="shared" si="16"/>
        <v>Y</v>
      </c>
      <c r="B382" s="1804"/>
      <c r="C382" s="2885"/>
      <c r="D382" s="2886"/>
      <c r="E382" s="2886"/>
      <c r="F382" s="2886"/>
      <c r="G382" s="2886"/>
      <c r="H382" s="2886"/>
      <c r="I382" s="2886"/>
      <c r="J382" s="2886"/>
      <c r="K382" s="2886"/>
      <c r="L382" s="2887"/>
      <c r="M382" s="1805"/>
    </row>
    <row r="383" spans="1:13" s="1710" customFormat="1" ht="5.25">
      <c r="A383" s="1710" t="str">
        <f t="shared" si="16"/>
        <v>Y</v>
      </c>
      <c r="B383" s="1806"/>
      <c r="C383" s="1807"/>
      <c r="D383" s="1807"/>
      <c r="E383" s="1807"/>
      <c r="F383" s="1807"/>
      <c r="G383" s="1807"/>
      <c r="H383" s="1807"/>
      <c r="I383" s="1807"/>
      <c r="J383" s="1808"/>
      <c r="K383" s="1808"/>
      <c r="L383" s="1808"/>
      <c r="M383" s="1809"/>
    </row>
    <row r="384" spans="1:13">
      <c r="A384" s="1693" t="str">
        <f t="shared" si="16"/>
        <v>Y</v>
      </c>
      <c r="B384" s="1810"/>
      <c r="C384" s="1810"/>
      <c r="D384" s="1810"/>
      <c r="E384" s="1810"/>
      <c r="F384" s="1810"/>
      <c r="G384" s="1810"/>
      <c r="H384" s="1810"/>
      <c r="I384" s="1810"/>
      <c r="J384" s="1800"/>
      <c r="K384" s="1800"/>
      <c r="L384" s="1800"/>
      <c r="M384" s="1800"/>
    </row>
    <row r="385" spans="1:13">
      <c r="A385" s="1693" t="str">
        <f t="shared" si="16"/>
        <v>Y</v>
      </c>
      <c r="B385" s="1810"/>
      <c r="C385" s="1810"/>
      <c r="D385" s="1810"/>
      <c r="E385" s="1810"/>
      <c r="F385" s="1810"/>
      <c r="G385" s="1810"/>
      <c r="H385" s="1810"/>
      <c r="I385" s="1810"/>
      <c r="J385" s="1800"/>
      <c r="K385" s="1800"/>
      <c r="L385" s="1800"/>
      <c r="M385" s="1800"/>
    </row>
    <row r="386" spans="1:13">
      <c r="A386" s="1693" t="str">
        <f t="shared" si="16"/>
        <v>Y</v>
      </c>
      <c r="B386" s="1810"/>
      <c r="C386" s="1810"/>
      <c r="D386" s="1810"/>
      <c r="E386" s="1810"/>
      <c r="F386" s="1810"/>
      <c r="G386" s="1810"/>
      <c r="H386" s="1810"/>
      <c r="I386" s="1810"/>
      <c r="J386" s="1800"/>
      <c r="K386" s="1800"/>
      <c r="L386" s="1800"/>
      <c r="M386" s="1800"/>
    </row>
    <row r="387" spans="1:13">
      <c r="A387" s="1693" t="str">
        <f t="shared" si="16"/>
        <v>Y</v>
      </c>
      <c r="B387" s="2859" t="str">
        <f>CHENG</f>
        <v>CANO ARTHUR D. CADAVOS</v>
      </c>
      <c r="C387" s="2859"/>
      <c r="D387" s="2859"/>
      <c r="E387" s="2859"/>
      <c r="F387" s="2859"/>
      <c r="G387" s="3297" t="str">
        <f>IF(BARGESEL=1,BARGEREP,INDEX(BARGETABLE,MATCH(E332,BARGENAMES,0),4))</f>
        <v>TEMEL KALYONCU</v>
      </c>
      <c r="H387" s="3297"/>
      <c r="I387" s="3297"/>
      <c r="J387" s="3297"/>
      <c r="K387" s="2859" t="str">
        <f>SURVEYOR</f>
        <v>MEHMET EROĞLU</v>
      </c>
      <c r="L387" s="2859"/>
      <c r="M387" s="2859"/>
    </row>
    <row r="388" spans="1:13" s="1710" customFormat="1" ht="5.25" hidden="1">
      <c r="A388" s="1710" t="s">
        <v>270</v>
      </c>
      <c r="B388" s="1806"/>
      <c r="C388" s="1806"/>
      <c r="D388" s="1806"/>
      <c r="E388" s="1806"/>
      <c r="F388" s="1806"/>
      <c r="G388" s="1806"/>
      <c r="H388" s="1806"/>
      <c r="I388" s="1806"/>
      <c r="J388" s="1811"/>
      <c r="K388" s="1812"/>
      <c r="L388" s="1812"/>
      <c r="M388" s="1812"/>
    </row>
    <row r="389" spans="1:13">
      <c r="A389" s="1693" t="str">
        <f>A387</f>
        <v>Y</v>
      </c>
      <c r="B389" s="3295" t="s">
        <v>15</v>
      </c>
      <c r="C389" s="3295"/>
      <c r="D389" s="3295"/>
      <c r="E389" s="3295"/>
      <c r="F389" s="3295"/>
      <c r="G389" s="3295" t="s">
        <v>840</v>
      </c>
      <c r="H389" s="3295"/>
      <c r="I389" s="3295"/>
      <c r="J389" s="3295"/>
      <c r="K389" s="3296" t="str">
        <f>"Bunker Surveyor"&amp;IF(SPORE=TRUE,", License No. "&amp;SURVLIC,"")</f>
        <v>Bunker Surveyor</v>
      </c>
      <c r="L389" s="3296"/>
      <c r="M389" s="3296"/>
    </row>
    <row r="390" spans="1:13" s="1719" customFormat="1" ht="9">
      <c r="A390" s="1813" t="str">
        <f t="shared" si="16"/>
        <v>Y</v>
      </c>
      <c r="B390" s="3154"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C390" s="3155"/>
      <c r="D390" s="3155"/>
      <c r="E390" s="3155"/>
      <c r="F390" s="3155"/>
      <c r="G390" s="3155"/>
      <c r="H390" s="3155"/>
      <c r="I390" s="3155"/>
      <c r="J390" s="3155"/>
      <c r="K390" s="3155"/>
      <c r="L390" s="3256"/>
      <c r="M390" s="3126"/>
    </row>
    <row r="391" spans="1:13" s="1719" customFormat="1" ht="9">
      <c r="A391" s="1813" t="str">
        <f t="shared" si="16"/>
        <v>Y</v>
      </c>
      <c r="B391" s="3157"/>
      <c r="C391" s="3158"/>
      <c r="D391" s="3158"/>
      <c r="E391" s="3158"/>
      <c r="F391" s="3158"/>
      <c r="G391" s="3158"/>
      <c r="H391" s="3158"/>
      <c r="I391" s="3158"/>
      <c r="J391" s="3158"/>
      <c r="K391" s="3158"/>
      <c r="L391" s="3257"/>
      <c r="M391" s="3127"/>
    </row>
    <row r="392" spans="1:13" s="1719" customFormat="1" ht="9">
      <c r="A392" s="1813" t="str">
        <f t="shared" si="16"/>
        <v>Y</v>
      </c>
      <c r="B392" s="3157"/>
      <c r="C392" s="3158"/>
      <c r="D392" s="3158"/>
      <c r="E392" s="3158"/>
      <c r="F392" s="3158"/>
      <c r="G392" s="3158"/>
      <c r="H392" s="3158"/>
      <c r="I392" s="3158"/>
      <c r="J392" s="3158"/>
      <c r="K392" s="3158"/>
      <c r="L392" s="3257"/>
      <c r="M392" s="3127"/>
    </row>
    <row r="393" spans="1:13" s="1719" customFormat="1" ht="9">
      <c r="A393" s="1813" t="str">
        <f t="shared" si="16"/>
        <v>Y</v>
      </c>
      <c r="B393" s="3157"/>
      <c r="C393" s="3158"/>
      <c r="D393" s="3158"/>
      <c r="E393" s="3158"/>
      <c r="F393" s="3158"/>
      <c r="G393" s="3158"/>
      <c r="H393" s="3158"/>
      <c r="I393" s="3158"/>
      <c r="J393" s="3158"/>
      <c r="K393" s="3158"/>
      <c r="L393" s="3257"/>
      <c r="M393" s="3127"/>
    </row>
    <row r="394" spans="1:13" s="1719" customFormat="1" ht="9">
      <c r="A394" s="1813" t="str">
        <f t="shared" si="16"/>
        <v>Y</v>
      </c>
      <c r="B394" s="3157"/>
      <c r="C394" s="3158"/>
      <c r="D394" s="3158"/>
      <c r="E394" s="3158"/>
      <c r="F394" s="3158"/>
      <c r="G394" s="3158"/>
      <c r="H394" s="3158"/>
      <c r="I394" s="3158"/>
      <c r="J394" s="3158"/>
      <c r="K394" s="3158"/>
      <c r="L394" s="3257"/>
      <c r="M394" s="3127"/>
    </row>
    <row r="395" spans="1:13" s="1719" customFormat="1" ht="9">
      <c r="A395" s="1813" t="str">
        <f t="shared" si="16"/>
        <v>Y</v>
      </c>
      <c r="B395" s="3159"/>
      <c r="C395" s="3160"/>
      <c r="D395" s="3160"/>
      <c r="E395" s="3160"/>
      <c r="F395" s="3160"/>
      <c r="G395" s="3160"/>
      <c r="H395" s="3160"/>
      <c r="I395" s="3160"/>
      <c r="J395" s="3160"/>
      <c r="K395" s="3160"/>
      <c r="L395" s="3258"/>
      <c r="M395" s="3128"/>
    </row>
    <row r="396" spans="1:13" ht="2.25" customHeight="1"/>
  </sheetData>
  <sheetProtection algorithmName="SHA-512" hashValue="rZk5GyHWzoevTJ+q0i/JlYrarmr/hvAH7KdfdE48TLhfRJjuP+JTPAwWAZ9oPLn0bkce0KBbjTkCgfJMi1mVhw==" saltValue="TViWNGxVACV8d5FoZxQ5Vw==" spinCount="100000" sheet="1" objects="1" scenarios="1" autoFilter="0"/>
  <autoFilter ref="A10:A395" xr:uid="{00000000-0009-0000-0000-00001C000000}">
    <filterColumn colId="0">
      <filters>
        <filter val="Y"/>
      </filters>
    </filterColumn>
  </autoFilter>
  <mergeCells count="510">
    <mergeCell ref="F18:G18"/>
    <mergeCell ref="C19:E19"/>
    <mergeCell ref="F19:G19"/>
    <mergeCell ref="H19:J19"/>
    <mergeCell ref="K19:L19"/>
    <mergeCell ref="H18:J18"/>
    <mergeCell ref="K18:L18"/>
    <mergeCell ref="C18:E18"/>
    <mergeCell ref="C17:E17"/>
    <mergeCell ref="F17:G17"/>
    <mergeCell ref="H17:J17"/>
    <mergeCell ref="K17:L17"/>
    <mergeCell ref="I12:J12"/>
    <mergeCell ref="K12:M12"/>
    <mergeCell ref="I13:J13"/>
    <mergeCell ref="K13:M13"/>
    <mergeCell ref="C16:L16"/>
    <mergeCell ref="B12:D12"/>
    <mergeCell ref="E12:H12"/>
    <mergeCell ref="K14:M14"/>
    <mergeCell ref="B14:D14"/>
    <mergeCell ref="E14:H14"/>
    <mergeCell ref="I14:J14"/>
    <mergeCell ref="E13:H13"/>
    <mergeCell ref="B13:D13"/>
    <mergeCell ref="I33:L33"/>
    <mergeCell ref="D27:H27"/>
    <mergeCell ref="I27:L27"/>
    <mergeCell ref="D28:H28"/>
    <mergeCell ref="I28:L28"/>
    <mergeCell ref="D29:H29"/>
    <mergeCell ref="C22:E22"/>
    <mergeCell ref="C20:E20"/>
    <mergeCell ref="F20:G20"/>
    <mergeCell ref="H20:J20"/>
    <mergeCell ref="C21:E21"/>
    <mergeCell ref="F21:G21"/>
    <mergeCell ref="H21:J21"/>
    <mergeCell ref="H22:J22"/>
    <mergeCell ref="H23:J23"/>
    <mergeCell ref="H24:J24"/>
    <mergeCell ref="K24:L24"/>
    <mergeCell ref="H25:J25"/>
    <mergeCell ref="K25:L25"/>
    <mergeCell ref="C40:H40"/>
    <mergeCell ref="I40:L40"/>
    <mergeCell ref="F22:G22"/>
    <mergeCell ref="C24:E24"/>
    <mergeCell ref="I29:L29"/>
    <mergeCell ref="D31:H31"/>
    <mergeCell ref="I31:L31"/>
    <mergeCell ref="F23:G23"/>
    <mergeCell ref="C41:H41"/>
    <mergeCell ref="I41:L41"/>
    <mergeCell ref="I36:L36"/>
    <mergeCell ref="C35:H35"/>
    <mergeCell ref="I35:L35"/>
    <mergeCell ref="C36:H36"/>
    <mergeCell ref="F24:G25"/>
    <mergeCell ref="C23:E23"/>
    <mergeCell ref="D32:H32"/>
    <mergeCell ref="I32:L32"/>
    <mergeCell ref="C25:E25"/>
    <mergeCell ref="C39:H39"/>
    <mergeCell ref="I39:L39"/>
    <mergeCell ref="C37:H37"/>
    <mergeCell ref="I37:L37"/>
    <mergeCell ref="D33:H33"/>
    <mergeCell ref="B78:D78"/>
    <mergeCell ref="E78:H78"/>
    <mergeCell ref="I78:J78"/>
    <mergeCell ref="K78:M78"/>
    <mergeCell ref="C80:L80"/>
    <mergeCell ref="B76:D76"/>
    <mergeCell ref="E76:H76"/>
    <mergeCell ref="I76:J76"/>
    <mergeCell ref="K76:M76"/>
    <mergeCell ref="B77:D77"/>
    <mergeCell ref="E77:H77"/>
    <mergeCell ref="I77:J77"/>
    <mergeCell ref="K77:M77"/>
    <mergeCell ref="C42:H42"/>
    <mergeCell ref="B70:K75"/>
    <mergeCell ref="B67:F67"/>
    <mergeCell ref="G67:J67"/>
    <mergeCell ref="K67:M67"/>
    <mergeCell ref="B69:F69"/>
    <mergeCell ref="G69:J69"/>
    <mergeCell ref="K69:M69"/>
    <mergeCell ref="C60:L60"/>
    <mergeCell ref="C61:L61"/>
    <mergeCell ref="C62:L62"/>
    <mergeCell ref="I42:L42"/>
    <mergeCell ref="C44:G56"/>
    <mergeCell ref="C57:G57"/>
    <mergeCell ref="H57:L57"/>
    <mergeCell ref="H44:L56"/>
    <mergeCell ref="L70:M75"/>
    <mergeCell ref="C83:E83"/>
    <mergeCell ref="F83:G83"/>
    <mergeCell ref="H83:J83"/>
    <mergeCell ref="K83:L83"/>
    <mergeCell ref="C84:E84"/>
    <mergeCell ref="F84:G84"/>
    <mergeCell ref="H84:J84"/>
    <mergeCell ref="C81:E81"/>
    <mergeCell ref="F81:G81"/>
    <mergeCell ref="H81:J81"/>
    <mergeCell ref="K81:L81"/>
    <mergeCell ref="C82:E82"/>
    <mergeCell ref="F82:G82"/>
    <mergeCell ref="H82:J82"/>
    <mergeCell ref="K82:L82"/>
    <mergeCell ref="C87:E87"/>
    <mergeCell ref="F87:G87"/>
    <mergeCell ref="H87:J87"/>
    <mergeCell ref="D91:H91"/>
    <mergeCell ref="I91:L91"/>
    <mergeCell ref="C85:E85"/>
    <mergeCell ref="F85:G85"/>
    <mergeCell ref="H85:J85"/>
    <mergeCell ref="C86:E86"/>
    <mergeCell ref="F86:G86"/>
    <mergeCell ref="H86:J86"/>
    <mergeCell ref="C88:E88"/>
    <mergeCell ref="F88:G89"/>
    <mergeCell ref="H88:J88"/>
    <mergeCell ref="K88:L88"/>
    <mergeCell ref="C89:E89"/>
    <mergeCell ref="H89:J89"/>
    <mergeCell ref="K89:L89"/>
    <mergeCell ref="D96:H96"/>
    <mergeCell ref="I96:L96"/>
    <mergeCell ref="D97:H97"/>
    <mergeCell ref="I97:L97"/>
    <mergeCell ref="C99:H99"/>
    <mergeCell ref="I99:L99"/>
    <mergeCell ref="D92:H92"/>
    <mergeCell ref="I92:L92"/>
    <mergeCell ref="D93:H93"/>
    <mergeCell ref="I93:L93"/>
    <mergeCell ref="D95:H95"/>
    <mergeCell ref="I95:L95"/>
    <mergeCell ref="C104:H104"/>
    <mergeCell ref="I104:L104"/>
    <mergeCell ref="C105:H105"/>
    <mergeCell ref="I105:L105"/>
    <mergeCell ref="C106:H106"/>
    <mergeCell ref="I106:L106"/>
    <mergeCell ref="C100:H100"/>
    <mergeCell ref="I100:L100"/>
    <mergeCell ref="C101:H101"/>
    <mergeCell ref="I101:L101"/>
    <mergeCell ref="C103:H103"/>
    <mergeCell ref="I103:L103"/>
    <mergeCell ref="B133:F133"/>
    <mergeCell ref="G133:J133"/>
    <mergeCell ref="K133:M133"/>
    <mergeCell ref="B134:K139"/>
    <mergeCell ref="C124:L124"/>
    <mergeCell ref="C125:L125"/>
    <mergeCell ref="C126:L126"/>
    <mergeCell ref="B131:F131"/>
    <mergeCell ref="G131:J131"/>
    <mergeCell ref="K131:M131"/>
    <mergeCell ref="L134:M139"/>
    <mergeCell ref="B142:D142"/>
    <mergeCell ref="E142:H142"/>
    <mergeCell ref="I142:J142"/>
    <mergeCell ref="K142:M142"/>
    <mergeCell ref="C144:L144"/>
    <mergeCell ref="B140:D140"/>
    <mergeCell ref="E140:H140"/>
    <mergeCell ref="I140:J140"/>
    <mergeCell ref="K140:M140"/>
    <mergeCell ref="B141:D141"/>
    <mergeCell ref="E141:H141"/>
    <mergeCell ref="I141:J141"/>
    <mergeCell ref="K141:M141"/>
    <mergeCell ref="C147:E147"/>
    <mergeCell ref="F147:G147"/>
    <mergeCell ref="H147:J147"/>
    <mergeCell ref="K147:L147"/>
    <mergeCell ref="C148:E148"/>
    <mergeCell ref="F148:G148"/>
    <mergeCell ref="H148:J148"/>
    <mergeCell ref="C145:E145"/>
    <mergeCell ref="F145:G145"/>
    <mergeCell ref="H145:J145"/>
    <mergeCell ref="K145:L145"/>
    <mergeCell ref="C146:E146"/>
    <mergeCell ref="F146:G146"/>
    <mergeCell ref="H146:J146"/>
    <mergeCell ref="K146:L146"/>
    <mergeCell ref="C151:E151"/>
    <mergeCell ref="F151:G151"/>
    <mergeCell ref="H151:J151"/>
    <mergeCell ref="D155:H155"/>
    <mergeCell ref="I155:L155"/>
    <mergeCell ref="C149:E149"/>
    <mergeCell ref="F149:G149"/>
    <mergeCell ref="H149:J149"/>
    <mergeCell ref="C150:E150"/>
    <mergeCell ref="F150:G150"/>
    <mergeCell ref="H150:J150"/>
    <mergeCell ref="C152:E152"/>
    <mergeCell ref="F152:G153"/>
    <mergeCell ref="H152:J152"/>
    <mergeCell ref="K152:L152"/>
    <mergeCell ref="C153:E153"/>
    <mergeCell ref="H153:J153"/>
    <mergeCell ref="K153:L153"/>
    <mergeCell ref="D160:H160"/>
    <mergeCell ref="I160:L160"/>
    <mergeCell ref="D161:H161"/>
    <mergeCell ref="I161:L161"/>
    <mergeCell ref="C163:H163"/>
    <mergeCell ref="I163:L163"/>
    <mergeCell ref="D156:H156"/>
    <mergeCell ref="I156:L156"/>
    <mergeCell ref="D157:H157"/>
    <mergeCell ref="I157:L157"/>
    <mergeCell ref="D159:H159"/>
    <mergeCell ref="I159:L159"/>
    <mergeCell ref="C168:H168"/>
    <mergeCell ref="I168:L168"/>
    <mergeCell ref="C169:H169"/>
    <mergeCell ref="I169:L169"/>
    <mergeCell ref="C170:H170"/>
    <mergeCell ref="I170:L170"/>
    <mergeCell ref="C164:H164"/>
    <mergeCell ref="I164:L164"/>
    <mergeCell ref="C165:H165"/>
    <mergeCell ref="I165:L165"/>
    <mergeCell ref="C167:H167"/>
    <mergeCell ref="I167:L167"/>
    <mergeCell ref="B197:F197"/>
    <mergeCell ref="G197:J197"/>
    <mergeCell ref="K197:M197"/>
    <mergeCell ref="B198:K203"/>
    <mergeCell ref="C188:L188"/>
    <mergeCell ref="C189:L189"/>
    <mergeCell ref="C190:L190"/>
    <mergeCell ref="B195:F195"/>
    <mergeCell ref="G195:J195"/>
    <mergeCell ref="K195:M195"/>
    <mergeCell ref="L198:M203"/>
    <mergeCell ref="B206:D206"/>
    <mergeCell ref="E206:H206"/>
    <mergeCell ref="I206:J206"/>
    <mergeCell ref="K206:M206"/>
    <mergeCell ref="C208:L208"/>
    <mergeCell ref="B204:D204"/>
    <mergeCell ref="E204:H204"/>
    <mergeCell ref="I204:J204"/>
    <mergeCell ref="K204:M204"/>
    <mergeCell ref="B205:D205"/>
    <mergeCell ref="E205:H205"/>
    <mergeCell ref="I205:J205"/>
    <mergeCell ref="K205:M205"/>
    <mergeCell ref="C211:E211"/>
    <mergeCell ref="F211:G211"/>
    <mergeCell ref="H211:J211"/>
    <mergeCell ref="K211:L211"/>
    <mergeCell ref="C212:E212"/>
    <mergeCell ref="F212:G212"/>
    <mergeCell ref="H212:J212"/>
    <mergeCell ref="C209:E209"/>
    <mergeCell ref="F209:G209"/>
    <mergeCell ref="H209:J209"/>
    <mergeCell ref="K209:L209"/>
    <mergeCell ref="C210:E210"/>
    <mergeCell ref="F210:G210"/>
    <mergeCell ref="H210:J210"/>
    <mergeCell ref="K210:L210"/>
    <mergeCell ref="C215:E215"/>
    <mergeCell ref="F215:G215"/>
    <mergeCell ref="H215:J215"/>
    <mergeCell ref="D219:H219"/>
    <mergeCell ref="I219:L219"/>
    <mergeCell ref="C213:E213"/>
    <mergeCell ref="F213:G213"/>
    <mergeCell ref="H213:J213"/>
    <mergeCell ref="C214:E214"/>
    <mergeCell ref="F214:G214"/>
    <mergeCell ref="H214:J214"/>
    <mergeCell ref="C216:E216"/>
    <mergeCell ref="F216:G217"/>
    <mergeCell ref="H216:J216"/>
    <mergeCell ref="K216:L216"/>
    <mergeCell ref="C217:E217"/>
    <mergeCell ref="H217:J217"/>
    <mergeCell ref="K217:L217"/>
    <mergeCell ref="D225:H225"/>
    <mergeCell ref="I225:L225"/>
    <mergeCell ref="C227:H227"/>
    <mergeCell ref="I227:L227"/>
    <mergeCell ref="D220:H220"/>
    <mergeCell ref="I220:L220"/>
    <mergeCell ref="D221:H221"/>
    <mergeCell ref="I221:L221"/>
    <mergeCell ref="D223:H223"/>
    <mergeCell ref="I223:L223"/>
    <mergeCell ref="B261:F261"/>
    <mergeCell ref="G261:J261"/>
    <mergeCell ref="K261:M261"/>
    <mergeCell ref="B262:K267"/>
    <mergeCell ref="C252:L252"/>
    <mergeCell ref="C253:L253"/>
    <mergeCell ref="C254:L254"/>
    <mergeCell ref="B259:F259"/>
    <mergeCell ref="G259:J259"/>
    <mergeCell ref="K259:M259"/>
    <mergeCell ref="L262:M267"/>
    <mergeCell ref="B270:D270"/>
    <mergeCell ref="E270:H270"/>
    <mergeCell ref="I270:J270"/>
    <mergeCell ref="K270:M270"/>
    <mergeCell ref="C272:L272"/>
    <mergeCell ref="B268:D268"/>
    <mergeCell ref="E268:H268"/>
    <mergeCell ref="I268:J268"/>
    <mergeCell ref="K268:M268"/>
    <mergeCell ref="B269:D269"/>
    <mergeCell ref="E269:H269"/>
    <mergeCell ref="I269:J269"/>
    <mergeCell ref="K269:M269"/>
    <mergeCell ref="C275:E275"/>
    <mergeCell ref="F275:G275"/>
    <mergeCell ref="H275:J275"/>
    <mergeCell ref="K275:L275"/>
    <mergeCell ref="C276:E276"/>
    <mergeCell ref="F276:G276"/>
    <mergeCell ref="H276:J276"/>
    <mergeCell ref="C273:E273"/>
    <mergeCell ref="F273:G273"/>
    <mergeCell ref="H273:J273"/>
    <mergeCell ref="K273:L273"/>
    <mergeCell ref="C274:E274"/>
    <mergeCell ref="F274:G274"/>
    <mergeCell ref="H274:J274"/>
    <mergeCell ref="K274:L274"/>
    <mergeCell ref="C279:E279"/>
    <mergeCell ref="F279:G279"/>
    <mergeCell ref="H279:J279"/>
    <mergeCell ref="D283:H283"/>
    <mergeCell ref="I283:L283"/>
    <mergeCell ref="C277:E277"/>
    <mergeCell ref="F277:G277"/>
    <mergeCell ref="H277:J277"/>
    <mergeCell ref="C278:E278"/>
    <mergeCell ref="F278:G278"/>
    <mergeCell ref="H278:J278"/>
    <mergeCell ref="C280:E280"/>
    <mergeCell ref="F280:G281"/>
    <mergeCell ref="H280:J280"/>
    <mergeCell ref="K280:L280"/>
    <mergeCell ref="C281:E281"/>
    <mergeCell ref="H281:J281"/>
    <mergeCell ref="K281:L281"/>
    <mergeCell ref="D288:H288"/>
    <mergeCell ref="I288:L288"/>
    <mergeCell ref="D289:H289"/>
    <mergeCell ref="I289:L289"/>
    <mergeCell ref="C291:H291"/>
    <mergeCell ref="I291:L291"/>
    <mergeCell ref="D284:H284"/>
    <mergeCell ref="I284:L284"/>
    <mergeCell ref="D285:H285"/>
    <mergeCell ref="I285:L285"/>
    <mergeCell ref="D287:H287"/>
    <mergeCell ref="I287:L287"/>
    <mergeCell ref="C296:H296"/>
    <mergeCell ref="I296:L296"/>
    <mergeCell ref="C297:H297"/>
    <mergeCell ref="I297:L297"/>
    <mergeCell ref="C298:H298"/>
    <mergeCell ref="I298:L298"/>
    <mergeCell ref="C292:H292"/>
    <mergeCell ref="I292:L292"/>
    <mergeCell ref="C293:H293"/>
    <mergeCell ref="I293:L293"/>
    <mergeCell ref="C295:H295"/>
    <mergeCell ref="I295:L295"/>
    <mergeCell ref="B325:F325"/>
    <mergeCell ref="G325:J325"/>
    <mergeCell ref="K325:M325"/>
    <mergeCell ref="B326:K331"/>
    <mergeCell ref="C316:L316"/>
    <mergeCell ref="C317:L317"/>
    <mergeCell ref="C318:L318"/>
    <mergeCell ref="B323:F323"/>
    <mergeCell ref="G323:J323"/>
    <mergeCell ref="K323:M323"/>
    <mergeCell ref="L326:M331"/>
    <mergeCell ref="B334:D334"/>
    <mergeCell ref="E334:H334"/>
    <mergeCell ref="I334:J334"/>
    <mergeCell ref="K334:M334"/>
    <mergeCell ref="C336:L336"/>
    <mergeCell ref="B332:D332"/>
    <mergeCell ref="E332:H332"/>
    <mergeCell ref="I332:J332"/>
    <mergeCell ref="K332:M332"/>
    <mergeCell ref="B333:D333"/>
    <mergeCell ref="E333:H333"/>
    <mergeCell ref="I333:J333"/>
    <mergeCell ref="K333:M333"/>
    <mergeCell ref="C339:E339"/>
    <mergeCell ref="F339:G339"/>
    <mergeCell ref="H339:J339"/>
    <mergeCell ref="K339:L339"/>
    <mergeCell ref="C340:E340"/>
    <mergeCell ref="F340:G340"/>
    <mergeCell ref="H340:J340"/>
    <mergeCell ref="C337:E337"/>
    <mergeCell ref="F337:G337"/>
    <mergeCell ref="H337:J337"/>
    <mergeCell ref="K337:L337"/>
    <mergeCell ref="C338:E338"/>
    <mergeCell ref="F338:G338"/>
    <mergeCell ref="H338:J338"/>
    <mergeCell ref="K338:L338"/>
    <mergeCell ref="C343:E343"/>
    <mergeCell ref="F343:G343"/>
    <mergeCell ref="H343:J343"/>
    <mergeCell ref="D347:H347"/>
    <mergeCell ref="I347:L347"/>
    <mergeCell ref="C341:E341"/>
    <mergeCell ref="F341:G341"/>
    <mergeCell ref="H341:J341"/>
    <mergeCell ref="C342:E342"/>
    <mergeCell ref="F342:G342"/>
    <mergeCell ref="H342:J342"/>
    <mergeCell ref="C344:E344"/>
    <mergeCell ref="F344:G345"/>
    <mergeCell ref="H344:J344"/>
    <mergeCell ref="K344:L344"/>
    <mergeCell ref="C345:E345"/>
    <mergeCell ref="H345:J345"/>
    <mergeCell ref="K345:L345"/>
    <mergeCell ref="D353:H353"/>
    <mergeCell ref="I353:L353"/>
    <mergeCell ref="C355:H355"/>
    <mergeCell ref="I355:L355"/>
    <mergeCell ref="D348:H348"/>
    <mergeCell ref="I348:L348"/>
    <mergeCell ref="D349:H349"/>
    <mergeCell ref="I349:L349"/>
    <mergeCell ref="D351:H351"/>
    <mergeCell ref="I351:L351"/>
    <mergeCell ref="B389:F389"/>
    <mergeCell ref="G389:J389"/>
    <mergeCell ref="K389:M389"/>
    <mergeCell ref="B390:K395"/>
    <mergeCell ref="C380:L380"/>
    <mergeCell ref="C381:L381"/>
    <mergeCell ref="C382:L382"/>
    <mergeCell ref="B387:F387"/>
    <mergeCell ref="G387:J387"/>
    <mergeCell ref="K387:M387"/>
    <mergeCell ref="L390:M395"/>
    <mergeCell ref="C108:G120"/>
    <mergeCell ref="H108:L120"/>
    <mergeCell ref="C121:G121"/>
    <mergeCell ref="H121:L121"/>
    <mergeCell ref="C172:G184"/>
    <mergeCell ref="H172:L184"/>
    <mergeCell ref="C185:G185"/>
    <mergeCell ref="H185:L185"/>
    <mergeCell ref="C236:G248"/>
    <mergeCell ref="H236:L248"/>
    <mergeCell ref="C232:H232"/>
    <mergeCell ref="I232:L232"/>
    <mergeCell ref="C233:H233"/>
    <mergeCell ref="I233:L233"/>
    <mergeCell ref="C234:H234"/>
    <mergeCell ref="I234:L234"/>
    <mergeCell ref="C228:H228"/>
    <mergeCell ref="I228:L228"/>
    <mergeCell ref="C229:H229"/>
    <mergeCell ref="I229:L229"/>
    <mergeCell ref="C231:H231"/>
    <mergeCell ref="I231:L231"/>
    <mergeCell ref="D224:H224"/>
    <mergeCell ref="I224:L224"/>
    <mergeCell ref="C249:G249"/>
    <mergeCell ref="H249:L249"/>
    <mergeCell ref="C300:G312"/>
    <mergeCell ref="H300:L312"/>
    <mergeCell ref="C313:G313"/>
    <mergeCell ref="H313:L313"/>
    <mergeCell ref="C364:G376"/>
    <mergeCell ref="H364:L376"/>
    <mergeCell ref="C377:G377"/>
    <mergeCell ref="H377:L377"/>
    <mergeCell ref="C360:H360"/>
    <mergeCell ref="I360:L360"/>
    <mergeCell ref="C361:H361"/>
    <mergeCell ref="I361:L361"/>
    <mergeCell ref="C362:H362"/>
    <mergeCell ref="I362:L362"/>
    <mergeCell ref="C356:H356"/>
    <mergeCell ref="I356:L356"/>
    <mergeCell ref="C357:H357"/>
    <mergeCell ref="I357:L357"/>
    <mergeCell ref="C359:H359"/>
    <mergeCell ref="I359:L359"/>
    <mergeCell ref="D352:H352"/>
    <mergeCell ref="I352:L352"/>
  </mergeCells>
  <dataValidations count="2">
    <dataValidation type="list" errorStyle="information" allowBlank="1" showInputMessage="1" showErrorMessage="1" prompt="Choose Remarks from list or edit yours." sqref="C60:C62 C124:C126 C188:C190 C252:C254 C316:C318 C380:C382" xr:uid="{00000000-0002-0000-1C00-000000000000}">
      <formula1>REMCOL</formula1>
    </dataValidation>
    <dataValidation type="list" errorStyle="information" allowBlank="1" showInputMessage="1" showErrorMessage="1" errorTitle="Yes, No" error="Expected values are Yes or No!" sqref="K24:L24 K88:L88 K152:L152 K216:L216 K280:L280 K344:L344" xr:uid="{00000000-0002-0000-1C00-000001000000}">
      <formula1>"Yes,No"</formula1>
    </dataValidation>
  </dataValidations>
  <hyperlinks>
    <hyperlink ref="C59" location="REMCODE" display="Remarks:" xr:uid="{00000000-0004-0000-1C00-000000000000}"/>
    <hyperlink ref="C123" location="REMCODE" display="Remarks:" xr:uid="{00000000-0004-0000-1C00-000001000000}"/>
    <hyperlink ref="C187" location="REMCODE" display="Remarks:" xr:uid="{00000000-0004-0000-1C00-000002000000}"/>
    <hyperlink ref="C251" location="REMCODE" display="Remarks:" xr:uid="{00000000-0004-0000-1C00-000003000000}"/>
    <hyperlink ref="C315" location="REMCODE" display="Remarks:" xr:uid="{00000000-0004-0000-1C00-000004000000}"/>
    <hyperlink ref="C379" location="REMCODE" display="Remarks:" xr:uid="{00000000-0004-0000-1C00-000005000000}"/>
  </hyperlinks>
  <printOptions horizontalCentered="1"/>
  <pageMargins left="0.3" right="0.3" top="0.2" bottom="0.3" header="0.3" footer="0.1"/>
  <pageSetup paperSize="9" scale="95" fitToHeight="0" orientation="portrait" r:id="rId1"/>
  <headerFooter scaleWithDoc="0">
    <oddFooter>&amp;L&amp;8BunkerManager, v1.12&amp;C&amp;8by AMS-Marine | www.ams-marine.com&amp;R&amp;8RefNo: BD/2015/00926 SG</oddFooter>
  </headerFooter>
  <rowBreaks count="6" manualBreakCount="6">
    <brk id="75" max="16383" man="1"/>
    <brk id="139" max="16383" man="1"/>
    <brk id="203" max="16383" man="1"/>
    <brk id="267" max="16383" man="1"/>
    <brk id="331" max="16383" man="1"/>
    <brk id="395" max="16383" man="1"/>
  </rowBreaks>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8" r:id="rId4" name="List Box 2">
              <controlPr defaultSize="0" print="0" autoLine="0" autoPict="0" macro="[0]!FLOWPHOTOS">
                <anchor moveWithCells="1">
                  <from>
                    <xdr:col>11</xdr:col>
                    <xdr:colOff>495300</xdr:colOff>
                    <xdr:row>9</xdr:row>
                    <xdr:rowOff>9525</xdr:rowOff>
                  </from>
                  <to>
                    <xdr:col>12</xdr:col>
                    <xdr:colOff>561975</xdr:colOff>
                    <xdr:row>9</xdr:row>
                    <xdr:rowOff>295275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08">
    <tabColor rgb="FFFFFF00"/>
    <pageSetUpPr fitToPage="1"/>
  </sheetPr>
  <dimension ref="A1:L55"/>
  <sheetViews>
    <sheetView showGridLines="0" showRowColHeaders="0" topLeftCell="A8" zoomScaleNormal="100" zoomScaleSheetLayoutView="100" workbookViewId="0">
      <pane ySplit="12" topLeftCell="A39" activePane="bottomLeft" state="frozen"/>
      <selection pane="bottomLeft" activeCell="H46" sqref="H46"/>
    </sheetView>
  </sheetViews>
  <sheetFormatPr defaultColWidth="0" defaultRowHeight="15" zeroHeight="1"/>
  <cols>
    <col min="1" max="1" width="0.375" style="354" customWidth="1"/>
    <col min="2" max="3" width="9" style="354" customWidth="1"/>
    <col min="4" max="4" width="10.625" style="354" customWidth="1"/>
    <col min="5" max="6" width="9" style="354" customWidth="1"/>
    <col min="7" max="7" width="9.875" style="354" bestFit="1" customWidth="1"/>
    <col min="8" max="8" width="9" style="354" customWidth="1"/>
    <col min="9" max="9" width="9.125" style="354" customWidth="1"/>
    <col min="10" max="10" width="5.875" style="354" customWidth="1"/>
    <col min="11" max="11" width="9" style="354" customWidth="1"/>
    <col min="12" max="12" width="0.375" style="354" customWidth="1"/>
    <col min="13" max="16384" width="9" style="354" hidden="1"/>
  </cols>
  <sheetData>
    <row r="1" spans="1:11">
      <c r="B1" s="355"/>
      <c r="C1" s="355"/>
      <c r="D1" s="355"/>
      <c r="E1" s="356"/>
      <c r="F1" s="356"/>
      <c r="G1" s="356"/>
      <c r="H1" s="356"/>
      <c r="I1" s="356"/>
      <c r="J1" s="356"/>
      <c r="K1" s="356"/>
    </row>
    <row r="2" spans="1:11">
      <c r="B2" s="355"/>
      <c r="C2" s="355"/>
      <c r="D2" s="355"/>
      <c r="E2" s="356"/>
      <c r="F2" s="356"/>
      <c r="G2" s="356"/>
      <c r="H2" s="356"/>
      <c r="I2" s="356"/>
      <c r="J2" s="356"/>
      <c r="K2" s="356"/>
    </row>
    <row r="3" spans="1:11">
      <c r="B3" s="355"/>
      <c r="C3" s="355"/>
      <c r="D3" s="355"/>
      <c r="E3" s="356"/>
      <c r="F3" s="356"/>
      <c r="G3" s="356"/>
      <c r="H3" s="356"/>
      <c r="I3" s="356"/>
      <c r="J3" s="356"/>
      <c r="K3" s="356"/>
    </row>
    <row r="4" spans="1:11" s="357" customFormat="1" ht="18.75">
      <c r="B4" s="358"/>
      <c r="C4" s="358"/>
      <c r="D4" s="358"/>
      <c r="E4" s="359"/>
      <c r="F4" s="359"/>
      <c r="G4" s="360"/>
      <c r="H4" s="361"/>
      <c r="I4" s="361"/>
      <c r="J4" s="361"/>
      <c r="K4" s="334" t="str">
        <f>COMPANY1</f>
        <v>Petro Inspect International</v>
      </c>
    </row>
    <row r="5" spans="1:11" s="362" customFormat="1" ht="11.25">
      <c r="B5" s="363"/>
      <c r="C5" s="363"/>
      <c r="D5" s="363"/>
      <c r="E5" s="364"/>
      <c r="F5" s="364"/>
      <c r="G5" s="365"/>
      <c r="H5" s="366"/>
      <c r="I5" s="366"/>
      <c r="J5" s="366"/>
      <c r="K5" s="335" t="str">
        <f>COMPANY2</f>
        <v>ops@petro-inspect.com</v>
      </c>
    </row>
    <row r="6" spans="1:11" s="362" customFormat="1" ht="11.25">
      <c r="B6" s="363"/>
      <c r="C6" s="363"/>
      <c r="D6" s="363"/>
      <c r="E6" s="364"/>
      <c r="F6" s="364"/>
      <c r="G6" s="365"/>
      <c r="H6" s="366"/>
      <c r="I6" s="366"/>
      <c r="J6" s="366"/>
      <c r="K6" s="335" t="str">
        <f>COMPANY3</f>
        <v/>
      </c>
    </row>
    <row r="7" spans="1:11" s="362" customFormat="1" ht="11.25">
      <c r="A7" s="363"/>
      <c r="B7" s="363"/>
      <c r="C7" s="363"/>
      <c r="D7" s="363"/>
      <c r="E7" s="364"/>
      <c r="F7" s="365"/>
      <c r="G7" s="367"/>
      <c r="H7" s="367"/>
      <c r="I7" s="367"/>
      <c r="J7" s="367"/>
      <c r="K7" s="335" t="str">
        <f>COMPANY4</f>
        <v/>
      </c>
    </row>
    <row r="8" spans="1:11" ht="3" customHeight="1" thickBot="1">
      <c r="A8" s="368"/>
      <c r="B8" s="368"/>
      <c r="C8" s="368"/>
      <c r="D8" s="368"/>
      <c r="E8" s="339"/>
      <c r="F8" s="339"/>
      <c r="G8" s="340"/>
      <c r="H8" s="341"/>
      <c r="I8" s="341"/>
      <c r="J8" s="341"/>
      <c r="K8" s="341"/>
    </row>
    <row r="9" spans="1:11" ht="3.75" customHeight="1">
      <c r="E9" s="356"/>
      <c r="F9" s="356"/>
      <c r="G9" s="369"/>
      <c r="H9" s="370"/>
      <c r="I9" s="370"/>
      <c r="J9" s="370"/>
      <c r="K9" s="370"/>
    </row>
    <row r="10" spans="1:11" hidden="1">
      <c r="E10" s="356"/>
      <c r="F10" s="356"/>
      <c r="G10" s="369"/>
      <c r="H10" s="370"/>
      <c r="I10" s="370"/>
      <c r="J10" s="370"/>
      <c r="K10" s="370"/>
    </row>
    <row r="11" spans="1:11" ht="15" hidden="1" customHeight="1">
      <c r="E11" s="356"/>
      <c r="F11" s="356"/>
      <c r="G11" s="369"/>
      <c r="H11" s="370"/>
      <c r="I11" s="370"/>
      <c r="J11" s="370"/>
      <c r="K11" s="370"/>
    </row>
    <row r="12" spans="1:11" ht="18.75">
      <c r="A12" s="203"/>
      <c r="B12" s="203"/>
      <c r="C12" s="203"/>
      <c r="D12" s="203"/>
      <c r="E12" s="203"/>
      <c r="F12" s="203" t="s">
        <v>204</v>
      </c>
      <c r="G12" s="203"/>
      <c r="H12" s="203"/>
      <c r="I12" s="203"/>
      <c r="J12" s="203"/>
      <c r="K12" s="203"/>
    </row>
    <row r="13" spans="1:11" s="380" customFormat="1" ht="3.75" customHeight="1">
      <c r="A13" s="379"/>
      <c r="B13" s="379"/>
      <c r="C13" s="379"/>
      <c r="D13" s="379"/>
      <c r="E13" s="379"/>
      <c r="F13" s="379"/>
      <c r="G13" s="379"/>
      <c r="H13" s="379"/>
      <c r="I13" s="379"/>
      <c r="J13" s="379"/>
      <c r="K13" s="379"/>
    </row>
    <row r="14" spans="1:11" ht="21">
      <c r="A14" s="371"/>
      <c r="B14" s="1201"/>
      <c r="C14" s="1201"/>
      <c r="D14" s="1201"/>
      <c r="E14" s="1201"/>
      <c r="F14" s="1201" t="s">
        <v>996</v>
      </c>
      <c r="G14" s="1201"/>
      <c r="H14" s="1201"/>
      <c r="I14" s="1201"/>
      <c r="J14" s="1201"/>
      <c r="K14" s="1201"/>
    </row>
    <row r="15" spans="1:11" ht="15.75" customHeight="1">
      <c r="B15" s="331" t="s">
        <v>160</v>
      </c>
      <c r="C15" s="344"/>
      <c r="D15" s="332" t="str">
        <f>VESSEL</f>
        <v>MV PESSADA</v>
      </c>
      <c r="E15" s="373"/>
      <c r="F15" s="373"/>
      <c r="G15" s="373"/>
      <c r="H15" s="373"/>
      <c r="I15" s="373"/>
      <c r="J15" s="373"/>
      <c r="K15" s="373"/>
    </row>
    <row r="16" spans="1:11" ht="15.75" customHeight="1">
      <c r="B16" s="331" t="s">
        <v>1086</v>
      </c>
      <c r="C16" s="344"/>
      <c r="D16" s="607" t="str">
        <f>ALLBARGES</f>
        <v>M/T YALÇIN 2</v>
      </c>
      <c r="E16" s="374"/>
      <c r="F16" s="374"/>
      <c r="G16" s="374"/>
      <c r="H16" s="374"/>
      <c r="I16" s="374"/>
      <c r="J16" s="332"/>
      <c r="K16" s="373"/>
    </row>
    <row r="17" spans="1:11" ht="15.75" customHeight="1">
      <c r="B17" s="331" t="s">
        <v>174</v>
      </c>
      <c r="C17" s="344"/>
      <c r="D17" s="375">
        <f>DATESURVC</f>
        <v>44792</v>
      </c>
      <c r="E17" s="374"/>
      <c r="F17" s="374"/>
      <c r="G17" s="374"/>
      <c r="H17" s="374"/>
      <c r="I17" s="374"/>
      <c r="J17" s="332"/>
      <c r="K17" s="373"/>
    </row>
    <row r="18" spans="1:11">
      <c r="B18" s="331" t="s">
        <v>11</v>
      </c>
      <c r="C18" s="344"/>
      <c r="D18" s="347" t="str">
        <f>PORT</f>
        <v>ISTANBUL / TURKEY</v>
      </c>
      <c r="E18" s="374"/>
      <c r="F18" s="374"/>
      <c r="G18" s="374"/>
      <c r="H18" s="374"/>
      <c r="I18" s="374"/>
      <c r="J18" s="332"/>
      <c r="K18" s="373"/>
    </row>
    <row r="19" spans="1:11" s="380" customFormat="1">
      <c r="B19" s="331" t="s">
        <v>496</v>
      </c>
      <c r="C19" s="344"/>
      <c r="D19" s="347" t="str">
        <f>ALLBARGEGRADES</f>
        <v>LSFO, LSMGO</v>
      </c>
      <c r="E19" s="374"/>
      <c r="F19" s="374"/>
      <c r="G19" s="374"/>
      <c r="H19" s="374"/>
      <c r="I19" s="374"/>
      <c r="J19" s="607"/>
      <c r="K19" s="373"/>
    </row>
    <row r="20" spans="1:11" s="380" customFormat="1" ht="12.75">
      <c r="B20" s="381"/>
      <c r="C20" s="382"/>
      <c r="D20" s="379"/>
      <c r="E20" s="379"/>
      <c r="F20" s="379"/>
      <c r="G20" s="379"/>
      <c r="H20" s="379"/>
      <c r="I20" s="379"/>
      <c r="J20" s="379"/>
      <c r="K20" s="379"/>
    </row>
    <row r="21" spans="1:11" ht="15" customHeight="1">
      <c r="A21" s="371"/>
      <c r="B21" s="3372" t="s">
        <v>610</v>
      </c>
      <c r="C21" s="3372"/>
      <c r="D21" s="3372"/>
      <c r="E21" s="3372"/>
      <c r="F21" s="3372"/>
      <c r="G21" s="3372"/>
      <c r="H21" s="3372"/>
      <c r="I21" s="3372"/>
      <c r="J21" s="3372"/>
      <c r="K21" s="3372"/>
    </row>
    <row r="22" spans="1:11">
      <c r="B22" s="3373"/>
      <c r="C22" s="3373"/>
      <c r="D22" s="3373"/>
      <c r="E22" s="3373"/>
      <c r="F22" s="3373"/>
      <c r="G22" s="3373"/>
      <c r="H22" s="3373"/>
      <c r="I22" s="3373"/>
      <c r="J22" s="3373"/>
      <c r="K22" s="3373"/>
    </row>
    <row r="23" spans="1:11" ht="15" customHeight="1">
      <c r="B23" s="3373" t="s">
        <v>611</v>
      </c>
      <c r="C23" s="3373"/>
      <c r="D23" s="3373"/>
      <c r="E23" s="3373"/>
      <c r="F23" s="3373"/>
      <c r="G23" s="3373"/>
      <c r="H23" s="3373"/>
      <c r="I23" s="3373"/>
      <c r="J23" s="3373"/>
      <c r="K23" s="3373"/>
    </row>
    <row r="24" spans="1:11">
      <c r="B24" s="3373"/>
      <c r="C24" s="3373"/>
      <c r="D24" s="3373"/>
      <c r="E24" s="3373"/>
      <c r="F24" s="3373"/>
      <c r="G24" s="3373"/>
      <c r="H24" s="3373"/>
      <c r="I24" s="3373"/>
      <c r="J24" s="3373"/>
      <c r="K24" s="3373"/>
    </row>
    <row r="25" spans="1:11">
      <c r="B25" s="3373"/>
      <c r="C25" s="3373"/>
      <c r="D25" s="3373"/>
      <c r="E25" s="3373"/>
      <c r="F25" s="3373"/>
      <c r="G25" s="3373"/>
      <c r="H25" s="3373"/>
      <c r="I25" s="3373"/>
      <c r="J25" s="3373"/>
      <c r="K25" s="3373"/>
    </row>
    <row r="26" spans="1:11">
      <c r="B26" s="3373"/>
      <c r="C26" s="3373"/>
      <c r="D26" s="3373"/>
      <c r="E26" s="3373"/>
      <c r="F26" s="3373"/>
      <c r="G26" s="3373"/>
      <c r="H26" s="3373"/>
      <c r="I26" s="3373"/>
      <c r="J26" s="3373"/>
      <c r="K26" s="3373"/>
    </row>
    <row r="27" spans="1:11">
      <c r="B27" s="3373"/>
      <c r="C27" s="3373"/>
      <c r="D27" s="3373"/>
      <c r="E27" s="3373"/>
      <c r="F27" s="3373"/>
      <c r="G27" s="3373"/>
      <c r="H27" s="3373"/>
      <c r="I27" s="3373"/>
      <c r="J27" s="3373"/>
      <c r="K27" s="3373"/>
    </row>
    <row r="28" spans="1:11">
      <c r="B28" s="3373"/>
      <c r="C28" s="3373"/>
      <c r="D28" s="3373"/>
      <c r="E28" s="3373"/>
      <c r="F28" s="3373"/>
      <c r="G28" s="3373"/>
      <c r="H28" s="3373"/>
      <c r="I28" s="3373"/>
      <c r="J28" s="3373"/>
      <c r="K28" s="3373"/>
    </row>
    <row r="29" spans="1:11">
      <c r="B29" s="3373"/>
      <c r="C29" s="3373"/>
      <c r="D29" s="3373"/>
      <c r="E29" s="3373"/>
      <c r="F29" s="3373"/>
      <c r="G29" s="3373"/>
      <c r="H29" s="3373"/>
      <c r="I29" s="3373"/>
      <c r="J29" s="3373"/>
      <c r="K29" s="3373"/>
    </row>
    <row r="30" spans="1:11" ht="15" customHeight="1">
      <c r="A30" s="371"/>
      <c r="B30" s="3373"/>
      <c r="C30" s="3373"/>
      <c r="D30" s="3373"/>
      <c r="E30" s="3373"/>
      <c r="F30" s="3373"/>
      <c r="G30" s="3373"/>
      <c r="H30" s="3373"/>
      <c r="I30" s="3373"/>
      <c r="J30" s="3373"/>
      <c r="K30" s="3373"/>
    </row>
    <row r="31" spans="1:11">
      <c r="B31" s="3373"/>
      <c r="C31" s="3373"/>
      <c r="D31" s="3373"/>
      <c r="E31" s="3373"/>
      <c r="F31" s="3373"/>
      <c r="G31" s="3373"/>
      <c r="H31" s="3373"/>
      <c r="I31" s="3373"/>
      <c r="J31" s="3373"/>
      <c r="K31" s="3373"/>
    </row>
    <row r="32" spans="1:11" ht="15" customHeight="1">
      <c r="B32" s="3373" t="s">
        <v>613</v>
      </c>
      <c r="C32" s="3373"/>
      <c r="D32" s="3373"/>
      <c r="E32" s="3373"/>
      <c r="F32" s="3373"/>
      <c r="G32" s="3373"/>
      <c r="H32" s="3373"/>
      <c r="I32" s="3373"/>
      <c r="J32" s="3373"/>
      <c r="K32" s="3373"/>
    </row>
    <row r="33" spans="1:11" ht="21">
      <c r="A33" s="371"/>
      <c r="B33" s="3373"/>
      <c r="C33" s="3373"/>
      <c r="D33" s="3373"/>
      <c r="E33" s="3373"/>
      <c r="F33" s="3373"/>
      <c r="G33" s="3373"/>
      <c r="H33" s="3373"/>
      <c r="I33" s="3373"/>
      <c r="J33" s="3373"/>
      <c r="K33" s="3373"/>
    </row>
    <row r="34" spans="1:11">
      <c r="B34" s="3373"/>
      <c r="C34" s="3373"/>
      <c r="D34" s="3373"/>
      <c r="E34" s="3373"/>
      <c r="F34" s="3373"/>
      <c r="G34" s="3373"/>
      <c r="H34" s="3373"/>
      <c r="I34" s="3373"/>
      <c r="J34" s="3373"/>
      <c r="K34" s="3373"/>
    </row>
    <row r="35" spans="1:11">
      <c r="B35" s="3373"/>
      <c r="C35" s="3373"/>
      <c r="D35" s="3373"/>
      <c r="E35" s="3373"/>
      <c r="F35" s="3373"/>
      <c r="G35" s="3373"/>
      <c r="H35" s="3373"/>
      <c r="I35" s="3373"/>
      <c r="J35" s="3373"/>
      <c r="K35" s="3373"/>
    </row>
    <row r="36" spans="1:11">
      <c r="B36" s="3373"/>
      <c r="C36" s="3373"/>
      <c r="D36" s="3373"/>
      <c r="E36" s="3373"/>
      <c r="F36" s="3373"/>
      <c r="G36" s="3373"/>
      <c r="H36" s="3373"/>
      <c r="I36" s="3373"/>
      <c r="J36" s="3373"/>
      <c r="K36" s="3373"/>
    </row>
    <row r="37" spans="1:11">
      <c r="B37" s="3373"/>
      <c r="C37" s="3373"/>
      <c r="D37" s="3373"/>
      <c r="E37" s="3373"/>
      <c r="F37" s="3373"/>
      <c r="G37" s="3373"/>
      <c r="H37" s="3373"/>
      <c r="I37" s="3373"/>
      <c r="J37" s="3373"/>
      <c r="K37" s="3373"/>
    </row>
    <row r="38" spans="1:11">
      <c r="B38" s="3373"/>
      <c r="C38" s="3373"/>
      <c r="D38" s="3373"/>
      <c r="E38" s="3373"/>
      <c r="F38" s="3373"/>
      <c r="G38" s="3373"/>
      <c r="H38" s="3373"/>
      <c r="I38" s="3373"/>
      <c r="J38" s="3373"/>
      <c r="K38" s="3373"/>
    </row>
    <row r="39" spans="1:11" ht="15" customHeight="1">
      <c r="B39" s="3374" t="s">
        <v>995</v>
      </c>
      <c r="C39" s="3374"/>
      <c r="D39" s="3374"/>
      <c r="E39" s="3374"/>
      <c r="F39" s="3374"/>
      <c r="G39" s="3374"/>
      <c r="H39" s="3374"/>
      <c r="I39" s="3374"/>
      <c r="J39" s="3374"/>
      <c r="K39" s="3374"/>
    </row>
    <row r="40" spans="1:11" ht="15" customHeight="1">
      <c r="B40" s="3374"/>
      <c r="C40" s="3374"/>
      <c r="D40" s="3374"/>
      <c r="E40" s="3374"/>
      <c r="F40" s="3374"/>
      <c r="G40" s="3374"/>
      <c r="H40" s="3374"/>
      <c r="I40" s="3374"/>
      <c r="J40" s="3374"/>
      <c r="K40" s="3374"/>
    </row>
    <row r="41" spans="1:11">
      <c r="B41" s="3374"/>
      <c r="C41" s="3374"/>
      <c r="D41" s="3374"/>
      <c r="E41" s="3374"/>
      <c r="F41" s="3374"/>
      <c r="G41" s="3374"/>
      <c r="H41" s="3374"/>
      <c r="I41" s="3374"/>
      <c r="J41" s="3374"/>
      <c r="K41" s="3374"/>
    </row>
    <row r="42" spans="1:11">
      <c r="B42" s="3374"/>
      <c r="C42" s="3374"/>
      <c r="D42" s="3374"/>
      <c r="E42" s="3374"/>
      <c r="F42" s="3374"/>
      <c r="G42" s="3374"/>
      <c r="H42" s="3374"/>
      <c r="I42" s="3374"/>
      <c r="J42" s="3374"/>
      <c r="K42" s="3374"/>
    </row>
    <row r="43" spans="1:11">
      <c r="B43" s="3373" t="s">
        <v>612</v>
      </c>
      <c r="C43" s="3373"/>
      <c r="D43" s="3373"/>
      <c r="E43" s="3373"/>
      <c r="F43" s="3373"/>
      <c r="G43" s="3373"/>
      <c r="H43" s="3373"/>
      <c r="I43" s="3373"/>
      <c r="J43" s="3373"/>
      <c r="K43" s="3373"/>
    </row>
    <row r="44" spans="1:11">
      <c r="B44" s="3373"/>
      <c r="C44" s="3373"/>
      <c r="D44" s="3373"/>
      <c r="E44" s="3373"/>
      <c r="F44" s="3373"/>
      <c r="G44" s="3373"/>
      <c r="H44" s="3373"/>
      <c r="I44" s="3373"/>
      <c r="J44" s="3373"/>
      <c r="K44" s="3373"/>
    </row>
    <row r="45" spans="1:11" ht="21">
      <c r="A45" s="371"/>
      <c r="B45" s="3373"/>
      <c r="C45" s="3373"/>
      <c r="D45" s="3373"/>
      <c r="E45" s="3373"/>
      <c r="F45" s="3373"/>
      <c r="G45" s="3373"/>
      <c r="H45" s="3373"/>
      <c r="I45" s="3373"/>
      <c r="J45" s="3373"/>
      <c r="K45" s="3373"/>
    </row>
    <row r="46" spans="1:11">
      <c r="K46" s="355"/>
    </row>
    <row r="47" spans="1:11"/>
    <row r="48" spans="1:11"/>
    <row r="49" spans="1:11"/>
    <row r="50" spans="1:11"/>
    <row r="51" spans="1:11"/>
    <row r="52" spans="1:11">
      <c r="B52" s="3366" t="str">
        <f>CHENG</f>
        <v>CANO ARTHUR D. CADAVOS</v>
      </c>
      <c r="C52" s="3371"/>
      <c r="D52" s="3371"/>
      <c r="H52" s="3366" t="str">
        <f>SURVEYOR</f>
        <v>MEHMET EROĞLU</v>
      </c>
      <c r="I52" s="3366"/>
      <c r="J52" s="3366"/>
      <c r="K52" s="3366"/>
    </row>
    <row r="53" spans="1:11" ht="15" customHeight="1">
      <c r="A53" s="355"/>
      <c r="B53" s="3369" t="s">
        <v>15</v>
      </c>
      <c r="C53" s="3369"/>
      <c r="D53" s="3369"/>
      <c r="E53" s="377"/>
      <c r="H53" s="3367" t="str">
        <f>"Bunker Surveyor"&amp;IF(SPORE=TRUE,", License No. "&amp;SURVLIC,"")</f>
        <v>Bunker Surveyor</v>
      </c>
      <c r="I53" s="3367"/>
      <c r="J53" s="3367"/>
      <c r="K53" s="3367"/>
    </row>
    <row r="54" spans="1:11" ht="15" customHeight="1">
      <c r="B54" s="3370"/>
      <c r="C54" s="3370"/>
      <c r="D54" s="3370"/>
      <c r="E54" s="378"/>
      <c r="H54" s="3368"/>
      <c r="I54" s="3368"/>
      <c r="J54" s="3368"/>
      <c r="K54" s="3368"/>
    </row>
    <row r="55" spans="1:11" ht="2.25" customHeight="1"/>
  </sheetData>
  <sheetProtection autoFilter="0"/>
  <mergeCells count="11">
    <mergeCell ref="H52:K52"/>
    <mergeCell ref="H53:K54"/>
    <mergeCell ref="B53:D54"/>
    <mergeCell ref="B52:D52"/>
    <mergeCell ref="B21:K21"/>
    <mergeCell ref="B22:K22"/>
    <mergeCell ref="B23:K31"/>
    <mergeCell ref="B32:K37"/>
    <mergeCell ref="B38:K38"/>
    <mergeCell ref="B43:K45"/>
    <mergeCell ref="B39:K42"/>
  </mergeCells>
  <printOptions horizontalCentered="1"/>
  <pageMargins left="0.3" right="0.3" top="0.2" bottom="0.3" header="0.3" footer="0.1"/>
  <pageSetup paperSize="9" orientation="portrait" horizontalDpi="4294967293" r:id="rId1"/>
  <headerFooter scaleWithDoc="0">
    <oddFooter>&amp;L&amp;8BunkerManager, v1.12&amp;C&amp;8by AMS-Marine | www.ams-marine.com&amp;R&amp;8RefNo: PI/2022/15000/TR</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09">
    <tabColor rgb="FFFFFF00"/>
    <pageSetUpPr fitToPage="1"/>
  </sheetPr>
  <dimension ref="A1:N59"/>
  <sheetViews>
    <sheetView showGridLines="0" showRowColHeaders="0" tabSelected="1" topLeftCell="A8" zoomScaleNormal="100" zoomScaleSheetLayoutView="100" workbookViewId="0">
      <pane ySplit="11" topLeftCell="A46" activePane="bottomLeft" state="frozen"/>
      <selection pane="bottomLeft" activeCell="G36" sqref="G36:H36"/>
    </sheetView>
  </sheetViews>
  <sheetFormatPr defaultColWidth="0" defaultRowHeight="15" zeroHeight="1"/>
  <cols>
    <col min="1" max="1" width="0.5" style="354" customWidth="1"/>
    <col min="2" max="3" width="9" style="354" customWidth="1"/>
    <col min="4" max="4" width="13" style="354" customWidth="1"/>
    <col min="5" max="5" width="9" style="354" customWidth="1"/>
    <col min="6" max="6" width="9.875" style="354" bestFit="1" customWidth="1"/>
    <col min="7" max="7" width="9" style="354" customWidth="1"/>
    <col min="8" max="8" width="9.125" style="354" customWidth="1"/>
    <col min="9" max="9" width="5.875" style="354" customWidth="1"/>
    <col min="10" max="10" width="8.75" style="354" customWidth="1"/>
    <col min="11" max="11" width="8.625" style="354" customWidth="1"/>
    <col min="12" max="12" width="0.375" style="354" customWidth="1"/>
    <col min="13" max="13" width="9" style="354" hidden="1" customWidth="1"/>
    <col min="14" max="14" width="11.75" style="354" hidden="1" customWidth="1"/>
    <col min="15" max="16384" width="9" style="354" hidden="1"/>
  </cols>
  <sheetData>
    <row r="1" spans="1:14" ht="3.6" customHeight="1">
      <c r="B1" s="355"/>
      <c r="C1" s="355"/>
      <c r="D1" s="355"/>
      <c r="E1" s="356"/>
      <c r="F1" s="356"/>
      <c r="G1" s="356"/>
      <c r="H1" s="356"/>
      <c r="I1" s="356"/>
      <c r="J1" s="356"/>
      <c r="K1" s="356"/>
      <c r="N1" s="1173">
        <v>1</v>
      </c>
    </row>
    <row r="2" spans="1:14">
      <c r="B2" s="355"/>
      <c r="C2" s="355"/>
      <c r="D2" s="355"/>
      <c r="E2" s="356"/>
      <c r="F2" s="356"/>
      <c r="G2" s="356"/>
      <c r="H2" s="356"/>
      <c r="I2" s="356"/>
      <c r="J2" s="356"/>
      <c r="K2" s="356"/>
      <c r="N2" s="1172" t="s">
        <v>978</v>
      </c>
    </row>
    <row r="3" spans="1:14">
      <c r="B3" s="355"/>
      <c r="C3" s="355"/>
      <c r="D3" s="355"/>
      <c r="E3" s="356"/>
      <c r="F3" s="356"/>
      <c r="G3" s="356"/>
      <c r="H3" s="356"/>
      <c r="I3" s="356"/>
      <c r="J3" s="356"/>
      <c r="K3" s="356"/>
      <c r="N3" s="1172" t="s">
        <v>979</v>
      </c>
    </row>
    <row r="4" spans="1:14" ht="18.75">
      <c r="B4" s="355"/>
      <c r="C4" s="355"/>
      <c r="D4" s="355"/>
      <c r="E4" s="356"/>
      <c r="F4" s="334"/>
      <c r="G4" s="334"/>
      <c r="H4" s="334"/>
      <c r="I4" s="334"/>
      <c r="J4" s="334"/>
      <c r="K4" s="334" t="str">
        <f>COMPANY1</f>
        <v>Petro Inspect International</v>
      </c>
    </row>
    <row r="5" spans="1:14">
      <c r="B5" s="355"/>
      <c r="C5" s="355"/>
      <c r="D5" s="355"/>
      <c r="E5" s="356"/>
      <c r="F5" s="335"/>
      <c r="G5" s="335"/>
      <c r="H5" s="335"/>
      <c r="I5" s="335"/>
      <c r="J5" s="335"/>
      <c r="K5" s="335" t="str">
        <f>COMPANY2</f>
        <v>ops@petro-inspect.com</v>
      </c>
    </row>
    <row r="6" spans="1:14" ht="12.75" customHeight="1">
      <c r="B6" s="355"/>
      <c r="C6" s="355"/>
      <c r="D6" s="355"/>
      <c r="E6" s="356"/>
      <c r="F6" s="335"/>
      <c r="G6" s="335"/>
      <c r="H6" s="335"/>
      <c r="I6" s="335"/>
      <c r="J6" s="335"/>
      <c r="K6" s="335" t="str">
        <f>COMPANY3</f>
        <v/>
      </c>
    </row>
    <row r="7" spans="1:14" ht="12.75" customHeight="1">
      <c r="A7" s="355"/>
      <c r="B7" s="355"/>
      <c r="C7" s="355"/>
      <c r="D7" s="355"/>
      <c r="E7" s="356"/>
      <c r="F7" s="335"/>
      <c r="G7" s="335"/>
      <c r="H7" s="335"/>
      <c r="I7" s="335"/>
      <c r="J7" s="335"/>
      <c r="K7" s="335" t="str">
        <f>COMPANY4</f>
        <v/>
      </c>
    </row>
    <row r="8" spans="1:14" ht="3.75" customHeight="1" thickBot="1">
      <c r="A8" s="368"/>
      <c r="B8" s="368"/>
      <c r="C8" s="368"/>
      <c r="D8" s="368"/>
      <c r="E8" s="339"/>
      <c r="F8" s="340"/>
      <c r="G8" s="341"/>
      <c r="H8" s="341"/>
      <c r="I8" s="341"/>
      <c r="J8" s="341"/>
      <c r="K8" s="341"/>
    </row>
    <row r="9" spans="1:14" hidden="1">
      <c r="E9" s="356"/>
      <c r="F9" s="369"/>
      <c r="G9" s="370"/>
      <c r="H9" s="370"/>
      <c r="I9" s="370"/>
      <c r="J9" s="370"/>
      <c r="K9" s="370"/>
    </row>
    <row r="10" spans="1:14" s="362" customFormat="1" ht="3" customHeight="1">
      <c r="E10" s="364"/>
      <c r="F10" s="369"/>
      <c r="G10" s="383"/>
      <c r="H10" s="383"/>
      <c r="I10" s="383"/>
      <c r="J10" s="383"/>
      <c r="K10" s="383"/>
    </row>
    <row r="11" spans="1:14" ht="18.75">
      <c r="A11" s="384"/>
      <c r="B11" s="203"/>
      <c r="C11" s="203"/>
      <c r="D11" s="203"/>
      <c r="E11" s="203"/>
      <c r="F11" s="203" t="s">
        <v>211</v>
      </c>
      <c r="G11" s="203"/>
      <c r="H11" s="203"/>
      <c r="I11" s="203"/>
      <c r="J11" s="203"/>
      <c r="K11" s="203"/>
    </row>
    <row r="12" spans="1:14" s="362" customFormat="1" ht="11.25">
      <c r="A12" s="385"/>
      <c r="B12" s="385"/>
      <c r="C12" s="385"/>
      <c r="D12" s="385"/>
      <c r="E12" s="385"/>
      <c r="F12" s="385"/>
      <c r="G12" s="385"/>
      <c r="H12" s="385"/>
      <c r="I12" s="385"/>
      <c r="J12" s="385"/>
      <c r="K12" s="385"/>
    </row>
    <row r="13" spans="1:14" s="362" customFormat="1" ht="11.25">
      <c r="A13" s="385"/>
      <c r="B13" s="385"/>
      <c r="C13" s="385"/>
      <c r="D13" s="385"/>
      <c r="E13" s="385"/>
      <c r="F13" s="385"/>
      <c r="G13" s="385"/>
      <c r="H13" s="385"/>
      <c r="I13" s="385"/>
      <c r="J13" s="385"/>
      <c r="K13" s="385"/>
    </row>
    <row r="14" spans="1:14" ht="15.75" customHeight="1">
      <c r="B14" s="331" t="s">
        <v>160</v>
      </c>
      <c r="C14" s="372"/>
      <c r="D14" s="332" t="str">
        <f>VESSEL</f>
        <v>MV PESSADA</v>
      </c>
      <c r="E14" s="373"/>
      <c r="F14" s="373"/>
      <c r="G14" s="373"/>
      <c r="H14" s="373"/>
      <c r="I14" s="373"/>
      <c r="J14" s="373"/>
      <c r="K14" s="371"/>
    </row>
    <row r="15" spans="1:14" ht="15.75" customHeight="1">
      <c r="B15" s="331" t="s">
        <v>1086</v>
      </c>
      <c r="C15" s="372"/>
      <c r="D15" s="607" t="str">
        <f>ALLBARGES</f>
        <v>M/T YALÇIN 2</v>
      </c>
      <c r="E15" s="374"/>
      <c r="F15" s="374"/>
      <c r="G15" s="374"/>
      <c r="H15" s="374"/>
      <c r="I15" s="332"/>
      <c r="J15" s="373"/>
      <c r="K15" s="371"/>
    </row>
    <row r="16" spans="1:14" ht="15.75" customHeight="1">
      <c r="B16" s="331" t="s">
        <v>174</v>
      </c>
      <c r="C16" s="372"/>
      <c r="D16" s="375">
        <f>DATESURVC</f>
        <v>44792</v>
      </c>
      <c r="E16" s="374"/>
      <c r="F16" s="374"/>
      <c r="G16" s="374"/>
      <c r="H16" s="374"/>
      <c r="I16" s="332"/>
      <c r="J16" s="373"/>
      <c r="K16" s="371"/>
    </row>
    <row r="17" spans="1:11" ht="15.75" customHeight="1">
      <c r="B17" s="331" t="s">
        <v>496</v>
      </c>
      <c r="C17" s="372"/>
      <c r="D17" s="347" t="str">
        <f>ALLBARGEGRADES</f>
        <v>LSFO, LSMGO</v>
      </c>
      <c r="E17" s="374"/>
      <c r="F17" s="374"/>
      <c r="G17" s="374"/>
      <c r="H17" s="374"/>
      <c r="I17" s="332"/>
      <c r="J17" s="373"/>
      <c r="K17" s="371"/>
    </row>
    <row r="18" spans="1:11" s="362" customFormat="1" ht="11.25">
      <c r="B18" s="386"/>
      <c r="C18" s="387"/>
      <c r="D18" s="385"/>
      <c r="E18" s="385"/>
      <c r="F18" s="385"/>
      <c r="G18" s="385"/>
      <c r="H18" s="385"/>
      <c r="I18" s="385"/>
      <c r="J18" s="385"/>
      <c r="K18" s="385"/>
    </row>
    <row r="19" spans="1:11" s="362" customFormat="1" ht="11.25">
      <c r="B19" s="386"/>
      <c r="C19" s="387"/>
      <c r="D19" s="385"/>
      <c r="E19" s="385"/>
      <c r="F19" s="385"/>
      <c r="G19" s="385"/>
      <c r="H19" s="385"/>
      <c r="I19" s="385"/>
      <c r="J19" s="385"/>
      <c r="K19" s="385"/>
    </row>
    <row r="20" spans="1:11" s="362" customFormat="1" ht="11.25">
      <c r="B20" s="386"/>
      <c r="C20" s="387"/>
      <c r="D20" s="385"/>
      <c r="E20" s="385"/>
      <c r="F20" s="385"/>
      <c r="G20" s="385"/>
      <c r="H20" s="385"/>
      <c r="I20" s="385"/>
      <c r="J20" s="385"/>
      <c r="K20" s="385"/>
    </row>
    <row r="21" spans="1:11" ht="15" customHeight="1">
      <c r="A21" s="371"/>
      <c r="B21" s="3380" t="s">
        <v>1121</v>
      </c>
      <c r="C21" s="3381"/>
      <c r="D21" s="3381"/>
      <c r="E21" s="3381"/>
      <c r="F21" s="3381"/>
      <c r="G21" s="3381"/>
      <c r="H21" s="3381"/>
      <c r="I21" s="3381"/>
      <c r="J21" s="3381"/>
      <c r="K21" s="3381"/>
    </row>
    <row r="22" spans="1:11">
      <c r="B22" s="3381"/>
      <c r="C22" s="3381"/>
      <c r="D22" s="3381"/>
      <c r="E22" s="3381"/>
      <c r="F22" s="3381"/>
      <c r="G22" s="3381"/>
      <c r="H22" s="3381"/>
      <c r="I22" s="3381"/>
      <c r="J22" s="3381"/>
      <c r="K22" s="3381"/>
    </row>
    <row r="23" spans="1:11">
      <c r="B23" s="3381"/>
      <c r="C23" s="3381"/>
      <c r="D23" s="3381"/>
      <c r="E23" s="3381"/>
      <c r="F23" s="3381"/>
      <c r="G23" s="3381"/>
      <c r="H23" s="3381"/>
      <c r="I23" s="3381"/>
      <c r="J23" s="3381"/>
      <c r="K23" s="3381"/>
    </row>
    <row r="24" spans="1:11">
      <c r="B24" s="3381"/>
      <c r="C24" s="3381"/>
      <c r="D24" s="3381"/>
      <c r="E24" s="3381"/>
      <c r="F24" s="3381"/>
      <c r="G24" s="3381"/>
      <c r="H24" s="3381"/>
      <c r="I24" s="3381"/>
      <c r="J24" s="3381"/>
      <c r="K24" s="3381"/>
    </row>
    <row r="25" spans="1:11">
      <c r="B25" s="3381"/>
      <c r="C25" s="3381"/>
      <c r="D25" s="3381"/>
      <c r="E25" s="3381"/>
      <c r="F25" s="3381"/>
      <c r="G25" s="3381"/>
      <c r="H25" s="3381"/>
      <c r="I25" s="3381"/>
      <c r="J25" s="3381"/>
      <c r="K25" s="3381"/>
    </row>
    <row r="26" spans="1:11">
      <c r="B26" s="3381"/>
      <c r="C26" s="3381"/>
      <c r="D26" s="3381"/>
      <c r="E26" s="3381"/>
      <c r="F26" s="3381"/>
      <c r="G26" s="3381"/>
      <c r="H26" s="3381"/>
      <c r="I26" s="3381"/>
      <c r="J26" s="3381"/>
      <c r="K26" s="3381"/>
    </row>
    <row r="27" spans="1:11">
      <c r="B27" s="3381"/>
      <c r="C27" s="3381"/>
      <c r="D27" s="3381"/>
      <c r="E27" s="3381"/>
      <c r="F27" s="3381"/>
      <c r="G27" s="3381"/>
      <c r="H27" s="3381"/>
      <c r="I27" s="3381"/>
      <c r="J27" s="3381"/>
      <c r="K27" s="3381"/>
    </row>
    <row r="28" spans="1:11" ht="21">
      <c r="A28" s="371"/>
      <c r="B28" s="3381"/>
      <c r="C28" s="3381"/>
      <c r="D28" s="3381"/>
      <c r="E28" s="3381"/>
      <c r="F28" s="3381"/>
      <c r="G28" s="3381"/>
      <c r="H28" s="3381"/>
      <c r="I28" s="3381"/>
      <c r="J28" s="3381"/>
      <c r="K28" s="3381"/>
    </row>
    <row r="29" spans="1:11">
      <c r="B29" s="3381"/>
      <c r="C29" s="3381"/>
      <c r="D29" s="3381"/>
      <c r="E29" s="3381"/>
      <c r="F29" s="3381"/>
      <c r="G29" s="3381"/>
      <c r="H29" s="3381"/>
      <c r="I29" s="3381"/>
      <c r="J29" s="3381"/>
      <c r="K29" s="3381"/>
    </row>
    <row r="30" spans="1:11">
      <c r="B30" s="3381"/>
      <c r="C30" s="3381"/>
      <c r="D30" s="3381"/>
      <c r="E30" s="3381"/>
      <c r="F30" s="3381"/>
      <c r="G30" s="3381"/>
      <c r="H30" s="3381"/>
      <c r="I30" s="3381"/>
      <c r="J30" s="3381"/>
      <c r="K30" s="3381"/>
    </row>
    <row r="31" spans="1:11">
      <c r="B31" s="3381"/>
      <c r="C31" s="3381"/>
      <c r="D31" s="3381"/>
      <c r="E31" s="3381"/>
      <c r="F31" s="3381"/>
      <c r="G31" s="3381"/>
      <c r="H31" s="3381"/>
      <c r="I31" s="3381"/>
      <c r="J31" s="3381"/>
      <c r="K31" s="3381"/>
    </row>
    <row r="32" spans="1:11">
      <c r="B32" s="388"/>
      <c r="C32" s="388"/>
      <c r="D32" s="388"/>
      <c r="E32" s="388"/>
      <c r="F32" s="388"/>
      <c r="G32" s="388"/>
      <c r="H32" s="388"/>
      <c r="I32" s="388"/>
      <c r="J32" s="388"/>
      <c r="K32" s="388"/>
    </row>
    <row r="33" spans="1:11" ht="20.25" customHeight="1">
      <c r="B33" s="3386" t="s">
        <v>490</v>
      </c>
      <c r="C33" s="3387"/>
      <c r="D33" s="3388"/>
      <c r="E33" s="3386" t="s">
        <v>210</v>
      </c>
      <c r="F33" s="3391"/>
      <c r="G33" s="3389" t="s">
        <v>209</v>
      </c>
      <c r="H33" s="3390"/>
      <c r="I33" s="3382" t="s">
        <v>49</v>
      </c>
      <c r="J33" s="3383"/>
      <c r="K33" s="3383"/>
    </row>
    <row r="34" spans="1:11" ht="15" customHeight="1">
      <c r="B34" s="3377" t="s">
        <v>208</v>
      </c>
      <c r="C34" s="3377"/>
      <c r="D34" s="3377"/>
      <c r="E34" s="3392" t="s">
        <v>6</v>
      </c>
      <c r="F34" s="3376"/>
      <c r="G34" s="3384">
        <v>21210281</v>
      </c>
      <c r="H34" s="3378"/>
      <c r="I34" s="3377"/>
      <c r="J34" s="3377"/>
      <c r="K34" s="3377"/>
    </row>
    <row r="35" spans="1:11" ht="15" customHeight="1">
      <c r="B35" s="3377" t="s">
        <v>207</v>
      </c>
      <c r="C35" s="3377"/>
      <c r="D35" s="3377"/>
      <c r="E35" s="3392" t="s">
        <v>6</v>
      </c>
      <c r="F35" s="3376"/>
      <c r="G35" s="3385" t="s">
        <v>1577</v>
      </c>
      <c r="H35" s="3378"/>
      <c r="I35" s="3377"/>
      <c r="J35" s="3377"/>
      <c r="K35" s="3377"/>
    </row>
    <row r="36" spans="1:11" ht="15" customHeight="1">
      <c r="A36" s="371"/>
      <c r="B36" s="3379"/>
      <c r="C36" s="3377"/>
      <c r="D36" s="3377"/>
      <c r="E36" s="3375"/>
      <c r="F36" s="3376"/>
      <c r="G36" s="3378"/>
      <c r="H36" s="3378"/>
      <c r="I36" s="3377"/>
      <c r="J36" s="3377"/>
      <c r="K36" s="3377"/>
    </row>
    <row r="37" spans="1:11" ht="15" customHeight="1">
      <c r="B37" s="3377"/>
      <c r="C37" s="3377"/>
      <c r="D37" s="3377"/>
      <c r="E37" s="3375"/>
      <c r="F37" s="3376"/>
      <c r="G37" s="3378"/>
      <c r="H37" s="3378"/>
      <c r="I37" s="3377"/>
      <c r="J37" s="3377"/>
      <c r="K37" s="3377"/>
    </row>
    <row r="38" spans="1:11" ht="15" customHeight="1">
      <c r="B38" s="3377"/>
      <c r="C38" s="3377"/>
      <c r="D38" s="3377"/>
      <c r="E38" s="3375"/>
      <c r="F38" s="3376"/>
      <c r="G38" s="3378"/>
      <c r="H38" s="3378"/>
      <c r="I38" s="3377"/>
      <c r="J38" s="3377"/>
      <c r="K38" s="3377"/>
    </row>
    <row r="39" spans="1:11" ht="15" customHeight="1">
      <c r="B39" s="3377"/>
      <c r="C39" s="3377"/>
      <c r="D39" s="3377"/>
      <c r="E39" s="3375"/>
      <c r="F39" s="3376"/>
      <c r="G39" s="3378"/>
      <c r="H39" s="3378"/>
      <c r="I39" s="3377"/>
      <c r="J39" s="3377"/>
      <c r="K39" s="3377"/>
    </row>
    <row r="40" spans="1:11" ht="15" customHeight="1">
      <c r="B40" s="416"/>
      <c r="C40" s="416"/>
      <c r="D40" s="416"/>
      <c r="E40" s="416"/>
    </row>
    <row r="41" spans="1:11">
      <c r="B41" s="3394"/>
      <c r="C41" s="3395"/>
      <c r="D41" s="3395"/>
      <c r="E41" s="3396"/>
      <c r="G41" s="3403"/>
      <c r="H41" s="3404"/>
      <c r="I41" s="3404"/>
      <c r="J41" s="3404"/>
      <c r="K41" s="3405"/>
    </row>
    <row r="42" spans="1:11">
      <c r="B42" s="3397"/>
      <c r="C42" s="3398"/>
      <c r="D42" s="3398"/>
      <c r="E42" s="3399"/>
      <c r="G42" s="3406"/>
      <c r="H42" s="3407"/>
      <c r="I42" s="3407"/>
      <c r="J42" s="3407"/>
      <c r="K42" s="3408"/>
    </row>
    <row r="43" spans="1:11">
      <c r="B43" s="3397"/>
      <c r="C43" s="3398"/>
      <c r="D43" s="3398"/>
      <c r="E43" s="3399"/>
      <c r="G43" s="3406"/>
      <c r="H43" s="3407"/>
      <c r="I43" s="3407"/>
      <c r="J43" s="3407"/>
      <c r="K43" s="3408"/>
    </row>
    <row r="44" spans="1:11">
      <c r="B44" s="3397"/>
      <c r="C44" s="3398"/>
      <c r="D44" s="3398"/>
      <c r="E44" s="3399"/>
      <c r="G44" s="3406"/>
      <c r="H44" s="3407"/>
      <c r="I44" s="3407"/>
      <c r="J44" s="3407"/>
      <c r="K44" s="3408"/>
    </row>
    <row r="45" spans="1:11">
      <c r="B45" s="3397"/>
      <c r="C45" s="3398"/>
      <c r="D45" s="3398"/>
      <c r="E45" s="3399"/>
      <c r="G45" s="3406"/>
      <c r="H45" s="3407"/>
      <c r="I45" s="3407"/>
      <c r="J45" s="3407"/>
      <c r="K45" s="3408"/>
    </row>
    <row r="46" spans="1:11">
      <c r="B46" s="3397"/>
      <c r="C46" s="3398"/>
      <c r="D46" s="3398"/>
      <c r="E46" s="3399"/>
      <c r="F46" s="416"/>
      <c r="G46" s="3406"/>
      <c r="H46" s="3407"/>
      <c r="I46" s="3407"/>
      <c r="J46" s="3407"/>
      <c r="K46" s="3408"/>
    </row>
    <row r="47" spans="1:11">
      <c r="B47" s="3397"/>
      <c r="C47" s="3398"/>
      <c r="D47" s="3398"/>
      <c r="E47" s="3399"/>
      <c r="F47" s="416"/>
      <c r="G47" s="3406"/>
      <c r="H47" s="3407"/>
      <c r="I47" s="3407"/>
      <c r="J47" s="3407"/>
      <c r="K47" s="3408"/>
    </row>
    <row r="48" spans="1:11">
      <c r="B48" s="3397"/>
      <c r="C48" s="3398"/>
      <c r="D48" s="3398"/>
      <c r="E48" s="3399"/>
      <c r="F48" s="416"/>
      <c r="G48" s="3406"/>
      <c r="H48" s="3407"/>
      <c r="I48" s="3407"/>
      <c r="J48" s="3407"/>
      <c r="K48" s="3408"/>
    </row>
    <row r="49" spans="2:11">
      <c r="B49" s="3397"/>
      <c r="C49" s="3398"/>
      <c r="D49" s="3398"/>
      <c r="E49" s="3399"/>
      <c r="F49" s="416"/>
      <c r="G49" s="3406"/>
      <c r="H49" s="3407"/>
      <c r="I49" s="3407"/>
      <c r="J49" s="3407"/>
      <c r="K49" s="3408"/>
    </row>
    <row r="50" spans="2:11">
      <c r="B50" s="3397"/>
      <c r="C50" s="3398"/>
      <c r="D50" s="3398"/>
      <c r="E50" s="3399"/>
      <c r="F50" s="416"/>
      <c r="G50" s="3406"/>
      <c r="H50" s="3407"/>
      <c r="I50" s="3407"/>
      <c r="J50" s="3407"/>
      <c r="K50" s="3408"/>
    </row>
    <row r="51" spans="2:11">
      <c r="B51" s="3397"/>
      <c r="C51" s="3398"/>
      <c r="D51" s="3398"/>
      <c r="E51" s="3399"/>
      <c r="F51" s="390"/>
      <c r="G51" s="3406"/>
      <c r="H51" s="3407"/>
      <c r="I51" s="3407"/>
      <c r="J51" s="3407"/>
      <c r="K51" s="3408"/>
    </row>
    <row r="52" spans="2:11" ht="14.25" customHeight="1">
      <c r="B52" s="3400"/>
      <c r="C52" s="3401"/>
      <c r="D52" s="3401"/>
      <c r="E52" s="3402"/>
      <c r="F52" s="390"/>
      <c r="G52" s="3409"/>
      <c r="H52" s="3410"/>
      <c r="I52" s="3410"/>
      <c r="J52" s="3410"/>
      <c r="K52" s="3411"/>
    </row>
    <row r="53" spans="2:11" ht="17.25" customHeight="1">
      <c r="B53" s="3393" t="s">
        <v>206</v>
      </c>
      <c r="C53" s="3393"/>
      <c r="D53" s="3393"/>
      <c r="E53" s="3393"/>
      <c r="G53" s="3393" t="s">
        <v>205</v>
      </c>
      <c r="H53" s="3393"/>
      <c r="I53" s="3393"/>
      <c r="J53" s="3393"/>
      <c r="K53" s="3393"/>
    </row>
    <row r="54" spans="2:11">
      <c r="B54" s="389"/>
      <c r="C54" s="390"/>
      <c r="D54" s="390"/>
      <c r="E54" s="389"/>
      <c r="F54" s="390"/>
    </row>
    <row r="55" spans="2:11">
      <c r="B55" s="389"/>
      <c r="C55" s="390"/>
      <c r="D55" s="390"/>
      <c r="E55" s="389"/>
      <c r="F55" s="390"/>
    </row>
    <row r="56" spans="2:11">
      <c r="B56" s="3366" t="str">
        <f>CHENG</f>
        <v>CANO ARTHUR D. CADAVOS</v>
      </c>
      <c r="C56" s="3371"/>
      <c r="D56" s="3371"/>
      <c r="E56" s="3371"/>
      <c r="G56" s="3366" t="str">
        <f>SURVEYOR</f>
        <v>MEHMET EROĞLU</v>
      </c>
      <c r="H56" s="3366"/>
      <c r="I56" s="3366"/>
      <c r="J56" s="3366"/>
      <c r="K56" s="3366"/>
    </row>
    <row r="57" spans="2:11" ht="15" customHeight="1">
      <c r="B57" s="3369" t="s">
        <v>15</v>
      </c>
      <c r="C57" s="3369"/>
      <c r="D57" s="3369"/>
      <c r="E57" s="3369"/>
      <c r="G57" s="3367" t="str">
        <f>"Bunker Surveyor"&amp;IF(SPORE=TRUE,", License No. "&amp;SURVLIC,"")</f>
        <v>Bunker Surveyor</v>
      </c>
      <c r="H57" s="3367"/>
      <c r="I57" s="3367"/>
      <c r="J57" s="3367"/>
      <c r="K57" s="3367"/>
    </row>
    <row r="58" spans="2:11">
      <c r="B58" s="3370"/>
      <c r="C58" s="3370"/>
      <c r="D58" s="3370"/>
      <c r="E58" s="3370"/>
      <c r="G58" s="3368"/>
      <c r="H58" s="3368"/>
      <c r="I58" s="3368"/>
      <c r="J58" s="3368"/>
      <c r="K58" s="3368"/>
    </row>
    <row r="59" spans="2:11" ht="3" customHeight="1"/>
  </sheetData>
  <sheetProtection autoFilter="0"/>
  <mergeCells count="37">
    <mergeCell ref="G57:K58"/>
    <mergeCell ref="B57:E58"/>
    <mergeCell ref="B37:D37"/>
    <mergeCell ref="B38:D38"/>
    <mergeCell ref="B39:D39"/>
    <mergeCell ref="B53:E53"/>
    <mergeCell ref="B56:E56"/>
    <mergeCell ref="E39:F39"/>
    <mergeCell ref="G39:H39"/>
    <mergeCell ref="I39:K39"/>
    <mergeCell ref="G56:K56"/>
    <mergeCell ref="G53:K53"/>
    <mergeCell ref="B41:E52"/>
    <mergeCell ref="G41:K52"/>
    <mergeCell ref="B36:D36"/>
    <mergeCell ref="B21:K31"/>
    <mergeCell ref="I33:K33"/>
    <mergeCell ref="I34:K34"/>
    <mergeCell ref="I35:K35"/>
    <mergeCell ref="B34:D34"/>
    <mergeCell ref="G34:H34"/>
    <mergeCell ref="G35:H35"/>
    <mergeCell ref="B35:D35"/>
    <mergeCell ref="B33:D33"/>
    <mergeCell ref="G33:H33"/>
    <mergeCell ref="I36:K36"/>
    <mergeCell ref="G36:H36"/>
    <mergeCell ref="E33:F33"/>
    <mergeCell ref="E34:F34"/>
    <mergeCell ref="E35:F35"/>
    <mergeCell ref="E36:F36"/>
    <mergeCell ref="E37:F37"/>
    <mergeCell ref="I37:K37"/>
    <mergeCell ref="G37:H37"/>
    <mergeCell ref="E38:F38"/>
    <mergeCell ref="G38:H38"/>
    <mergeCell ref="I38:K38"/>
  </mergeCells>
  <printOptions horizontalCentered="1"/>
  <pageMargins left="0.3" right="0.3" top="0.2" bottom="0.3" header="0.3" footer="0.1"/>
  <pageSetup paperSize="9" scale="99" orientation="portrait" horizontalDpi="4294967293" r:id="rId1"/>
  <headerFooter scaleWithDoc="0">
    <oddFooter>&amp;L&amp;8BunkerManager, v1.12&amp;C&amp;8by AMS-Marine | www.ams-marine.com&amp;R&amp;8RefNo: PI/2022/15000/TR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5250" r:id="rId4" name="List Box 2">
              <controlPr defaultSize="0" print="0" autoLine="0" autoPict="0" macro="[0]!VALVEPHOTOS">
                <anchor moveWithCells="1">
                  <from>
                    <xdr:col>8</xdr:col>
                    <xdr:colOff>342900</xdr:colOff>
                    <xdr:row>15</xdr:row>
                    <xdr:rowOff>38100</xdr:rowOff>
                  </from>
                  <to>
                    <xdr:col>10</xdr:col>
                    <xdr:colOff>619125</xdr:colOff>
                    <xdr:row>16</xdr:row>
                    <xdr:rowOff>123825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6">
    <tabColor rgb="FFFFFF00"/>
    <pageSetUpPr fitToPage="1"/>
  </sheetPr>
  <dimension ref="A1:XFC65"/>
  <sheetViews>
    <sheetView showGridLines="0" showRowColHeaders="0" topLeftCell="A8" zoomScaleNormal="100" zoomScaleSheetLayoutView="100" workbookViewId="0">
      <pane ySplit="8" topLeftCell="A16" activePane="bottomLeft" state="frozen"/>
      <selection pane="bottomLeft"/>
    </sheetView>
  </sheetViews>
  <sheetFormatPr defaultColWidth="0" defaultRowHeight="13.5" zeroHeight="1"/>
  <cols>
    <col min="1" max="1" width="9.125" style="11" customWidth="1"/>
    <col min="2" max="2" width="7.375" style="11" customWidth="1"/>
    <col min="3" max="3" width="9" style="11" customWidth="1"/>
    <col min="4" max="4" width="10.625" style="11" customWidth="1"/>
    <col min="5" max="6" width="9" style="11" customWidth="1"/>
    <col min="7" max="7" width="9.875" style="11" bestFit="1" customWidth="1"/>
    <col min="8" max="8" width="9" style="11" customWidth="1"/>
    <col min="9" max="9" width="9.125" style="11" customWidth="1"/>
    <col min="10" max="10" width="5.875" style="11" customWidth="1"/>
    <col min="11" max="11" width="9" style="11" customWidth="1"/>
    <col min="12" max="12" width="0.375" style="11" customWidth="1"/>
    <col min="13" max="16383" width="9" style="11" hidden="1"/>
    <col min="16384" max="16384" width="2.5" style="11" hidden="1"/>
  </cols>
  <sheetData>
    <row r="1" spans="1:11" ht="15">
      <c r="A1" s="325"/>
      <c r="B1" s="325"/>
      <c r="C1" s="325"/>
      <c r="D1" s="325"/>
      <c r="E1" s="325"/>
      <c r="F1" s="325"/>
      <c r="G1" s="325"/>
      <c r="H1" s="325"/>
      <c r="I1" s="325"/>
      <c r="J1" s="325"/>
      <c r="K1" s="325"/>
    </row>
    <row r="2" spans="1:11" ht="15">
      <c r="A2" s="325"/>
      <c r="B2" s="325"/>
      <c r="C2" s="325"/>
      <c r="D2" s="325"/>
      <c r="E2" s="325"/>
      <c r="F2" s="325"/>
      <c r="G2" s="325"/>
      <c r="H2" s="325"/>
      <c r="I2" s="325"/>
      <c r="J2" s="325"/>
      <c r="K2" s="325"/>
    </row>
    <row r="3" spans="1:11" ht="15">
      <c r="A3" s="325"/>
      <c r="B3" s="325"/>
      <c r="C3" s="325"/>
      <c r="D3" s="325"/>
      <c r="E3" s="325"/>
      <c r="F3" s="325"/>
      <c r="G3" s="325"/>
      <c r="H3" s="325"/>
      <c r="I3" s="325"/>
      <c r="J3" s="325"/>
      <c r="K3" s="325"/>
    </row>
    <row r="4" spans="1:11" ht="18.75">
      <c r="A4" s="325"/>
      <c r="B4" s="325"/>
      <c r="C4" s="325"/>
      <c r="D4" s="325"/>
      <c r="E4" s="325"/>
      <c r="F4" s="325"/>
      <c r="G4" s="325"/>
      <c r="H4" s="325"/>
      <c r="I4" s="325"/>
      <c r="J4" s="325"/>
      <c r="K4" s="334" t="str">
        <f>COMPANY1</f>
        <v>Petro Inspect International</v>
      </c>
    </row>
    <row r="5" spans="1:11" s="407" customFormat="1" ht="11.25">
      <c r="A5" s="406"/>
      <c r="B5" s="406"/>
      <c r="C5" s="406"/>
      <c r="D5" s="406"/>
      <c r="E5" s="406"/>
      <c r="F5" s="406"/>
      <c r="G5" s="406"/>
      <c r="H5" s="406"/>
      <c r="I5" s="406"/>
      <c r="J5" s="406"/>
      <c r="K5" s="335" t="str">
        <f>COMPANY2</f>
        <v>ops@petro-inspect.com</v>
      </c>
    </row>
    <row r="6" spans="1:11" s="407" customFormat="1" ht="11.25">
      <c r="A6" s="406"/>
      <c r="B6" s="406"/>
      <c r="C6" s="406"/>
      <c r="D6" s="406"/>
      <c r="E6" s="406"/>
      <c r="F6" s="406"/>
      <c r="G6" s="406"/>
      <c r="H6" s="406"/>
      <c r="I6" s="406"/>
      <c r="J6" s="406"/>
      <c r="K6" s="335" t="str">
        <f>COMPANY3</f>
        <v/>
      </c>
    </row>
    <row r="7" spans="1:11" s="407" customFormat="1" ht="11.25">
      <c r="A7" s="406"/>
      <c r="B7" s="406"/>
      <c r="C7" s="406"/>
      <c r="D7" s="406"/>
      <c r="E7" s="406"/>
      <c r="F7" s="406"/>
      <c r="G7" s="406"/>
      <c r="H7" s="406"/>
      <c r="I7" s="406"/>
      <c r="J7" s="406"/>
      <c r="K7" s="335" t="str">
        <f>COMPANY4</f>
        <v/>
      </c>
    </row>
    <row r="8" spans="1:11" ht="3.75" customHeight="1" thickBot="1">
      <c r="A8" s="338"/>
      <c r="B8" s="338"/>
      <c r="C8" s="338"/>
      <c r="D8" s="338"/>
      <c r="E8" s="339"/>
      <c r="F8" s="339"/>
      <c r="G8" s="340"/>
      <c r="H8" s="341"/>
      <c r="I8" s="341"/>
      <c r="J8" s="341"/>
      <c r="K8" s="341"/>
    </row>
    <row r="9" spans="1:11" ht="3.75" customHeight="1">
      <c r="A9" s="325"/>
      <c r="B9" s="325"/>
      <c r="C9" s="325"/>
      <c r="D9" s="325"/>
      <c r="E9" s="325"/>
      <c r="F9" s="325"/>
      <c r="G9" s="325"/>
      <c r="H9" s="325"/>
      <c r="I9" s="325"/>
      <c r="J9" s="325"/>
      <c r="K9" s="325"/>
    </row>
    <row r="10" spans="1:11" ht="18.75">
      <c r="A10" s="203"/>
      <c r="B10" s="203"/>
      <c r="C10" s="203"/>
      <c r="D10" s="203"/>
      <c r="E10" s="203"/>
      <c r="F10" s="203" t="s">
        <v>235</v>
      </c>
      <c r="G10" s="203"/>
      <c r="H10" s="203"/>
      <c r="I10" s="203"/>
      <c r="J10" s="203"/>
      <c r="K10" s="203"/>
    </row>
    <row r="11" spans="1:11" ht="6" customHeight="1">
      <c r="A11" s="325"/>
      <c r="B11" s="325"/>
      <c r="C11" s="325"/>
      <c r="D11" s="325"/>
      <c r="E11" s="325"/>
      <c r="F11" s="325"/>
      <c r="G11" s="325"/>
      <c r="H11" s="325"/>
      <c r="I11" s="325"/>
      <c r="J11" s="325"/>
      <c r="K11" s="325"/>
    </row>
    <row r="12" spans="1:11" ht="15">
      <c r="A12" s="331" t="s">
        <v>160</v>
      </c>
      <c r="B12" s="344"/>
      <c r="C12" s="607" t="str">
        <f>VESSEL</f>
        <v>MV PESSADA</v>
      </c>
      <c r="D12" s="607"/>
      <c r="E12" s="325"/>
      <c r="F12" s="325"/>
      <c r="G12" s="325"/>
      <c r="H12" s="325"/>
      <c r="I12" s="325"/>
      <c r="J12" s="325"/>
      <c r="K12" s="325"/>
    </row>
    <row r="13" spans="1:11" ht="15">
      <c r="A13" s="331" t="s">
        <v>175</v>
      </c>
      <c r="B13" s="344"/>
      <c r="C13" s="607" t="str">
        <f>MYBARGENAME</f>
        <v>M/T YALÇIN 2</v>
      </c>
      <c r="D13" s="608"/>
      <c r="E13" s="325"/>
      <c r="F13" s="325"/>
      <c r="G13" s="325"/>
      <c r="H13" s="325"/>
      <c r="I13" s="325"/>
      <c r="J13" s="325"/>
      <c r="K13" s="325"/>
    </row>
    <row r="14" spans="1:11" ht="15">
      <c r="A14" s="331" t="s">
        <v>174</v>
      </c>
      <c r="B14" s="344"/>
      <c r="C14" s="609">
        <f>DATESURVC</f>
        <v>44792</v>
      </c>
      <c r="D14" s="609"/>
      <c r="E14" s="325"/>
      <c r="F14" s="325"/>
      <c r="G14" s="325"/>
      <c r="H14" s="325"/>
      <c r="I14" s="325"/>
      <c r="J14" s="325"/>
      <c r="K14" s="325"/>
    </row>
    <row r="15" spans="1:11" ht="15">
      <c r="A15" s="505" t="s">
        <v>234</v>
      </c>
      <c r="B15" s="345"/>
      <c r="C15" s="610" t="s">
        <v>30</v>
      </c>
      <c r="D15" s="610"/>
      <c r="E15" s="610"/>
      <c r="F15" s="610"/>
      <c r="G15" s="610"/>
      <c r="H15" s="610"/>
      <c r="I15" s="325"/>
      <c r="J15" s="325"/>
      <c r="K15" s="325"/>
    </row>
    <row r="16" spans="1:11" ht="15">
      <c r="A16" s="343"/>
      <c r="B16" s="343"/>
      <c r="C16" s="343"/>
      <c r="D16" s="343"/>
      <c r="E16" s="343"/>
      <c r="F16" s="343"/>
      <c r="G16" s="343"/>
      <c r="H16" s="343"/>
      <c r="I16" s="343"/>
      <c r="J16" s="343"/>
      <c r="K16" s="343"/>
    </row>
    <row r="17" spans="1:11" ht="15" customHeight="1">
      <c r="A17" s="342" t="s">
        <v>233</v>
      </c>
      <c r="B17" s="1421" t="s">
        <v>232</v>
      </c>
      <c r="C17" s="1421"/>
      <c r="D17" s="1421"/>
      <c r="E17" s="1421"/>
      <c r="F17" s="1421"/>
      <c r="G17" s="1421"/>
      <c r="H17" s="1421"/>
      <c r="I17" s="1421"/>
      <c r="J17" s="1421"/>
      <c r="K17" s="1421"/>
    </row>
    <row r="18" spans="1:11" ht="15" customHeight="1">
      <c r="A18" s="342" t="s">
        <v>231</v>
      </c>
      <c r="B18" s="1422" t="s">
        <v>230</v>
      </c>
      <c r="C18" s="1422"/>
      <c r="D18" s="1422"/>
      <c r="E18" s="1422"/>
      <c r="F18" s="1422"/>
      <c r="G18" s="1422"/>
      <c r="H18" s="1422"/>
      <c r="I18" s="1422"/>
      <c r="J18" s="1422"/>
      <c r="K18" s="1422"/>
    </row>
    <row r="19" spans="1:11" ht="15" customHeight="1">
      <c r="A19" s="342"/>
      <c r="B19" s="1422" t="s">
        <v>229</v>
      </c>
      <c r="C19" s="1422"/>
      <c r="D19" s="1422"/>
      <c r="E19" s="1422"/>
      <c r="F19" s="1422"/>
      <c r="G19" s="1422"/>
      <c r="H19" s="1422"/>
      <c r="I19" s="1422"/>
      <c r="J19" s="1422"/>
      <c r="K19" s="1422"/>
    </row>
    <row r="20" spans="1:11" ht="15" customHeight="1">
      <c r="A20" s="342" t="s">
        <v>228</v>
      </c>
      <c r="B20" s="1421" t="s">
        <v>227</v>
      </c>
      <c r="C20" s="1421"/>
      <c r="D20" s="1421"/>
      <c r="E20" s="1421"/>
      <c r="F20" s="1421"/>
      <c r="G20" s="1421"/>
      <c r="H20" s="1421"/>
      <c r="I20" s="1421"/>
      <c r="J20" s="1421"/>
      <c r="K20" s="1421"/>
    </row>
    <row r="21" spans="1:11" ht="15" customHeight="1">
      <c r="A21" s="342" t="s">
        <v>226</v>
      </c>
      <c r="B21" s="1421" t="s">
        <v>225</v>
      </c>
      <c r="C21" s="1421"/>
      <c r="D21" s="1421"/>
      <c r="E21" s="1421"/>
      <c r="F21" s="1421"/>
      <c r="G21" s="1421"/>
      <c r="H21" s="1421"/>
      <c r="I21" s="1421"/>
      <c r="J21" s="1421"/>
      <c r="K21" s="1421"/>
    </row>
    <row r="22" spans="1:11" ht="15" customHeight="1">
      <c r="A22" s="342"/>
      <c r="B22" s="1422" t="s">
        <v>224</v>
      </c>
      <c r="C22" s="1422"/>
      <c r="D22" s="1422"/>
      <c r="E22" s="1422"/>
      <c r="F22" s="1422"/>
      <c r="G22" s="1422"/>
      <c r="H22" s="1422"/>
      <c r="I22" s="1422"/>
      <c r="J22" s="1422"/>
      <c r="K22" s="1422"/>
    </row>
    <row r="23" spans="1:11" ht="15" customHeight="1">
      <c r="A23" s="342" t="s">
        <v>223</v>
      </c>
      <c r="B23" s="1422" t="s">
        <v>222</v>
      </c>
      <c r="C23" s="1422"/>
      <c r="D23" s="1422"/>
      <c r="E23" s="1422"/>
      <c r="F23" s="1422"/>
      <c r="G23" s="1422"/>
      <c r="H23" s="1422"/>
      <c r="I23" s="1422"/>
      <c r="J23" s="1422"/>
      <c r="K23" s="1422"/>
    </row>
    <row r="24" spans="1:11" ht="15" customHeight="1">
      <c r="A24" s="342" t="s">
        <v>221</v>
      </c>
      <c r="B24" s="1421" t="s">
        <v>220</v>
      </c>
      <c r="C24" s="1421"/>
      <c r="D24" s="1421"/>
      <c r="E24" s="1421"/>
      <c r="F24" s="1421"/>
      <c r="G24" s="1421"/>
      <c r="H24" s="1421"/>
      <c r="I24" s="1421"/>
      <c r="J24" s="1421"/>
      <c r="K24" s="1421"/>
    </row>
    <row r="25" spans="1:11" ht="15" customHeight="1">
      <c r="A25" s="342" t="s">
        <v>219</v>
      </c>
      <c r="B25" s="1421" t="s">
        <v>218</v>
      </c>
      <c r="C25" s="1421"/>
      <c r="D25" s="1421"/>
      <c r="E25" s="1421"/>
      <c r="F25" s="1421"/>
      <c r="G25" s="1421"/>
      <c r="H25" s="1421"/>
      <c r="I25" s="1421"/>
      <c r="J25" s="1421"/>
      <c r="K25" s="1421"/>
    </row>
    <row r="26" spans="1:11" ht="15" customHeight="1">
      <c r="A26" s="342"/>
      <c r="B26" s="1422" t="s">
        <v>217</v>
      </c>
      <c r="C26" s="1422"/>
      <c r="D26" s="1422"/>
      <c r="E26" s="1422"/>
      <c r="F26" s="1422"/>
      <c r="G26" s="1422"/>
      <c r="H26" s="1422"/>
      <c r="I26" s="1422"/>
      <c r="J26" s="1422"/>
      <c r="K26" s="1422"/>
    </row>
    <row r="27" spans="1:11" ht="15" customHeight="1">
      <c r="A27" s="342"/>
      <c r="B27" s="1422" t="s">
        <v>216</v>
      </c>
      <c r="C27" s="1422"/>
      <c r="D27" s="1422"/>
      <c r="E27" s="1422"/>
      <c r="F27" s="1422"/>
      <c r="G27" s="1422"/>
      <c r="H27" s="1422"/>
      <c r="I27" s="1422"/>
      <c r="J27" s="1422"/>
      <c r="K27" s="1422"/>
    </row>
    <row r="28" spans="1:11" ht="15" customHeight="1">
      <c r="A28" s="342" t="s">
        <v>215</v>
      </c>
      <c r="B28" s="1421" t="s">
        <v>214</v>
      </c>
      <c r="C28" s="1421"/>
      <c r="D28" s="1421"/>
      <c r="E28" s="1421"/>
      <c r="F28" s="1421"/>
      <c r="G28" s="1421"/>
      <c r="H28" s="1421"/>
      <c r="I28" s="1421"/>
      <c r="J28" s="1421"/>
      <c r="K28" s="1421"/>
    </row>
    <row r="29" spans="1:11" ht="15" customHeight="1">
      <c r="A29" s="342" t="s">
        <v>213</v>
      </c>
      <c r="B29" s="1422" t="s">
        <v>212</v>
      </c>
      <c r="C29" s="1422"/>
      <c r="D29" s="1422"/>
      <c r="E29" s="1422"/>
      <c r="F29" s="1422"/>
      <c r="G29" s="1422"/>
      <c r="H29" s="1422"/>
      <c r="I29" s="1422"/>
      <c r="J29" s="1422"/>
      <c r="K29" s="1422"/>
    </row>
    <row r="30" spans="1:11" ht="15" customHeight="1">
      <c r="A30" s="342"/>
      <c r="B30" s="1422"/>
      <c r="C30" s="1422"/>
      <c r="D30" s="1422"/>
      <c r="E30" s="1422"/>
      <c r="F30" s="1422"/>
      <c r="G30" s="1422"/>
      <c r="H30" s="1422"/>
      <c r="I30" s="1422"/>
      <c r="J30" s="1422"/>
      <c r="K30" s="1422"/>
    </row>
    <row r="31" spans="1:11" ht="15" customHeight="1">
      <c r="A31" s="342"/>
      <c r="B31" s="1422"/>
      <c r="C31" s="1422"/>
      <c r="D31" s="1422"/>
      <c r="E31" s="1422"/>
      <c r="F31" s="1422"/>
      <c r="G31" s="1422"/>
      <c r="H31" s="1422"/>
      <c r="I31" s="1422"/>
      <c r="J31" s="1422"/>
      <c r="K31" s="1422"/>
    </row>
    <row r="32" spans="1:11" ht="15" customHeight="1">
      <c r="A32" s="342"/>
      <c r="B32" s="1422"/>
      <c r="C32" s="1422"/>
      <c r="D32" s="1422"/>
      <c r="E32" s="1422"/>
      <c r="F32" s="1422"/>
      <c r="G32" s="1422"/>
      <c r="H32" s="1422"/>
      <c r="I32" s="1422"/>
      <c r="J32" s="1422"/>
      <c r="K32" s="1422"/>
    </row>
    <row r="33" spans="1:11" ht="15" customHeight="1">
      <c r="A33" s="342"/>
      <c r="B33" s="1422"/>
      <c r="C33" s="1422"/>
      <c r="D33" s="1422"/>
      <c r="E33" s="1422"/>
      <c r="F33" s="1422"/>
      <c r="G33" s="1422"/>
      <c r="H33" s="1422"/>
      <c r="I33" s="1422"/>
      <c r="J33" s="1422"/>
      <c r="K33" s="1422"/>
    </row>
    <row r="34" spans="1:11" ht="15" customHeight="1">
      <c r="A34" s="342"/>
      <c r="B34" s="1422"/>
      <c r="C34" s="1422"/>
      <c r="D34" s="1422"/>
      <c r="E34" s="1422"/>
      <c r="F34" s="1422"/>
      <c r="G34" s="1422"/>
      <c r="H34" s="1422"/>
      <c r="I34" s="1422"/>
      <c r="J34" s="1422"/>
      <c r="K34" s="1422"/>
    </row>
    <row r="35" spans="1:11" ht="15" customHeight="1">
      <c r="A35" s="342"/>
      <c r="B35" s="1422"/>
      <c r="C35" s="1422"/>
      <c r="D35" s="1422"/>
      <c r="E35" s="1422"/>
      <c r="F35" s="1422"/>
      <c r="G35" s="1422"/>
      <c r="H35" s="1422"/>
      <c r="I35" s="1422"/>
      <c r="J35" s="1422"/>
      <c r="K35" s="1422"/>
    </row>
    <row r="36" spans="1:11" ht="15" customHeight="1">
      <c r="A36" s="342"/>
      <c r="B36" s="1422"/>
      <c r="C36" s="1422"/>
      <c r="D36" s="1422"/>
      <c r="E36" s="1422"/>
      <c r="F36" s="1422"/>
      <c r="G36" s="1422"/>
      <c r="H36" s="1422"/>
      <c r="I36" s="1422"/>
      <c r="J36" s="1422"/>
      <c r="K36" s="1422"/>
    </row>
    <row r="37" spans="1:11" ht="15" customHeight="1">
      <c r="A37" s="342"/>
      <c r="B37" s="1422"/>
      <c r="C37" s="1422"/>
      <c r="D37" s="1422"/>
      <c r="E37" s="1422"/>
      <c r="F37" s="1422"/>
      <c r="G37" s="1422"/>
      <c r="H37" s="1422"/>
      <c r="I37" s="1422"/>
      <c r="J37" s="1422"/>
      <c r="K37" s="1422"/>
    </row>
    <row r="38" spans="1:11" ht="15" customHeight="1">
      <c r="A38" s="342"/>
      <c r="B38" s="1422"/>
      <c r="C38" s="1422"/>
      <c r="D38" s="1422"/>
      <c r="E38" s="1422"/>
      <c r="F38" s="1422"/>
      <c r="G38" s="1422"/>
      <c r="H38" s="1422"/>
      <c r="I38" s="1422"/>
      <c r="J38" s="1422"/>
      <c r="K38" s="1422"/>
    </row>
    <row r="39" spans="1:11" ht="15" customHeight="1">
      <c r="A39" s="342"/>
      <c r="B39" s="1422"/>
      <c r="C39" s="1422"/>
      <c r="D39" s="1422"/>
      <c r="E39" s="1422"/>
      <c r="F39" s="1422"/>
      <c r="G39" s="1422"/>
      <c r="H39" s="1422"/>
      <c r="I39" s="1422"/>
      <c r="J39" s="1422"/>
      <c r="K39" s="1422"/>
    </row>
    <row r="40" spans="1:11" ht="15" customHeight="1">
      <c r="A40" s="342"/>
      <c r="B40" s="1422"/>
      <c r="C40" s="1422"/>
      <c r="D40" s="1422"/>
      <c r="E40" s="1422"/>
      <c r="F40" s="1422"/>
      <c r="G40" s="1422"/>
      <c r="H40" s="1422"/>
      <c r="I40" s="1422"/>
      <c r="J40" s="1422"/>
      <c r="K40" s="1422"/>
    </row>
    <row r="41" spans="1:11" ht="15" customHeight="1">
      <c r="A41" s="342"/>
      <c r="B41" s="1422"/>
      <c r="C41" s="1422"/>
      <c r="D41" s="1422"/>
      <c r="E41" s="1422"/>
      <c r="F41" s="1422"/>
      <c r="G41" s="1422"/>
      <c r="H41" s="1422"/>
      <c r="I41" s="1422"/>
      <c r="J41" s="1422"/>
      <c r="K41" s="1422"/>
    </row>
    <row r="42" spans="1:11" ht="15" customHeight="1">
      <c r="A42" s="342"/>
      <c r="B42" s="1422"/>
      <c r="C42" s="1422"/>
      <c r="D42" s="1422"/>
      <c r="E42" s="1422"/>
      <c r="F42" s="1422"/>
      <c r="G42" s="1422"/>
      <c r="H42" s="1422"/>
      <c r="I42" s="1422"/>
      <c r="J42" s="1422"/>
      <c r="K42" s="1422"/>
    </row>
    <row r="43" spans="1:11" ht="15" customHeight="1">
      <c r="A43" s="342"/>
      <c r="B43" s="1422"/>
      <c r="C43" s="1422"/>
      <c r="D43" s="1422"/>
      <c r="E43" s="1422"/>
      <c r="F43" s="1422"/>
      <c r="G43" s="1422"/>
      <c r="H43" s="1422"/>
      <c r="I43" s="1422"/>
      <c r="J43" s="1422"/>
      <c r="K43" s="1422"/>
    </row>
    <row r="44" spans="1:11" ht="15" customHeight="1">
      <c r="A44" s="342"/>
      <c r="B44" s="1422"/>
      <c r="C44" s="1422"/>
      <c r="D44" s="1422"/>
      <c r="E44" s="1422"/>
      <c r="F44" s="1422"/>
      <c r="G44" s="1422"/>
      <c r="H44" s="1422"/>
      <c r="I44" s="1422"/>
      <c r="J44" s="1422"/>
      <c r="K44" s="1422"/>
    </row>
    <row r="45" spans="1:11" ht="15" customHeight="1">
      <c r="A45" s="342"/>
      <c r="B45" s="1422"/>
      <c r="C45" s="1422"/>
      <c r="D45" s="1422"/>
      <c r="E45" s="1422"/>
      <c r="F45" s="1422"/>
      <c r="G45" s="1422"/>
      <c r="H45" s="1422"/>
      <c r="I45" s="1422"/>
      <c r="J45" s="1422"/>
      <c r="K45" s="1422"/>
    </row>
    <row r="46" spans="1:11" ht="15" customHeight="1">
      <c r="A46" s="342"/>
      <c r="B46" s="1422"/>
      <c r="C46" s="1422"/>
      <c r="D46" s="1422"/>
      <c r="E46" s="1422"/>
      <c r="F46" s="1422"/>
      <c r="G46" s="1422"/>
      <c r="H46" s="1422"/>
      <c r="I46" s="1422"/>
      <c r="J46" s="1422"/>
      <c r="K46" s="1422"/>
    </row>
    <row r="47" spans="1:11" ht="15" customHeight="1">
      <c r="A47" s="342"/>
      <c r="B47" s="1422"/>
      <c r="C47" s="1422"/>
      <c r="D47" s="1422"/>
      <c r="E47" s="1422"/>
      <c r="F47" s="1422"/>
      <c r="G47" s="1422"/>
      <c r="H47" s="1422"/>
      <c r="I47" s="1422"/>
      <c r="J47" s="1422"/>
      <c r="K47" s="1422"/>
    </row>
    <row r="48" spans="1:11" ht="15" customHeight="1">
      <c r="A48" s="342"/>
      <c r="B48" s="1422"/>
      <c r="C48" s="1422"/>
      <c r="D48" s="1422"/>
      <c r="E48" s="1422"/>
      <c r="F48" s="1422"/>
      <c r="G48" s="1422"/>
      <c r="H48" s="1422"/>
      <c r="I48" s="1422"/>
      <c r="J48" s="1422"/>
      <c r="K48" s="1422"/>
    </row>
    <row r="49" spans="1:11" ht="15" customHeight="1">
      <c r="A49" s="342"/>
      <c r="B49" s="1422"/>
      <c r="C49" s="1422"/>
      <c r="D49" s="1422"/>
      <c r="E49" s="1422"/>
      <c r="F49" s="1422"/>
      <c r="G49" s="1422"/>
      <c r="H49" s="1422"/>
      <c r="I49" s="1422"/>
      <c r="J49" s="1422"/>
      <c r="K49" s="1422"/>
    </row>
    <row r="50" spans="1:11" ht="15" customHeight="1">
      <c r="A50" s="342"/>
      <c r="B50" s="1422"/>
      <c r="C50" s="1422"/>
      <c r="D50" s="1422"/>
      <c r="E50" s="1422"/>
      <c r="F50" s="1422"/>
      <c r="G50" s="1422"/>
      <c r="H50" s="1422"/>
      <c r="I50" s="1422"/>
      <c r="J50" s="1422"/>
      <c r="K50" s="1422"/>
    </row>
    <row r="51" spans="1:11" ht="15">
      <c r="A51" s="342"/>
      <c r="B51" s="1422"/>
      <c r="C51" s="1422"/>
      <c r="D51" s="1422"/>
      <c r="E51" s="1422"/>
      <c r="F51" s="1422"/>
      <c r="G51" s="1422"/>
      <c r="H51" s="1422"/>
      <c r="I51" s="1422"/>
      <c r="J51" s="1422"/>
      <c r="K51" s="1422"/>
    </row>
    <row r="52" spans="1:11" ht="15">
      <c r="A52" s="325"/>
      <c r="B52" s="325"/>
      <c r="C52" s="3415"/>
      <c r="D52" s="3415"/>
      <c r="E52" s="3415"/>
      <c r="F52" s="3415"/>
      <c r="G52" s="3415"/>
      <c r="H52" s="3415"/>
      <c r="I52" s="3415"/>
      <c r="J52" s="3415"/>
      <c r="K52" s="3415"/>
    </row>
    <row r="53" spans="1:11" ht="15">
      <c r="A53" s="325"/>
      <c r="B53" s="325"/>
      <c r="C53" s="3415"/>
      <c r="D53" s="3415"/>
      <c r="E53" s="3415"/>
      <c r="F53" s="3415"/>
      <c r="G53" s="3415"/>
      <c r="H53" s="3415"/>
      <c r="I53" s="3415"/>
      <c r="J53" s="3415"/>
      <c r="K53" s="3415"/>
    </row>
    <row r="54" spans="1:11" ht="15">
      <c r="A54" s="613" t="s">
        <v>179</v>
      </c>
      <c r="B54" s="325"/>
      <c r="C54" s="325"/>
      <c r="D54" s="325"/>
      <c r="E54" s="325"/>
      <c r="F54" s="325"/>
      <c r="G54" s="325"/>
      <c r="H54" s="325"/>
      <c r="I54" s="325"/>
      <c r="J54" s="325"/>
      <c r="K54" s="325"/>
    </row>
    <row r="55" spans="1:11" ht="15">
      <c r="A55" s="3416" t="s">
        <v>472</v>
      </c>
      <c r="B55" s="3417"/>
      <c r="C55" s="3417"/>
      <c r="D55" s="3417"/>
      <c r="E55" s="3417"/>
      <c r="F55" s="3417"/>
      <c r="G55" s="3417"/>
      <c r="H55" s="3417"/>
      <c r="I55" s="3417"/>
      <c r="J55" s="3417"/>
      <c r="K55" s="3418"/>
    </row>
    <row r="56" spans="1:11" ht="15">
      <c r="A56" s="3412" t="s">
        <v>473</v>
      </c>
      <c r="B56" s="3413"/>
      <c r="C56" s="3413"/>
      <c r="D56" s="3413"/>
      <c r="E56" s="3413"/>
      <c r="F56" s="3413"/>
      <c r="G56" s="3413"/>
      <c r="H56" s="3413"/>
      <c r="I56" s="3413"/>
      <c r="J56" s="3413"/>
      <c r="K56" s="3414"/>
    </row>
    <row r="57" spans="1:11" ht="15">
      <c r="A57" s="3412"/>
      <c r="B57" s="3413"/>
      <c r="C57" s="3413"/>
      <c r="D57" s="3413"/>
      <c r="E57" s="3413"/>
      <c r="F57" s="3413"/>
      <c r="G57" s="3413"/>
      <c r="H57" s="3413"/>
      <c r="I57" s="3413"/>
      <c r="J57" s="3413"/>
      <c r="K57" s="3414"/>
    </row>
    <row r="58" spans="1:11" ht="15">
      <c r="A58" s="3412"/>
      <c r="B58" s="3413"/>
      <c r="C58" s="3413"/>
      <c r="D58" s="3413"/>
      <c r="E58" s="3413"/>
      <c r="F58" s="3413"/>
      <c r="G58" s="3413"/>
      <c r="H58" s="3413"/>
      <c r="I58" s="3413"/>
      <c r="J58" s="3413"/>
      <c r="K58" s="3414"/>
    </row>
    <row r="59" spans="1:11" ht="15">
      <c r="A59" s="325"/>
      <c r="B59" s="325"/>
      <c r="C59" s="325"/>
      <c r="D59" s="325"/>
      <c r="E59" s="325"/>
      <c r="F59" s="325"/>
      <c r="G59" s="325"/>
      <c r="H59" s="325"/>
      <c r="I59" s="325"/>
      <c r="J59" s="325"/>
      <c r="K59" s="325"/>
    </row>
    <row r="60" spans="1:11" ht="15">
      <c r="A60" s="325"/>
      <c r="B60" s="325"/>
      <c r="C60" s="325"/>
      <c r="D60" s="325"/>
      <c r="E60" s="325"/>
      <c r="F60" s="325"/>
      <c r="G60" s="325"/>
      <c r="H60" s="325"/>
      <c r="I60" s="325"/>
      <c r="J60" s="325"/>
      <c r="K60" s="325"/>
    </row>
    <row r="61" spans="1:11" ht="15">
      <c r="A61" s="3419" t="str">
        <f>CHENG</f>
        <v>CANO ARTHUR D. CADAVOS</v>
      </c>
      <c r="B61" s="3419"/>
      <c r="C61" s="3419"/>
      <c r="D61" s="325"/>
      <c r="E61" s="3419" t="str">
        <f>IF(BARGESEL=1,BARGEREP,MYBARGECHIEF)</f>
        <v>TEMEL KALYONCU</v>
      </c>
      <c r="F61" s="3419"/>
      <c r="G61" s="3419"/>
      <c r="H61" s="325"/>
      <c r="I61" s="3419" t="str">
        <f>SURVEYOR</f>
        <v>MEHMET EROĞLU</v>
      </c>
      <c r="J61" s="3419"/>
      <c r="K61" s="3419"/>
    </row>
    <row r="62" spans="1:11" ht="15">
      <c r="A62" s="3420"/>
      <c r="B62" s="3420"/>
      <c r="C62" s="3420"/>
      <c r="D62" s="325"/>
      <c r="E62" s="3420"/>
      <c r="F62" s="3420"/>
      <c r="G62" s="3420"/>
      <c r="H62" s="325"/>
      <c r="I62" s="3420"/>
      <c r="J62" s="3420"/>
      <c r="K62" s="3420"/>
    </row>
    <row r="63" spans="1:11" ht="15" customHeight="1">
      <c r="A63" s="3421" t="s">
        <v>15</v>
      </c>
      <c r="B63" s="3421"/>
      <c r="C63" s="3421"/>
      <c r="D63" s="325"/>
      <c r="E63" s="3421" t="s">
        <v>324</v>
      </c>
      <c r="F63" s="3421"/>
      <c r="G63" s="3421"/>
      <c r="H63" s="325"/>
      <c r="I63" s="3369" t="str">
        <f>"Bunker Surveyor"&amp;IF(SPORE=TRUE,",
 License No. "&amp;SURVLIC,"")</f>
        <v>Bunker Surveyor</v>
      </c>
      <c r="J63" s="3369"/>
      <c r="K63" s="3369"/>
    </row>
    <row r="64" spans="1:11" ht="15">
      <c r="A64" s="3422"/>
      <c r="B64" s="3422"/>
      <c r="C64" s="3422"/>
      <c r="D64" s="325"/>
      <c r="E64" s="3422"/>
      <c r="F64" s="3422"/>
      <c r="G64" s="3422"/>
      <c r="H64" s="325"/>
      <c r="I64" s="3370"/>
      <c r="J64" s="3370"/>
      <c r="K64" s="3370"/>
    </row>
    <row r="65" ht="2.25" customHeight="1"/>
  </sheetData>
  <sheetProtection algorithmName="SHA-512" hashValue="2P+4jxdD/itazY9Q7ZhqbMTO8P+VPfJUjmPgQ73G8e5EoNCX6GRTnU2alLSYlRPkLUdAV6OlOuNj5Di2rmFyXg==" saltValue="w5/s/9uV9Yt1nkrGAa/VFw==" spinCount="100000" sheet="1" objects="1" scenarios="1" autoFilter="0"/>
  <mergeCells count="12">
    <mergeCell ref="I63:K64"/>
    <mergeCell ref="A61:C62"/>
    <mergeCell ref="E61:G62"/>
    <mergeCell ref="I61:K62"/>
    <mergeCell ref="E63:G64"/>
    <mergeCell ref="A63:C64"/>
    <mergeCell ref="A58:K58"/>
    <mergeCell ref="C52:K52"/>
    <mergeCell ref="C53:K53"/>
    <mergeCell ref="A55:K55"/>
    <mergeCell ref="A56:K56"/>
    <mergeCell ref="A57:K57"/>
  </mergeCells>
  <dataValidations count="1">
    <dataValidation type="list" errorStyle="information" allowBlank="1" showInputMessage="1" showErrorMessage="1" prompt="Choose Remarks from list or edit yours." sqref="A55:K58" xr:uid="{00000000-0002-0000-1F00-000000000000}">
      <formula1>REMCOL</formula1>
    </dataValidation>
  </dataValidations>
  <hyperlinks>
    <hyperlink ref="A54" location="REMCODE" display="Remarks:" xr:uid="{00000000-0004-0000-1F00-000000000000}"/>
  </hyperlinks>
  <printOptions horizontalCentered="1"/>
  <pageMargins left="0.3" right="0.3" top="0.2" bottom="0.3" header="0.3" footer="0.1"/>
  <pageSetup paperSize="9" scale="95" orientation="portrait" cellComments="atEnd" r:id="rId1"/>
  <headerFooter scaleWithDoc="0">
    <oddFooter>&amp;L&amp;8BunkerManager, v1.06&amp;C&amp;8by AMS-Marine | www.ams-marine.com&amp;R&amp;8RefNo: BD/2015/00926 SG</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Choose Grade from list." xr:uid="{00000000-0002-0000-1F00-000001000000}">
          <x14:formula1>
            <xm:f>'STANDARD SETT'!$O$16:$O$21</xm:f>
          </x14:formula1>
          <xm:sqref>C15:H15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41" filterMode="1">
    <tabColor rgb="FFFF0000"/>
    <pageSetUpPr fitToPage="1"/>
  </sheetPr>
  <dimension ref="A1:CT173"/>
  <sheetViews>
    <sheetView showGridLines="0" showRowColHeaders="0" topLeftCell="C8" zoomScaleNormal="100" zoomScaleSheetLayoutView="100" workbookViewId="0">
      <pane ySplit="11" topLeftCell="A19" activePane="bottomLeft" state="frozen"/>
      <selection pane="bottomLeft" activeCell="L50" sqref="L50"/>
    </sheetView>
  </sheetViews>
  <sheetFormatPr defaultColWidth="0" defaultRowHeight="12.75" zeroHeight="1"/>
  <cols>
    <col min="1" max="1" width="4.375" style="853" hidden="1" customWidth="1"/>
    <col min="2" max="2" width="8.125" style="853" hidden="1" customWidth="1"/>
    <col min="3" max="3" width="13.375" style="853" customWidth="1"/>
    <col min="4" max="8" width="7.875" style="853" customWidth="1"/>
    <col min="9" max="9" width="4.5" style="853" customWidth="1"/>
    <col min="10" max="10" width="8.75" style="853" customWidth="1"/>
    <col min="11" max="12" width="5.875" style="853" customWidth="1"/>
    <col min="13" max="13" width="7.125" style="853" customWidth="1"/>
    <col min="14" max="14" width="6.25" style="853" customWidth="1"/>
    <col min="15" max="15" width="8.75" style="853" customWidth="1"/>
    <col min="16" max="16" width="7.625" style="853" customWidth="1"/>
    <col min="17" max="18" width="8.375" style="853" customWidth="1"/>
    <col min="19" max="19" width="8.625" style="853" customWidth="1"/>
    <col min="20" max="20" width="8.75" style="853" customWidth="1"/>
    <col min="21" max="21" width="0.375" style="853" customWidth="1"/>
    <col min="22" max="35" width="9" style="853" hidden="1" customWidth="1"/>
    <col min="36" max="36" width="11.125" style="853" hidden="1" customWidth="1"/>
    <col min="37" max="37" width="10.125" style="853" hidden="1" customWidth="1"/>
    <col min="38" max="40" width="9" style="853" hidden="1" customWidth="1"/>
    <col min="41" max="41" width="11.75" style="853" hidden="1" customWidth="1"/>
    <col min="42" max="42" width="11.875" style="853" hidden="1" customWidth="1"/>
    <col min="43" max="43" width="11" style="853" hidden="1" customWidth="1"/>
    <col min="44" max="44" width="10.625" style="853" hidden="1" customWidth="1"/>
    <col min="45" max="45" width="9.75" style="853" hidden="1" customWidth="1"/>
    <col min="46" max="46" width="11.375" style="853" hidden="1" customWidth="1"/>
    <col min="47" max="47" width="10.125" style="853" hidden="1" customWidth="1"/>
    <col min="48" max="48" width="9.75" style="853" hidden="1" customWidth="1"/>
    <col min="49" max="49" width="23.25" style="853" hidden="1" customWidth="1"/>
    <col min="50" max="50" width="11.375" style="853" hidden="1" customWidth="1"/>
    <col min="51" max="51" width="11" style="853" hidden="1" customWidth="1"/>
    <col min="52" max="81" width="9" style="853" hidden="1" customWidth="1"/>
    <col min="82" max="82" width="10.125" style="853" hidden="1" customWidth="1"/>
    <col min="83" max="84" width="9" style="853" hidden="1" customWidth="1"/>
    <col min="85" max="85" width="9.625" style="853" hidden="1" customWidth="1"/>
    <col min="86" max="86" width="10.875" style="853" hidden="1" customWidth="1"/>
    <col min="87" max="87" width="11.875" style="853" hidden="1" customWidth="1"/>
    <col min="88" max="88" width="11" style="853" hidden="1" customWidth="1"/>
    <col min="89" max="89" width="6.75" style="853" hidden="1" customWidth="1"/>
    <col min="90" max="91" width="9.75" style="853" hidden="1" customWidth="1"/>
    <col min="92" max="92" width="10.125" style="853" hidden="1" customWidth="1"/>
    <col min="93" max="93" width="9.25" style="853" hidden="1" customWidth="1"/>
    <col min="94" max="94" width="23.25" style="853" hidden="1" customWidth="1"/>
    <col min="95" max="95" width="9.25" style="853" hidden="1" customWidth="1"/>
    <col min="96" max="97" width="11" style="853" hidden="1" customWidth="1"/>
    <col min="98" max="98" width="6.625" style="853" hidden="1" customWidth="1"/>
    <col min="99" max="16384" width="9" style="853" hidden="1"/>
  </cols>
  <sheetData>
    <row r="1" spans="1:57" ht="15" hidden="1">
      <c r="A1" s="641"/>
      <c r="B1" s="641"/>
      <c r="C1" s="825" t="s">
        <v>626</v>
      </c>
      <c r="D1" s="825" t="s">
        <v>627</v>
      </c>
      <c r="E1" s="825" t="s">
        <v>628</v>
      </c>
      <c r="F1" s="825" t="s">
        <v>629</v>
      </c>
      <c r="G1" s="826" t="s">
        <v>630</v>
      </c>
      <c r="H1" s="826"/>
      <c r="I1" s="826" t="s">
        <v>631</v>
      </c>
      <c r="J1" s="827" t="s">
        <v>632</v>
      </c>
      <c r="K1" s="827" t="s">
        <v>633</v>
      </c>
      <c r="L1" s="827" t="s">
        <v>634</v>
      </c>
      <c r="M1" s="827" t="s">
        <v>635</v>
      </c>
      <c r="N1" s="827" t="s">
        <v>636</v>
      </c>
      <c r="O1" s="827" t="s">
        <v>637</v>
      </c>
      <c r="P1" s="827" t="s">
        <v>638</v>
      </c>
      <c r="Q1" s="827" t="s">
        <v>639</v>
      </c>
      <c r="R1" s="827" t="s">
        <v>640</v>
      </c>
      <c r="S1" s="828" t="s">
        <v>1232</v>
      </c>
      <c r="T1" s="828" t="s">
        <v>642</v>
      </c>
      <c r="U1" s="641"/>
      <c r="V1" s="641"/>
      <c r="W1" s="641"/>
      <c r="X1" s="641"/>
      <c r="Y1" s="641"/>
      <c r="Z1" s="158">
        <v>1</v>
      </c>
      <c r="AA1" s="158">
        <v>1</v>
      </c>
      <c r="AB1" s="158">
        <v>1</v>
      </c>
      <c r="AC1" s="641"/>
      <c r="AD1" s="641"/>
      <c r="AE1" s="641"/>
      <c r="AF1" s="641"/>
      <c r="AG1" s="641"/>
      <c r="AH1" s="641"/>
      <c r="AI1" s="641"/>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15">
      <c r="A2" s="641"/>
      <c r="B2" s="641"/>
      <c r="C2" s="641"/>
      <c r="D2" s="641"/>
      <c r="E2" s="641"/>
      <c r="F2" s="641"/>
      <c r="G2" s="641"/>
      <c r="H2" s="641"/>
      <c r="I2" s="641"/>
      <c r="J2" s="641"/>
      <c r="K2" s="641"/>
      <c r="L2" s="641"/>
      <c r="M2" s="641"/>
      <c r="N2" s="641"/>
      <c r="O2" s="641"/>
      <c r="P2" s="641"/>
      <c r="Q2" s="641"/>
      <c r="R2" s="641"/>
      <c r="S2" s="641"/>
      <c r="T2" s="641"/>
      <c r="U2" s="641"/>
      <c r="V2" s="641"/>
      <c r="W2" s="641"/>
      <c r="X2" s="641"/>
      <c r="Y2" s="641"/>
      <c r="Z2" s="642" t="str">
        <f>'STANDARD SETT'!H15</f>
        <v>All Grades</v>
      </c>
      <c r="AA2" s="642" t="s">
        <v>310</v>
      </c>
      <c r="AB2" s="643" t="s">
        <v>33</v>
      </c>
      <c r="AC2" s="641"/>
      <c r="AD2" s="641"/>
      <c r="AE2" s="641"/>
      <c r="AF2" s="641"/>
      <c r="AG2" s="641"/>
      <c r="AH2" s="641"/>
      <c r="AI2" s="641"/>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15">
      <c r="A3" s="641"/>
      <c r="B3" s="641"/>
      <c r="C3" s="641"/>
      <c r="D3" s="641"/>
      <c r="E3" s="641"/>
      <c r="F3" s="641"/>
      <c r="G3" s="641"/>
      <c r="H3" s="641"/>
      <c r="I3" s="641"/>
      <c r="J3" s="641"/>
      <c r="K3" s="641"/>
      <c r="L3" s="641"/>
      <c r="M3" s="641"/>
      <c r="N3" s="641"/>
      <c r="O3" s="641"/>
      <c r="P3" s="641"/>
      <c r="Q3" s="641"/>
      <c r="R3" s="641"/>
      <c r="S3" s="641"/>
      <c r="T3" s="641"/>
      <c r="U3" s="641"/>
      <c r="V3" s="641"/>
      <c r="W3" s="641"/>
      <c r="X3" s="641"/>
      <c r="Y3" s="641"/>
      <c r="Z3" s="642" t="str">
        <f>'STANDARD SETT'!K15</f>
        <v>Residuals</v>
      </c>
      <c r="AA3" s="642" t="s">
        <v>311</v>
      </c>
      <c r="AB3" s="643" t="s">
        <v>329</v>
      </c>
      <c r="AC3" s="641"/>
      <c r="AD3" s="641"/>
      <c r="AE3" s="641"/>
      <c r="AF3" s="641"/>
      <c r="AG3" s="641"/>
      <c r="AH3" s="641"/>
      <c r="AI3" s="641"/>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18">
      <c r="A4" s="641"/>
      <c r="B4" s="641"/>
      <c r="C4" s="641"/>
      <c r="D4" s="641"/>
      <c r="E4" s="641"/>
      <c r="F4" s="641"/>
      <c r="G4" s="641"/>
      <c r="H4" s="641"/>
      <c r="I4" s="641"/>
      <c r="J4" s="641"/>
      <c r="K4" s="641"/>
      <c r="L4" s="641"/>
      <c r="M4" s="641"/>
      <c r="N4" s="641"/>
      <c r="O4" s="641"/>
      <c r="P4" s="641"/>
      <c r="Q4" s="641"/>
      <c r="R4" s="641"/>
      <c r="S4" s="641"/>
      <c r="T4" s="644" t="str">
        <f>COMPANY1</f>
        <v>Petro Inspect International</v>
      </c>
      <c r="U4" s="641"/>
      <c r="V4" s="641"/>
      <c r="W4" s="641"/>
      <c r="X4" s="641"/>
      <c r="Y4" s="641"/>
      <c r="Z4" s="642" t="str">
        <f>'STANDARD SETT'!L15</f>
        <v>Distillates</v>
      </c>
      <c r="AA4" s="641"/>
      <c r="AB4" s="641"/>
      <c r="AC4" s="641"/>
      <c r="AD4" s="641"/>
      <c r="AE4" s="641"/>
      <c r="AF4" s="641"/>
      <c r="AG4" s="641"/>
      <c r="AH4" s="641"/>
      <c r="AI4" s="641"/>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15">
      <c r="A5" s="641"/>
      <c r="B5" s="641"/>
      <c r="C5" s="641"/>
      <c r="D5" s="641"/>
      <c r="E5" s="641"/>
      <c r="F5" s="641"/>
      <c r="G5" s="641"/>
      <c r="H5" s="641"/>
      <c r="I5" s="641"/>
      <c r="J5" s="641"/>
      <c r="K5" s="641"/>
      <c r="L5" s="641"/>
      <c r="M5" s="641"/>
      <c r="N5" s="641"/>
      <c r="O5" s="641"/>
      <c r="P5" s="641"/>
      <c r="Q5" s="641"/>
      <c r="R5" s="641"/>
      <c r="S5" s="641"/>
      <c r="T5" s="645" t="str">
        <f>COMPANY2</f>
        <v>ops@petro-inspect.com</v>
      </c>
      <c r="U5" s="641"/>
      <c r="V5" s="641"/>
      <c r="W5" s="641"/>
      <c r="X5" s="641"/>
      <c r="Y5" s="641"/>
      <c r="Z5" s="641"/>
      <c r="AA5" s="641"/>
      <c r="AB5" s="641"/>
      <c r="AC5" s="641"/>
      <c r="AD5" s="641"/>
      <c r="AE5" s="641"/>
      <c r="AF5" s="641"/>
      <c r="AG5" s="641"/>
      <c r="AH5" s="641"/>
      <c r="AI5" s="641"/>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15">
      <c r="A6" s="641"/>
      <c r="B6" s="641"/>
      <c r="C6" s="641"/>
      <c r="D6" s="641"/>
      <c r="E6" s="641"/>
      <c r="F6" s="641"/>
      <c r="G6" s="641"/>
      <c r="H6" s="641"/>
      <c r="I6" s="641"/>
      <c r="J6" s="641"/>
      <c r="K6" s="641"/>
      <c r="L6" s="641"/>
      <c r="M6" s="641"/>
      <c r="N6" s="641"/>
      <c r="O6" s="641"/>
      <c r="P6" s="641"/>
      <c r="Q6" s="641"/>
      <c r="R6" s="641"/>
      <c r="S6" s="641"/>
      <c r="T6" s="645" t="str">
        <f>COMPANY3</f>
        <v/>
      </c>
      <c r="U6" s="641"/>
      <c r="V6" s="641"/>
      <c r="W6" s="641"/>
      <c r="X6" s="641"/>
      <c r="Y6" s="641"/>
      <c r="Z6" s="641"/>
      <c r="AA6" s="641"/>
      <c r="AB6" s="641"/>
      <c r="AC6" s="641"/>
      <c r="AD6" s="641"/>
      <c r="AE6" s="641"/>
      <c r="AF6" s="641"/>
      <c r="AG6" s="641"/>
      <c r="AH6" s="641"/>
      <c r="AI6" s="641"/>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15">
      <c r="A7" s="641"/>
      <c r="B7" s="641"/>
      <c r="C7" s="641"/>
      <c r="D7" s="641"/>
      <c r="E7" s="641"/>
      <c r="F7" s="641"/>
      <c r="G7" s="641"/>
      <c r="H7" s="641"/>
      <c r="I7" s="641"/>
      <c r="J7" s="641"/>
      <c r="K7" s="641"/>
      <c r="L7" s="641"/>
      <c r="M7" s="641"/>
      <c r="N7" s="641"/>
      <c r="O7" s="641"/>
      <c r="P7" s="641"/>
      <c r="Q7" s="641"/>
      <c r="R7" s="641"/>
      <c r="S7" s="641"/>
      <c r="T7" s="645" t="str">
        <f>COMPANY4</f>
        <v/>
      </c>
      <c r="U7" s="641"/>
      <c r="V7" s="641"/>
      <c r="W7" s="641"/>
      <c r="X7" s="641"/>
      <c r="Y7" s="641"/>
      <c r="Z7" s="641"/>
      <c r="AA7" s="641"/>
      <c r="AB7" s="641"/>
      <c r="AC7" s="641"/>
      <c r="AD7" s="641"/>
      <c r="AE7" s="641"/>
      <c r="AF7" s="641"/>
      <c r="AG7" s="641"/>
      <c r="AH7" s="641"/>
      <c r="AI7" s="641"/>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s="859" customFormat="1" ht="3" customHeight="1" thickBot="1">
      <c r="A8" s="856"/>
      <c r="B8" s="856"/>
      <c r="C8" s="857"/>
      <c r="D8" s="857"/>
      <c r="E8" s="857"/>
      <c r="F8" s="857"/>
      <c r="G8" s="857"/>
      <c r="H8" s="857"/>
      <c r="I8" s="857"/>
      <c r="J8" s="857"/>
      <c r="K8" s="857"/>
      <c r="L8" s="857"/>
      <c r="M8" s="857"/>
      <c r="N8" s="857"/>
      <c r="O8" s="857"/>
      <c r="P8" s="857"/>
      <c r="Q8" s="857"/>
      <c r="R8" s="857"/>
      <c r="S8" s="857"/>
      <c r="T8" s="858"/>
      <c r="U8" s="856"/>
      <c r="V8" s="856"/>
      <c r="W8" s="856"/>
      <c r="X8" s="856"/>
      <c r="Y8" s="856"/>
      <c r="Z8" s="856"/>
      <c r="AA8" s="856"/>
      <c r="AB8" s="856"/>
      <c r="AC8" s="856"/>
      <c r="AD8" s="856"/>
      <c r="AE8" s="856"/>
      <c r="AF8" s="856"/>
      <c r="AG8" s="856"/>
      <c r="AH8" s="856"/>
      <c r="AI8" s="856"/>
      <c r="AJ8" s="856"/>
      <c r="AK8" s="856"/>
      <c r="AL8" s="856"/>
      <c r="AM8" s="856"/>
      <c r="AN8" s="856"/>
      <c r="AO8" s="856"/>
      <c r="AP8" s="856"/>
      <c r="AQ8" s="856"/>
      <c r="AR8" s="856"/>
      <c r="AS8" s="856"/>
      <c r="AT8" s="856"/>
      <c r="AU8" s="856"/>
      <c r="AV8" s="856"/>
      <c r="AW8" s="856"/>
      <c r="AX8" s="856"/>
      <c r="AY8" s="856"/>
      <c r="AZ8" s="856"/>
      <c r="BA8" s="856"/>
      <c r="BB8" s="856"/>
      <c r="BC8" s="856"/>
      <c r="BD8" s="856"/>
      <c r="BE8" s="856"/>
    </row>
    <row r="9" spans="1:57" ht="15.75" hidden="1">
      <c r="A9" s="641"/>
      <c r="B9" s="641"/>
      <c r="C9" s="2816"/>
      <c r="D9" s="2816"/>
      <c r="E9" s="2817"/>
      <c r="F9" s="641"/>
      <c r="G9" s="641"/>
      <c r="H9" s="641"/>
      <c r="I9" s="641"/>
      <c r="J9" s="641"/>
      <c r="K9" s="641"/>
      <c r="L9" s="641"/>
      <c r="M9" s="641"/>
      <c r="N9" s="641"/>
      <c r="O9" s="641"/>
      <c r="P9" s="641"/>
      <c r="Q9" s="641"/>
      <c r="R9" s="641"/>
      <c r="S9" s="641"/>
      <c r="T9" s="641"/>
      <c r="U9" s="641"/>
      <c r="V9" s="641"/>
      <c r="W9" s="641"/>
      <c r="X9" s="641"/>
      <c r="Y9" s="641"/>
      <c r="Z9" s="641"/>
      <c r="AA9" s="641"/>
      <c r="AB9" s="641"/>
      <c r="AC9" s="641"/>
      <c r="AD9" s="641"/>
      <c r="AE9" s="641"/>
      <c r="AF9" s="641"/>
      <c r="AG9" s="641"/>
      <c r="AH9" s="641"/>
      <c r="AI9" s="641"/>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4.5" customHeight="1">
      <c r="A10" s="641"/>
      <c r="B10" s="641"/>
      <c r="C10" s="641"/>
      <c r="D10" s="641"/>
      <c r="E10" s="641"/>
      <c r="F10" s="641"/>
      <c r="G10" s="641"/>
      <c r="H10" s="641"/>
      <c r="I10" s="641"/>
      <c r="J10" s="641"/>
      <c r="K10" s="641"/>
      <c r="L10" s="641"/>
      <c r="M10" s="641"/>
      <c r="N10" s="641"/>
      <c r="O10" s="641"/>
      <c r="P10" s="641"/>
      <c r="Q10" s="641"/>
      <c r="R10" s="641"/>
      <c r="S10" s="641"/>
      <c r="T10" s="641"/>
      <c r="U10" s="641"/>
      <c r="V10" s="641"/>
      <c r="W10" s="641"/>
      <c r="X10" s="641"/>
      <c r="Y10" s="641"/>
      <c r="Z10" s="641"/>
      <c r="AA10" s="641"/>
      <c r="AB10" s="641"/>
      <c r="AC10" s="641"/>
      <c r="AD10" s="641"/>
      <c r="AE10" s="641"/>
      <c r="AF10" s="641"/>
      <c r="AG10" s="641"/>
      <c r="AH10" s="641"/>
      <c r="AI10" s="641"/>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15">
      <c r="A11" s="641"/>
      <c r="B11" s="641"/>
      <c r="C11" s="772" t="s">
        <v>9</v>
      </c>
      <c r="D11" s="2821" t="str">
        <f>VESSEL</f>
        <v>MV PESSADA</v>
      </c>
      <c r="E11" s="2821"/>
      <c r="F11" s="2821"/>
      <c r="G11" s="641"/>
      <c r="H11" s="641"/>
      <c r="I11" s="641"/>
      <c r="J11" s="641"/>
      <c r="K11" s="641"/>
      <c r="L11" s="641"/>
      <c r="M11" s="641"/>
      <c r="N11" s="641"/>
      <c r="O11" s="641"/>
      <c r="P11" s="641"/>
      <c r="Q11" s="641"/>
      <c r="R11" s="641"/>
      <c r="S11" s="3425" t="s">
        <v>178</v>
      </c>
      <c r="T11" s="3426"/>
      <c r="U11" s="641"/>
      <c r="V11" s="1151">
        <f>IF($AB$1=FONESEL,1,IF($AB$1=2,FFEET,1/FFEET))</f>
        <v>1</v>
      </c>
      <c r="W11" s="641"/>
      <c r="X11" s="641"/>
      <c r="Y11" s="641"/>
      <c r="Z11" s="641"/>
      <c r="AA11" s="641"/>
      <c r="AB11" s="641"/>
      <c r="AC11" s="641"/>
      <c r="AD11" s="641"/>
      <c r="AE11" s="641"/>
      <c r="AF11" s="641"/>
      <c r="AG11" s="641"/>
      <c r="AH11" s="641"/>
      <c r="AI11" s="641"/>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15">
      <c r="A12" s="641"/>
      <c r="B12" s="641"/>
      <c r="C12" s="773" t="s">
        <v>46</v>
      </c>
      <c r="D12" s="2822" t="str">
        <f>PORT</f>
        <v>ISTANBUL / TURKEY</v>
      </c>
      <c r="E12" s="2822"/>
      <c r="F12" s="2822"/>
      <c r="G12" s="641"/>
      <c r="H12" s="641"/>
      <c r="I12" s="2794" t="str">
        <f>"VESSEL ROB REPORT"&amp;IF(GRADECHNO2=2," (Residuals)",IF(GRADECHNO2=3," (Distillates)",""))</f>
        <v>VESSEL ROB REPORT</v>
      </c>
      <c r="J12" s="2794"/>
      <c r="K12" s="2794"/>
      <c r="L12" s="2794"/>
      <c r="M12" s="2794"/>
      <c r="N12" s="2794"/>
      <c r="O12" s="2794"/>
      <c r="P12" s="641"/>
      <c r="Q12" s="641"/>
      <c r="R12" s="641"/>
      <c r="S12" s="774" t="s">
        <v>47</v>
      </c>
      <c r="T12" s="454">
        <f>'Vessel Gauging Data'!N18</f>
        <v>12</v>
      </c>
      <c r="U12" s="641"/>
      <c r="V12" s="854" t="s">
        <v>396</v>
      </c>
      <c r="W12" s="854" t="s">
        <v>32</v>
      </c>
      <c r="X12" s="854" t="s">
        <v>394</v>
      </c>
      <c r="Y12" s="1503"/>
      <c r="Z12" s="641"/>
      <c r="AA12" s="641"/>
      <c r="AB12" s="641"/>
      <c r="AC12" s="641"/>
      <c r="AD12" s="641"/>
      <c r="AE12" s="641"/>
      <c r="AF12" s="641"/>
      <c r="AG12" s="641"/>
      <c r="AH12" s="641"/>
      <c r="AI12" s="641"/>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15">
      <c r="A13" s="641"/>
      <c r="B13" s="641"/>
      <c r="C13" s="773" t="s">
        <v>44</v>
      </c>
      <c r="D13" s="2823">
        <f>DATESURVC</f>
        <v>44792</v>
      </c>
      <c r="E13" s="2823"/>
      <c r="F13" s="2823"/>
      <c r="G13" s="641"/>
      <c r="H13" s="641"/>
      <c r="I13" s="2794"/>
      <c r="J13" s="2794"/>
      <c r="K13" s="2794"/>
      <c r="L13" s="2794"/>
      <c r="M13" s="2794"/>
      <c r="N13" s="2794"/>
      <c r="O13" s="2794"/>
      <c r="P13" s="641"/>
      <c r="Q13" s="641"/>
      <c r="R13" s="641"/>
      <c r="S13" s="775" t="s">
        <v>45</v>
      </c>
      <c r="T13" s="452">
        <f>'Vessel Gauging Data'!N19</f>
        <v>12</v>
      </c>
      <c r="U13" s="641"/>
      <c r="V13" s="854" t="s">
        <v>397</v>
      </c>
      <c r="W13" s="854" t="s">
        <v>292</v>
      </c>
      <c r="X13" s="854" t="s">
        <v>395</v>
      </c>
      <c r="Y13" s="1503"/>
      <c r="Z13" s="641"/>
      <c r="AA13" s="641"/>
      <c r="AB13" s="641"/>
      <c r="AC13" s="641"/>
      <c r="AD13" s="641"/>
      <c r="AE13" s="641"/>
      <c r="AF13" s="641"/>
      <c r="AG13" s="641"/>
      <c r="AH13" s="641"/>
      <c r="AI13" s="641"/>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5">
      <c r="A14" s="641"/>
      <c r="B14" s="641"/>
      <c r="C14" s="815" t="s">
        <v>42</v>
      </c>
      <c r="D14" s="3427">
        <f>TIMESURVC</f>
        <v>0.27083333333333331</v>
      </c>
      <c r="E14" s="3427"/>
      <c r="F14" s="3427"/>
      <c r="G14" s="641"/>
      <c r="H14" s="641"/>
      <c r="I14" s="641"/>
      <c r="J14" s="641"/>
      <c r="K14" s="641"/>
      <c r="L14" s="641"/>
      <c r="M14" s="641"/>
      <c r="N14" s="641"/>
      <c r="O14" s="641"/>
      <c r="P14" s="641"/>
      <c r="Q14" s="641"/>
      <c r="R14" s="641"/>
      <c r="S14" s="775" t="s">
        <v>43</v>
      </c>
      <c r="T14" s="452">
        <f>T13-T12</f>
        <v>0</v>
      </c>
      <c r="U14" s="641"/>
      <c r="V14" s="641"/>
      <c r="W14" s="641"/>
      <c r="X14" s="641"/>
      <c r="Y14" s="641"/>
      <c r="Z14" s="641"/>
      <c r="AA14" s="641"/>
      <c r="AB14" s="641"/>
      <c r="AC14" s="641"/>
      <c r="AD14" s="641"/>
      <c r="AE14" s="641"/>
      <c r="AF14" s="641"/>
      <c r="AG14" s="641"/>
      <c r="AH14" s="641"/>
      <c r="AI14" s="641"/>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15">
      <c r="A15" s="641"/>
      <c r="B15" s="641"/>
      <c r="C15" s="641"/>
      <c r="D15" s="814"/>
      <c r="E15" s="814"/>
      <c r="F15" s="814"/>
      <c r="G15" s="641"/>
      <c r="H15" s="641"/>
      <c r="I15" s="649"/>
      <c r="J15" s="649"/>
      <c r="K15" s="650"/>
      <c r="L15" s="650"/>
      <c r="M15" s="651"/>
      <c r="N15" s="652"/>
      <c r="O15" s="653"/>
      <c r="P15" s="641"/>
      <c r="Q15" s="641"/>
      <c r="R15" s="641"/>
      <c r="S15" s="776" t="s">
        <v>41</v>
      </c>
      <c r="T15" s="453">
        <f>'Vessel Gauging Data'!N21</f>
        <v>1</v>
      </c>
      <c r="U15" s="641"/>
      <c r="V15" s="641"/>
      <c r="W15" s="641"/>
      <c r="X15" s="641"/>
      <c r="Y15" s="641"/>
      <c r="Z15" s="641"/>
      <c r="AA15" s="641"/>
      <c r="AB15" s="641"/>
      <c r="AC15" s="641"/>
      <c r="AD15" s="641"/>
      <c r="AE15" s="641"/>
      <c r="AF15" s="641"/>
      <c r="AG15" s="641"/>
      <c r="AH15" s="641"/>
      <c r="AI15" s="641"/>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4.5" customHeight="1">
      <c r="A16" s="641"/>
      <c r="B16" s="641"/>
      <c r="C16" s="641"/>
      <c r="D16" s="641"/>
      <c r="E16" s="641"/>
      <c r="F16" s="641"/>
      <c r="G16" s="641"/>
      <c r="H16" s="641"/>
      <c r="I16" s="649"/>
      <c r="J16" s="649"/>
      <c r="K16" s="650"/>
      <c r="L16" s="650"/>
      <c r="M16" s="651"/>
      <c r="N16" s="652"/>
      <c r="O16" s="653"/>
      <c r="P16" s="653"/>
      <c r="Q16" s="641"/>
      <c r="R16" s="641"/>
      <c r="S16" s="641"/>
      <c r="T16" s="641"/>
      <c r="U16" s="641"/>
      <c r="V16" s="641"/>
      <c r="W16" s="641"/>
      <c r="X16" s="641"/>
      <c r="Y16" s="641"/>
      <c r="Z16" s="641"/>
      <c r="AA16" s="641"/>
      <c r="AB16" s="641"/>
      <c r="AC16" s="641"/>
      <c r="AD16" s="641"/>
      <c r="AE16" s="641"/>
      <c r="AF16" s="641"/>
      <c r="AG16" s="641"/>
      <c r="AH16" s="641"/>
      <c r="AI16" s="641"/>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50.1" customHeight="1">
      <c r="A17" s="654" t="s">
        <v>284</v>
      </c>
      <c r="B17" s="641"/>
      <c r="C17" s="448" t="s">
        <v>173</v>
      </c>
      <c r="D17" s="193" t="s">
        <v>172</v>
      </c>
      <c r="E17" s="194" t="s">
        <v>171</v>
      </c>
      <c r="F17" s="193" t="s">
        <v>39</v>
      </c>
      <c r="G17" s="193" t="str">
        <f>'Vessel Gauging Data'!H24</f>
        <v>Observed Ullage Sounding Gauge</v>
      </c>
      <c r="H17" s="193" t="str">
        <f>'Vessel Gauging Data'!I24</f>
        <v>Corrected Ullage Sounding Gauge</v>
      </c>
      <c r="I17" s="449" t="s">
        <v>37</v>
      </c>
      <c r="J17" s="450" t="s">
        <v>352</v>
      </c>
      <c r="K17" s="450" t="s">
        <v>170</v>
      </c>
      <c r="L17" s="450" t="s">
        <v>169</v>
      </c>
      <c r="M17" s="193" t="str">
        <f>INDEX($V$12:$W$13,$AA$1,1)</f>
        <v>Density
 @ 15°C</v>
      </c>
      <c r="N17" s="193" t="s">
        <v>36</v>
      </c>
      <c r="O17" s="193" t="s">
        <v>400</v>
      </c>
      <c r="P17" s="314" t="s">
        <v>168</v>
      </c>
      <c r="Q17" s="193" t="str">
        <f>INDEX(X12:X13,AA1,1)</f>
        <v>G.S.V.
 @ 15° C</v>
      </c>
      <c r="R17" s="193" t="s">
        <v>35</v>
      </c>
      <c r="S17" s="193" t="s">
        <v>167</v>
      </c>
      <c r="T17" s="451" t="s">
        <v>34</v>
      </c>
      <c r="U17" s="641"/>
      <c r="V17" s="1153" t="s">
        <v>171</v>
      </c>
      <c r="W17" s="1153" t="s">
        <v>39</v>
      </c>
      <c r="X17" s="1153" t="str">
        <f>G17</f>
        <v>Observed Ullage Sounding Gauge</v>
      </c>
      <c r="Y17" s="1153" t="str">
        <f>H17</f>
        <v>Corrected Ullage Sounding Gauge</v>
      </c>
      <c r="Z17" s="1153" t="s">
        <v>36</v>
      </c>
      <c r="AA17" s="641"/>
      <c r="AB17" s="655" t="s">
        <v>389</v>
      </c>
      <c r="AC17" s="655" t="s">
        <v>330</v>
      </c>
      <c r="AD17" s="641"/>
      <c r="AE17" s="641" t="s">
        <v>390</v>
      </c>
      <c r="AF17" s="641" t="s">
        <v>390</v>
      </c>
      <c r="AG17" s="641"/>
      <c r="AH17" s="656" t="s">
        <v>387</v>
      </c>
      <c r="AI17" s="656"/>
      <c r="AJ17" s="656"/>
      <c r="AK17" s="656"/>
      <c r="AL17" s="656"/>
      <c r="AM17" s="657" t="s">
        <v>349</v>
      </c>
      <c r="AN17" s="657" t="s">
        <v>348</v>
      </c>
      <c r="AO17" s="657" t="s">
        <v>347</v>
      </c>
      <c r="AP17" s="657" t="s">
        <v>346</v>
      </c>
      <c r="AQ17" s="656"/>
      <c r="AR17" s="657" t="s">
        <v>386</v>
      </c>
      <c r="AS17" s="656"/>
      <c r="AT17" s="656"/>
      <c r="AU17" s="656"/>
      <c r="AV17" s="656" t="s">
        <v>345</v>
      </c>
      <c r="AW17" s="656"/>
      <c r="AX17" s="656"/>
      <c r="AY17" s="657" t="s">
        <v>625</v>
      </c>
      <c r="AZ17" s="656"/>
      <c r="BA17" s="641"/>
      <c r="BB17" s="1151" t="s">
        <v>37</v>
      </c>
      <c r="BC17" s="1152" t="s">
        <v>352</v>
      </c>
      <c r="BD17" s="1151" t="s">
        <v>170</v>
      </c>
      <c r="BE17" s="1151" t="s">
        <v>169</v>
      </c>
    </row>
    <row r="18" spans="1:57" ht="15">
      <c r="A18" s="654" t="s">
        <v>284</v>
      </c>
      <c r="B18" s="641"/>
      <c r="C18" s="475"/>
      <c r="D18" s="476"/>
      <c r="E18" s="477" t="str">
        <f>INDEX($AB$2:$AB$3,$AB$1,1)</f>
        <v>m</v>
      </c>
      <c r="F18" s="478" t="str">
        <f>INDEX($AB$2:$AB$3,$AB$1,1)</f>
        <v>m</v>
      </c>
      <c r="G18" s="478" t="str">
        <f>INDEX($AB$2:$AB$3,$AB$1,1)</f>
        <v>m</v>
      </c>
      <c r="H18" s="478" t="str">
        <f>INDEX($AB$2:$AB$3,$AB$1,1)</f>
        <v>m</v>
      </c>
      <c r="I18" s="478"/>
      <c r="J18" s="478" t="str">
        <f>IF($AA1=1,"m3","Bbls")</f>
        <v>m3</v>
      </c>
      <c r="K18" s="478" t="str">
        <f>IF(AB1=1,"cm","in")</f>
        <v>cm</v>
      </c>
      <c r="L18" s="478" t="str">
        <f>IF($AA1=1,"m3","Bbls")</f>
        <v>m3</v>
      </c>
      <c r="M18" s="478" t="str">
        <f>INDEX($V$12:$W$13,$AA$1,2)</f>
        <v>kg/L</v>
      </c>
      <c r="N18" s="478" t="str">
        <f>IF(AA1=1,"° C","° F")</f>
        <v>° C</v>
      </c>
      <c r="O18" s="478" t="str">
        <f>IF($AA1=1,"m3","Bbls")</f>
        <v>m3</v>
      </c>
      <c r="P18" s="478" t="str">
        <f>IF(AA1=1,"Table 54B","Table 6B")</f>
        <v>Table 54B</v>
      </c>
      <c r="Q18" s="478" t="str">
        <f>IF($AA1=1,"m3","Bbls")</f>
        <v>m3</v>
      </c>
      <c r="R18" s="478" t="s">
        <v>31</v>
      </c>
      <c r="S18" s="478" t="str">
        <f>IF(AA1=1,"Table 56D","Table 13")</f>
        <v>Table 56D</v>
      </c>
      <c r="T18" s="479" t="s">
        <v>31</v>
      </c>
      <c r="U18" s="641"/>
      <c r="V18" s="1151" t="str">
        <f>'Vessel Gauging Data'!E26</f>
        <v>4</v>
      </c>
      <c r="W18" s="1151" t="str">
        <f>'Vessel Gauging Data'!F26</f>
        <v>5</v>
      </c>
      <c r="X18" s="1151" t="str">
        <f>'Vessel Gauging Data'!H26</f>
        <v>7</v>
      </c>
      <c r="Y18" s="1151" t="str">
        <f>'Vessel Gauging Data'!I26</f>
        <v>8</v>
      </c>
      <c r="Z18" s="1151" t="str">
        <f>'Vessel Gauging Data'!K26</f>
        <v>10</v>
      </c>
      <c r="AA18" s="641"/>
      <c r="AB18" s="641"/>
      <c r="AC18" s="641"/>
      <c r="AD18" s="641"/>
      <c r="AE18" s="641"/>
      <c r="AF18" s="641"/>
      <c r="AG18" s="641"/>
      <c r="AH18" s="660" t="s">
        <v>343</v>
      </c>
      <c r="AI18" s="660" t="s">
        <v>292</v>
      </c>
      <c r="AJ18" s="660" t="s">
        <v>342</v>
      </c>
      <c r="AK18" s="660" t="s">
        <v>341</v>
      </c>
      <c r="AL18" s="660" t="s">
        <v>340</v>
      </c>
      <c r="AM18" s="660" t="s">
        <v>334</v>
      </c>
      <c r="AN18" s="660" t="s">
        <v>333</v>
      </c>
      <c r="AO18" s="660" t="s">
        <v>339</v>
      </c>
      <c r="AP18" s="660" t="s">
        <v>338</v>
      </c>
      <c r="AQ18" s="660" t="s">
        <v>337</v>
      </c>
      <c r="AR18" s="660" t="s">
        <v>334</v>
      </c>
      <c r="AS18" s="660" t="s">
        <v>333</v>
      </c>
      <c r="AT18" s="660" t="s">
        <v>336</v>
      </c>
      <c r="AU18" s="660" t="s">
        <v>335</v>
      </c>
      <c r="AV18" s="660" t="s">
        <v>334</v>
      </c>
      <c r="AW18" s="660" t="s">
        <v>333</v>
      </c>
      <c r="AX18" s="660" t="s">
        <v>332</v>
      </c>
      <c r="AY18" s="660" t="s">
        <v>331</v>
      </c>
      <c r="AZ18" s="660" t="s">
        <v>388</v>
      </c>
      <c r="BA18" s="641"/>
      <c r="BB18" s="1151">
        <f>'Vessel Gauging Data'!G26</f>
        <v>6</v>
      </c>
      <c r="BC18" s="1151" t="str">
        <f>'Vessel Gauging Data'!J26</f>
        <v>9</v>
      </c>
      <c r="BD18" s="1151" t="str">
        <f>'Vessel Gauging Data'!M26</f>
        <v>12</v>
      </c>
      <c r="BE18" s="1151" t="str">
        <f>'Vessel Gauging Data'!N26</f>
        <v>13</v>
      </c>
    </row>
    <row r="19" spans="1:57" ht="18.75">
      <c r="A19" s="658" t="s">
        <v>284</v>
      </c>
      <c r="B19" s="658"/>
      <c r="C19" s="692"/>
      <c r="D19" s="693"/>
      <c r="E19" s="693"/>
      <c r="F19" s="693"/>
      <c r="G19" s="693"/>
      <c r="H19" s="693"/>
      <c r="I19" s="693"/>
      <c r="J19" s="693"/>
      <c r="K19" s="693"/>
      <c r="L19" s="693"/>
      <c r="M19" s="693"/>
      <c r="N19" s="693"/>
      <c r="O19" s="693"/>
      <c r="P19" s="693"/>
      <c r="Q19" s="693"/>
      <c r="R19" s="693"/>
      <c r="S19" s="693"/>
      <c r="T19" s="694"/>
      <c r="U19" s="658"/>
      <c r="V19" s="658"/>
      <c r="W19" s="658"/>
      <c r="X19" s="641"/>
      <c r="Y19" s="641"/>
      <c r="Z19" s="658"/>
      <c r="AA19" s="658"/>
      <c r="AB19" s="658"/>
      <c r="AC19" s="658"/>
      <c r="AD19" s="658"/>
      <c r="AE19" s="641"/>
      <c r="AF19" s="641"/>
      <c r="AG19" s="658"/>
      <c r="AH19" s="656"/>
      <c r="AI19" s="656"/>
      <c r="AJ19" s="656"/>
      <c r="AK19" s="656"/>
      <c r="AL19" s="656"/>
      <c r="AM19" s="657"/>
      <c r="AN19" s="657"/>
      <c r="AO19" s="657"/>
      <c r="AP19" s="657"/>
      <c r="AQ19" s="656"/>
      <c r="AR19" s="657"/>
      <c r="AS19" s="656"/>
      <c r="AT19" s="656"/>
      <c r="AU19" s="656"/>
      <c r="AV19" s="656"/>
      <c r="AW19" s="656"/>
      <c r="AX19" s="656"/>
      <c r="AY19" s="657"/>
      <c r="AZ19" s="656"/>
      <c r="BA19" s="658"/>
      <c r="BB19" s="658"/>
      <c r="BC19" s="658"/>
      <c r="BD19" s="658"/>
      <c r="BE19" s="658"/>
    </row>
    <row r="20" spans="1:57" s="855" customFormat="1" ht="5.25">
      <c r="A20" s="799" t="s">
        <v>284</v>
      </c>
      <c r="B20" s="799"/>
      <c r="U20" s="803"/>
      <c r="V20" s="803"/>
      <c r="W20" s="803"/>
      <c r="X20" s="803"/>
      <c r="Y20" s="803"/>
      <c r="Z20" s="803"/>
      <c r="AA20" s="803"/>
      <c r="AB20" s="803"/>
      <c r="AC20" s="804"/>
      <c r="AD20" s="804"/>
      <c r="AE20" s="803"/>
      <c r="AF20" s="805"/>
      <c r="AG20" s="805"/>
      <c r="AH20" s="806"/>
      <c r="AI20" s="807"/>
      <c r="AJ20" s="807"/>
      <c r="AK20" s="807"/>
      <c r="AL20" s="807"/>
      <c r="AM20" s="808"/>
      <c r="AN20" s="809"/>
      <c r="AO20" s="807"/>
      <c r="AP20" s="810"/>
      <c r="AQ20" s="810"/>
      <c r="AR20" s="811"/>
      <c r="AS20" s="810"/>
      <c r="AT20" s="812"/>
      <c r="AU20" s="810"/>
      <c r="AV20" s="810"/>
      <c r="AW20" s="807"/>
      <c r="AX20" s="813"/>
      <c r="AY20" s="803"/>
      <c r="AZ20" s="805"/>
      <c r="BA20" s="805"/>
      <c r="BB20" s="805"/>
      <c r="BC20" s="805"/>
      <c r="BD20" s="803"/>
      <c r="BE20" s="803"/>
    </row>
    <row r="21" spans="1:57" ht="15.75" hidden="1">
      <c r="A21" s="641" t="str">
        <f>A22</f>
        <v>N</v>
      </c>
      <c r="B21" s="641">
        <v>1</v>
      </c>
      <c r="C21" s="2797" t="s">
        <v>499</v>
      </c>
      <c r="D21" s="2798"/>
      <c r="E21" s="2799" t="str">
        <f>'Preliminary Report'!E1</f>
        <v>HSFO</v>
      </c>
      <c r="F21" s="2800"/>
      <c r="G21" s="2800"/>
      <c r="H21" s="2824"/>
      <c r="I21" s="2801"/>
      <c r="J21" s="700"/>
      <c r="K21" s="699"/>
      <c r="L21" s="700"/>
      <c r="M21" s="699"/>
      <c r="N21" s="699"/>
      <c r="O21" s="700"/>
      <c r="P21" s="699"/>
      <c r="Q21" s="700"/>
      <c r="R21" s="701"/>
      <c r="S21" s="699"/>
      <c r="T21" s="701"/>
      <c r="U21" s="641"/>
      <c r="V21" s="701"/>
      <c r="W21" s="701"/>
      <c r="X21" s="701"/>
      <c r="Y21" s="701"/>
      <c r="Z21" s="701"/>
      <c r="AA21" s="641"/>
      <c r="AB21" s="641"/>
      <c r="AC21" s="641"/>
      <c r="AD21" s="641"/>
      <c r="AE21" s="641"/>
      <c r="AF21" s="641"/>
      <c r="AG21" s="641"/>
      <c r="AH21" s="641"/>
      <c r="AI21" s="641"/>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15" hidden="1">
      <c r="A22" s="641" t="str">
        <f t="shared" ref="A22:A41" si="0">IF(C22="","N",IF(ISERROR(MATCH($E$21,IF($Z$1=1,GRADESLIST,IF($Z$1=2,RESIDUALS,DISTILLATES)),0)),"N","Y"))</f>
        <v>N</v>
      </c>
      <c r="B22" s="641"/>
      <c r="C22" s="235" t="str">
        <f t="array" ref="C22">IF(OR($E$21="",SUMPRODUCT(('Vessel Gauging Data'!$C$27:$C$56=$E$21)*1)&lt;ROWS($C$22:$C22)),"",INDEX('Vessel Gauging Data'!$B$27:$B$56,SMALL(IF(('Vessel Gauging Data'!$C$27:$C$56=$E$21),ROW('Vessel Gauging Data'!$B$27:$B$56)-ROW('Vessel Gauging Data'!$C$26)),ROW()-ROW(C$21))))</f>
        <v/>
      </c>
      <c r="D22" s="211" t="str">
        <f>IF(OR($C22="",$C22=0),"",INDEX('Vessel Gauging Data'!$B$26:$V$56,MATCH($C22,'Vessel Gauging Data'!$B$27:$B$56,0)+1,2))</f>
        <v/>
      </c>
      <c r="E22" s="1016" t="str">
        <f t="shared" ref="E22:E41" si="1">IF(ISERROR(V22),"",IF(OR($C22="",$C22=0),"",IF(ISTEXT(V22),V22,IF($AB$1=1,V22*UNITOR,INT(V22*UNITOR)&amp;"'-"&amp;TRIM(TEXT(ROUND(MOD(V22*UNITOR,1)*12,1),"# ???/???"))&amp;""""))))</f>
        <v/>
      </c>
      <c r="F22" s="1016" t="str">
        <f t="shared" ref="F22:F41" si="2">IF(ISERROR(W22),"",IF(OR($C22="",$C22=0),"",IF($I22=UMETHOD,"ULL",IF(ISTEXT(W22),W22,IF($AB$1=1,W22*UNITOR,INT(W22*UNITOR)&amp;"'-"&amp;TRIM(TEXT(ROUND(MOD(W22*UNITOR,1)*12,1),"# ???/???"))&amp;"""")))))</f>
        <v/>
      </c>
      <c r="G22" s="1016" t="str">
        <f t="shared" ref="G22:G41" si="3">IF(ISERROR(X22),"",IF(OR($C22="",$C22=0),"",IF(ISTEXT(X22),X22,IF($AB$1=1,X22*UNITOR,INT(X22*UNITOR)&amp;"'-"&amp;TRIM(TEXT(ROUND(MOD(X22*UNITOR,1)*12,1),"# ???/???"))&amp;""""))))</f>
        <v/>
      </c>
      <c r="H22" s="1016" t="str">
        <f t="shared" ref="H22:H41" si="4">IF(ISERROR(Y22),"",IF(OR($C22="",$C22=0),"",IF(ISTEXT(Y22),Y22,IF($AB$1=1,Y22*UNITOR,INT(Y22*UNITOR)&amp;"'-"&amp;TRIM(TEXT(ROUND(MOD(Y22*UNITOR,1)*12,1),"# ???/???"))&amp;""""))))</f>
        <v/>
      </c>
      <c r="I22" s="211" t="str">
        <f t="shared" ref="I22:I41" si="5">IF(ISERROR($BB22),"",IF(OR($C22="",$C22=0,$BB22=0),"",$BB22))</f>
        <v/>
      </c>
      <c r="J22" s="1016" t="str">
        <f t="shared" ref="J22:J41" si="6">IF(ISERROR($BC22),"",IF(OR($C22="",$C22=0,$BC22=""),"",IF(ISTEXT($BC22),$BC22,$BC22*IF($AA$1=B1SEL,1,IF($AA$1=2,FBBLS,1/FBBLS)))))</f>
        <v/>
      </c>
      <c r="K22" s="213" t="str">
        <f t="shared" ref="K22:K41" si="7">IF(ISERROR($BD22),"",IF(OR($C22="",$C22=0,$BD22=""),0,IF(ISTEXT($BD22),$BD22,$BD22*IF($AB$1=W1SEL,1,IF($AB$1=2,FINCH,1/FINCH)))))</f>
        <v/>
      </c>
      <c r="L22" s="212" t="str">
        <f t="shared" ref="L22:L41" si="8">IF(ISERROR($BE22),"",IF(OR($C22="",$C22=0,$BE22=""),0,IF(ISTEXT($BE22),$BE22,$BE22*IF($AA$1=B1SEL,1,IF($AA$1=2,FBBLS,1/FBBLS)))))</f>
        <v/>
      </c>
      <c r="M22" s="1125" t="str">
        <f>IF(OR($C22="",$C22=0),"",INDEX(API1DENST,MATCH($C22,'Vessel Gauging Data'!$B$27:$B$56,0),$AA$1))</f>
        <v/>
      </c>
      <c r="N22" s="212" t="str">
        <f t="shared" ref="N22:N41" si="9">IF(ISERROR(Z22),"",IF(OR($C22="",$C22=0,Z22=""),"",IF(ISTEXT(Z22),Z22,IF($AA$1=T1SEL,Z22,IF($AA$1=2,(Z22*9/5)+32,(Z22-32)*5/9)))))</f>
        <v/>
      </c>
      <c r="O22" s="1016" t="str">
        <f>IF(OR(J22="",L22=""),"",IF(ISTEXT(J22),"N/A",IF(ISTEXT(L22),J22,J22-L22)))</f>
        <v/>
      </c>
      <c r="P22" s="1125" t="str">
        <f>IF(OR(M22="",N22=""),"",IF(OR(ISTEXT(M22),ISTEXT(N22)),"N/A",IF($AA$1=1,ROUND(EXP(-AF22*(N22-15)*(1+0.8*AF22*(N22-15))),5),AZ22)))</f>
        <v/>
      </c>
      <c r="Q22" s="1016" t="str">
        <f>IF(OR(M22="",N22=""),"",IF(OR(ISTEXT(M22),ISTEXT(N22)),"N/A",ROUND(O22*P22,3)))</f>
        <v/>
      </c>
      <c r="R22" s="214" t="str">
        <f>IF(M22="","",IF($AA$1=1,IF(ISTEXT(Q22),"N/A",ROUND(Q22*M22,3)),IF(ISTEXT(T22),"N/A",ROUND(T22*AC22,3))))</f>
        <v/>
      </c>
      <c r="S22" s="1125" t="str">
        <f t="shared" ref="S22:S41" si="10">IF(M22="","",IF($AA$1=1,ROUND(M22-0.0011,5),ROUND((1.00122697*(141.5/(M22+131.5))-1.22269727*10^-3)*8.32823*42/2204.62,5+2)))</f>
        <v/>
      </c>
      <c r="T22" s="236" t="str">
        <f>IF(OR(M22="",N22=""),"",IF(ISTEXT(Q22),"N/A",IF($AA$1=1,ROUND((Q22*(M22-0.0011)),3),ROUND(Q22*S22,3))))</f>
        <v/>
      </c>
      <c r="U22" s="641"/>
      <c r="V22" s="642" t="e">
        <f>INDEX('Vessel Gauging Data'!$B$26:$V$56,MATCH($C22,'Vessel Gauging Data'!$B$26:$B$56,0),$V$18)</f>
        <v>#N/A</v>
      </c>
      <c r="W22" s="642" t="e">
        <f>INDEX('Vessel Gauging Data'!$B$26:$V$56,MATCH($C22,'Vessel Gauging Data'!$B$26:$B$56,0),$W$18)</f>
        <v>#N/A</v>
      </c>
      <c r="X22" s="642" t="e">
        <f>INDEX('Vessel Gauging Data'!$B$26:$V$56,MATCH($C22,'Vessel Gauging Data'!$B$26:$B$56,0),$X$18)</f>
        <v>#N/A</v>
      </c>
      <c r="Y22" s="642" t="e">
        <f>INDEX('Vessel Gauging Data'!$B$26:$V$56,MATCH($C22,'Vessel Gauging Data'!$B$26:$B$56,0),$Y$18)</f>
        <v>#N/A</v>
      </c>
      <c r="Z22" s="642" t="e">
        <f>INDEX('Vessel Gauging Data'!$B$26:$V$56,MATCH($C22,'Vessel Gauging Data'!$B$26:$B$56,0),$Z$18)</f>
        <v>#N/A</v>
      </c>
      <c r="AA22" s="641"/>
      <c r="AB22" s="642" t="e">
        <f>INDEX(API1DENST,MATCH($C22,'Vessel Gauging Data'!$B$27:$B$56,0),1)</f>
        <v>#N/A</v>
      </c>
      <c r="AC22" s="642" t="e">
        <f t="shared" ref="AC22:AC41" si="11">((INT((AB22/(1.0001506*AB22-0.0012202))*10000)+0.5)/10000)</f>
        <v>#N/A</v>
      </c>
      <c r="AD22" s="641"/>
      <c r="AE22" s="661" t="e">
        <f t="shared" ref="AE22:AE41" si="12">ROUND(+M22/2*1000,0)*2</f>
        <v>#VALUE!</v>
      </c>
      <c r="AF22" s="661" t="e">
        <f t="shared" ref="AF22:AF41" si="13">ROUND(186.9696/(AE22*AE22)+(0.4862/AE22),8)</f>
        <v>#VALUE!</v>
      </c>
      <c r="AG22" s="641"/>
      <c r="AH22" s="662" t="str">
        <f t="shared" ref="AH22:AH41" si="14">N22</f>
        <v/>
      </c>
      <c r="AI22" s="662" t="str">
        <f t="shared" ref="AI22:AI41" si="15">M22</f>
        <v/>
      </c>
      <c r="AJ22" s="663">
        <f t="shared" ref="AJ22:AJ41" si="16">IF(AND(AI22&gt;=0,AI22&lt;=37),103.872,IF(AND(AI22&gt;=48,AI22&lt;=52),-0.0018684,IF(AND(AI22&gt;=37.1,AI22&lt;=47.9),330.301,IF(AND(AI22&gt;=52.1),192.4571))))</f>
        <v>192.4571</v>
      </c>
      <c r="AK22" s="660">
        <f t="shared" ref="AK22:AK41" si="17">IF(AND(AI22&gt;=0,AI22&lt;=37),0.2701,IF(AND(AI22&gt;=48,AJ22&lt;=52),1489.067,IF(AND(AI22&gt;=37.1,AI22&lt;=47.9),0,IF(AI22&gt;=52.1,0.2438))))</f>
        <v>0.24379999999999999</v>
      </c>
      <c r="AL22" s="660" t="e">
        <f t="shared" ref="AL22:AL41" si="18">ROUND(141360.198/(AI22+131.5),2)</f>
        <v>#VALUE!</v>
      </c>
      <c r="AM22" s="664" t="e">
        <f t="shared" ref="AM22:AM41" si="19">TRUNC(AJ22/AL22,8)</f>
        <v>#VALUE!</v>
      </c>
      <c r="AN22" s="664" t="e">
        <f t="shared" ref="AN22:AN41" si="20">TRUNC(AM22/AL22,10)</f>
        <v>#VALUE!</v>
      </c>
      <c r="AO22" s="665" t="e">
        <f t="shared" ref="AO22:AO41" si="21">TRUNC(AK22/AL22,10)</f>
        <v>#VALUE!</v>
      </c>
      <c r="AP22" s="666" t="e">
        <f t="shared" ref="AP22:AP41" si="22">IF(AND(AI22&gt;=48,AI22&lt;=52),ROUND(AW22+AJ22,7),ROUND(AN22+AO22,7))</f>
        <v>#VALUE!</v>
      </c>
      <c r="AQ22" s="660" t="e">
        <f t="shared" ref="AQ22:AQ41" si="23">AH22-60</f>
        <v>#VALUE!</v>
      </c>
      <c r="AR22" s="667" t="e">
        <f t="shared" ref="AR22:AR41" si="24">TRUNC(AP22*AQ22,8)</f>
        <v>#VALUE!</v>
      </c>
      <c r="AS22" s="667" t="e">
        <f t="shared" ref="AS22:AS41" si="25">TRUNC(0.8*AR22,8)</f>
        <v>#VALUE!</v>
      </c>
      <c r="AT22" s="668" t="e">
        <f t="shared" ref="AT22:AT41" si="26">TRUNC(0.8*AP22^2*AQ22^2,8)</f>
        <v>#VALUE!</v>
      </c>
      <c r="AU22" s="667" t="e">
        <f t="shared" ref="AU22:AU41" si="27">-AR22-AT22</f>
        <v>#VALUE!</v>
      </c>
      <c r="AV22" s="669" t="e">
        <f t="shared" ref="AV22:AV41" si="28">TRUNC(AK22/AL22,5)</f>
        <v>#VALUE!</v>
      </c>
      <c r="AW22" s="667" t="e">
        <f t="shared" ref="AW22:AW41" si="29">ROUND(AV22/AL22,8)</f>
        <v>#VALUE!</v>
      </c>
      <c r="AX22" s="667" t="e">
        <f t="shared" ref="AX22:AX41" si="30">ROUND(AW22+AJ22,8)</f>
        <v>#VALUE!</v>
      </c>
      <c r="AY22" s="660" t="e">
        <f t="shared" ref="AY22:AY41" si="31">IF(AND(AI22&gt;=48,AI22&lt;=52),AX22,AP22)</f>
        <v>#VALUE!</v>
      </c>
      <c r="AZ22" s="670" t="e">
        <f t="shared" ref="AZ22:AZ41" si="32">ROUND(EXP(AU22),5)</f>
        <v>#VALUE!</v>
      </c>
      <c r="BA22" s="641"/>
      <c r="BB22" s="662" t="e">
        <f>INDEX('Vessel Gauging Data'!$B$26:$V$56,MATCH($C22,'Vessel Gauging Data'!$B$26:$B$56,0),$BB$18)</f>
        <v>#N/A</v>
      </c>
      <c r="BC22" s="662" t="e">
        <f>INDEX('Vessel Gauging Data'!$B$26:$V$56,MATCH($C22,'Vessel Gauging Data'!$B$26:$B$56,0),$BC$18)</f>
        <v>#N/A</v>
      </c>
      <c r="BD22" s="662" t="e">
        <f>INDEX('Vessel Gauging Data'!$B$26:$V$56,MATCH($C22,'Vessel Gauging Data'!$B$26:$B$56,0),$BD$18)</f>
        <v>#N/A</v>
      </c>
      <c r="BE22" s="662" t="e">
        <f>INDEX('Vessel Gauging Data'!$B$26:$V$56,MATCH($C22,'Vessel Gauging Data'!$B$26:$B$56,0),$BE$18)</f>
        <v>#N/A</v>
      </c>
    </row>
    <row r="23" spans="1:57" ht="15" hidden="1">
      <c r="A23" s="641" t="str">
        <f t="shared" si="0"/>
        <v>N</v>
      </c>
      <c r="B23" s="641"/>
      <c r="C23" s="235" t="str">
        <f t="array" ref="C23">IF(OR($E$21="",SUMPRODUCT(('Vessel Gauging Data'!$C$27:$C$56=$E$21)*1)&lt;ROWS($C$22:$C23)),"",INDEX('Vessel Gauging Data'!$B$27:$B$56,SMALL(IF(('Vessel Gauging Data'!$C$27:$C$56=$E$21),ROW('Vessel Gauging Data'!$B$27:$B$56)-ROW('Vessel Gauging Data'!$C$26)),ROW()-ROW(C$21))))</f>
        <v/>
      </c>
      <c r="D23" s="211" t="str">
        <f>IF(OR($C23="",$C23=0),"",INDEX('Vessel Gauging Data'!$B$26:$V$56,MATCH($C23,'Vessel Gauging Data'!$B$27:$B$56,0)+1,2))</f>
        <v/>
      </c>
      <c r="E23" s="1016" t="str">
        <f t="shared" si="1"/>
        <v/>
      </c>
      <c r="F23" s="1016" t="str">
        <f t="shared" si="2"/>
        <v/>
      </c>
      <c r="G23" s="1016" t="str">
        <f t="shared" si="3"/>
        <v/>
      </c>
      <c r="H23" s="1016" t="str">
        <f t="shared" si="4"/>
        <v/>
      </c>
      <c r="I23" s="211" t="str">
        <f t="shared" si="5"/>
        <v/>
      </c>
      <c r="J23" s="1016" t="str">
        <f t="shared" si="6"/>
        <v/>
      </c>
      <c r="K23" s="213" t="str">
        <f t="shared" si="7"/>
        <v/>
      </c>
      <c r="L23" s="212" t="str">
        <f t="shared" si="8"/>
        <v/>
      </c>
      <c r="M23" s="1125" t="str">
        <f>IF(OR($C23="",$C23=0),"",INDEX(API1DENST,MATCH($C23,'Vessel Gauging Data'!$B$27:$B$56,0),$AA$1))</f>
        <v/>
      </c>
      <c r="N23" s="212" t="str">
        <f t="shared" si="9"/>
        <v/>
      </c>
      <c r="O23" s="1016" t="str">
        <f t="shared" ref="O23:O41" si="33">IF(OR(J23="",L23=""),"",IF(ISTEXT(J23),"N/A",IF(ISTEXT(L23),J23,J23-L23)))</f>
        <v/>
      </c>
      <c r="P23" s="1125" t="str">
        <f t="shared" ref="P23:P41" si="34">IF(OR(M23="",N23=""),"",IF(OR(ISTEXT(M23),ISTEXT(N23)),"N/A",IF($AA$1=1,ROUND(EXP(-AF23*(N23-15)*(1+0.8*AF23*(N23-15))),5),AZ23)))</f>
        <v/>
      </c>
      <c r="Q23" s="1016" t="str">
        <f t="shared" ref="Q23:Q41" si="35">IF(OR(M23="",N23=""),"",IF(OR(ISTEXT(M23),ISTEXT(N23)),"N/A",ROUND(O23*P23,3)))</f>
        <v/>
      </c>
      <c r="R23" s="214" t="str">
        <f t="shared" ref="R23:R41" si="36">IF(M23="","",IF($AA$1=1,IF(ISTEXT(Q23),"N/A",ROUND(Q23*M23,3)),IF(ISTEXT(T23),"N/A",ROUND(T23*AC23,3))))</f>
        <v/>
      </c>
      <c r="S23" s="1125" t="str">
        <f t="shared" si="10"/>
        <v/>
      </c>
      <c r="T23" s="236" t="str">
        <f t="shared" ref="T23:T41" si="37">IF(OR(M23="",N23=""),"",IF(ISTEXT(Q23),"N/A",IF($AA$1=1,ROUND((Q23*(M23-0.0011)),3),ROUND(Q23*S23,3))))</f>
        <v/>
      </c>
      <c r="U23" s="641"/>
      <c r="V23" s="642" t="e">
        <f>INDEX('Vessel Gauging Data'!$B$26:$V$56,MATCH($C23,'Vessel Gauging Data'!$B$26:$B$56,0),$V$18)</f>
        <v>#N/A</v>
      </c>
      <c r="W23" s="642" t="e">
        <f>INDEX('Vessel Gauging Data'!$B$26:$V$56,MATCH($C23,'Vessel Gauging Data'!$B$26:$B$56,0),$W$18)</f>
        <v>#N/A</v>
      </c>
      <c r="X23" s="642" t="e">
        <f>INDEX('Vessel Gauging Data'!$B$26:$V$56,MATCH($C23,'Vessel Gauging Data'!$B$26:$B$56,0),$X$18)</f>
        <v>#N/A</v>
      </c>
      <c r="Y23" s="642" t="e">
        <f>INDEX('Vessel Gauging Data'!$B$26:$V$56,MATCH($C23,'Vessel Gauging Data'!$B$26:$B$56,0),$Y$18)</f>
        <v>#N/A</v>
      </c>
      <c r="Z23" s="642" t="e">
        <f>INDEX('Vessel Gauging Data'!$B$26:$V$56,MATCH($C23,'Vessel Gauging Data'!$B$26:$B$56,0),$Z$18)</f>
        <v>#N/A</v>
      </c>
      <c r="AA23" s="641"/>
      <c r="AB23" s="642" t="e">
        <f>INDEX(API1DENST,MATCH($C23,'Vessel Gauging Data'!$B$27:$B$56,0),1)</f>
        <v>#N/A</v>
      </c>
      <c r="AC23" s="642" t="e">
        <f t="shared" si="11"/>
        <v>#N/A</v>
      </c>
      <c r="AD23" s="641"/>
      <c r="AE23" s="661" t="e">
        <f t="shared" si="12"/>
        <v>#VALUE!</v>
      </c>
      <c r="AF23" s="661" t="e">
        <f t="shared" si="13"/>
        <v>#VALUE!</v>
      </c>
      <c r="AG23" s="641"/>
      <c r="AH23" s="662" t="str">
        <f t="shared" si="14"/>
        <v/>
      </c>
      <c r="AI23" s="662" t="str">
        <f t="shared" si="15"/>
        <v/>
      </c>
      <c r="AJ23" s="663">
        <f t="shared" si="16"/>
        <v>192.4571</v>
      </c>
      <c r="AK23" s="660">
        <f t="shared" si="17"/>
        <v>0.24379999999999999</v>
      </c>
      <c r="AL23" s="660" t="e">
        <f t="shared" si="18"/>
        <v>#VALUE!</v>
      </c>
      <c r="AM23" s="664" t="e">
        <f t="shared" si="19"/>
        <v>#VALUE!</v>
      </c>
      <c r="AN23" s="664" t="e">
        <f t="shared" si="20"/>
        <v>#VALUE!</v>
      </c>
      <c r="AO23" s="665" t="e">
        <f t="shared" si="21"/>
        <v>#VALUE!</v>
      </c>
      <c r="AP23" s="666" t="e">
        <f t="shared" si="22"/>
        <v>#VALUE!</v>
      </c>
      <c r="AQ23" s="660" t="e">
        <f t="shared" si="23"/>
        <v>#VALUE!</v>
      </c>
      <c r="AR23" s="667" t="e">
        <f t="shared" si="24"/>
        <v>#VALUE!</v>
      </c>
      <c r="AS23" s="667" t="e">
        <f t="shared" si="25"/>
        <v>#VALUE!</v>
      </c>
      <c r="AT23" s="668" t="e">
        <f t="shared" si="26"/>
        <v>#VALUE!</v>
      </c>
      <c r="AU23" s="667" t="e">
        <f t="shared" si="27"/>
        <v>#VALUE!</v>
      </c>
      <c r="AV23" s="669" t="e">
        <f t="shared" si="28"/>
        <v>#VALUE!</v>
      </c>
      <c r="AW23" s="667" t="e">
        <f t="shared" si="29"/>
        <v>#VALUE!</v>
      </c>
      <c r="AX23" s="667" t="e">
        <f t="shared" si="30"/>
        <v>#VALUE!</v>
      </c>
      <c r="AY23" s="660" t="e">
        <f t="shared" si="31"/>
        <v>#VALUE!</v>
      </c>
      <c r="AZ23" s="670" t="e">
        <f t="shared" si="32"/>
        <v>#VALUE!</v>
      </c>
      <c r="BA23" s="641"/>
      <c r="BB23" s="662" t="e">
        <f>INDEX('Vessel Gauging Data'!$B$26:$V$56,MATCH($C23,'Vessel Gauging Data'!$B$26:$B$56,0),$BB$18)</f>
        <v>#N/A</v>
      </c>
      <c r="BC23" s="662" t="e">
        <f>INDEX('Vessel Gauging Data'!$B$26:$V$56,MATCH($C23,'Vessel Gauging Data'!$B$26:$B$56,0),$BC$18)</f>
        <v>#N/A</v>
      </c>
      <c r="BD23" s="662" t="e">
        <f>INDEX('Vessel Gauging Data'!$B$26:$V$56,MATCH($C23,'Vessel Gauging Data'!$B$26:$B$56,0),$BD$18)</f>
        <v>#N/A</v>
      </c>
      <c r="BE23" s="662" t="e">
        <f>INDEX('Vessel Gauging Data'!$B$26:$V$56,MATCH($C23,'Vessel Gauging Data'!$B$26:$B$56,0),$BE$18)</f>
        <v>#N/A</v>
      </c>
    </row>
    <row r="24" spans="1:57" ht="15" hidden="1">
      <c r="A24" s="641" t="str">
        <f t="shared" si="0"/>
        <v>N</v>
      </c>
      <c r="B24" s="641"/>
      <c r="C24" s="235" t="str">
        <f t="array" ref="C24">IF(OR($E$21="",SUMPRODUCT(('Vessel Gauging Data'!$C$27:$C$56=$E$21)*1)&lt;ROWS($C$22:$C24)),"",INDEX('Vessel Gauging Data'!$B$27:$B$56,SMALL(IF(('Vessel Gauging Data'!$C$27:$C$56=$E$21),ROW('Vessel Gauging Data'!$B$27:$B$56)-ROW('Vessel Gauging Data'!$C$26)),ROW()-ROW(C$21))))</f>
        <v/>
      </c>
      <c r="D24" s="211" t="str">
        <f>IF(OR($C24="",$C24=0),"",INDEX('Vessel Gauging Data'!$B$26:$V$56,MATCH($C24,'Vessel Gauging Data'!$B$27:$B$56,0)+1,2))</f>
        <v/>
      </c>
      <c r="E24" s="1016" t="str">
        <f t="shared" si="1"/>
        <v/>
      </c>
      <c r="F24" s="1016" t="str">
        <f t="shared" si="2"/>
        <v/>
      </c>
      <c r="G24" s="1016" t="str">
        <f t="shared" si="3"/>
        <v/>
      </c>
      <c r="H24" s="1016" t="str">
        <f t="shared" si="4"/>
        <v/>
      </c>
      <c r="I24" s="211" t="str">
        <f t="shared" si="5"/>
        <v/>
      </c>
      <c r="J24" s="1016" t="str">
        <f t="shared" si="6"/>
        <v/>
      </c>
      <c r="K24" s="213" t="str">
        <f t="shared" si="7"/>
        <v/>
      </c>
      <c r="L24" s="212" t="str">
        <f t="shared" si="8"/>
        <v/>
      </c>
      <c r="M24" s="1125" t="str">
        <f>IF(OR($C24="",$C24=0),"",INDEX(API1DENST,MATCH($C24,'Vessel Gauging Data'!$B$27:$B$56,0),$AA$1))</f>
        <v/>
      </c>
      <c r="N24" s="212" t="str">
        <f t="shared" si="9"/>
        <v/>
      </c>
      <c r="O24" s="1016" t="str">
        <f t="shared" si="33"/>
        <v/>
      </c>
      <c r="P24" s="1125" t="str">
        <f t="shared" si="34"/>
        <v/>
      </c>
      <c r="Q24" s="1016" t="str">
        <f t="shared" si="35"/>
        <v/>
      </c>
      <c r="R24" s="214" t="str">
        <f t="shared" si="36"/>
        <v/>
      </c>
      <c r="S24" s="1125" t="str">
        <f t="shared" si="10"/>
        <v/>
      </c>
      <c r="T24" s="236" t="str">
        <f t="shared" si="37"/>
        <v/>
      </c>
      <c r="U24" s="641"/>
      <c r="V24" s="642" t="e">
        <f>INDEX('Vessel Gauging Data'!$B$26:$V$56,MATCH($C24,'Vessel Gauging Data'!$B$26:$B$56,0),$V$18)</f>
        <v>#N/A</v>
      </c>
      <c r="W24" s="642" t="e">
        <f>INDEX('Vessel Gauging Data'!$B$26:$V$56,MATCH($C24,'Vessel Gauging Data'!$B$26:$B$56,0),$W$18)</f>
        <v>#N/A</v>
      </c>
      <c r="X24" s="642" t="e">
        <f>INDEX('Vessel Gauging Data'!$B$26:$V$56,MATCH($C24,'Vessel Gauging Data'!$B$26:$B$56,0),$X$18)</f>
        <v>#N/A</v>
      </c>
      <c r="Y24" s="642" t="e">
        <f>INDEX('Vessel Gauging Data'!$B$26:$V$56,MATCH($C24,'Vessel Gauging Data'!$B$26:$B$56,0),$Y$18)</f>
        <v>#N/A</v>
      </c>
      <c r="Z24" s="642" t="e">
        <f>INDEX('Vessel Gauging Data'!$B$26:$V$56,MATCH($C24,'Vessel Gauging Data'!$B$26:$B$56,0),$Z$18)</f>
        <v>#N/A</v>
      </c>
      <c r="AA24" s="641"/>
      <c r="AB24" s="642" t="e">
        <f>INDEX(API1DENST,MATCH($C24,'Vessel Gauging Data'!$B$27:$B$56,0),1)</f>
        <v>#N/A</v>
      </c>
      <c r="AC24" s="642" t="e">
        <f t="shared" si="11"/>
        <v>#N/A</v>
      </c>
      <c r="AD24" s="641"/>
      <c r="AE24" s="661" t="e">
        <f t="shared" si="12"/>
        <v>#VALUE!</v>
      </c>
      <c r="AF24" s="661" t="e">
        <f t="shared" si="13"/>
        <v>#VALUE!</v>
      </c>
      <c r="AG24" s="641"/>
      <c r="AH24" s="662" t="str">
        <f t="shared" si="14"/>
        <v/>
      </c>
      <c r="AI24" s="662" t="str">
        <f t="shared" si="15"/>
        <v/>
      </c>
      <c r="AJ24" s="663">
        <f t="shared" si="16"/>
        <v>192.4571</v>
      </c>
      <c r="AK24" s="660">
        <f t="shared" si="17"/>
        <v>0.24379999999999999</v>
      </c>
      <c r="AL24" s="660" t="e">
        <f t="shared" si="18"/>
        <v>#VALUE!</v>
      </c>
      <c r="AM24" s="664" t="e">
        <f t="shared" si="19"/>
        <v>#VALUE!</v>
      </c>
      <c r="AN24" s="664" t="e">
        <f t="shared" si="20"/>
        <v>#VALUE!</v>
      </c>
      <c r="AO24" s="665" t="e">
        <f t="shared" si="21"/>
        <v>#VALUE!</v>
      </c>
      <c r="AP24" s="666" t="e">
        <f t="shared" si="22"/>
        <v>#VALUE!</v>
      </c>
      <c r="AQ24" s="660" t="e">
        <f t="shared" si="23"/>
        <v>#VALUE!</v>
      </c>
      <c r="AR24" s="667" t="e">
        <f t="shared" si="24"/>
        <v>#VALUE!</v>
      </c>
      <c r="AS24" s="667" t="e">
        <f t="shared" si="25"/>
        <v>#VALUE!</v>
      </c>
      <c r="AT24" s="668" t="e">
        <f t="shared" si="26"/>
        <v>#VALUE!</v>
      </c>
      <c r="AU24" s="667" t="e">
        <f t="shared" si="27"/>
        <v>#VALUE!</v>
      </c>
      <c r="AV24" s="669" t="e">
        <f t="shared" si="28"/>
        <v>#VALUE!</v>
      </c>
      <c r="AW24" s="667" t="e">
        <f t="shared" si="29"/>
        <v>#VALUE!</v>
      </c>
      <c r="AX24" s="667" t="e">
        <f t="shared" si="30"/>
        <v>#VALUE!</v>
      </c>
      <c r="AY24" s="660" t="e">
        <f t="shared" si="31"/>
        <v>#VALUE!</v>
      </c>
      <c r="AZ24" s="670" t="e">
        <f t="shared" si="32"/>
        <v>#VALUE!</v>
      </c>
      <c r="BA24" s="641"/>
      <c r="BB24" s="662" t="e">
        <f>INDEX('Vessel Gauging Data'!$B$26:$V$56,MATCH($C24,'Vessel Gauging Data'!$B$26:$B$56,0),$BB$18)</f>
        <v>#N/A</v>
      </c>
      <c r="BC24" s="662" t="e">
        <f>INDEX('Vessel Gauging Data'!$B$26:$V$56,MATCH($C24,'Vessel Gauging Data'!$B$26:$B$56,0),$BC$18)</f>
        <v>#N/A</v>
      </c>
      <c r="BD24" s="662" t="e">
        <f>INDEX('Vessel Gauging Data'!$B$26:$V$56,MATCH($C24,'Vessel Gauging Data'!$B$26:$B$56,0),$BD$18)</f>
        <v>#N/A</v>
      </c>
      <c r="BE24" s="662" t="e">
        <f>INDEX('Vessel Gauging Data'!$B$26:$V$56,MATCH($C24,'Vessel Gauging Data'!$B$26:$B$56,0),$BE$18)</f>
        <v>#N/A</v>
      </c>
    </row>
    <row r="25" spans="1:57" ht="15" hidden="1">
      <c r="A25" s="641" t="str">
        <f t="shared" si="0"/>
        <v>N</v>
      </c>
      <c r="B25" s="641"/>
      <c r="C25" s="235" t="str">
        <f t="array" ref="C25">IF(OR($E$21="",SUMPRODUCT(('Vessel Gauging Data'!$C$27:$C$56=$E$21)*1)&lt;ROWS($C$22:$C25)),"",INDEX('Vessel Gauging Data'!$B$27:$B$56,SMALL(IF(('Vessel Gauging Data'!$C$27:$C$56=$E$21),ROW('Vessel Gauging Data'!$B$27:$B$56)-ROW('Vessel Gauging Data'!$C$26)),ROW()-ROW(C$21))))</f>
        <v/>
      </c>
      <c r="D25" s="211" t="str">
        <f>IF(OR($C25="",$C25=0),"",INDEX('Vessel Gauging Data'!$B$26:$V$56,MATCH($C25,'Vessel Gauging Data'!$B$27:$B$56,0)+1,2))</f>
        <v/>
      </c>
      <c r="E25" s="1016" t="str">
        <f t="shared" si="1"/>
        <v/>
      </c>
      <c r="F25" s="1016" t="str">
        <f t="shared" si="2"/>
        <v/>
      </c>
      <c r="G25" s="1016" t="str">
        <f t="shared" si="3"/>
        <v/>
      </c>
      <c r="H25" s="1016" t="str">
        <f t="shared" si="4"/>
        <v/>
      </c>
      <c r="I25" s="211" t="str">
        <f t="shared" si="5"/>
        <v/>
      </c>
      <c r="J25" s="1016" t="str">
        <f t="shared" si="6"/>
        <v/>
      </c>
      <c r="K25" s="213" t="str">
        <f t="shared" si="7"/>
        <v/>
      </c>
      <c r="L25" s="212" t="str">
        <f t="shared" si="8"/>
        <v/>
      </c>
      <c r="M25" s="1125" t="str">
        <f>IF(OR($C25="",$C25=0),"",INDEX(API1DENST,MATCH($C25,'Vessel Gauging Data'!$B$27:$B$56,0),$AA$1))</f>
        <v/>
      </c>
      <c r="N25" s="212" t="str">
        <f t="shared" si="9"/>
        <v/>
      </c>
      <c r="O25" s="1016" t="str">
        <f t="shared" si="33"/>
        <v/>
      </c>
      <c r="P25" s="1125" t="str">
        <f t="shared" si="34"/>
        <v/>
      </c>
      <c r="Q25" s="1016" t="str">
        <f t="shared" si="35"/>
        <v/>
      </c>
      <c r="R25" s="214" t="str">
        <f t="shared" si="36"/>
        <v/>
      </c>
      <c r="S25" s="1125" t="str">
        <f t="shared" si="10"/>
        <v/>
      </c>
      <c r="T25" s="236" t="str">
        <f t="shared" si="37"/>
        <v/>
      </c>
      <c r="U25" s="641"/>
      <c r="V25" s="642" t="e">
        <f>INDEX('Vessel Gauging Data'!$B$26:$V$56,MATCH($C25,'Vessel Gauging Data'!$B$26:$B$56,0),$V$18)</f>
        <v>#N/A</v>
      </c>
      <c r="W25" s="642" t="e">
        <f>INDEX('Vessel Gauging Data'!$B$26:$V$56,MATCH($C25,'Vessel Gauging Data'!$B$26:$B$56,0),$W$18)</f>
        <v>#N/A</v>
      </c>
      <c r="X25" s="642" t="e">
        <f>INDEX('Vessel Gauging Data'!$B$26:$V$56,MATCH($C25,'Vessel Gauging Data'!$B$26:$B$56,0),$X$18)</f>
        <v>#N/A</v>
      </c>
      <c r="Y25" s="642" t="e">
        <f>INDEX('Vessel Gauging Data'!$B$26:$V$56,MATCH($C25,'Vessel Gauging Data'!$B$26:$B$56,0),$Y$18)</f>
        <v>#N/A</v>
      </c>
      <c r="Z25" s="642" t="e">
        <f>INDEX('Vessel Gauging Data'!$B$26:$V$56,MATCH($C25,'Vessel Gauging Data'!$B$26:$B$56,0),$Z$18)</f>
        <v>#N/A</v>
      </c>
      <c r="AA25" s="641"/>
      <c r="AB25" s="642" t="e">
        <f>INDEX(API1DENST,MATCH($C25,'Vessel Gauging Data'!$B$27:$B$56,0),1)</f>
        <v>#N/A</v>
      </c>
      <c r="AC25" s="642" t="e">
        <f t="shared" si="11"/>
        <v>#N/A</v>
      </c>
      <c r="AD25" s="641"/>
      <c r="AE25" s="661" t="e">
        <f t="shared" si="12"/>
        <v>#VALUE!</v>
      </c>
      <c r="AF25" s="661" t="e">
        <f t="shared" si="13"/>
        <v>#VALUE!</v>
      </c>
      <c r="AG25" s="641"/>
      <c r="AH25" s="662" t="str">
        <f t="shared" si="14"/>
        <v/>
      </c>
      <c r="AI25" s="662" t="str">
        <f t="shared" si="15"/>
        <v/>
      </c>
      <c r="AJ25" s="663">
        <f t="shared" si="16"/>
        <v>192.4571</v>
      </c>
      <c r="AK25" s="660">
        <f t="shared" si="17"/>
        <v>0.24379999999999999</v>
      </c>
      <c r="AL25" s="660" t="e">
        <f t="shared" si="18"/>
        <v>#VALUE!</v>
      </c>
      <c r="AM25" s="664" t="e">
        <f t="shared" si="19"/>
        <v>#VALUE!</v>
      </c>
      <c r="AN25" s="664" t="e">
        <f t="shared" si="20"/>
        <v>#VALUE!</v>
      </c>
      <c r="AO25" s="665" t="e">
        <f t="shared" si="21"/>
        <v>#VALUE!</v>
      </c>
      <c r="AP25" s="666" t="e">
        <f t="shared" si="22"/>
        <v>#VALUE!</v>
      </c>
      <c r="AQ25" s="660" t="e">
        <f t="shared" si="23"/>
        <v>#VALUE!</v>
      </c>
      <c r="AR25" s="667" t="e">
        <f t="shared" si="24"/>
        <v>#VALUE!</v>
      </c>
      <c r="AS25" s="667" t="e">
        <f t="shared" si="25"/>
        <v>#VALUE!</v>
      </c>
      <c r="AT25" s="668" t="e">
        <f t="shared" si="26"/>
        <v>#VALUE!</v>
      </c>
      <c r="AU25" s="667" t="e">
        <f t="shared" si="27"/>
        <v>#VALUE!</v>
      </c>
      <c r="AV25" s="669" t="e">
        <f t="shared" si="28"/>
        <v>#VALUE!</v>
      </c>
      <c r="AW25" s="667" t="e">
        <f t="shared" si="29"/>
        <v>#VALUE!</v>
      </c>
      <c r="AX25" s="667" t="e">
        <f t="shared" si="30"/>
        <v>#VALUE!</v>
      </c>
      <c r="AY25" s="660" t="e">
        <f t="shared" si="31"/>
        <v>#VALUE!</v>
      </c>
      <c r="AZ25" s="670" t="e">
        <f t="shared" si="32"/>
        <v>#VALUE!</v>
      </c>
      <c r="BA25" s="641"/>
      <c r="BB25" s="662" t="e">
        <f>INDEX('Vessel Gauging Data'!$B$26:$V$56,MATCH($C25,'Vessel Gauging Data'!$B$26:$B$56,0),$BB$18)</f>
        <v>#N/A</v>
      </c>
      <c r="BC25" s="662" t="e">
        <f>INDEX('Vessel Gauging Data'!$B$26:$V$56,MATCH($C25,'Vessel Gauging Data'!$B$26:$B$56,0),$BC$18)</f>
        <v>#N/A</v>
      </c>
      <c r="BD25" s="662" t="e">
        <f>INDEX('Vessel Gauging Data'!$B$26:$V$56,MATCH($C25,'Vessel Gauging Data'!$B$26:$B$56,0),$BD$18)</f>
        <v>#N/A</v>
      </c>
      <c r="BE25" s="662" t="e">
        <f>INDEX('Vessel Gauging Data'!$B$26:$V$56,MATCH($C25,'Vessel Gauging Data'!$B$26:$B$56,0),$BE$18)</f>
        <v>#N/A</v>
      </c>
    </row>
    <row r="26" spans="1:57" ht="15" hidden="1">
      <c r="A26" s="641" t="str">
        <f t="shared" si="0"/>
        <v>N</v>
      </c>
      <c r="B26" s="641"/>
      <c r="C26" s="235" t="str">
        <f t="array" ref="C26">IF(OR($E$21="",SUMPRODUCT(('Vessel Gauging Data'!$C$27:$C$56=$E$21)*1)&lt;ROWS($C$22:$C26)),"",INDEX('Vessel Gauging Data'!$B$27:$B$56,SMALL(IF(('Vessel Gauging Data'!$C$27:$C$56=$E$21),ROW('Vessel Gauging Data'!$B$27:$B$56)-ROW('Vessel Gauging Data'!$C$26)),ROW()-ROW(C$21))))</f>
        <v/>
      </c>
      <c r="D26" s="211" t="str">
        <f>IF(OR($C26="",$C26=0),"",INDEX('Vessel Gauging Data'!$B$26:$V$56,MATCH($C26,'Vessel Gauging Data'!$B$27:$B$56,0)+1,2))</f>
        <v/>
      </c>
      <c r="E26" s="1016" t="str">
        <f t="shared" si="1"/>
        <v/>
      </c>
      <c r="F26" s="1016" t="str">
        <f t="shared" si="2"/>
        <v/>
      </c>
      <c r="G26" s="1016" t="str">
        <f t="shared" si="3"/>
        <v/>
      </c>
      <c r="H26" s="1016" t="str">
        <f t="shared" si="4"/>
        <v/>
      </c>
      <c r="I26" s="211" t="str">
        <f t="shared" si="5"/>
        <v/>
      </c>
      <c r="J26" s="1016" t="str">
        <f t="shared" si="6"/>
        <v/>
      </c>
      <c r="K26" s="213" t="str">
        <f t="shared" si="7"/>
        <v/>
      </c>
      <c r="L26" s="212" t="str">
        <f t="shared" si="8"/>
        <v/>
      </c>
      <c r="M26" s="1125" t="str">
        <f>IF(OR($C26="",$C26=0),"",INDEX(API1DENST,MATCH($C26,'Vessel Gauging Data'!$B$27:$B$56,0),$AA$1))</f>
        <v/>
      </c>
      <c r="N26" s="212" t="str">
        <f t="shared" si="9"/>
        <v/>
      </c>
      <c r="O26" s="1016" t="str">
        <f t="shared" si="33"/>
        <v/>
      </c>
      <c r="P26" s="1125" t="str">
        <f t="shared" si="34"/>
        <v/>
      </c>
      <c r="Q26" s="1016" t="str">
        <f t="shared" si="35"/>
        <v/>
      </c>
      <c r="R26" s="214" t="str">
        <f t="shared" si="36"/>
        <v/>
      </c>
      <c r="S26" s="1125" t="str">
        <f t="shared" si="10"/>
        <v/>
      </c>
      <c r="T26" s="236" t="str">
        <f t="shared" si="37"/>
        <v/>
      </c>
      <c r="U26" s="641"/>
      <c r="V26" s="642" t="e">
        <f>INDEX('Vessel Gauging Data'!$B$26:$V$56,MATCH($C26,'Vessel Gauging Data'!$B$26:$B$56,0),$V$18)</f>
        <v>#N/A</v>
      </c>
      <c r="W26" s="642" t="e">
        <f>INDEX('Vessel Gauging Data'!$B$26:$V$56,MATCH($C26,'Vessel Gauging Data'!$B$26:$B$56,0),$W$18)</f>
        <v>#N/A</v>
      </c>
      <c r="X26" s="642" t="e">
        <f>INDEX('Vessel Gauging Data'!$B$26:$V$56,MATCH($C26,'Vessel Gauging Data'!$B$26:$B$56,0),$X$18)</f>
        <v>#N/A</v>
      </c>
      <c r="Y26" s="642" t="e">
        <f>INDEX('Vessel Gauging Data'!$B$26:$V$56,MATCH($C26,'Vessel Gauging Data'!$B$26:$B$56,0),$Y$18)</f>
        <v>#N/A</v>
      </c>
      <c r="Z26" s="642" t="e">
        <f>INDEX('Vessel Gauging Data'!$B$26:$V$56,MATCH($C26,'Vessel Gauging Data'!$B$26:$B$56,0),$Z$18)</f>
        <v>#N/A</v>
      </c>
      <c r="AA26" s="641"/>
      <c r="AB26" s="642" t="e">
        <f>INDEX(API1DENST,MATCH($C26,'Vessel Gauging Data'!$B$27:$B$56,0),1)</f>
        <v>#N/A</v>
      </c>
      <c r="AC26" s="642" t="e">
        <f t="shared" si="11"/>
        <v>#N/A</v>
      </c>
      <c r="AD26" s="641"/>
      <c r="AE26" s="661" t="e">
        <f t="shared" si="12"/>
        <v>#VALUE!</v>
      </c>
      <c r="AF26" s="661" t="e">
        <f t="shared" si="13"/>
        <v>#VALUE!</v>
      </c>
      <c r="AG26" s="641"/>
      <c r="AH26" s="662" t="str">
        <f t="shared" si="14"/>
        <v/>
      </c>
      <c r="AI26" s="662" t="str">
        <f t="shared" si="15"/>
        <v/>
      </c>
      <c r="AJ26" s="663">
        <f t="shared" si="16"/>
        <v>192.4571</v>
      </c>
      <c r="AK26" s="660">
        <f t="shared" si="17"/>
        <v>0.24379999999999999</v>
      </c>
      <c r="AL26" s="660" t="e">
        <f t="shared" si="18"/>
        <v>#VALUE!</v>
      </c>
      <c r="AM26" s="664" t="e">
        <f t="shared" si="19"/>
        <v>#VALUE!</v>
      </c>
      <c r="AN26" s="664" t="e">
        <f t="shared" si="20"/>
        <v>#VALUE!</v>
      </c>
      <c r="AO26" s="665" t="e">
        <f t="shared" si="21"/>
        <v>#VALUE!</v>
      </c>
      <c r="AP26" s="666" t="e">
        <f t="shared" si="22"/>
        <v>#VALUE!</v>
      </c>
      <c r="AQ26" s="660" t="e">
        <f t="shared" si="23"/>
        <v>#VALUE!</v>
      </c>
      <c r="AR26" s="667" t="e">
        <f t="shared" si="24"/>
        <v>#VALUE!</v>
      </c>
      <c r="AS26" s="667" t="e">
        <f t="shared" si="25"/>
        <v>#VALUE!</v>
      </c>
      <c r="AT26" s="668" t="e">
        <f t="shared" si="26"/>
        <v>#VALUE!</v>
      </c>
      <c r="AU26" s="667" t="e">
        <f t="shared" si="27"/>
        <v>#VALUE!</v>
      </c>
      <c r="AV26" s="669" t="e">
        <f t="shared" si="28"/>
        <v>#VALUE!</v>
      </c>
      <c r="AW26" s="667" t="e">
        <f t="shared" si="29"/>
        <v>#VALUE!</v>
      </c>
      <c r="AX26" s="667" t="e">
        <f t="shared" si="30"/>
        <v>#VALUE!</v>
      </c>
      <c r="AY26" s="660" t="e">
        <f t="shared" si="31"/>
        <v>#VALUE!</v>
      </c>
      <c r="AZ26" s="670" t="e">
        <f t="shared" si="32"/>
        <v>#VALUE!</v>
      </c>
      <c r="BA26" s="641"/>
      <c r="BB26" s="662" t="e">
        <f>INDEX('Vessel Gauging Data'!$B$26:$V$56,MATCH($C26,'Vessel Gauging Data'!$B$26:$B$56,0),$BB$18)</f>
        <v>#N/A</v>
      </c>
      <c r="BC26" s="662" t="e">
        <f>INDEX('Vessel Gauging Data'!$B$26:$V$56,MATCH($C26,'Vessel Gauging Data'!$B$26:$B$56,0),$BC$18)</f>
        <v>#N/A</v>
      </c>
      <c r="BD26" s="662" t="e">
        <f>INDEX('Vessel Gauging Data'!$B$26:$V$56,MATCH($C26,'Vessel Gauging Data'!$B$26:$B$56,0),$BD$18)</f>
        <v>#N/A</v>
      </c>
      <c r="BE26" s="662" t="e">
        <f>INDEX('Vessel Gauging Data'!$B$26:$V$56,MATCH($C26,'Vessel Gauging Data'!$B$26:$B$56,0),$BE$18)</f>
        <v>#N/A</v>
      </c>
    </row>
    <row r="27" spans="1:57" ht="15" hidden="1">
      <c r="A27" s="641" t="str">
        <f t="shared" si="0"/>
        <v>N</v>
      </c>
      <c r="B27" s="641"/>
      <c r="C27" s="235" t="str">
        <f t="array" ref="C27">IF(OR($E$21="",SUMPRODUCT(('Vessel Gauging Data'!$C$27:$C$56=$E$21)*1)&lt;ROWS($C$22:$C27)),"",INDEX('Vessel Gauging Data'!$B$27:$B$56,SMALL(IF(('Vessel Gauging Data'!$C$27:$C$56=$E$21),ROW('Vessel Gauging Data'!$B$27:$B$56)-ROW('Vessel Gauging Data'!$C$26)),ROW()-ROW(C$21))))</f>
        <v/>
      </c>
      <c r="D27" s="211" t="str">
        <f>IF(OR($C27="",$C27=0),"",INDEX('Vessel Gauging Data'!$B$26:$V$56,MATCH($C27,'Vessel Gauging Data'!$B$27:$B$56,0)+1,2))</f>
        <v/>
      </c>
      <c r="E27" s="1016" t="str">
        <f t="shared" si="1"/>
        <v/>
      </c>
      <c r="F27" s="1016" t="str">
        <f t="shared" si="2"/>
        <v/>
      </c>
      <c r="G27" s="1016" t="str">
        <f t="shared" si="3"/>
        <v/>
      </c>
      <c r="H27" s="1016" t="str">
        <f t="shared" si="4"/>
        <v/>
      </c>
      <c r="I27" s="211" t="str">
        <f t="shared" si="5"/>
        <v/>
      </c>
      <c r="J27" s="1016" t="str">
        <f t="shared" si="6"/>
        <v/>
      </c>
      <c r="K27" s="213" t="str">
        <f t="shared" si="7"/>
        <v/>
      </c>
      <c r="L27" s="212" t="str">
        <f t="shared" si="8"/>
        <v/>
      </c>
      <c r="M27" s="1125" t="str">
        <f>IF(OR($C27="",$C27=0),"",INDEX(API1DENST,MATCH($C27,'Vessel Gauging Data'!$B$27:$B$56,0),$AA$1))</f>
        <v/>
      </c>
      <c r="N27" s="212" t="str">
        <f t="shared" si="9"/>
        <v/>
      </c>
      <c r="O27" s="1016" t="str">
        <f t="shared" si="33"/>
        <v/>
      </c>
      <c r="P27" s="1125" t="str">
        <f t="shared" si="34"/>
        <v/>
      </c>
      <c r="Q27" s="1016" t="str">
        <f t="shared" si="35"/>
        <v/>
      </c>
      <c r="R27" s="214" t="str">
        <f t="shared" si="36"/>
        <v/>
      </c>
      <c r="S27" s="1125" t="str">
        <f t="shared" si="10"/>
        <v/>
      </c>
      <c r="T27" s="236" t="str">
        <f t="shared" si="37"/>
        <v/>
      </c>
      <c r="U27" s="641"/>
      <c r="V27" s="642" t="e">
        <f>INDEX('Vessel Gauging Data'!$B$26:$V$56,MATCH($C27,'Vessel Gauging Data'!$B$26:$B$56,0),$V$18)</f>
        <v>#N/A</v>
      </c>
      <c r="W27" s="642" t="e">
        <f>INDEX('Vessel Gauging Data'!$B$26:$V$56,MATCH($C27,'Vessel Gauging Data'!$B$26:$B$56,0),$W$18)</f>
        <v>#N/A</v>
      </c>
      <c r="X27" s="642" t="e">
        <f>INDEX('Vessel Gauging Data'!$B$26:$V$56,MATCH($C27,'Vessel Gauging Data'!$B$26:$B$56,0),$X$18)</f>
        <v>#N/A</v>
      </c>
      <c r="Y27" s="642" t="e">
        <f>INDEX('Vessel Gauging Data'!$B$26:$V$56,MATCH($C27,'Vessel Gauging Data'!$B$26:$B$56,0),$Y$18)</f>
        <v>#N/A</v>
      </c>
      <c r="Z27" s="642" t="e">
        <f>INDEX('Vessel Gauging Data'!$B$26:$V$56,MATCH($C27,'Vessel Gauging Data'!$B$26:$B$56,0),$Z$18)</f>
        <v>#N/A</v>
      </c>
      <c r="AA27" s="641"/>
      <c r="AB27" s="642" t="e">
        <f>INDEX(API1DENST,MATCH($C27,'Vessel Gauging Data'!$B$27:$B$56,0),1)</f>
        <v>#N/A</v>
      </c>
      <c r="AC27" s="642" t="e">
        <f t="shared" si="11"/>
        <v>#N/A</v>
      </c>
      <c r="AD27" s="641"/>
      <c r="AE27" s="661" t="e">
        <f t="shared" si="12"/>
        <v>#VALUE!</v>
      </c>
      <c r="AF27" s="661" t="e">
        <f t="shared" si="13"/>
        <v>#VALUE!</v>
      </c>
      <c r="AG27" s="641"/>
      <c r="AH27" s="662" t="str">
        <f t="shared" si="14"/>
        <v/>
      </c>
      <c r="AI27" s="662" t="str">
        <f t="shared" si="15"/>
        <v/>
      </c>
      <c r="AJ27" s="663">
        <f t="shared" si="16"/>
        <v>192.4571</v>
      </c>
      <c r="AK27" s="660">
        <f t="shared" si="17"/>
        <v>0.24379999999999999</v>
      </c>
      <c r="AL27" s="660" t="e">
        <f t="shared" si="18"/>
        <v>#VALUE!</v>
      </c>
      <c r="AM27" s="664" t="e">
        <f t="shared" si="19"/>
        <v>#VALUE!</v>
      </c>
      <c r="AN27" s="664" t="e">
        <f t="shared" si="20"/>
        <v>#VALUE!</v>
      </c>
      <c r="AO27" s="665" t="e">
        <f t="shared" si="21"/>
        <v>#VALUE!</v>
      </c>
      <c r="AP27" s="666" t="e">
        <f t="shared" si="22"/>
        <v>#VALUE!</v>
      </c>
      <c r="AQ27" s="660" t="e">
        <f t="shared" si="23"/>
        <v>#VALUE!</v>
      </c>
      <c r="AR27" s="667" t="e">
        <f t="shared" si="24"/>
        <v>#VALUE!</v>
      </c>
      <c r="AS27" s="667" t="e">
        <f t="shared" si="25"/>
        <v>#VALUE!</v>
      </c>
      <c r="AT27" s="668" t="e">
        <f t="shared" si="26"/>
        <v>#VALUE!</v>
      </c>
      <c r="AU27" s="667" t="e">
        <f t="shared" si="27"/>
        <v>#VALUE!</v>
      </c>
      <c r="AV27" s="669" t="e">
        <f t="shared" si="28"/>
        <v>#VALUE!</v>
      </c>
      <c r="AW27" s="667" t="e">
        <f t="shared" si="29"/>
        <v>#VALUE!</v>
      </c>
      <c r="AX27" s="667" t="e">
        <f t="shared" si="30"/>
        <v>#VALUE!</v>
      </c>
      <c r="AY27" s="660" t="e">
        <f t="shared" si="31"/>
        <v>#VALUE!</v>
      </c>
      <c r="AZ27" s="670" t="e">
        <f t="shared" si="32"/>
        <v>#VALUE!</v>
      </c>
      <c r="BA27" s="641"/>
      <c r="BB27" s="662" t="e">
        <f>INDEX('Vessel Gauging Data'!$B$26:$V$56,MATCH($C27,'Vessel Gauging Data'!$B$26:$B$56,0),$BB$18)</f>
        <v>#N/A</v>
      </c>
      <c r="BC27" s="662" t="e">
        <f>INDEX('Vessel Gauging Data'!$B$26:$V$56,MATCH($C27,'Vessel Gauging Data'!$B$26:$B$56,0),$BC$18)</f>
        <v>#N/A</v>
      </c>
      <c r="BD27" s="662" t="e">
        <f>INDEX('Vessel Gauging Data'!$B$26:$V$56,MATCH($C27,'Vessel Gauging Data'!$B$26:$B$56,0),$BD$18)</f>
        <v>#N/A</v>
      </c>
      <c r="BE27" s="662" t="e">
        <f>INDEX('Vessel Gauging Data'!$B$26:$V$56,MATCH($C27,'Vessel Gauging Data'!$B$26:$B$56,0),$BE$18)</f>
        <v>#N/A</v>
      </c>
    </row>
    <row r="28" spans="1:57" ht="15" hidden="1">
      <c r="A28" s="641" t="str">
        <f t="shared" si="0"/>
        <v>N</v>
      </c>
      <c r="B28" s="641"/>
      <c r="C28" s="235" t="str">
        <f t="array" ref="C28">IF(OR($E$21="",SUMPRODUCT(('Vessel Gauging Data'!$C$27:$C$56=$E$21)*1)&lt;ROWS($C$22:$C28)),"",INDEX('Vessel Gauging Data'!$B$27:$B$56,SMALL(IF(('Vessel Gauging Data'!$C$27:$C$56=$E$21),ROW('Vessel Gauging Data'!$B$27:$B$56)-ROW('Vessel Gauging Data'!$C$26)),ROW()-ROW(C$21))))</f>
        <v/>
      </c>
      <c r="D28" s="211" t="str">
        <f>IF(OR($C28="",$C28=0),"",INDEX('Vessel Gauging Data'!$B$26:$V$56,MATCH($C28,'Vessel Gauging Data'!$B$27:$B$56,0)+1,2))</f>
        <v/>
      </c>
      <c r="E28" s="1016" t="str">
        <f t="shared" si="1"/>
        <v/>
      </c>
      <c r="F28" s="1016" t="str">
        <f t="shared" si="2"/>
        <v/>
      </c>
      <c r="G28" s="1016" t="str">
        <f t="shared" si="3"/>
        <v/>
      </c>
      <c r="H28" s="1016" t="str">
        <f t="shared" si="4"/>
        <v/>
      </c>
      <c r="I28" s="211" t="str">
        <f t="shared" si="5"/>
        <v/>
      </c>
      <c r="J28" s="1016" t="str">
        <f t="shared" si="6"/>
        <v/>
      </c>
      <c r="K28" s="213" t="str">
        <f t="shared" si="7"/>
        <v/>
      </c>
      <c r="L28" s="212" t="str">
        <f t="shared" si="8"/>
        <v/>
      </c>
      <c r="M28" s="1125" t="str">
        <f>IF(OR($C28="",$C28=0),"",INDEX(API1DENST,MATCH($C28,'Vessel Gauging Data'!$B$27:$B$56,0),$AA$1))</f>
        <v/>
      </c>
      <c r="N28" s="212" t="str">
        <f t="shared" si="9"/>
        <v/>
      </c>
      <c r="O28" s="1016" t="str">
        <f t="shared" si="33"/>
        <v/>
      </c>
      <c r="P28" s="1125" t="str">
        <f t="shared" si="34"/>
        <v/>
      </c>
      <c r="Q28" s="1016" t="str">
        <f t="shared" si="35"/>
        <v/>
      </c>
      <c r="R28" s="214" t="str">
        <f t="shared" si="36"/>
        <v/>
      </c>
      <c r="S28" s="1125" t="str">
        <f t="shared" si="10"/>
        <v/>
      </c>
      <c r="T28" s="236" t="str">
        <f t="shared" si="37"/>
        <v/>
      </c>
      <c r="U28" s="641"/>
      <c r="V28" s="642" t="e">
        <f>INDEX('Vessel Gauging Data'!$B$26:$V$56,MATCH($C28,'Vessel Gauging Data'!$B$26:$B$56,0),$V$18)</f>
        <v>#N/A</v>
      </c>
      <c r="W28" s="642" t="e">
        <f>INDEX('Vessel Gauging Data'!$B$26:$V$56,MATCH($C28,'Vessel Gauging Data'!$B$26:$B$56,0),$W$18)</f>
        <v>#N/A</v>
      </c>
      <c r="X28" s="642" t="e">
        <f>INDEX('Vessel Gauging Data'!$B$26:$V$56,MATCH($C28,'Vessel Gauging Data'!$B$26:$B$56,0),$X$18)</f>
        <v>#N/A</v>
      </c>
      <c r="Y28" s="642" t="e">
        <f>INDEX('Vessel Gauging Data'!$B$26:$V$56,MATCH($C28,'Vessel Gauging Data'!$B$26:$B$56,0),$Y$18)</f>
        <v>#N/A</v>
      </c>
      <c r="Z28" s="642" t="e">
        <f>INDEX('Vessel Gauging Data'!$B$26:$V$56,MATCH($C28,'Vessel Gauging Data'!$B$26:$B$56,0),$Z$18)</f>
        <v>#N/A</v>
      </c>
      <c r="AA28" s="641"/>
      <c r="AB28" s="642" t="e">
        <f>INDEX(API1DENST,MATCH($C28,'Vessel Gauging Data'!$B$27:$B$56,0),1)</f>
        <v>#N/A</v>
      </c>
      <c r="AC28" s="642" t="e">
        <f t="shared" si="11"/>
        <v>#N/A</v>
      </c>
      <c r="AD28" s="641"/>
      <c r="AE28" s="661" t="e">
        <f t="shared" si="12"/>
        <v>#VALUE!</v>
      </c>
      <c r="AF28" s="661" t="e">
        <f t="shared" si="13"/>
        <v>#VALUE!</v>
      </c>
      <c r="AG28" s="641"/>
      <c r="AH28" s="662" t="str">
        <f t="shared" si="14"/>
        <v/>
      </c>
      <c r="AI28" s="662" t="str">
        <f t="shared" si="15"/>
        <v/>
      </c>
      <c r="AJ28" s="663">
        <f t="shared" si="16"/>
        <v>192.4571</v>
      </c>
      <c r="AK28" s="660">
        <f t="shared" si="17"/>
        <v>0.24379999999999999</v>
      </c>
      <c r="AL28" s="660" t="e">
        <f t="shared" si="18"/>
        <v>#VALUE!</v>
      </c>
      <c r="AM28" s="664" t="e">
        <f t="shared" si="19"/>
        <v>#VALUE!</v>
      </c>
      <c r="AN28" s="664" t="e">
        <f t="shared" si="20"/>
        <v>#VALUE!</v>
      </c>
      <c r="AO28" s="665" t="e">
        <f t="shared" si="21"/>
        <v>#VALUE!</v>
      </c>
      <c r="AP28" s="666" t="e">
        <f t="shared" si="22"/>
        <v>#VALUE!</v>
      </c>
      <c r="AQ28" s="660" t="e">
        <f t="shared" si="23"/>
        <v>#VALUE!</v>
      </c>
      <c r="AR28" s="667" t="e">
        <f t="shared" si="24"/>
        <v>#VALUE!</v>
      </c>
      <c r="AS28" s="667" t="e">
        <f t="shared" si="25"/>
        <v>#VALUE!</v>
      </c>
      <c r="AT28" s="668" t="e">
        <f t="shared" si="26"/>
        <v>#VALUE!</v>
      </c>
      <c r="AU28" s="667" t="e">
        <f t="shared" si="27"/>
        <v>#VALUE!</v>
      </c>
      <c r="AV28" s="669" t="e">
        <f t="shared" si="28"/>
        <v>#VALUE!</v>
      </c>
      <c r="AW28" s="667" t="e">
        <f t="shared" si="29"/>
        <v>#VALUE!</v>
      </c>
      <c r="AX28" s="667" t="e">
        <f t="shared" si="30"/>
        <v>#VALUE!</v>
      </c>
      <c r="AY28" s="660" t="e">
        <f t="shared" si="31"/>
        <v>#VALUE!</v>
      </c>
      <c r="AZ28" s="670" t="e">
        <f t="shared" si="32"/>
        <v>#VALUE!</v>
      </c>
      <c r="BA28" s="641"/>
      <c r="BB28" s="662" t="e">
        <f>INDEX('Vessel Gauging Data'!$B$26:$V$56,MATCH($C28,'Vessel Gauging Data'!$B$26:$B$56,0),$BB$18)</f>
        <v>#N/A</v>
      </c>
      <c r="BC28" s="662" t="e">
        <f>INDEX('Vessel Gauging Data'!$B$26:$V$56,MATCH($C28,'Vessel Gauging Data'!$B$26:$B$56,0),$BC$18)</f>
        <v>#N/A</v>
      </c>
      <c r="BD28" s="662" t="e">
        <f>INDEX('Vessel Gauging Data'!$B$26:$V$56,MATCH($C28,'Vessel Gauging Data'!$B$26:$B$56,0),$BD$18)</f>
        <v>#N/A</v>
      </c>
      <c r="BE28" s="662" t="e">
        <f>INDEX('Vessel Gauging Data'!$B$26:$V$56,MATCH($C28,'Vessel Gauging Data'!$B$26:$B$56,0),$BE$18)</f>
        <v>#N/A</v>
      </c>
    </row>
    <row r="29" spans="1:57" ht="15" hidden="1">
      <c r="A29" s="641" t="str">
        <f t="shared" si="0"/>
        <v>N</v>
      </c>
      <c r="B29" s="641"/>
      <c r="C29" s="235" t="str">
        <f t="array" ref="C29">IF(OR($E$21="",SUMPRODUCT(('Vessel Gauging Data'!$C$27:$C$56=$E$21)*1)&lt;ROWS($C$22:$C29)),"",INDEX('Vessel Gauging Data'!$B$27:$B$56,SMALL(IF(('Vessel Gauging Data'!$C$27:$C$56=$E$21),ROW('Vessel Gauging Data'!$B$27:$B$56)-ROW('Vessel Gauging Data'!$C$26)),ROW()-ROW(C$21))))</f>
        <v/>
      </c>
      <c r="D29" s="211" t="str">
        <f>IF(OR($C29="",$C29=0),"",INDEX('Vessel Gauging Data'!$B$26:$V$56,MATCH($C29,'Vessel Gauging Data'!$B$27:$B$56,0)+1,2))</f>
        <v/>
      </c>
      <c r="E29" s="1016" t="str">
        <f t="shared" si="1"/>
        <v/>
      </c>
      <c r="F29" s="1016" t="str">
        <f t="shared" si="2"/>
        <v/>
      </c>
      <c r="G29" s="1016" t="str">
        <f t="shared" si="3"/>
        <v/>
      </c>
      <c r="H29" s="1016" t="str">
        <f t="shared" si="4"/>
        <v/>
      </c>
      <c r="I29" s="211" t="str">
        <f t="shared" si="5"/>
        <v/>
      </c>
      <c r="J29" s="1016" t="str">
        <f t="shared" si="6"/>
        <v/>
      </c>
      <c r="K29" s="213" t="str">
        <f t="shared" si="7"/>
        <v/>
      </c>
      <c r="L29" s="212" t="str">
        <f t="shared" si="8"/>
        <v/>
      </c>
      <c r="M29" s="1125" t="str">
        <f>IF(OR($C29="",$C29=0),"",INDEX(API1DENST,MATCH($C29,'Vessel Gauging Data'!$B$27:$B$56,0),$AA$1))</f>
        <v/>
      </c>
      <c r="N29" s="212" t="str">
        <f t="shared" si="9"/>
        <v/>
      </c>
      <c r="O29" s="1016" t="str">
        <f t="shared" si="33"/>
        <v/>
      </c>
      <c r="P29" s="1125" t="str">
        <f t="shared" si="34"/>
        <v/>
      </c>
      <c r="Q29" s="1016" t="str">
        <f t="shared" si="35"/>
        <v/>
      </c>
      <c r="R29" s="214" t="str">
        <f t="shared" si="36"/>
        <v/>
      </c>
      <c r="S29" s="1125" t="str">
        <f t="shared" si="10"/>
        <v/>
      </c>
      <c r="T29" s="236" t="str">
        <f t="shared" si="37"/>
        <v/>
      </c>
      <c r="U29" s="641"/>
      <c r="V29" s="642" t="e">
        <f>INDEX('Vessel Gauging Data'!$B$26:$V$56,MATCH($C29,'Vessel Gauging Data'!$B$26:$B$56,0),$V$18)</f>
        <v>#N/A</v>
      </c>
      <c r="W29" s="642" t="e">
        <f>INDEX('Vessel Gauging Data'!$B$26:$V$56,MATCH($C29,'Vessel Gauging Data'!$B$26:$B$56,0),$W$18)</f>
        <v>#N/A</v>
      </c>
      <c r="X29" s="642" t="e">
        <f>INDEX('Vessel Gauging Data'!$B$26:$V$56,MATCH($C29,'Vessel Gauging Data'!$B$26:$B$56,0),$X$18)</f>
        <v>#N/A</v>
      </c>
      <c r="Y29" s="642" t="e">
        <f>INDEX('Vessel Gauging Data'!$B$26:$V$56,MATCH($C29,'Vessel Gauging Data'!$B$26:$B$56,0),$Y$18)</f>
        <v>#N/A</v>
      </c>
      <c r="Z29" s="642" t="e">
        <f>INDEX('Vessel Gauging Data'!$B$26:$V$56,MATCH($C29,'Vessel Gauging Data'!$B$26:$B$56,0),$Z$18)</f>
        <v>#N/A</v>
      </c>
      <c r="AA29" s="641"/>
      <c r="AB29" s="642" t="e">
        <f>INDEX(API1DENST,MATCH($C29,'Vessel Gauging Data'!$B$27:$B$56,0),1)</f>
        <v>#N/A</v>
      </c>
      <c r="AC29" s="642" t="e">
        <f t="shared" si="11"/>
        <v>#N/A</v>
      </c>
      <c r="AD29" s="641"/>
      <c r="AE29" s="661" t="e">
        <f t="shared" si="12"/>
        <v>#VALUE!</v>
      </c>
      <c r="AF29" s="661" t="e">
        <f t="shared" si="13"/>
        <v>#VALUE!</v>
      </c>
      <c r="AG29" s="641"/>
      <c r="AH29" s="662" t="str">
        <f t="shared" si="14"/>
        <v/>
      </c>
      <c r="AI29" s="662" t="str">
        <f t="shared" si="15"/>
        <v/>
      </c>
      <c r="AJ29" s="663">
        <f t="shared" si="16"/>
        <v>192.4571</v>
      </c>
      <c r="AK29" s="660">
        <f t="shared" si="17"/>
        <v>0.24379999999999999</v>
      </c>
      <c r="AL29" s="660" t="e">
        <f t="shared" si="18"/>
        <v>#VALUE!</v>
      </c>
      <c r="AM29" s="664" t="e">
        <f t="shared" si="19"/>
        <v>#VALUE!</v>
      </c>
      <c r="AN29" s="664" t="e">
        <f t="shared" si="20"/>
        <v>#VALUE!</v>
      </c>
      <c r="AO29" s="665" t="e">
        <f t="shared" si="21"/>
        <v>#VALUE!</v>
      </c>
      <c r="AP29" s="666" t="e">
        <f t="shared" si="22"/>
        <v>#VALUE!</v>
      </c>
      <c r="AQ29" s="660" t="e">
        <f t="shared" si="23"/>
        <v>#VALUE!</v>
      </c>
      <c r="AR29" s="667" t="e">
        <f t="shared" si="24"/>
        <v>#VALUE!</v>
      </c>
      <c r="AS29" s="667" t="e">
        <f t="shared" si="25"/>
        <v>#VALUE!</v>
      </c>
      <c r="AT29" s="668" t="e">
        <f t="shared" si="26"/>
        <v>#VALUE!</v>
      </c>
      <c r="AU29" s="667" t="e">
        <f t="shared" si="27"/>
        <v>#VALUE!</v>
      </c>
      <c r="AV29" s="669" t="e">
        <f t="shared" si="28"/>
        <v>#VALUE!</v>
      </c>
      <c r="AW29" s="667" t="e">
        <f t="shared" si="29"/>
        <v>#VALUE!</v>
      </c>
      <c r="AX29" s="667" t="e">
        <f t="shared" si="30"/>
        <v>#VALUE!</v>
      </c>
      <c r="AY29" s="660" t="e">
        <f t="shared" si="31"/>
        <v>#VALUE!</v>
      </c>
      <c r="AZ29" s="670" t="e">
        <f t="shared" si="32"/>
        <v>#VALUE!</v>
      </c>
      <c r="BA29" s="641"/>
      <c r="BB29" s="662" t="e">
        <f>INDEX('Vessel Gauging Data'!$B$26:$V$56,MATCH($C29,'Vessel Gauging Data'!$B$26:$B$56,0),$BB$18)</f>
        <v>#N/A</v>
      </c>
      <c r="BC29" s="662" t="e">
        <f>INDEX('Vessel Gauging Data'!$B$26:$V$56,MATCH($C29,'Vessel Gauging Data'!$B$26:$B$56,0),$BC$18)</f>
        <v>#N/A</v>
      </c>
      <c r="BD29" s="662" t="e">
        <f>INDEX('Vessel Gauging Data'!$B$26:$V$56,MATCH($C29,'Vessel Gauging Data'!$B$26:$B$56,0),$BD$18)</f>
        <v>#N/A</v>
      </c>
      <c r="BE29" s="662" t="e">
        <f>INDEX('Vessel Gauging Data'!$B$26:$V$56,MATCH($C29,'Vessel Gauging Data'!$B$26:$B$56,0),$BE$18)</f>
        <v>#N/A</v>
      </c>
    </row>
    <row r="30" spans="1:57" ht="15" hidden="1">
      <c r="A30" s="641" t="str">
        <f t="shared" si="0"/>
        <v>N</v>
      </c>
      <c r="B30" s="641"/>
      <c r="C30" s="235" t="str">
        <f t="array" ref="C30">IF(OR($E$21="",SUMPRODUCT(('Vessel Gauging Data'!$C$27:$C$56=$E$21)*1)&lt;ROWS($C$22:$C30)),"",INDEX('Vessel Gauging Data'!$B$27:$B$56,SMALL(IF(('Vessel Gauging Data'!$C$27:$C$56=$E$21),ROW('Vessel Gauging Data'!$B$27:$B$56)-ROW('Vessel Gauging Data'!$C$26)),ROW()-ROW(C$21))))</f>
        <v/>
      </c>
      <c r="D30" s="211" t="str">
        <f>IF(OR($C30="",$C30=0),"",INDEX('Vessel Gauging Data'!$B$26:$V$56,MATCH($C30,'Vessel Gauging Data'!$B$27:$B$56,0)+1,2))</f>
        <v/>
      </c>
      <c r="E30" s="1016" t="str">
        <f t="shared" si="1"/>
        <v/>
      </c>
      <c r="F30" s="1016" t="str">
        <f t="shared" si="2"/>
        <v/>
      </c>
      <c r="G30" s="1016" t="str">
        <f t="shared" si="3"/>
        <v/>
      </c>
      <c r="H30" s="1016" t="str">
        <f t="shared" si="4"/>
        <v/>
      </c>
      <c r="I30" s="211" t="str">
        <f t="shared" si="5"/>
        <v/>
      </c>
      <c r="J30" s="1016" t="str">
        <f t="shared" si="6"/>
        <v/>
      </c>
      <c r="K30" s="213" t="str">
        <f t="shared" si="7"/>
        <v/>
      </c>
      <c r="L30" s="212" t="str">
        <f t="shared" si="8"/>
        <v/>
      </c>
      <c r="M30" s="1125" t="str">
        <f>IF(OR($C30="",$C30=0),"",INDEX(API1DENST,MATCH($C30,'Vessel Gauging Data'!$B$27:$B$56,0),$AA$1))</f>
        <v/>
      </c>
      <c r="N30" s="212" t="str">
        <f t="shared" si="9"/>
        <v/>
      </c>
      <c r="O30" s="1016" t="str">
        <f t="shared" si="33"/>
        <v/>
      </c>
      <c r="P30" s="1125" t="str">
        <f t="shared" si="34"/>
        <v/>
      </c>
      <c r="Q30" s="1016" t="str">
        <f t="shared" si="35"/>
        <v/>
      </c>
      <c r="R30" s="214" t="str">
        <f t="shared" si="36"/>
        <v/>
      </c>
      <c r="S30" s="1125" t="str">
        <f t="shared" si="10"/>
        <v/>
      </c>
      <c r="T30" s="236" t="str">
        <f t="shared" si="37"/>
        <v/>
      </c>
      <c r="U30" s="641"/>
      <c r="V30" s="642" t="e">
        <f>INDEX('Vessel Gauging Data'!$B$26:$V$56,MATCH($C30,'Vessel Gauging Data'!$B$26:$B$56,0),$V$18)</f>
        <v>#N/A</v>
      </c>
      <c r="W30" s="642" t="e">
        <f>INDEX('Vessel Gauging Data'!$B$26:$V$56,MATCH($C30,'Vessel Gauging Data'!$B$26:$B$56,0),$W$18)</f>
        <v>#N/A</v>
      </c>
      <c r="X30" s="642" t="e">
        <f>INDEX('Vessel Gauging Data'!$B$26:$V$56,MATCH($C30,'Vessel Gauging Data'!$B$26:$B$56,0),$X$18)</f>
        <v>#N/A</v>
      </c>
      <c r="Y30" s="642" t="e">
        <f>INDEX('Vessel Gauging Data'!$B$26:$V$56,MATCH($C30,'Vessel Gauging Data'!$B$26:$B$56,0),$Y$18)</f>
        <v>#N/A</v>
      </c>
      <c r="Z30" s="642" t="e">
        <f>INDEX('Vessel Gauging Data'!$B$26:$V$56,MATCH($C30,'Vessel Gauging Data'!$B$26:$B$56,0),$Z$18)</f>
        <v>#N/A</v>
      </c>
      <c r="AA30" s="641"/>
      <c r="AB30" s="642" t="e">
        <f>INDEX(API1DENST,MATCH($C30,'Vessel Gauging Data'!$B$27:$B$56,0),1)</f>
        <v>#N/A</v>
      </c>
      <c r="AC30" s="642" t="e">
        <f t="shared" si="11"/>
        <v>#N/A</v>
      </c>
      <c r="AD30" s="641"/>
      <c r="AE30" s="661" t="e">
        <f t="shared" si="12"/>
        <v>#VALUE!</v>
      </c>
      <c r="AF30" s="661" t="e">
        <f t="shared" si="13"/>
        <v>#VALUE!</v>
      </c>
      <c r="AG30" s="641"/>
      <c r="AH30" s="662" t="str">
        <f t="shared" si="14"/>
        <v/>
      </c>
      <c r="AI30" s="662" t="str">
        <f t="shared" si="15"/>
        <v/>
      </c>
      <c r="AJ30" s="663">
        <f t="shared" si="16"/>
        <v>192.4571</v>
      </c>
      <c r="AK30" s="660">
        <f t="shared" si="17"/>
        <v>0.24379999999999999</v>
      </c>
      <c r="AL30" s="660" t="e">
        <f t="shared" si="18"/>
        <v>#VALUE!</v>
      </c>
      <c r="AM30" s="664" t="e">
        <f t="shared" si="19"/>
        <v>#VALUE!</v>
      </c>
      <c r="AN30" s="664" t="e">
        <f t="shared" si="20"/>
        <v>#VALUE!</v>
      </c>
      <c r="AO30" s="665" t="e">
        <f t="shared" si="21"/>
        <v>#VALUE!</v>
      </c>
      <c r="AP30" s="666" t="e">
        <f t="shared" si="22"/>
        <v>#VALUE!</v>
      </c>
      <c r="AQ30" s="660" t="e">
        <f t="shared" si="23"/>
        <v>#VALUE!</v>
      </c>
      <c r="AR30" s="667" t="e">
        <f t="shared" si="24"/>
        <v>#VALUE!</v>
      </c>
      <c r="AS30" s="667" t="e">
        <f t="shared" si="25"/>
        <v>#VALUE!</v>
      </c>
      <c r="AT30" s="668" t="e">
        <f t="shared" si="26"/>
        <v>#VALUE!</v>
      </c>
      <c r="AU30" s="667" t="e">
        <f t="shared" si="27"/>
        <v>#VALUE!</v>
      </c>
      <c r="AV30" s="669" t="e">
        <f t="shared" si="28"/>
        <v>#VALUE!</v>
      </c>
      <c r="AW30" s="667" t="e">
        <f t="shared" si="29"/>
        <v>#VALUE!</v>
      </c>
      <c r="AX30" s="667" t="e">
        <f t="shared" si="30"/>
        <v>#VALUE!</v>
      </c>
      <c r="AY30" s="660" t="e">
        <f t="shared" si="31"/>
        <v>#VALUE!</v>
      </c>
      <c r="AZ30" s="670" t="e">
        <f t="shared" si="32"/>
        <v>#VALUE!</v>
      </c>
      <c r="BA30" s="641"/>
      <c r="BB30" s="662" t="e">
        <f>INDEX('Vessel Gauging Data'!$B$26:$V$56,MATCH($C30,'Vessel Gauging Data'!$B$26:$B$56,0),$BB$18)</f>
        <v>#N/A</v>
      </c>
      <c r="BC30" s="662" t="e">
        <f>INDEX('Vessel Gauging Data'!$B$26:$V$56,MATCH($C30,'Vessel Gauging Data'!$B$26:$B$56,0),$BC$18)</f>
        <v>#N/A</v>
      </c>
      <c r="BD30" s="662" t="e">
        <f>INDEX('Vessel Gauging Data'!$B$26:$V$56,MATCH($C30,'Vessel Gauging Data'!$B$26:$B$56,0),$BD$18)</f>
        <v>#N/A</v>
      </c>
      <c r="BE30" s="662" t="e">
        <f>INDEX('Vessel Gauging Data'!$B$26:$V$56,MATCH($C30,'Vessel Gauging Data'!$B$26:$B$56,0),$BE$18)</f>
        <v>#N/A</v>
      </c>
    </row>
    <row r="31" spans="1:57" ht="15" hidden="1">
      <c r="A31" s="641" t="str">
        <f t="shared" si="0"/>
        <v>N</v>
      </c>
      <c r="B31" s="641"/>
      <c r="C31" s="235" t="str">
        <f t="array" ref="C31">IF(OR($E$21="",SUMPRODUCT(('Vessel Gauging Data'!$C$27:$C$56=$E$21)*1)&lt;ROWS($C$22:$C31)),"",INDEX('Vessel Gauging Data'!$B$27:$B$56,SMALL(IF(('Vessel Gauging Data'!$C$27:$C$56=$E$21),ROW('Vessel Gauging Data'!$B$27:$B$56)-ROW('Vessel Gauging Data'!$C$26)),ROW()-ROW(C$21))))</f>
        <v/>
      </c>
      <c r="D31" s="211" t="str">
        <f>IF(OR($C31="",$C31=0),"",INDEX('Vessel Gauging Data'!$B$26:$V$56,MATCH($C31,'Vessel Gauging Data'!$B$27:$B$56,0)+1,2))</f>
        <v/>
      </c>
      <c r="E31" s="1016" t="str">
        <f t="shared" si="1"/>
        <v/>
      </c>
      <c r="F31" s="1016" t="str">
        <f t="shared" si="2"/>
        <v/>
      </c>
      <c r="G31" s="1016" t="str">
        <f t="shared" si="3"/>
        <v/>
      </c>
      <c r="H31" s="1016" t="str">
        <f t="shared" si="4"/>
        <v/>
      </c>
      <c r="I31" s="211" t="str">
        <f t="shared" si="5"/>
        <v/>
      </c>
      <c r="J31" s="1016" t="str">
        <f t="shared" si="6"/>
        <v/>
      </c>
      <c r="K31" s="213" t="str">
        <f t="shared" si="7"/>
        <v/>
      </c>
      <c r="L31" s="212" t="str">
        <f t="shared" si="8"/>
        <v/>
      </c>
      <c r="M31" s="1125" t="str">
        <f>IF(OR($C31="",$C31=0),"",INDEX(API1DENST,MATCH($C31,'Vessel Gauging Data'!$B$27:$B$56,0),$AA$1))</f>
        <v/>
      </c>
      <c r="N31" s="212" t="str">
        <f t="shared" si="9"/>
        <v/>
      </c>
      <c r="O31" s="1016" t="str">
        <f t="shared" si="33"/>
        <v/>
      </c>
      <c r="P31" s="1125" t="str">
        <f t="shared" si="34"/>
        <v/>
      </c>
      <c r="Q31" s="1016" t="str">
        <f t="shared" si="35"/>
        <v/>
      </c>
      <c r="R31" s="214" t="str">
        <f t="shared" si="36"/>
        <v/>
      </c>
      <c r="S31" s="1125" t="str">
        <f t="shared" si="10"/>
        <v/>
      </c>
      <c r="T31" s="236" t="str">
        <f t="shared" si="37"/>
        <v/>
      </c>
      <c r="U31" s="641"/>
      <c r="V31" s="642" t="e">
        <f>INDEX('Vessel Gauging Data'!$B$26:$V$56,MATCH($C31,'Vessel Gauging Data'!$B$26:$B$56,0),$V$18)</f>
        <v>#N/A</v>
      </c>
      <c r="W31" s="642" t="e">
        <f>INDEX('Vessel Gauging Data'!$B$26:$V$56,MATCH($C31,'Vessel Gauging Data'!$B$26:$B$56,0),$W$18)</f>
        <v>#N/A</v>
      </c>
      <c r="X31" s="642" t="e">
        <f>INDEX('Vessel Gauging Data'!$B$26:$V$56,MATCH($C31,'Vessel Gauging Data'!$B$26:$B$56,0),$X$18)</f>
        <v>#N/A</v>
      </c>
      <c r="Y31" s="642" t="e">
        <f>INDEX('Vessel Gauging Data'!$B$26:$V$56,MATCH($C31,'Vessel Gauging Data'!$B$26:$B$56,0),$Y$18)</f>
        <v>#N/A</v>
      </c>
      <c r="Z31" s="642" t="e">
        <f>INDEX('Vessel Gauging Data'!$B$26:$V$56,MATCH($C31,'Vessel Gauging Data'!$B$26:$B$56,0),$Z$18)</f>
        <v>#N/A</v>
      </c>
      <c r="AA31" s="641"/>
      <c r="AB31" s="642" t="e">
        <f>INDEX(API1DENST,MATCH($C31,'Vessel Gauging Data'!$B$27:$B$56,0),1)</f>
        <v>#N/A</v>
      </c>
      <c r="AC31" s="642" t="e">
        <f t="shared" si="11"/>
        <v>#N/A</v>
      </c>
      <c r="AD31" s="641"/>
      <c r="AE31" s="661" t="e">
        <f t="shared" si="12"/>
        <v>#VALUE!</v>
      </c>
      <c r="AF31" s="661" t="e">
        <f t="shared" si="13"/>
        <v>#VALUE!</v>
      </c>
      <c r="AG31" s="641"/>
      <c r="AH31" s="662" t="str">
        <f t="shared" si="14"/>
        <v/>
      </c>
      <c r="AI31" s="662" t="str">
        <f t="shared" si="15"/>
        <v/>
      </c>
      <c r="AJ31" s="663">
        <f t="shared" si="16"/>
        <v>192.4571</v>
      </c>
      <c r="AK31" s="660">
        <f t="shared" si="17"/>
        <v>0.24379999999999999</v>
      </c>
      <c r="AL31" s="660" t="e">
        <f t="shared" si="18"/>
        <v>#VALUE!</v>
      </c>
      <c r="AM31" s="664" t="e">
        <f t="shared" si="19"/>
        <v>#VALUE!</v>
      </c>
      <c r="AN31" s="664" t="e">
        <f t="shared" si="20"/>
        <v>#VALUE!</v>
      </c>
      <c r="AO31" s="665" t="e">
        <f t="shared" si="21"/>
        <v>#VALUE!</v>
      </c>
      <c r="AP31" s="666" t="e">
        <f t="shared" si="22"/>
        <v>#VALUE!</v>
      </c>
      <c r="AQ31" s="660" t="e">
        <f t="shared" si="23"/>
        <v>#VALUE!</v>
      </c>
      <c r="AR31" s="667" t="e">
        <f t="shared" si="24"/>
        <v>#VALUE!</v>
      </c>
      <c r="AS31" s="667" t="e">
        <f t="shared" si="25"/>
        <v>#VALUE!</v>
      </c>
      <c r="AT31" s="668" t="e">
        <f t="shared" si="26"/>
        <v>#VALUE!</v>
      </c>
      <c r="AU31" s="667" t="e">
        <f t="shared" si="27"/>
        <v>#VALUE!</v>
      </c>
      <c r="AV31" s="669" t="e">
        <f t="shared" si="28"/>
        <v>#VALUE!</v>
      </c>
      <c r="AW31" s="667" t="e">
        <f t="shared" si="29"/>
        <v>#VALUE!</v>
      </c>
      <c r="AX31" s="667" t="e">
        <f t="shared" si="30"/>
        <v>#VALUE!</v>
      </c>
      <c r="AY31" s="660" t="e">
        <f t="shared" si="31"/>
        <v>#VALUE!</v>
      </c>
      <c r="AZ31" s="670" t="e">
        <f t="shared" si="32"/>
        <v>#VALUE!</v>
      </c>
      <c r="BA31" s="641"/>
      <c r="BB31" s="662" t="e">
        <f>INDEX('Vessel Gauging Data'!$B$26:$V$56,MATCH($C31,'Vessel Gauging Data'!$B$26:$B$56,0),$BB$18)</f>
        <v>#N/A</v>
      </c>
      <c r="BC31" s="662" t="e">
        <f>INDEX('Vessel Gauging Data'!$B$26:$V$56,MATCH($C31,'Vessel Gauging Data'!$B$26:$B$56,0),$BC$18)</f>
        <v>#N/A</v>
      </c>
      <c r="BD31" s="662" t="e">
        <f>INDEX('Vessel Gauging Data'!$B$26:$V$56,MATCH($C31,'Vessel Gauging Data'!$B$26:$B$56,0),$BD$18)</f>
        <v>#N/A</v>
      </c>
      <c r="BE31" s="662" t="e">
        <f>INDEX('Vessel Gauging Data'!$B$26:$V$56,MATCH($C31,'Vessel Gauging Data'!$B$26:$B$56,0),$BE$18)</f>
        <v>#N/A</v>
      </c>
    </row>
    <row r="32" spans="1:57" ht="15" hidden="1">
      <c r="A32" s="641" t="str">
        <f t="shared" si="0"/>
        <v>N</v>
      </c>
      <c r="B32" s="641"/>
      <c r="C32" s="235" t="str">
        <f t="array" ref="C32">IF(OR($E$21="",SUMPRODUCT(('Vessel Gauging Data'!$C$27:$C$56=$E$21)*1)&lt;ROWS($C$22:$C32)),"",INDEX('Vessel Gauging Data'!$B$27:$B$56,SMALL(IF(('Vessel Gauging Data'!$C$27:$C$56=$E$21),ROW('Vessel Gauging Data'!$B$27:$B$56)-ROW('Vessel Gauging Data'!$C$26)),ROW()-ROW(C$21))))</f>
        <v/>
      </c>
      <c r="D32" s="211" t="str">
        <f>IF(OR($C32="",$C32=0),"",INDEX('Vessel Gauging Data'!$B$26:$V$56,MATCH($C32,'Vessel Gauging Data'!$B$27:$B$56,0)+1,2))</f>
        <v/>
      </c>
      <c r="E32" s="1016" t="str">
        <f t="shared" si="1"/>
        <v/>
      </c>
      <c r="F32" s="1016" t="str">
        <f t="shared" si="2"/>
        <v/>
      </c>
      <c r="G32" s="1016" t="str">
        <f t="shared" si="3"/>
        <v/>
      </c>
      <c r="H32" s="1016" t="str">
        <f t="shared" si="4"/>
        <v/>
      </c>
      <c r="I32" s="211" t="str">
        <f t="shared" si="5"/>
        <v/>
      </c>
      <c r="J32" s="1016" t="str">
        <f t="shared" si="6"/>
        <v/>
      </c>
      <c r="K32" s="213" t="str">
        <f t="shared" si="7"/>
        <v/>
      </c>
      <c r="L32" s="212" t="str">
        <f t="shared" si="8"/>
        <v/>
      </c>
      <c r="M32" s="1125" t="str">
        <f>IF(OR($C32="",$C32=0),"",INDEX(API1DENST,MATCH($C32,'Vessel Gauging Data'!$B$27:$B$56,0),$AA$1))</f>
        <v/>
      </c>
      <c r="N32" s="212" t="str">
        <f t="shared" si="9"/>
        <v/>
      </c>
      <c r="O32" s="1016" t="str">
        <f t="shared" si="33"/>
        <v/>
      </c>
      <c r="P32" s="1125" t="str">
        <f t="shared" si="34"/>
        <v/>
      </c>
      <c r="Q32" s="1016" t="str">
        <f t="shared" si="35"/>
        <v/>
      </c>
      <c r="R32" s="214" t="str">
        <f t="shared" si="36"/>
        <v/>
      </c>
      <c r="S32" s="1125" t="str">
        <f t="shared" si="10"/>
        <v/>
      </c>
      <c r="T32" s="236" t="str">
        <f t="shared" si="37"/>
        <v/>
      </c>
      <c r="U32" s="641"/>
      <c r="V32" s="642" t="e">
        <f>INDEX('Vessel Gauging Data'!$B$26:$V$56,MATCH($C32,'Vessel Gauging Data'!$B$26:$B$56,0),$V$18)</f>
        <v>#N/A</v>
      </c>
      <c r="W32" s="642" t="e">
        <f>INDEX('Vessel Gauging Data'!$B$26:$V$56,MATCH($C32,'Vessel Gauging Data'!$B$26:$B$56,0),$W$18)</f>
        <v>#N/A</v>
      </c>
      <c r="X32" s="642" t="e">
        <f>INDEX('Vessel Gauging Data'!$B$26:$V$56,MATCH($C32,'Vessel Gauging Data'!$B$26:$B$56,0),$X$18)</f>
        <v>#N/A</v>
      </c>
      <c r="Y32" s="642" t="e">
        <f>INDEX('Vessel Gauging Data'!$B$26:$V$56,MATCH($C32,'Vessel Gauging Data'!$B$26:$B$56,0),$Y$18)</f>
        <v>#N/A</v>
      </c>
      <c r="Z32" s="642" t="e">
        <f>INDEX('Vessel Gauging Data'!$B$26:$V$56,MATCH($C32,'Vessel Gauging Data'!$B$26:$B$56,0),$Z$18)</f>
        <v>#N/A</v>
      </c>
      <c r="AA32" s="641"/>
      <c r="AB32" s="642" t="e">
        <f>INDEX(API1DENST,MATCH($C32,'Vessel Gauging Data'!$B$27:$B$56,0),1)</f>
        <v>#N/A</v>
      </c>
      <c r="AC32" s="642" t="e">
        <f t="shared" si="11"/>
        <v>#N/A</v>
      </c>
      <c r="AD32" s="641"/>
      <c r="AE32" s="661" t="e">
        <f t="shared" si="12"/>
        <v>#VALUE!</v>
      </c>
      <c r="AF32" s="661" t="e">
        <f t="shared" si="13"/>
        <v>#VALUE!</v>
      </c>
      <c r="AG32" s="641"/>
      <c r="AH32" s="662" t="str">
        <f t="shared" si="14"/>
        <v/>
      </c>
      <c r="AI32" s="662" t="str">
        <f t="shared" si="15"/>
        <v/>
      </c>
      <c r="AJ32" s="663">
        <f t="shared" si="16"/>
        <v>192.4571</v>
      </c>
      <c r="AK32" s="660">
        <f t="shared" si="17"/>
        <v>0.24379999999999999</v>
      </c>
      <c r="AL32" s="660" t="e">
        <f t="shared" si="18"/>
        <v>#VALUE!</v>
      </c>
      <c r="AM32" s="664" t="e">
        <f t="shared" si="19"/>
        <v>#VALUE!</v>
      </c>
      <c r="AN32" s="664" t="e">
        <f t="shared" si="20"/>
        <v>#VALUE!</v>
      </c>
      <c r="AO32" s="665" t="e">
        <f t="shared" si="21"/>
        <v>#VALUE!</v>
      </c>
      <c r="AP32" s="666" t="e">
        <f t="shared" si="22"/>
        <v>#VALUE!</v>
      </c>
      <c r="AQ32" s="660" t="e">
        <f t="shared" si="23"/>
        <v>#VALUE!</v>
      </c>
      <c r="AR32" s="667" t="e">
        <f t="shared" si="24"/>
        <v>#VALUE!</v>
      </c>
      <c r="AS32" s="667" t="e">
        <f t="shared" si="25"/>
        <v>#VALUE!</v>
      </c>
      <c r="AT32" s="668" t="e">
        <f t="shared" si="26"/>
        <v>#VALUE!</v>
      </c>
      <c r="AU32" s="667" t="e">
        <f t="shared" si="27"/>
        <v>#VALUE!</v>
      </c>
      <c r="AV32" s="669" t="e">
        <f t="shared" si="28"/>
        <v>#VALUE!</v>
      </c>
      <c r="AW32" s="667" t="e">
        <f t="shared" si="29"/>
        <v>#VALUE!</v>
      </c>
      <c r="AX32" s="667" t="e">
        <f t="shared" si="30"/>
        <v>#VALUE!</v>
      </c>
      <c r="AY32" s="660" t="e">
        <f t="shared" si="31"/>
        <v>#VALUE!</v>
      </c>
      <c r="AZ32" s="670" t="e">
        <f t="shared" si="32"/>
        <v>#VALUE!</v>
      </c>
      <c r="BA32" s="641"/>
      <c r="BB32" s="662" t="e">
        <f>INDEX('Vessel Gauging Data'!$B$26:$V$56,MATCH($C32,'Vessel Gauging Data'!$B$26:$B$56,0),$BB$18)</f>
        <v>#N/A</v>
      </c>
      <c r="BC32" s="662" t="e">
        <f>INDEX('Vessel Gauging Data'!$B$26:$V$56,MATCH($C32,'Vessel Gauging Data'!$B$26:$B$56,0),$BC$18)</f>
        <v>#N/A</v>
      </c>
      <c r="BD32" s="662" t="e">
        <f>INDEX('Vessel Gauging Data'!$B$26:$V$56,MATCH($C32,'Vessel Gauging Data'!$B$26:$B$56,0),$BD$18)</f>
        <v>#N/A</v>
      </c>
      <c r="BE32" s="662" t="e">
        <f>INDEX('Vessel Gauging Data'!$B$26:$V$56,MATCH($C32,'Vessel Gauging Data'!$B$26:$B$56,0),$BE$18)</f>
        <v>#N/A</v>
      </c>
    </row>
    <row r="33" spans="1:57" ht="15" hidden="1">
      <c r="A33" s="641" t="str">
        <f t="shared" si="0"/>
        <v>N</v>
      </c>
      <c r="B33" s="641"/>
      <c r="C33" s="235" t="str">
        <f t="array" ref="C33">IF(OR($E$21="",SUMPRODUCT(('Vessel Gauging Data'!$C$27:$C$56=$E$21)*1)&lt;ROWS($C$22:$C33)),"",INDEX('Vessel Gauging Data'!$B$27:$B$56,SMALL(IF(('Vessel Gauging Data'!$C$27:$C$56=$E$21),ROW('Vessel Gauging Data'!$B$27:$B$56)-ROW('Vessel Gauging Data'!$C$26)),ROW()-ROW(C$21))))</f>
        <v/>
      </c>
      <c r="D33" s="211" t="str">
        <f>IF(OR($C33="",$C33=0),"",INDEX('Vessel Gauging Data'!$B$26:$V$56,MATCH($C33,'Vessel Gauging Data'!$B$27:$B$56,0)+1,2))</f>
        <v/>
      </c>
      <c r="E33" s="1016" t="str">
        <f t="shared" si="1"/>
        <v/>
      </c>
      <c r="F33" s="1016" t="str">
        <f t="shared" si="2"/>
        <v/>
      </c>
      <c r="G33" s="1016" t="str">
        <f t="shared" si="3"/>
        <v/>
      </c>
      <c r="H33" s="1016" t="str">
        <f t="shared" si="4"/>
        <v/>
      </c>
      <c r="I33" s="211" t="str">
        <f t="shared" si="5"/>
        <v/>
      </c>
      <c r="J33" s="1016" t="str">
        <f t="shared" si="6"/>
        <v/>
      </c>
      <c r="K33" s="213" t="str">
        <f t="shared" si="7"/>
        <v/>
      </c>
      <c r="L33" s="212" t="str">
        <f t="shared" si="8"/>
        <v/>
      </c>
      <c r="M33" s="1125" t="str">
        <f>IF(OR($C33="",$C33=0),"",INDEX(API1DENST,MATCH($C33,'Vessel Gauging Data'!$B$27:$B$56,0),$AA$1))</f>
        <v/>
      </c>
      <c r="N33" s="212" t="str">
        <f t="shared" si="9"/>
        <v/>
      </c>
      <c r="O33" s="1016" t="str">
        <f t="shared" si="33"/>
        <v/>
      </c>
      <c r="P33" s="1125" t="str">
        <f t="shared" si="34"/>
        <v/>
      </c>
      <c r="Q33" s="1016" t="str">
        <f t="shared" si="35"/>
        <v/>
      </c>
      <c r="R33" s="214" t="str">
        <f t="shared" si="36"/>
        <v/>
      </c>
      <c r="S33" s="1125" t="str">
        <f t="shared" si="10"/>
        <v/>
      </c>
      <c r="T33" s="236" t="str">
        <f t="shared" si="37"/>
        <v/>
      </c>
      <c r="U33" s="641"/>
      <c r="V33" s="642" t="e">
        <f>INDEX('Vessel Gauging Data'!$B$26:$V$56,MATCH($C33,'Vessel Gauging Data'!$B$26:$B$56,0),$V$18)</f>
        <v>#N/A</v>
      </c>
      <c r="W33" s="642" t="e">
        <f>INDEX('Vessel Gauging Data'!$B$26:$V$56,MATCH($C33,'Vessel Gauging Data'!$B$26:$B$56,0),$W$18)</f>
        <v>#N/A</v>
      </c>
      <c r="X33" s="642" t="e">
        <f>INDEX('Vessel Gauging Data'!$B$26:$V$56,MATCH($C33,'Vessel Gauging Data'!$B$26:$B$56,0),$X$18)</f>
        <v>#N/A</v>
      </c>
      <c r="Y33" s="642" t="e">
        <f>INDEX('Vessel Gauging Data'!$B$26:$V$56,MATCH($C33,'Vessel Gauging Data'!$B$26:$B$56,0),$Y$18)</f>
        <v>#N/A</v>
      </c>
      <c r="Z33" s="642" t="e">
        <f>INDEX('Vessel Gauging Data'!$B$26:$V$56,MATCH($C33,'Vessel Gauging Data'!$B$26:$B$56,0),$Z$18)</f>
        <v>#N/A</v>
      </c>
      <c r="AA33" s="641"/>
      <c r="AB33" s="642" t="e">
        <f>INDEX(API1DENST,MATCH($C33,'Vessel Gauging Data'!$B$27:$B$56,0),1)</f>
        <v>#N/A</v>
      </c>
      <c r="AC33" s="642" t="e">
        <f t="shared" si="11"/>
        <v>#N/A</v>
      </c>
      <c r="AD33" s="641"/>
      <c r="AE33" s="661" t="e">
        <f t="shared" si="12"/>
        <v>#VALUE!</v>
      </c>
      <c r="AF33" s="661" t="e">
        <f t="shared" si="13"/>
        <v>#VALUE!</v>
      </c>
      <c r="AG33" s="641"/>
      <c r="AH33" s="662" t="str">
        <f t="shared" si="14"/>
        <v/>
      </c>
      <c r="AI33" s="662" t="str">
        <f t="shared" si="15"/>
        <v/>
      </c>
      <c r="AJ33" s="663">
        <f t="shared" si="16"/>
        <v>192.4571</v>
      </c>
      <c r="AK33" s="660">
        <f t="shared" si="17"/>
        <v>0.24379999999999999</v>
      </c>
      <c r="AL33" s="660" t="e">
        <f t="shared" si="18"/>
        <v>#VALUE!</v>
      </c>
      <c r="AM33" s="664" t="e">
        <f t="shared" si="19"/>
        <v>#VALUE!</v>
      </c>
      <c r="AN33" s="664" t="e">
        <f t="shared" si="20"/>
        <v>#VALUE!</v>
      </c>
      <c r="AO33" s="665" t="e">
        <f t="shared" si="21"/>
        <v>#VALUE!</v>
      </c>
      <c r="AP33" s="666" t="e">
        <f t="shared" si="22"/>
        <v>#VALUE!</v>
      </c>
      <c r="AQ33" s="660" t="e">
        <f t="shared" si="23"/>
        <v>#VALUE!</v>
      </c>
      <c r="AR33" s="667" t="e">
        <f t="shared" si="24"/>
        <v>#VALUE!</v>
      </c>
      <c r="AS33" s="667" t="e">
        <f t="shared" si="25"/>
        <v>#VALUE!</v>
      </c>
      <c r="AT33" s="668" t="e">
        <f t="shared" si="26"/>
        <v>#VALUE!</v>
      </c>
      <c r="AU33" s="667" t="e">
        <f t="shared" si="27"/>
        <v>#VALUE!</v>
      </c>
      <c r="AV33" s="669" t="e">
        <f t="shared" si="28"/>
        <v>#VALUE!</v>
      </c>
      <c r="AW33" s="667" t="e">
        <f t="shared" si="29"/>
        <v>#VALUE!</v>
      </c>
      <c r="AX33" s="667" t="e">
        <f t="shared" si="30"/>
        <v>#VALUE!</v>
      </c>
      <c r="AY33" s="660" t="e">
        <f t="shared" si="31"/>
        <v>#VALUE!</v>
      </c>
      <c r="AZ33" s="670" t="e">
        <f t="shared" si="32"/>
        <v>#VALUE!</v>
      </c>
      <c r="BA33" s="641"/>
      <c r="BB33" s="662" t="e">
        <f>INDEX('Vessel Gauging Data'!$B$26:$V$56,MATCH($C33,'Vessel Gauging Data'!$B$26:$B$56,0),$BB$18)</f>
        <v>#N/A</v>
      </c>
      <c r="BC33" s="662" t="e">
        <f>INDEX('Vessel Gauging Data'!$B$26:$V$56,MATCH($C33,'Vessel Gauging Data'!$B$26:$B$56,0),$BC$18)</f>
        <v>#N/A</v>
      </c>
      <c r="BD33" s="662" t="e">
        <f>INDEX('Vessel Gauging Data'!$B$26:$V$56,MATCH($C33,'Vessel Gauging Data'!$B$26:$B$56,0),$BD$18)</f>
        <v>#N/A</v>
      </c>
      <c r="BE33" s="662" t="e">
        <f>INDEX('Vessel Gauging Data'!$B$26:$V$56,MATCH($C33,'Vessel Gauging Data'!$B$26:$B$56,0),$BE$18)</f>
        <v>#N/A</v>
      </c>
    </row>
    <row r="34" spans="1:57" ht="15" hidden="1">
      <c r="A34" s="641" t="str">
        <f t="shared" si="0"/>
        <v>N</v>
      </c>
      <c r="B34" s="641"/>
      <c r="C34" s="235" t="str">
        <f t="array" ref="C34">IF(OR($E$21="",SUMPRODUCT(('Vessel Gauging Data'!$C$27:$C$56=$E$21)*1)&lt;ROWS($C$22:$C34)),"",INDEX('Vessel Gauging Data'!$B$27:$B$56,SMALL(IF(('Vessel Gauging Data'!$C$27:$C$56=$E$21),ROW('Vessel Gauging Data'!$B$27:$B$56)-ROW('Vessel Gauging Data'!$C$26)),ROW()-ROW(C$21))))</f>
        <v/>
      </c>
      <c r="D34" s="211" t="str">
        <f>IF(OR($C34="",$C34=0),"",INDEX('Vessel Gauging Data'!$B$26:$V$56,MATCH($C34,'Vessel Gauging Data'!$B$27:$B$56,0)+1,2))</f>
        <v/>
      </c>
      <c r="E34" s="1016" t="str">
        <f t="shared" si="1"/>
        <v/>
      </c>
      <c r="F34" s="1016" t="str">
        <f t="shared" si="2"/>
        <v/>
      </c>
      <c r="G34" s="1016" t="str">
        <f t="shared" si="3"/>
        <v/>
      </c>
      <c r="H34" s="1016" t="str">
        <f t="shared" si="4"/>
        <v/>
      </c>
      <c r="I34" s="211" t="str">
        <f t="shared" si="5"/>
        <v/>
      </c>
      <c r="J34" s="1016" t="str">
        <f t="shared" si="6"/>
        <v/>
      </c>
      <c r="K34" s="213" t="str">
        <f t="shared" si="7"/>
        <v/>
      </c>
      <c r="L34" s="212" t="str">
        <f t="shared" si="8"/>
        <v/>
      </c>
      <c r="M34" s="1125" t="str">
        <f>IF(OR($C34="",$C34=0),"",INDEX(API1DENST,MATCH($C34,'Vessel Gauging Data'!$B$27:$B$56,0),$AA$1))</f>
        <v/>
      </c>
      <c r="N34" s="212" t="str">
        <f t="shared" si="9"/>
        <v/>
      </c>
      <c r="O34" s="1016" t="str">
        <f t="shared" si="33"/>
        <v/>
      </c>
      <c r="P34" s="1125" t="str">
        <f t="shared" si="34"/>
        <v/>
      </c>
      <c r="Q34" s="1016" t="str">
        <f t="shared" si="35"/>
        <v/>
      </c>
      <c r="R34" s="214" t="str">
        <f t="shared" si="36"/>
        <v/>
      </c>
      <c r="S34" s="1125" t="str">
        <f t="shared" si="10"/>
        <v/>
      </c>
      <c r="T34" s="236" t="str">
        <f t="shared" si="37"/>
        <v/>
      </c>
      <c r="U34" s="641"/>
      <c r="V34" s="642" t="e">
        <f>INDEX('Vessel Gauging Data'!$B$26:$V$56,MATCH($C34,'Vessel Gauging Data'!$B$26:$B$56,0),$V$18)</f>
        <v>#N/A</v>
      </c>
      <c r="W34" s="642" t="e">
        <f>INDEX('Vessel Gauging Data'!$B$26:$V$56,MATCH($C34,'Vessel Gauging Data'!$B$26:$B$56,0),$W$18)</f>
        <v>#N/A</v>
      </c>
      <c r="X34" s="642" t="e">
        <f>INDEX('Vessel Gauging Data'!$B$26:$V$56,MATCH($C34,'Vessel Gauging Data'!$B$26:$B$56,0),$X$18)</f>
        <v>#N/A</v>
      </c>
      <c r="Y34" s="642" t="e">
        <f>INDEX('Vessel Gauging Data'!$B$26:$V$56,MATCH($C34,'Vessel Gauging Data'!$B$26:$B$56,0),$Y$18)</f>
        <v>#N/A</v>
      </c>
      <c r="Z34" s="642" t="e">
        <f>INDEX('Vessel Gauging Data'!$B$26:$V$56,MATCH($C34,'Vessel Gauging Data'!$B$26:$B$56,0),$Z$18)</f>
        <v>#N/A</v>
      </c>
      <c r="AA34" s="641"/>
      <c r="AB34" s="642" t="e">
        <f>INDEX(API1DENST,MATCH($C34,'Vessel Gauging Data'!$B$27:$B$56,0),1)</f>
        <v>#N/A</v>
      </c>
      <c r="AC34" s="642" t="e">
        <f t="shared" si="11"/>
        <v>#N/A</v>
      </c>
      <c r="AD34" s="641"/>
      <c r="AE34" s="661" t="e">
        <f t="shared" si="12"/>
        <v>#VALUE!</v>
      </c>
      <c r="AF34" s="661" t="e">
        <f t="shared" si="13"/>
        <v>#VALUE!</v>
      </c>
      <c r="AG34" s="641"/>
      <c r="AH34" s="662" t="str">
        <f t="shared" si="14"/>
        <v/>
      </c>
      <c r="AI34" s="662" t="str">
        <f t="shared" si="15"/>
        <v/>
      </c>
      <c r="AJ34" s="663">
        <f t="shared" si="16"/>
        <v>192.4571</v>
      </c>
      <c r="AK34" s="660">
        <f t="shared" si="17"/>
        <v>0.24379999999999999</v>
      </c>
      <c r="AL34" s="660" t="e">
        <f t="shared" si="18"/>
        <v>#VALUE!</v>
      </c>
      <c r="AM34" s="664" t="e">
        <f t="shared" si="19"/>
        <v>#VALUE!</v>
      </c>
      <c r="AN34" s="664" t="e">
        <f t="shared" si="20"/>
        <v>#VALUE!</v>
      </c>
      <c r="AO34" s="665" t="e">
        <f t="shared" si="21"/>
        <v>#VALUE!</v>
      </c>
      <c r="AP34" s="666" t="e">
        <f t="shared" si="22"/>
        <v>#VALUE!</v>
      </c>
      <c r="AQ34" s="660" t="e">
        <f t="shared" si="23"/>
        <v>#VALUE!</v>
      </c>
      <c r="AR34" s="667" t="e">
        <f t="shared" si="24"/>
        <v>#VALUE!</v>
      </c>
      <c r="AS34" s="667" t="e">
        <f t="shared" si="25"/>
        <v>#VALUE!</v>
      </c>
      <c r="AT34" s="668" t="e">
        <f t="shared" si="26"/>
        <v>#VALUE!</v>
      </c>
      <c r="AU34" s="667" t="e">
        <f t="shared" si="27"/>
        <v>#VALUE!</v>
      </c>
      <c r="AV34" s="669" t="e">
        <f t="shared" si="28"/>
        <v>#VALUE!</v>
      </c>
      <c r="AW34" s="667" t="e">
        <f t="shared" si="29"/>
        <v>#VALUE!</v>
      </c>
      <c r="AX34" s="667" t="e">
        <f t="shared" si="30"/>
        <v>#VALUE!</v>
      </c>
      <c r="AY34" s="660" t="e">
        <f t="shared" si="31"/>
        <v>#VALUE!</v>
      </c>
      <c r="AZ34" s="670" t="e">
        <f t="shared" si="32"/>
        <v>#VALUE!</v>
      </c>
      <c r="BA34" s="641"/>
      <c r="BB34" s="662" t="e">
        <f>INDEX('Vessel Gauging Data'!$B$26:$V$56,MATCH($C34,'Vessel Gauging Data'!$B$26:$B$56,0),$BB$18)</f>
        <v>#N/A</v>
      </c>
      <c r="BC34" s="662" t="e">
        <f>INDEX('Vessel Gauging Data'!$B$26:$V$56,MATCH($C34,'Vessel Gauging Data'!$B$26:$B$56,0),$BC$18)</f>
        <v>#N/A</v>
      </c>
      <c r="BD34" s="662" t="e">
        <f>INDEX('Vessel Gauging Data'!$B$26:$V$56,MATCH($C34,'Vessel Gauging Data'!$B$26:$B$56,0),$BD$18)</f>
        <v>#N/A</v>
      </c>
      <c r="BE34" s="662" t="e">
        <f>INDEX('Vessel Gauging Data'!$B$26:$V$56,MATCH($C34,'Vessel Gauging Data'!$B$26:$B$56,0),$BE$18)</f>
        <v>#N/A</v>
      </c>
    </row>
    <row r="35" spans="1:57" ht="15" hidden="1">
      <c r="A35" s="641" t="str">
        <f t="shared" si="0"/>
        <v>N</v>
      </c>
      <c r="B35" s="641"/>
      <c r="C35" s="235" t="str">
        <f t="array" ref="C35">IF(OR($E$21="",SUMPRODUCT(('Vessel Gauging Data'!$C$27:$C$56=$E$21)*1)&lt;ROWS($C$22:$C35)),"",INDEX('Vessel Gauging Data'!$B$27:$B$56,SMALL(IF(('Vessel Gauging Data'!$C$27:$C$56=$E$21),ROW('Vessel Gauging Data'!$B$27:$B$56)-ROW('Vessel Gauging Data'!$C$26)),ROW()-ROW(C$21))))</f>
        <v/>
      </c>
      <c r="D35" s="211" t="str">
        <f>IF(OR($C35="",$C35=0),"",INDEX('Vessel Gauging Data'!$B$26:$V$56,MATCH($C35,'Vessel Gauging Data'!$B$27:$B$56,0)+1,2))</f>
        <v/>
      </c>
      <c r="E35" s="1016" t="str">
        <f t="shared" si="1"/>
        <v/>
      </c>
      <c r="F35" s="1016" t="str">
        <f t="shared" si="2"/>
        <v/>
      </c>
      <c r="G35" s="1016" t="str">
        <f t="shared" si="3"/>
        <v/>
      </c>
      <c r="H35" s="1016" t="str">
        <f t="shared" si="4"/>
        <v/>
      </c>
      <c r="I35" s="211" t="str">
        <f t="shared" si="5"/>
        <v/>
      </c>
      <c r="J35" s="1016" t="str">
        <f t="shared" si="6"/>
        <v/>
      </c>
      <c r="K35" s="213" t="str">
        <f t="shared" si="7"/>
        <v/>
      </c>
      <c r="L35" s="212" t="str">
        <f t="shared" si="8"/>
        <v/>
      </c>
      <c r="M35" s="1125" t="str">
        <f>IF(OR($C35="",$C35=0),"",INDEX(API1DENST,MATCH($C35,'Vessel Gauging Data'!$B$27:$B$56,0),$AA$1))</f>
        <v/>
      </c>
      <c r="N35" s="212" t="str">
        <f t="shared" si="9"/>
        <v/>
      </c>
      <c r="O35" s="1016" t="str">
        <f t="shared" si="33"/>
        <v/>
      </c>
      <c r="P35" s="1125" t="str">
        <f t="shared" si="34"/>
        <v/>
      </c>
      <c r="Q35" s="1016" t="str">
        <f t="shared" si="35"/>
        <v/>
      </c>
      <c r="R35" s="214" t="str">
        <f t="shared" si="36"/>
        <v/>
      </c>
      <c r="S35" s="1125" t="str">
        <f t="shared" si="10"/>
        <v/>
      </c>
      <c r="T35" s="236" t="str">
        <f t="shared" si="37"/>
        <v/>
      </c>
      <c r="U35" s="641"/>
      <c r="V35" s="642" t="e">
        <f>INDEX('Vessel Gauging Data'!$B$26:$V$56,MATCH($C35,'Vessel Gauging Data'!$B$26:$B$56,0),$V$18)</f>
        <v>#N/A</v>
      </c>
      <c r="W35" s="642" t="e">
        <f>INDEX('Vessel Gauging Data'!$B$26:$V$56,MATCH($C35,'Vessel Gauging Data'!$B$26:$B$56,0),$W$18)</f>
        <v>#N/A</v>
      </c>
      <c r="X35" s="642" t="e">
        <f>INDEX('Vessel Gauging Data'!$B$26:$V$56,MATCH($C35,'Vessel Gauging Data'!$B$26:$B$56,0),$X$18)</f>
        <v>#N/A</v>
      </c>
      <c r="Y35" s="642" t="e">
        <f>INDEX('Vessel Gauging Data'!$B$26:$V$56,MATCH($C35,'Vessel Gauging Data'!$B$26:$B$56,0),$Y$18)</f>
        <v>#N/A</v>
      </c>
      <c r="Z35" s="642" t="e">
        <f>INDEX('Vessel Gauging Data'!$B$26:$V$56,MATCH($C35,'Vessel Gauging Data'!$B$26:$B$56,0),$Z$18)</f>
        <v>#N/A</v>
      </c>
      <c r="AA35" s="641"/>
      <c r="AB35" s="642" t="e">
        <f>INDEX(API1DENST,MATCH($C35,'Vessel Gauging Data'!$B$27:$B$56,0),1)</f>
        <v>#N/A</v>
      </c>
      <c r="AC35" s="642" t="e">
        <f t="shared" si="11"/>
        <v>#N/A</v>
      </c>
      <c r="AD35" s="641"/>
      <c r="AE35" s="661" t="e">
        <f t="shared" si="12"/>
        <v>#VALUE!</v>
      </c>
      <c r="AF35" s="661" t="e">
        <f t="shared" si="13"/>
        <v>#VALUE!</v>
      </c>
      <c r="AG35" s="641"/>
      <c r="AH35" s="662" t="str">
        <f t="shared" si="14"/>
        <v/>
      </c>
      <c r="AI35" s="662" t="str">
        <f t="shared" si="15"/>
        <v/>
      </c>
      <c r="AJ35" s="663">
        <f t="shared" si="16"/>
        <v>192.4571</v>
      </c>
      <c r="AK35" s="660">
        <f t="shared" si="17"/>
        <v>0.24379999999999999</v>
      </c>
      <c r="AL35" s="660" t="e">
        <f t="shared" si="18"/>
        <v>#VALUE!</v>
      </c>
      <c r="AM35" s="664" t="e">
        <f t="shared" si="19"/>
        <v>#VALUE!</v>
      </c>
      <c r="AN35" s="664" t="e">
        <f t="shared" si="20"/>
        <v>#VALUE!</v>
      </c>
      <c r="AO35" s="665" t="e">
        <f t="shared" si="21"/>
        <v>#VALUE!</v>
      </c>
      <c r="AP35" s="666" t="e">
        <f t="shared" si="22"/>
        <v>#VALUE!</v>
      </c>
      <c r="AQ35" s="660" t="e">
        <f t="shared" si="23"/>
        <v>#VALUE!</v>
      </c>
      <c r="AR35" s="667" t="e">
        <f t="shared" si="24"/>
        <v>#VALUE!</v>
      </c>
      <c r="AS35" s="667" t="e">
        <f t="shared" si="25"/>
        <v>#VALUE!</v>
      </c>
      <c r="AT35" s="668" t="e">
        <f t="shared" si="26"/>
        <v>#VALUE!</v>
      </c>
      <c r="AU35" s="667" t="e">
        <f t="shared" si="27"/>
        <v>#VALUE!</v>
      </c>
      <c r="AV35" s="669" t="e">
        <f t="shared" si="28"/>
        <v>#VALUE!</v>
      </c>
      <c r="AW35" s="667" t="e">
        <f t="shared" si="29"/>
        <v>#VALUE!</v>
      </c>
      <c r="AX35" s="667" t="e">
        <f t="shared" si="30"/>
        <v>#VALUE!</v>
      </c>
      <c r="AY35" s="660" t="e">
        <f t="shared" si="31"/>
        <v>#VALUE!</v>
      </c>
      <c r="AZ35" s="670" t="e">
        <f t="shared" si="32"/>
        <v>#VALUE!</v>
      </c>
      <c r="BA35" s="641"/>
      <c r="BB35" s="662" t="e">
        <f>INDEX('Vessel Gauging Data'!$B$26:$V$56,MATCH($C35,'Vessel Gauging Data'!$B$26:$B$56,0),$BB$18)</f>
        <v>#N/A</v>
      </c>
      <c r="BC35" s="662" t="e">
        <f>INDEX('Vessel Gauging Data'!$B$26:$V$56,MATCH($C35,'Vessel Gauging Data'!$B$26:$B$56,0),$BC$18)</f>
        <v>#N/A</v>
      </c>
      <c r="BD35" s="662" t="e">
        <f>INDEX('Vessel Gauging Data'!$B$26:$V$56,MATCH($C35,'Vessel Gauging Data'!$B$26:$B$56,0),$BD$18)</f>
        <v>#N/A</v>
      </c>
      <c r="BE35" s="662" t="e">
        <f>INDEX('Vessel Gauging Data'!$B$26:$V$56,MATCH($C35,'Vessel Gauging Data'!$B$26:$B$56,0),$BE$18)</f>
        <v>#N/A</v>
      </c>
    </row>
    <row r="36" spans="1:57" ht="15" hidden="1">
      <c r="A36" s="641" t="str">
        <f t="shared" si="0"/>
        <v>N</v>
      </c>
      <c r="B36" s="641"/>
      <c r="C36" s="235" t="str">
        <f t="array" ref="C36">IF(OR($E$21="",SUMPRODUCT(('Vessel Gauging Data'!$C$27:$C$56=$E$21)*1)&lt;ROWS($C$22:$C36)),"",INDEX('Vessel Gauging Data'!$B$27:$B$56,SMALL(IF(('Vessel Gauging Data'!$C$27:$C$56=$E$21),ROW('Vessel Gauging Data'!$B$27:$B$56)-ROW('Vessel Gauging Data'!$C$26)),ROW()-ROW(C$21))))</f>
        <v/>
      </c>
      <c r="D36" s="211" t="str">
        <f>IF(OR($C36="",$C36=0),"",INDEX('Vessel Gauging Data'!$B$26:$V$56,MATCH($C36,'Vessel Gauging Data'!$B$27:$B$56,0)+1,2))</f>
        <v/>
      </c>
      <c r="E36" s="1016" t="str">
        <f t="shared" si="1"/>
        <v/>
      </c>
      <c r="F36" s="1016" t="str">
        <f t="shared" si="2"/>
        <v/>
      </c>
      <c r="G36" s="1016" t="str">
        <f t="shared" si="3"/>
        <v/>
      </c>
      <c r="H36" s="1016" t="str">
        <f t="shared" si="4"/>
        <v/>
      </c>
      <c r="I36" s="211" t="str">
        <f t="shared" si="5"/>
        <v/>
      </c>
      <c r="J36" s="1016" t="str">
        <f t="shared" si="6"/>
        <v/>
      </c>
      <c r="K36" s="213" t="str">
        <f t="shared" si="7"/>
        <v/>
      </c>
      <c r="L36" s="212" t="str">
        <f t="shared" si="8"/>
        <v/>
      </c>
      <c r="M36" s="1125" t="str">
        <f>IF(OR($C36="",$C36=0),"",INDEX(API1DENST,MATCH($C36,'Vessel Gauging Data'!$B$27:$B$56,0),$AA$1))</f>
        <v/>
      </c>
      <c r="N36" s="212" t="str">
        <f t="shared" si="9"/>
        <v/>
      </c>
      <c r="O36" s="1016" t="str">
        <f t="shared" si="33"/>
        <v/>
      </c>
      <c r="P36" s="1125" t="str">
        <f t="shared" si="34"/>
        <v/>
      </c>
      <c r="Q36" s="1016" t="str">
        <f t="shared" si="35"/>
        <v/>
      </c>
      <c r="R36" s="214" t="str">
        <f t="shared" si="36"/>
        <v/>
      </c>
      <c r="S36" s="1125" t="str">
        <f t="shared" si="10"/>
        <v/>
      </c>
      <c r="T36" s="236" t="str">
        <f t="shared" si="37"/>
        <v/>
      </c>
      <c r="U36" s="641"/>
      <c r="V36" s="642" t="e">
        <f>INDEX('Vessel Gauging Data'!$B$26:$V$56,MATCH($C36,'Vessel Gauging Data'!$B$26:$B$56,0),$V$18)</f>
        <v>#N/A</v>
      </c>
      <c r="W36" s="642" t="e">
        <f>INDEX('Vessel Gauging Data'!$B$26:$V$56,MATCH($C36,'Vessel Gauging Data'!$B$26:$B$56,0),$W$18)</f>
        <v>#N/A</v>
      </c>
      <c r="X36" s="642" t="e">
        <f>INDEX('Vessel Gauging Data'!$B$26:$V$56,MATCH($C36,'Vessel Gauging Data'!$B$26:$B$56,0),$X$18)</f>
        <v>#N/A</v>
      </c>
      <c r="Y36" s="642" t="e">
        <f>INDEX('Vessel Gauging Data'!$B$26:$V$56,MATCH($C36,'Vessel Gauging Data'!$B$26:$B$56,0),$Y$18)</f>
        <v>#N/A</v>
      </c>
      <c r="Z36" s="642" t="e">
        <f>INDEX('Vessel Gauging Data'!$B$26:$V$56,MATCH($C36,'Vessel Gauging Data'!$B$26:$B$56,0),$Z$18)</f>
        <v>#N/A</v>
      </c>
      <c r="AA36" s="641"/>
      <c r="AB36" s="642" t="e">
        <f>INDEX(API1DENST,MATCH($C36,'Vessel Gauging Data'!$B$27:$B$56,0),1)</f>
        <v>#N/A</v>
      </c>
      <c r="AC36" s="642" t="e">
        <f t="shared" si="11"/>
        <v>#N/A</v>
      </c>
      <c r="AD36" s="641"/>
      <c r="AE36" s="661" t="e">
        <f t="shared" si="12"/>
        <v>#VALUE!</v>
      </c>
      <c r="AF36" s="661" t="e">
        <f t="shared" si="13"/>
        <v>#VALUE!</v>
      </c>
      <c r="AG36" s="641"/>
      <c r="AH36" s="662" t="str">
        <f t="shared" si="14"/>
        <v/>
      </c>
      <c r="AI36" s="662" t="str">
        <f t="shared" si="15"/>
        <v/>
      </c>
      <c r="AJ36" s="663">
        <f t="shared" si="16"/>
        <v>192.4571</v>
      </c>
      <c r="AK36" s="660">
        <f t="shared" si="17"/>
        <v>0.24379999999999999</v>
      </c>
      <c r="AL36" s="660" t="e">
        <f t="shared" si="18"/>
        <v>#VALUE!</v>
      </c>
      <c r="AM36" s="664" t="e">
        <f t="shared" si="19"/>
        <v>#VALUE!</v>
      </c>
      <c r="AN36" s="664" t="e">
        <f t="shared" si="20"/>
        <v>#VALUE!</v>
      </c>
      <c r="AO36" s="665" t="e">
        <f t="shared" si="21"/>
        <v>#VALUE!</v>
      </c>
      <c r="AP36" s="666" t="e">
        <f t="shared" si="22"/>
        <v>#VALUE!</v>
      </c>
      <c r="AQ36" s="660" t="e">
        <f t="shared" si="23"/>
        <v>#VALUE!</v>
      </c>
      <c r="AR36" s="667" t="e">
        <f t="shared" si="24"/>
        <v>#VALUE!</v>
      </c>
      <c r="AS36" s="667" t="e">
        <f t="shared" si="25"/>
        <v>#VALUE!</v>
      </c>
      <c r="AT36" s="668" t="e">
        <f t="shared" si="26"/>
        <v>#VALUE!</v>
      </c>
      <c r="AU36" s="667" t="e">
        <f t="shared" si="27"/>
        <v>#VALUE!</v>
      </c>
      <c r="AV36" s="669" t="e">
        <f t="shared" si="28"/>
        <v>#VALUE!</v>
      </c>
      <c r="AW36" s="667" t="e">
        <f t="shared" si="29"/>
        <v>#VALUE!</v>
      </c>
      <c r="AX36" s="667" t="e">
        <f t="shared" si="30"/>
        <v>#VALUE!</v>
      </c>
      <c r="AY36" s="660" t="e">
        <f t="shared" si="31"/>
        <v>#VALUE!</v>
      </c>
      <c r="AZ36" s="670" t="e">
        <f t="shared" si="32"/>
        <v>#VALUE!</v>
      </c>
      <c r="BA36" s="641"/>
      <c r="BB36" s="662" t="e">
        <f>INDEX('Vessel Gauging Data'!$B$26:$V$56,MATCH($C36,'Vessel Gauging Data'!$B$26:$B$56,0),$BB$18)</f>
        <v>#N/A</v>
      </c>
      <c r="BC36" s="662" t="e">
        <f>INDEX('Vessel Gauging Data'!$B$26:$V$56,MATCH($C36,'Vessel Gauging Data'!$B$26:$B$56,0),$BC$18)</f>
        <v>#N/A</v>
      </c>
      <c r="BD36" s="662" t="e">
        <f>INDEX('Vessel Gauging Data'!$B$26:$V$56,MATCH($C36,'Vessel Gauging Data'!$B$26:$B$56,0),$BD$18)</f>
        <v>#N/A</v>
      </c>
      <c r="BE36" s="662" t="e">
        <f>INDEX('Vessel Gauging Data'!$B$26:$V$56,MATCH($C36,'Vessel Gauging Data'!$B$26:$B$56,0),$BE$18)</f>
        <v>#N/A</v>
      </c>
    </row>
    <row r="37" spans="1:57" ht="15" hidden="1">
      <c r="A37" s="641" t="str">
        <f t="shared" si="0"/>
        <v>N</v>
      </c>
      <c r="B37" s="641"/>
      <c r="C37" s="235" t="str">
        <f t="array" ref="C37">IF(OR($E$21="",SUMPRODUCT(('Vessel Gauging Data'!$C$27:$C$56=$E$21)*1)&lt;ROWS($C$22:$C37)),"",INDEX('Vessel Gauging Data'!$B$27:$B$56,SMALL(IF(('Vessel Gauging Data'!$C$27:$C$56=$E$21),ROW('Vessel Gauging Data'!$B$27:$B$56)-ROW('Vessel Gauging Data'!$C$26)),ROW()-ROW(C$21))))</f>
        <v/>
      </c>
      <c r="D37" s="211" t="str">
        <f>IF(OR($C37="",$C37=0),"",INDEX('Vessel Gauging Data'!$B$26:$V$56,MATCH($C37,'Vessel Gauging Data'!$B$27:$B$56,0)+1,2))</f>
        <v/>
      </c>
      <c r="E37" s="1016" t="str">
        <f t="shared" si="1"/>
        <v/>
      </c>
      <c r="F37" s="1016" t="str">
        <f t="shared" si="2"/>
        <v/>
      </c>
      <c r="G37" s="1016" t="str">
        <f t="shared" si="3"/>
        <v/>
      </c>
      <c r="H37" s="1016" t="str">
        <f t="shared" si="4"/>
        <v/>
      </c>
      <c r="I37" s="211" t="str">
        <f t="shared" si="5"/>
        <v/>
      </c>
      <c r="J37" s="1016" t="str">
        <f t="shared" si="6"/>
        <v/>
      </c>
      <c r="K37" s="213" t="str">
        <f t="shared" si="7"/>
        <v/>
      </c>
      <c r="L37" s="212" t="str">
        <f t="shared" si="8"/>
        <v/>
      </c>
      <c r="M37" s="1125" t="str">
        <f>IF(OR($C37="",$C37=0),"",INDEX(API1DENST,MATCH($C37,'Vessel Gauging Data'!$B$27:$B$56,0),$AA$1))</f>
        <v/>
      </c>
      <c r="N37" s="212" t="str">
        <f t="shared" si="9"/>
        <v/>
      </c>
      <c r="O37" s="1016" t="str">
        <f t="shared" si="33"/>
        <v/>
      </c>
      <c r="P37" s="1125" t="str">
        <f t="shared" si="34"/>
        <v/>
      </c>
      <c r="Q37" s="1016" t="str">
        <f t="shared" si="35"/>
        <v/>
      </c>
      <c r="R37" s="214" t="str">
        <f t="shared" si="36"/>
        <v/>
      </c>
      <c r="S37" s="1125" t="str">
        <f t="shared" si="10"/>
        <v/>
      </c>
      <c r="T37" s="236" t="str">
        <f t="shared" si="37"/>
        <v/>
      </c>
      <c r="U37" s="641"/>
      <c r="V37" s="642" t="e">
        <f>INDEX('Vessel Gauging Data'!$B$26:$V$56,MATCH($C37,'Vessel Gauging Data'!$B$26:$B$56,0),$V$18)</f>
        <v>#N/A</v>
      </c>
      <c r="W37" s="642" t="e">
        <f>INDEX('Vessel Gauging Data'!$B$26:$V$56,MATCH($C37,'Vessel Gauging Data'!$B$26:$B$56,0),$W$18)</f>
        <v>#N/A</v>
      </c>
      <c r="X37" s="642" t="e">
        <f>INDEX('Vessel Gauging Data'!$B$26:$V$56,MATCH($C37,'Vessel Gauging Data'!$B$26:$B$56,0),$X$18)</f>
        <v>#N/A</v>
      </c>
      <c r="Y37" s="642" t="e">
        <f>INDEX('Vessel Gauging Data'!$B$26:$V$56,MATCH($C37,'Vessel Gauging Data'!$B$26:$B$56,0),$Y$18)</f>
        <v>#N/A</v>
      </c>
      <c r="Z37" s="642" t="e">
        <f>INDEX('Vessel Gauging Data'!$B$26:$V$56,MATCH($C37,'Vessel Gauging Data'!$B$26:$B$56,0),$Z$18)</f>
        <v>#N/A</v>
      </c>
      <c r="AA37" s="641"/>
      <c r="AB37" s="642" t="e">
        <f>INDEX(API1DENST,MATCH($C37,'Vessel Gauging Data'!$B$27:$B$56,0),1)</f>
        <v>#N/A</v>
      </c>
      <c r="AC37" s="642" t="e">
        <f t="shared" si="11"/>
        <v>#N/A</v>
      </c>
      <c r="AD37" s="641"/>
      <c r="AE37" s="661" t="e">
        <f t="shared" si="12"/>
        <v>#VALUE!</v>
      </c>
      <c r="AF37" s="661" t="e">
        <f t="shared" si="13"/>
        <v>#VALUE!</v>
      </c>
      <c r="AG37" s="641"/>
      <c r="AH37" s="662" t="str">
        <f t="shared" si="14"/>
        <v/>
      </c>
      <c r="AI37" s="662" t="str">
        <f t="shared" si="15"/>
        <v/>
      </c>
      <c r="AJ37" s="663">
        <f t="shared" si="16"/>
        <v>192.4571</v>
      </c>
      <c r="AK37" s="660">
        <f t="shared" si="17"/>
        <v>0.24379999999999999</v>
      </c>
      <c r="AL37" s="660" t="e">
        <f t="shared" si="18"/>
        <v>#VALUE!</v>
      </c>
      <c r="AM37" s="664" t="e">
        <f t="shared" si="19"/>
        <v>#VALUE!</v>
      </c>
      <c r="AN37" s="664" t="e">
        <f t="shared" si="20"/>
        <v>#VALUE!</v>
      </c>
      <c r="AO37" s="665" t="e">
        <f t="shared" si="21"/>
        <v>#VALUE!</v>
      </c>
      <c r="AP37" s="666" t="e">
        <f t="shared" si="22"/>
        <v>#VALUE!</v>
      </c>
      <c r="AQ37" s="660" t="e">
        <f t="shared" si="23"/>
        <v>#VALUE!</v>
      </c>
      <c r="AR37" s="667" t="e">
        <f t="shared" si="24"/>
        <v>#VALUE!</v>
      </c>
      <c r="AS37" s="667" t="e">
        <f t="shared" si="25"/>
        <v>#VALUE!</v>
      </c>
      <c r="AT37" s="668" t="e">
        <f t="shared" si="26"/>
        <v>#VALUE!</v>
      </c>
      <c r="AU37" s="667" t="e">
        <f t="shared" si="27"/>
        <v>#VALUE!</v>
      </c>
      <c r="AV37" s="669" t="e">
        <f t="shared" si="28"/>
        <v>#VALUE!</v>
      </c>
      <c r="AW37" s="667" t="e">
        <f t="shared" si="29"/>
        <v>#VALUE!</v>
      </c>
      <c r="AX37" s="667" t="e">
        <f t="shared" si="30"/>
        <v>#VALUE!</v>
      </c>
      <c r="AY37" s="660" t="e">
        <f t="shared" si="31"/>
        <v>#VALUE!</v>
      </c>
      <c r="AZ37" s="670" t="e">
        <f t="shared" si="32"/>
        <v>#VALUE!</v>
      </c>
      <c r="BA37" s="641"/>
      <c r="BB37" s="662" t="e">
        <f>INDEX('Vessel Gauging Data'!$B$26:$V$56,MATCH($C37,'Vessel Gauging Data'!$B$26:$B$56,0),$BB$18)</f>
        <v>#N/A</v>
      </c>
      <c r="BC37" s="662" t="e">
        <f>INDEX('Vessel Gauging Data'!$B$26:$V$56,MATCH($C37,'Vessel Gauging Data'!$B$26:$B$56,0),$BC$18)</f>
        <v>#N/A</v>
      </c>
      <c r="BD37" s="662" t="e">
        <f>INDEX('Vessel Gauging Data'!$B$26:$V$56,MATCH($C37,'Vessel Gauging Data'!$B$26:$B$56,0),$BD$18)</f>
        <v>#N/A</v>
      </c>
      <c r="BE37" s="662" t="e">
        <f>INDEX('Vessel Gauging Data'!$B$26:$V$56,MATCH($C37,'Vessel Gauging Data'!$B$26:$B$56,0),$BE$18)</f>
        <v>#N/A</v>
      </c>
    </row>
    <row r="38" spans="1:57" ht="15" hidden="1">
      <c r="A38" s="641" t="str">
        <f t="shared" si="0"/>
        <v>N</v>
      </c>
      <c r="B38" s="641"/>
      <c r="C38" s="235" t="str">
        <f t="array" ref="C38">IF(OR($E$21="",SUMPRODUCT(('Vessel Gauging Data'!$C$27:$C$56=$E$21)*1)&lt;ROWS($C$22:$C38)),"",INDEX('Vessel Gauging Data'!$B$27:$B$56,SMALL(IF(('Vessel Gauging Data'!$C$27:$C$56=$E$21),ROW('Vessel Gauging Data'!$B$27:$B$56)-ROW('Vessel Gauging Data'!$C$26)),ROW()-ROW(C$21))))</f>
        <v/>
      </c>
      <c r="D38" s="211" t="str">
        <f>IF(OR($C38="",$C38=0),"",INDEX('Vessel Gauging Data'!$B$26:$V$56,MATCH($C38,'Vessel Gauging Data'!$B$27:$B$56,0)+1,2))</f>
        <v/>
      </c>
      <c r="E38" s="1016" t="str">
        <f t="shared" si="1"/>
        <v/>
      </c>
      <c r="F38" s="1016" t="str">
        <f t="shared" si="2"/>
        <v/>
      </c>
      <c r="G38" s="1016" t="str">
        <f t="shared" si="3"/>
        <v/>
      </c>
      <c r="H38" s="1016" t="str">
        <f t="shared" si="4"/>
        <v/>
      </c>
      <c r="I38" s="211" t="str">
        <f t="shared" si="5"/>
        <v/>
      </c>
      <c r="J38" s="1016" t="str">
        <f t="shared" si="6"/>
        <v/>
      </c>
      <c r="K38" s="213" t="str">
        <f t="shared" si="7"/>
        <v/>
      </c>
      <c r="L38" s="212" t="str">
        <f t="shared" si="8"/>
        <v/>
      </c>
      <c r="M38" s="1125" t="str">
        <f>IF(OR($C38="",$C38=0),"",INDEX(API1DENST,MATCH($C38,'Vessel Gauging Data'!$B$27:$B$56,0),$AA$1))</f>
        <v/>
      </c>
      <c r="N38" s="212" t="str">
        <f t="shared" si="9"/>
        <v/>
      </c>
      <c r="O38" s="1016" t="str">
        <f t="shared" si="33"/>
        <v/>
      </c>
      <c r="P38" s="1125" t="str">
        <f t="shared" si="34"/>
        <v/>
      </c>
      <c r="Q38" s="1016" t="str">
        <f t="shared" si="35"/>
        <v/>
      </c>
      <c r="R38" s="214" t="str">
        <f t="shared" si="36"/>
        <v/>
      </c>
      <c r="S38" s="1125" t="str">
        <f t="shared" si="10"/>
        <v/>
      </c>
      <c r="T38" s="236" t="str">
        <f t="shared" si="37"/>
        <v/>
      </c>
      <c r="U38" s="641"/>
      <c r="V38" s="642" t="e">
        <f>INDEX('Vessel Gauging Data'!$B$26:$V$56,MATCH($C38,'Vessel Gauging Data'!$B$26:$B$56,0),$V$18)</f>
        <v>#N/A</v>
      </c>
      <c r="W38" s="642" t="e">
        <f>INDEX('Vessel Gauging Data'!$B$26:$V$56,MATCH($C38,'Vessel Gauging Data'!$B$26:$B$56,0),$W$18)</f>
        <v>#N/A</v>
      </c>
      <c r="X38" s="642" t="e">
        <f>INDEX('Vessel Gauging Data'!$B$26:$V$56,MATCH($C38,'Vessel Gauging Data'!$B$26:$B$56,0),$X$18)</f>
        <v>#N/A</v>
      </c>
      <c r="Y38" s="642" t="e">
        <f>INDEX('Vessel Gauging Data'!$B$26:$V$56,MATCH($C38,'Vessel Gauging Data'!$B$26:$B$56,0),$Y$18)</f>
        <v>#N/A</v>
      </c>
      <c r="Z38" s="642" t="e">
        <f>INDEX('Vessel Gauging Data'!$B$26:$V$56,MATCH($C38,'Vessel Gauging Data'!$B$26:$B$56,0),$Z$18)</f>
        <v>#N/A</v>
      </c>
      <c r="AA38" s="641"/>
      <c r="AB38" s="642" t="e">
        <f>INDEX(API1DENST,MATCH($C38,'Vessel Gauging Data'!$B$27:$B$56,0),1)</f>
        <v>#N/A</v>
      </c>
      <c r="AC38" s="642" t="e">
        <f t="shared" si="11"/>
        <v>#N/A</v>
      </c>
      <c r="AD38" s="641"/>
      <c r="AE38" s="661" t="e">
        <f t="shared" si="12"/>
        <v>#VALUE!</v>
      </c>
      <c r="AF38" s="661" t="e">
        <f t="shared" si="13"/>
        <v>#VALUE!</v>
      </c>
      <c r="AG38" s="641"/>
      <c r="AH38" s="662" t="str">
        <f t="shared" si="14"/>
        <v/>
      </c>
      <c r="AI38" s="662" t="str">
        <f t="shared" si="15"/>
        <v/>
      </c>
      <c r="AJ38" s="663">
        <f t="shared" si="16"/>
        <v>192.4571</v>
      </c>
      <c r="AK38" s="660">
        <f t="shared" si="17"/>
        <v>0.24379999999999999</v>
      </c>
      <c r="AL38" s="660" t="e">
        <f t="shared" si="18"/>
        <v>#VALUE!</v>
      </c>
      <c r="AM38" s="664" t="e">
        <f t="shared" si="19"/>
        <v>#VALUE!</v>
      </c>
      <c r="AN38" s="664" t="e">
        <f t="shared" si="20"/>
        <v>#VALUE!</v>
      </c>
      <c r="AO38" s="665" t="e">
        <f t="shared" si="21"/>
        <v>#VALUE!</v>
      </c>
      <c r="AP38" s="666" t="e">
        <f t="shared" si="22"/>
        <v>#VALUE!</v>
      </c>
      <c r="AQ38" s="660" t="e">
        <f t="shared" si="23"/>
        <v>#VALUE!</v>
      </c>
      <c r="AR38" s="667" t="e">
        <f t="shared" si="24"/>
        <v>#VALUE!</v>
      </c>
      <c r="AS38" s="667" t="e">
        <f t="shared" si="25"/>
        <v>#VALUE!</v>
      </c>
      <c r="AT38" s="668" t="e">
        <f t="shared" si="26"/>
        <v>#VALUE!</v>
      </c>
      <c r="AU38" s="667" t="e">
        <f t="shared" si="27"/>
        <v>#VALUE!</v>
      </c>
      <c r="AV38" s="669" t="e">
        <f t="shared" si="28"/>
        <v>#VALUE!</v>
      </c>
      <c r="AW38" s="667" t="e">
        <f t="shared" si="29"/>
        <v>#VALUE!</v>
      </c>
      <c r="AX38" s="667" t="e">
        <f t="shared" si="30"/>
        <v>#VALUE!</v>
      </c>
      <c r="AY38" s="660" t="e">
        <f t="shared" si="31"/>
        <v>#VALUE!</v>
      </c>
      <c r="AZ38" s="670" t="e">
        <f t="shared" si="32"/>
        <v>#VALUE!</v>
      </c>
      <c r="BA38" s="641"/>
      <c r="BB38" s="662" t="e">
        <f>INDEX('Vessel Gauging Data'!$B$26:$V$56,MATCH($C38,'Vessel Gauging Data'!$B$26:$B$56,0),$BB$18)</f>
        <v>#N/A</v>
      </c>
      <c r="BC38" s="662" t="e">
        <f>INDEX('Vessel Gauging Data'!$B$26:$V$56,MATCH($C38,'Vessel Gauging Data'!$B$26:$B$56,0),$BC$18)</f>
        <v>#N/A</v>
      </c>
      <c r="BD38" s="662" t="e">
        <f>INDEX('Vessel Gauging Data'!$B$26:$V$56,MATCH($C38,'Vessel Gauging Data'!$B$26:$B$56,0),$BD$18)</f>
        <v>#N/A</v>
      </c>
      <c r="BE38" s="662" t="e">
        <f>INDEX('Vessel Gauging Data'!$B$26:$V$56,MATCH($C38,'Vessel Gauging Data'!$B$26:$B$56,0),$BE$18)</f>
        <v>#N/A</v>
      </c>
    </row>
    <row r="39" spans="1:57" ht="15" hidden="1">
      <c r="A39" s="641" t="str">
        <f t="shared" si="0"/>
        <v>N</v>
      </c>
      <c r="B39" s="641"/>
      <c r="C39" s="235" t="str">
        <f t="array" ref="C39">IF(OR($E$21="",SUMPRODUCT(('Vessel Gauging Data'!$C$27:$C$56=$E$21)*1)&lt;ROWS($C$22:$C39)),"",INDEX('Vessel Gauging Data'!$B$27:$B$56,SMALL(IF(('Vessel Gauging Data'!$C$27:$C$56=$E$21),ROW('Vessel Gauging Data'!$B$27:$B$56)-ROW('Vessel Gauging Data'!$C$26)),ROW()-ROW(C$21))))</f>
        <v/>
      </c>
      <c r="D39" s="211" t="str">
        <f>IF(OR($C39="",$C39=0),"",INDEX('Vessel Gauging Data'!$B$26:$V$56,MATCH($C39,'Vessel Gauging Data'!$B$27:$B$56,0)+1,2))</f>
        <v/>
      </c>
      <c r="E39" s="1016" t="str">
        <f t="shared" si="1"/>
        <v/>
      </c>
      <c r="F39" s="1016" t="str">
        <f t="shared" si="2"/>
        <v/>
      </c>
      <c r="G39" s="1016" t="str">
        <f t="shared" si="3"/>
        <v/>
      </c>
      <c r="H39" s="1016" t="str">
        <f t="shared" si="4"/>
        <v/>
      </c>
      <c r="I39" s="211" t="str">
        <f t="shared" si="5"/>
        <v/>
      </c>
      <c r="J39" s="1016" t="str">
        <f t="shared" si="6"/>
        <v/>
      </c>
      <c r="K39" s="213" t="str">
        <f t="shared" si="7"/>
        <v/>
      </c>
      <c r="L39" s="212" t="str">
        <f t="shared" si="8"/>
        <v/>
      </c>
      <c r="M39" s="1125" t="str">
        <f>IF(OR($C39="",$C39=0),"",INDEX(API1DENST,MATCH($C39,'Vessel Gauging Data'!$B$27:$B$56,0),$AA$1))</f>
        <v/>
      </c>
      <c r="N39" s="212" t="str">
        <f t="shared" si="9"/>
        <v/>
      </c>
      <c r="O39" s="1016" t="str">
        <f t="shared" si="33"/>
        <v/>
      </c>
      <c r="P39" s="1125" t="str">
        <f t="shared" si="34"/>
        <v/>
      </c>
      <c r="Q39" s="1016" t="str">
        <f t="shared" si="35"/>
        <v/>
      </c>
      <c r="R39" s="214" t="str">
        <f t="shared" si="36"/>
        <v/>
      </c>
      <c r="S39" s="1125" t="str">
        <f t="shared" si="10"/>
        <v/>
      </c>
      <c r="T39" s="236" t="str">
        <f t="shared" si="37"/>
        <v/>
      </c>
      <c r="U39" s="641"/>
      <c r="V39" s="642" t="e">
        <f>INDEX('Vessel Gauging Data'!$B$26:$V$56,MATCH($C39,'Vessel Gauging Data'!$B$26:$B$56,0),$V$18)</f>
        <v>#N/A</v>
      </c>
      <c r="W39" s="642" t="e">
        <f>INDEX('Vessel Gauging Data'!$B$26:$V$56,MATCH($C39,'Vessel Gauging Data'!$B$26:$B$56,0),$W$18)</f>
        <v>#N/A</v>
      </c>
      <c r="X39" s="642" t="e">
        <f>INDEX('Vessel Gauging Data'!$B$26:$V$56,MATCH($C39,'Vessel Gauging Data'!$B$26:$B$56,0),$X$18)</f>
        <v>#N/A</v>
      </c>
      <c r="Y39" s="642" t="e">
        <f>INDEX('Vessel Gauging Data'!$B$26:$V$56,MATCH($C39,'Vessel Gauging Data'!$B$26:$B$56,0),$Y$18)</f>
        <v>#N/A</v>
      </c>
      <c r="Z39" s="642" t="e">
        <f>INDEX('Vessel Gauging Data'!$B$26:$V$56,MATCH($C39,'Vessel Gauging Data'!$B$26:$B$56,0),$Z$18)</f>
        <v>#N/A</v>
      </c>
      <c r="AA39" s="641"/>
      <c r="AB39" s="642" t="e">
        <f>INDEX(API1DENST,MATCH($C39,'Vessel Gauging Data'!$B$27:$B$56,0),1)</f>
        <v>#N/A</v>
      </c>
      <c r="AC39" s="642" t="e">
        <f t="shared" si="11"/>
        <v>#N/A</v>
      </c>
      <c r="AD39" s="641"/>
      <c r="AE39" s="661" t="e">
        <f t="shared" si="12"/>
        <v>#VALUE!</v>
      </c>
      <c r="AF39" s="661" t="e">
        <f t="shared" si="13"/>
        <v>#VALUE!</v>
      </c>
      <c r="AG39" s="641"/>
      <c r="AH39" s="662" t="str">
        <f t="shared" si="14"/>
        <v/>
      </c>
      <c r="AI39" s="662" t="str">
        <f t="shared" si="15"/>
        <v/>
      </c>
      <c r="AJ39" s="663">
        <f t="shared" si="16"/>
        <v>192.4571</v>
      </c>
      <c r="AK39" s="660">
        <f t="shared" si="17"/>
        <v>0.24379999999999999</v>
      </c>
      <c r="AL39" s="660" t="e">
        <f t="shared" si="18"/>
        <v>#VALUE!</v>
      </c>
      <c r="AM39" s="664" t="e">
        <f t="shared" si="19"/>
        <v>#VALUE!</v>
      </c>
      <c r="AN39" s="664" t="e">
        <f t="shared" si="20"/>
        <v>#VALUE!</v>
      </c>
      <c r="AO39" s="665" t="e">
        <f t="shared" si="21"/>
        <v>#VALUE!</v>
      </c>
      <c r="AP39" s="666" t="e">
        <f t="shared" si="22"/>
        <v>#VALUE!</v>
      </c>
      <c r="AQ39" s="660" t="e">
        <f t="shared" si="23"/>
        <v>#VALUE!</v>
      </c>
      <c r="AR39" s="667" t="e">
        <f t="shared" si="24"/>
        <v>#VALUE!</v>
      </c>
      <c r="AS39" s="667" t="e">
        <f t="shared" si="25"/>
        <v>#VALUE!</v>
      </c>
      <c r="AT39" s="668" t="e">
        <f t="shared" si="26"/>
        <v>#VALUE!</v>
      </c>
      <c r="AU39" s="667" t="e">
        <f t="shared" si="27"/>
        <v>#VALUE!</v>
      </c>
      <c r="AV39" s="669" t="e">
        <f t="shared" si="28"/>
        <v>#VALUE!</v>
      </c>
      <c r="AW39" s="667" t="e">
        <f t="shared" si="29"/>
        <v>#VALUE!</v>
      </c>
      <c r="AX39" s="667" t="e">
        <f t="shared" si="30"/>
        <v>#VALUE!</v>
      </c>
      <c r="AY39" s="660" t="e">
        <f t="shared" si="31"/>
        <v>#VALUE!</v>
      </c>
      <c r="AZ39" s="670" t="e">
        <f t="shared" si="32"/>
        <v>#VALUE!</v>
      </c>
      <c r="BA39" s="641"/>
      <c r="BB39" s="662" t="e">
        <f>INDEX('Vessel Gauging Data'!$B$26:$V$56,MATCH($C39,'Vessel Gauging Data'!$B$26:$B$56,0),$BB$18)</f>
        <v>#N/A</v>
      </c>
      <c r="BC39" s="662" t="e">
        <f>INDEX('Vessel Gauging Data'!$B$26:$V$56,MATCH($C39,'Vessel Gauging Data'!$B$26:$B$56,0),$BC$18)</f>
        <v>#N/A</v>
      </c>
      <c r="BD39" s="662" t="e">
        <f>INDEX('Vessel Gauging Data'!$B$26:$V$56,MATCH($C39,'Vessel Gauging Data'!$B$26:$B$56,0),$BD$18)</f>
        <v>#N/A</v>
      </c>
      <c r="BE39" s="662" t="e">
        <f>INDEX('Vessel Gauging Data'!$B$26:$V$56,MATCH($C39,'Vessel Gauging Data'!$B$26:$B$56,0),$BE$18)</f>
        <v>#N/A</v>
      </c>
    </row>
    <row r="40" spans="1:57" ht="15" hidden="1">
      <c r="A40" s="641" t="str">
        <f t="shared" si="0"/>
        <v>N</v>
      </c>
      <c r="B40" s="641"/>
      <c r="C40" s="235" t="str">
        <f t="array" ref="C40">IF(OR($E$21="",SUMPRODUCT(('Vessel Gauging Data'!$C$27:$C$56=$E$21)*1)&lt;ROWS($C$22:$C40)),"",INDEX('Vessel Gauging Data'!$B$27:$B$56,SMALL(IF(('Vessel Gauging Data'!$C$27:$C$56=$E$21),ROW('Vessel Gauging Data'!$B$27:$B$56)-ROW('Vessel Gauging Data'!$C$26)),ROW()-ROW(C$21))))</f>
        <v/>
      </c>
      <c r="D40" s="211" t="str">
        <f>IF(OR($C40="",$C40=0),"",INDEX('Vessel Gauging Data'!$B$26:$V$56,MATCH($C40,'Vessel Gauging Data'!$B$27:$B$56,0)+1,2))</f>
        <v/>
      </c>
      <c r="E40" s="1016" t="str">
        <f t="shared" si="1"/>
        <v/>
      </c>
      <c r="F40" s="1016" t="str">
        <f t="shared" si="2"/>
        <v/>
      </c>
      <c r="G40" s="1016" t="str">
        <f t="shared" si="3"/>
        <v/>
      </c>
      <c r="H40" s="1016" t="str">
        <f t="shared" si="4"/>
        <v/>
      </c>
      <c r="I40" s="211" t="str">
        <f t="shared" si="5"/>
        <v/>
      </c>
      <c r="J40" s="1016" t="str">
        <f t="shared" si="6"/>
        <v/>
      </c>
      <c r="K40" s="213" t="str">
        <f t="shared" si="7"/>
        <v/>
      </c>
      <c r="L40" s="212" t="str">
        <f t="shared" si="8"/>
        <v/>
      </c>
      <c r="M40" s="1125" t="str">
        <f>IF(OR($C40="",$C40=0),"",INDEX(API1DENST,MATCH($C40,'Vessel Gauging Data'!$B$27:$B$56,0),$AA$1))</f>
        <v/>
      </c>
      <c r="N40" s="212" t="str">
        <f t="shared" si="9"/>
        <v/>
      </c>
      <c r="O40" s="1016" t="str">
        <f t="shared" si="33"/>
        <v/>
      </c>
      <c r="P40" s="1125" t="str">
        <f t="shared" si="34"/>
        <v/>
      </c>
      <c r="Q40" s="1016" t="str">
        <f t="shared" si="35"/>
        <v/>
      </c>
      <c r="R40" s="214" t="str">
        <f t="shared" si="36"/>
        <v/>
      </c>
      <c r="S40" s="1125" t="str">
        <f t="shared" si="10"/>
        <v/>
      </c>
      <c r="T40" s="236" t="str">
        <f t="shared" si="37"/>
        <v/>
      </c>
      <c r="U40" s="641"/>
      <c r="V40" s="642" t="e">
        <f>INDEX('Vessel Gauging Data'!$B$26:$V$56,MATCH($C40,'Vessel Gauging Data'!$B$26:$B$56,0),$V$18)</f>
        <v>#N/A</v>
      </c>
      <c r="W40" s="642" t="e">
        <f>INDEX('Vessel Gauging Data'!$B$26:$V$56,MATCH($C40,'Vessel Gauging Data'!$B$26:$B$56,0),$W$18)</f>
        <v>#N/A</v>
      </c>
      <c r="X40" s="642" t="e">
        <f>INDEX('Vessel Gauging Data'!$B$26:$V$56,MATCH($C40,'Vessel Gauging Data'!$B$26:$B$56,0),$X$18)</f>
        <v>#N/A</v>
      </c>
      <c r="Y40" s="642" t="e">
        <f>INDEX('Vessel Gauging Data'!$B$26:$V$56,MATCH($C40,'Vessel Gauging Data'!$B$26:$B$56,0),$Y$18)</f>
        <v>#N/A</v>
      </c>
      <c r="Z40" s="642" t="e">
        <f>INDEX('Vessel Gauging Data'!$B$26:$V$56,MATCH($C40,'Vessel Gauging Data'!$B$26:$B$56,0),$Z$18)</f>
        <v>#N/A</v>
      </c>
      <c r="AA40" s="641"/>
      <c r="AB40" s="642" t="e">
        <f>INDEX(API1DENST,MATCH($C40,'Vessel Gauging Data'!$B$27:$B$56,0),1)</f>
        <v>#N/A</v>
      </c>
      <c r="AC40" s="642" t="e">
        <f t="shared" si="11"/>
        <v>#N/A</v>
      </c>
      <c r="AD40" s="641"/>
      <c r="AE40" s="661" t="e">
        <f t="shared" si="12"/>
        <v>#VALUE!</v>
      </c>
      <c r="AF40" s="661" t="e">
        <f t="shared" si="13"/>
        <v>#VALUE!</v>
      </c>
      <c r="AG40" s="641"/>
      <c r="AH40" s="662" t="str">
        <f t="shared" si="14"/>
        <v/>
      </c>
      <c r="AI40" s="662" t="str">
        <f t="shared" si="15"/>
        <v/>
      </c>
      <c r="AJ40" s="663">
        <f t="shared" si="16"/>
        <v>192.4571</v>
      </c>
      <c r="AK40" s="660">
        <f t="shared" si="17"/>
        <v>0.24379999999999999</v>
      </c>
      <c r="AL40" s="660" t="e">
        <f t="shared" si="18"/>
        <v>#VALUE!</v>
      </c>
      <c r="AM40" s="664" t="e">
        <f t="shared" si="19"/>
        <v>#VALUE!</v>
      </c>
      <c r="AN40" s="664" t="e">
        <f t="shared" si="20"/>
        <v>#VALUE!</v>
      </c>
      <c r="AO40" s="665" t="e">
        <f t="shared" si="21"/>
        <v>#VALUE!</v>
      </c>
      <c r="AP40" s="666" t="e">
        <f t="shared" si="22"/>
        <v>#VALUE!</v>
      </c>
      <c r="AQ40" s="660" t="e">
        <f t="shared" si="23"/>
        <v>#VALUE!</v>
      </c>
      <c r="AR40" s="667" t="e">
        <f t="shared" si="24"/>
        <v>#VALUE!</v>
      </c>
      <c r="AS40" s="667" t="e">
        <f t="shared" si="25"/>
        <v>#VALUE!</v>
      </c>
      <c r="AT40" s="668" t="e">
        <f t="shared" si="26"/>
        <v>#VALUE!</v>
      </c>
      <c r="AU40" s="667" t="e">
        <f t="shared" si="27"/>
        <v>#VALUE!</v>
      </c>
      <c r="AV40" s="669" t="e">
        <f t="shared" si="28"/>
        <v>#VALUE!</v>
      </c>
      <c r="AW40" s="667" t="e">
        <f t="shared" si="29"/>
        <v>#VALUE!</v>
      </c>
      <c r="AX40" s="667" t="e">
        <f t="shared" si="30"/>
        <v>#VALUE!</v>
      </c>
      <c r="AY40" s="660" t="e">
        <f t="shared" si="31"/>
        <v>#VALUE!</v>
      </c>
      <c r="AZ40" s="670" t="e">
        <f t="shared" si="32"/>
        <v>#VALUE!</v>
      </c>
      <c r="BA40" s="641"/>
      <c r="BB40" s="662" t="e">
        <f>INDEX('Vessel Gauging Data'!$B$26:$V$56,MATCH($C40,'Vessel Gauging Data'!$B$26:$B$56,0),$BB$18)</f>
        <v>#N/A</v>
      </c>
      <c r="BC40" s="662" t="e">
        <f>INDEX('Vessel Gauging Data'!$B$26:$V$56,MATCH($C40,'Vessel Gauging Data'!$B$26:$B$56,0),$BC$18)</f>
        <v>#N/A</v>
      </c>
      <c r="BD40" s="662" t="e">
        <f>INDEX('Vessel Gauging Data'!$B$26:$V$56,MATCH($C40,'Vessel Gauging Data'!$B$26:$B$56,0),$BD$18)</f>
        <v>#N/A</v>
      </c>
      <c r="BE40" s="662" t="e">
        <f>INDEX('Vessel Gauging Data'!$B$26:$V$56,MATCH($C40,'Vessel Gauging Data'!$B$26:$B$56,0),$BE$18)</f>
        <v>#N/A</v>
      </c>
    </row>
    <row r="41" spans="1:57" ht="15" hidden="1">
      <c r="A41" s="641" t="str">
        <f t="shared" si="0"/>
        <v>N</v>
      </c>
      <c r="B41" s="641"/>
      <c r="C41" s="235" t="str">
        <f t="array" ref="C41">IF(OR($E$21="",SUMPRODUCT(('Vessel Gauging Data'!$C$27:$C$56=$E$21)*1)&lt;ROWS($C$22:$C41)),"",INDEX('Vessel Gauging Data'!$B$27:$B$56,SMALL(IF(('Vessel Gauging Data'!$C$27:$C$56=$E$21),ROW('Vessel Gauging Data'!$B$27:$B$56)-ROW('Vessel Gauging Data'!$C$26)),ROW()-ROW(C$21))))</f>
        <v/>
      </c>
      <c r="D41" s="238" t="str">
        <f>IF(OR($C41="",$C41=0),"",INDEX('Vessel Gauging Data'!$B$26:$V$56,MATCH($C41,'Vessel Gauging Data'!$B$27:$B$56,0)+1,2))</f>
        <v/>
      </c>
      <c r="E41" s="1017" t="str">
        <f t="shared" si="1"/>
        <v/>
      </c>
      <c r="F41" s="1017" t="str">
        <f t="shared" si="2"/>
        <v/>
      </c>
      <c r="G41" s="1017" t="str">
        <f t="shared" si="3"/>
        <v/>
      </c>
      <c r="H41" s="1017" t="str">
        <f t="shared" si="4"/>
        <v/>
      </c>
      <c r="I41" s="238" t="str">
        <f t="shared" si="5"/>
        <v/>
      </c>
      <c r="J41" s="1017" t="str">
        <f t="shared" si="6"/>
        <v/>
      </c>
      <c r="K41" s="240" t="str">
        <f t="shared" si="7"/>
        <v/>
      </c>
      <c r="L41" s="239" t="str">
        <f t="shared" si="8"/>
        <v/>
      </c>
      <c r="M41" s="1126" t="str">
        <f>IF(OR($C41="",$C41=0),"",INDEX(API1DENST,MATCH($C41,'Vessel Gauging Data'!$B$27:$B$56,0),$AA$1))</f>
        <v/>
      </c>
      <c r="N41" s="239" t="str">
        <f t="shared" si="9"/>
        <v/>
      </c>
      <c r="O41" s="1017" t="str">
        <f t="shared" si="33"/>
        <v/>
      </c>
      <c r="P41" s="1126" t="str">
        <f t="shared" si="34"/>
        <v/>
      </c>
      <c r="Q41" s="1017" t="str">
        <f t="shared" si="35"/>
        <v/>
      </c>
      <c r="R41" s="241" t="str">
        <f t="shared" si="36"/>
        <v/>
      </c>
      <c r="S41" s="1126" t="str">
        <f t="shared" si="10"/>
        <v/>
      </c>
      <c r="T41" s="242" t="str">
        <f t="shared" si="37"/>
        <v/>
      </c>
      <c r="U41" s="641"/>
      <c r="V41" s="642" t="e">
        <f>INDEX('Vessel Gauging Data'!$B$26:$V$56,MATCH($C41,'Vessel Gauging Data'!$B$26:$B$56,0),$V$18)</f>
        <v>#N/A</v>
      </c>
      <c r="W41" s="642" t="e">
        <f>INDEX('Vessel Gauging Data'!$B$26:$V$56,MATCH($C41,'Vessel Gauging Data'!$B$26:$B$56,0),$W$18)</f>
        <v>#N/A</v>
      </c>
      <c r="X41" s="642" t="e">
        <f>INDEX('Vessel Gauging Data'!$B$26:$V$56,MATCH($C41,'Vessel Gauging Data'!$B$26:$B$56,0),$X$18)</f>
        <v>#N/A</v>
      </c>
      <c r="Y41" s="642" t="e">
        <f>INDEX('Vessel Gauging Data'!$B$26:$V$56,MATCH($C41,'Vessel Gauging Data'!$B$26:$B$56,0),$Y$18)</f>
        <v>#N/A</v>
      </c>
      <c r="Z41" s="642" t="e">
        <f>INDEX('Vessel Gauging Data'!$B$26:$V$56,MATCH($C41,'Vessel Gauging Data'!$B$26:$B$56,0),$Z$18)</f>
        <v>#N/A</v>
      </c>
      <c r="AA41" s="641"/>
      <c r="AB41" s="642" t="e">
        <f>INDEX(API1DENST,MATCH($C41,'Vessel Gauging Data'!$B$27:$B$56,0),1)</f>
        <v>#N/A</v>
      </c>
      <c r="AC41" s="642" t="e">
        <f t="shared" si="11"/>
        <v>#N/A</v>
      </c>
      <c r="AD41" s="641"/>
      <c r="AE41" s="661" t="e">
        <f t="shared" si="12"/>
        <v>#VALUE!</v>
      </c>
      <c r="AF41" s="661" t="e">
        <f t="shared" si="13"/>
        <v>#VALUE!</v>
      </c>
      <c r="AG41" s="641"/>
      <c r="AH41" s="662" t="str">
        <f t="shared" si="14"/>
        <v/>
      </c>
      <c r="AI41" s="662" t="str">
        <f t="shared" si="15"/>
        <v/>
      </c>
      <c r="AJ41" s="663">
        <f t="shared" si="16"/>
        <v>192.4571</v>
      </c>
      <c r="AK41" s="660">
        <f t="shared" si="17"/>
        <v>0.24379999999999999</v>
      </c>
      <c r="AL41" s="660" t="e">
        <f t="shared" si="18"/>
        <v>#VALUE!</v>
      </c>
      <c r="AM41" s="664" t="e">
        <f t="shared" si="19"/>
        <v>#VALUE!</v>
      </c>
      <c r="AN41" s="664" t="e">
        <f t="shared" si="20"/>
        <v>#VALUE!</v>
      </c>
      <c r="AO41" s="665" t="e">
        <f t="shared" si="21"/>
        <v>#VALUE!</v>
      </c>
      <c r="AP41" s="666" t="e">
        <f t="shared" si="22"/>
        <v>#VALUE!</v>
      </c>
      <c r="AQ41" s="660" t="e">
        <f t="shared" si="23"/>
        <v>#VALUE!</v>
      </c>
      <c r="AR41" s="667" t="e">
        <f t="shared" si="24"/>
        <v>#VALUE!</v>
      </c>
      <c r="AS41" s="667" t="e">
        <f t="shared" si="25"/>
        <v>#VALUE!</v>
      </c>
      <c r="AT41" s="668" t="e">
        <f t="shared" si="26"/>
        <v>#VALUE!</v>
      </c>
      <c r="AU41" s="667" t="e">
        <f t="shared" si="27"/>
        <v>#VALUE!</v>
      </c>
      <c r="AV41" s="669" t="e">
        <f t="shared" si="28"/>
        <v>#VALUE!</v>
      </c>
      <c r="AW41" s="667" t="e">
        <f t="shared" si="29"/>
        <v>#VALUE!</v>
      </c>
      <c r="AX41" s="667" t="e">
        <f t="shared" si="30"/>
        <v>#VALUE!</v>
      </c>
      <c r="AY41" s="660" t="e">
        <f t="shared" si="31"/>
        <v>#VALUE!</v>
      </c>
      <c r="AZ41" s="670" t="e">
        <f t="shared" si="32"/>
        <v>#VALUE!</v>
      </c>
      <c r="BA41" s="641"/>
      <c r="BB41" s="662" t="e">
        <f>INDEX('Vessel Gauging Data'!$B$26:$V$56,MATCH($C41,'Vessel Gauging Data'!$B$26:$B$56,0),$BB$18)</f>
        <v>#N/A</v>
      </c>
      <c r="BC41" s="662" t="e">
        <f>INDEX('Vessel Gauging Data'!$B$26:$V$56,MATCH($C41,'Vessel Gauging Data'!$B$26:$B$56,0),$BC$18)</f>
        <v>#N/A</v>
      </c>
      <c r="BD41" s="662" t="e">
        <f>INDEX('Vessel Gauging Data'!$B$26:$V$56,MATCH($C41,'Vessel Gauging Data'!$B$26:$B$56,0),$BD$18)</f>
        <v>#N/A</v>
      </c>
      <c r="BE41" s="662" t="e">
        <f>INDEX('Vessel Gauging Data'!$B$26:$V$56,MATCH($C41,'Vessel Gauging Data'!$B$26:$B$56,0),$BE$18)</f>
        <v>#N/A</v>
      </c>
    </row>
    <row r="42" spans="1:57" ht="15" hidden="1">
      <c r="A42" s="641" t="str">
        <f>A21</f>
        <v>N</v>
      </c>
      <c r="B42" s="641"/>
      <c r="C42" s="671"/>
      <c r="D42" s="671"/>
      <c r="E42" s="672"/>
      <c r="F42" s="672"/>
      <c r="G42" s="672"/>
      <c r="H42" s="1501"/>
      <c r="I42" s="671"/>
      <c r="J42" s="672"/>
      <c r="K42" s="673"/>
      <c r="L42" s="672"/>
      <c r="M42" s="674"/>
      <c r="N42" s="672"/>
      <c r="O42" s="672"/>
      <c r="P42" s="1127"/>
      <c r="Q42" s="672"/>
      <c r="R42" s="675"/>
      <c r="S42" s="1137" t="s">
        <v>401</v>
      </c>
      <c r="T42" s="619">
        <f>SUM(T22:T41)</f>
        <v>0</v>
      </c>
      <c r="U42" s="641"/>
      <c r="V42" s="719"/>
      <c r="W42" s="719"/>
      <c r="X42" s="719"/>
      <c r="Y42" s="719"/>
      <c r="Z42" s="719"/>
      <c r="AA42" s="676"/>
      <c r="AB42" s="719"/>
      <c r="AC42" s="719"/>
      <c r="AD42" s="676"/>
      <c r="AE42" s="720"/>
      <c r="AF42" s="720"/>
      <c r="AG42" s="676"/>
      <c r="AH42" s="721"/>
      <c r="AI42" s="721"/>
      <c r="AJ42" s="722"/>
      <c r="AK42" s="723"/>
      <c r="AL42" s="723"/>
      <c r="AM42" s="724"/>
      <c r="AN42" s="724"/>
      <c r="AO42" s="725"/>
      <c r="AP42" s="726"/>
      <c r="AQ42" s="723"/>
      <c r="AR42" s="727"/>
      <c r="AS42" s="727"/>
      <c r="AT42" s="728"/>
      <c r="AU42" s="727"/>
      <c r="AV42" s="729"/>
      <c r="AW42" s="727"/>
      <c r="AX42" s="727"/>
      <c r="AY42" s="723"/>
      <c r="AZ42" s="730"/>
      <c r="BA42" s="676"/>
      <c r="BB42" s="721"/>
      <c r="BC42" s="721"/>
      <c r="BD42" s="721"/>
      <c r="BE42" s="721"/>
    </row>
    <row r="43" spans="1:57" s="855" customFormat="1" ht="5.25" hidden="1">
      <c r="A43" s="702" t="str">
        <f>IF(A44="N",A44,IF(COUNTIF($A$21:$A41,"Y")&gt;0,A44,"N"))</f>
        <v>N</v>
      </c>
      <c r="B43" s="702"/>
      <c r="C43" s="704"/>
      <c r="D43" s="704"/>
      <c r="E43" s="704"/>
      <c r="F43" s="704"/>
      <c r="G43" s="704"/>
      <c r="H43" s="704"/>
      <c r="I43" s="704"/>
      <c r="J43" s="705"/>
      <c r="K43" s="705"/>
      <c r="L43" s="705"/>
      <c r="M43" s="705"/>
      <c r="N43" s="705"/>
      <c r="O43" s="705"/>
      <c r="P43" s="1128"/>
      <c r="Q43" s="705"/>
      <c r="R43" s="705"/>
      <c r="S43" s="1136"/>
      <c r="T43" s="706"/>
      <c r="U43" s="702"/>
      <c r="V43" s="707"/>
      <c r="W43" s="707"/>
      <c r="X43" s="707"/>
      <c r="Y43" s="707"/>
      <c r="Z43" s="707"/>
      <c r="AA43" s="707"/>
      <c r="AB43" s="707"/>
      <c r="AC43" s="707"/>
      <c r="AD43" s="707"/>
      <c r="AE43" s="708"/>
      <c r="AF43" s="708"/>
      <c r="AG43" s="707"/>
      <c r="AH43" s="709"/>
      <c r="AI43" s="709"/>
      <c r="AJ43" s="710"/>
      <c r="AK43" s="711"/>
      <c r="AL43" s="711"/>
      <c r="AM43" s="712"/>
      <c r="AN43" s="712"/>
      <c r="AO43" s="713"/>
      <c r="AP43" s="714"/>
      <c r="AQ43" s="711"/>
      <c r="AR43" s="715"/>
      <c r="AS43" s="715"/>
      <c r="AT43" s="716"/>
      <c r="AU43" s="715"/>
      <c r="AV43" s="717"/>
      <c r="AW43" s="715"/>
      <c r="AX43" s="715"/>
      <c r="AY43" s="711"/>
      <c r="AZ43" s="718"/>
      <c r="BA43" s="707"/>
      <c r="BB43" s="709"/>
      <c r="BC43" s="709"/>
      <c r="BD43" s="709"/>
      <c r="BE43" s="709"/>
    </row>
    <row r="44" spans="1:57" ht="15.75">
      <c r="A44" s="641" t="str">
        <f>A45</f>
        <v>Y</v>
      </c>
      <c r="B44" s="641">
        <v>2</v>
      </c>
      <c r="C44" s="2797" t="s">
        <v>499</v>
      </c>
      <c r="D44" s="2798"/>
      <c r="E44" s="2799" t="str">
        <f>'Preliminary Report'!F1</f>
        <v>LSFO</v>
      </c>
      <c r="F44" s="2800"/>
      <c r="G44" s="2800"/>
      <c r="H44" s="2824"/>
      <c r="I44" s="2801"/>
      <c r="J44" s="698"/>
      <c r="K44" s="699"/>
      <c r="L44" s="700"/>
      <c r="M44" s="699"/>
      <c r="N44" s="699"/>
      <c r="O44" s="700"/>
      <c r="P44" s="1129"/>
      <c r="Q44" s="700"/>
      <c r="R44" s="701"/>
      <c r="S44" s="1129"/>
      <c r="T44" s="701"/>
      <c r="U44" s="641"/>
      <c r="V44" s="731"/>
      <c r="W44" s="731"/>
      <c r="X44" s="731"/>
      <c r="Y44" s="731"/>
      <c r="Z44" s="731"/>
      <c r="AA44" s="676"/>
      <c r="AB44" s="731"/>
      <c r="AC44" s="731"/>
      <c r="AD44" s="676"/>
      <c r="AE44" s="732"/>
      <c r="AF44" s="732"/>
      <c r="AG44" s="676"/>
      <c r="AH44" s="733"/>
      <c r="AI44" s="733"/>
      <c r="AJ44" s="734"/>
      <c r="AK44" s="735"/>
      <c r="AL44" s="735"/>
      <c r="AM44" s="736"/>
      <c r="AN44" s="736"/>
      <c r="AO44" s="737"/>
      <c r="AP44" s="738"/>
      <c r="AQ44" s="735"/>
      <c r="AR44" s="739"/>
      <c r="AS44" s="739"/>
      <c r="AT44" s="740"/>
      <c r="AU44" s="739"/>
      <c r="AV44" s="741"/>
      <c r="AW44" s="739"/>
      <c r="AX44" s="739"/>
      <c r="AY44" s="735"/>
      <c r="AZ44" s="742"/>
      <c r="BA44" s="676"/>
      <c r="BB44" s="733"/>
      <c r="BC44" s="733"/>
      <c r="BD44" s="733"/>
      <c r="BE44" s="733"/>
    </row>
    <row r="45" spans="1:57" ht="15">
      <c r="A45" s="641" t="str">
        <f t="shared" ref="A45:A64" si="38">IF(C45="","N",IF(ISERROR(MATCH($E$44,IF($Z$1=1,GRADESLIST,IF($Z$1=2,RESIDUALS,DISTILLATES)),0)),"N","Y"))</f>
        <v>Y</v>
      </c>
      <c r="B45" s="641"/>
      <c r="C45" s="235" t="str">
        <f t="array" ref="C45">IF(OR($E$44="",SUMPRODUCT(('Vessel Gauging Data'!$C$27:$C$56=$E$44)*1)&lt;ROWS($C$45:$C45)),"",INDEX('Vessel Gauging Data'!$B$27:$B$56,SMALL(IF(('Vessel Gauging Data'!$C$27:$C$56=$E$44),ROW('Vessel Gauging Data'!$B$27:$B$56)-ROW('Vessel Gauging Data'!$C$26)),ROW()-ROW(C$44))))</f>
        <v>HFO 1C</v>
      </c>
      <c r="D45" s="211" t="str">
        <f>IF(OR($C45="",$C45=0),"",INDEX('Vessel Gauging Data'!$B$26:$V$56,MATCH($C45,'Vessel Gauging Data'!$B$27:$B$56,0)+1,2))</f>
        <v>LSFO</v>
      </c>
      <c r="E45" s="1016">
        <f t="shared" ref="E45:E64" si="39">IF(ISERROR(V45),"",IF(OR($C45="",$C45=0),"",IF(ISTEXT(V45),V45,IF($AB$1=1,V45*UNITOR,INT(V45*UNITOR)&amp;"'-"&amp;TRIM(TEXT(ROUND(MOD(V45*UNITOR,1)*12,1),"# ???/???"))&amp;""""))))</f>
        <v>20.332999999999998</v>
      </c>
      <c r="F45" s="1016" t="str">
        <f t="shared" ref="F45:F64" si="40">IF(ISERROR(W45),"",IF(OR($C45="",$C45=0),"",IF($I45=UMETHOD,"ULL",IF(ISTEXT(W45),W45,IF($AB$1=1,W45*UNITOR,INT(W45*UNITOR)&amp;"'-"&amp;TRIM(TEXT(ROUND(MOD(W45*UNITOR,1)*12,1),"# ???/???"))&amp;"""")))))</f>
        <v>ULL</v>
      </c>
      <c r="G45" s="1016">
        <f t="shared" ref="G45:G64" si="41">IF(ISERROR(X45),"",IF(OR($C45="",$C45=0),"",IF(ISTEXT(X45),X45,IF($AB$1=1,X45*UNITOR,INT(X45*UNITOR)&amp;"'-"&amp;TRIM(TEXT(ROUND(MOD(X45*UNITOR,1)*12,1),"# ???/???"))&amp;""""))))</f>
        <v>19.12</v>
      </c>
      <c r="H45" s="1016">
        <f t="shared" ref="H45:H64" si="42">IF(ISERROR(Y45),"",IF(OR($C45="",$C45=0),"",IF(ISTEXT(Y45),Y45,IF($AB$1=1,Y45*UNITOR,INT(Y45*UNITOR)&amp;"'-"&amp;TRIM(TEXT(ROUND(MOD(Y45*UNITOR,1)*12,1),"# ???/???"))&amp;""""))))</f>
        <v>19.12</v>
      </c>
      <c r="I45" s="211" t="str">
        <f t="shared" ref="I45:I64" si="43">IF(ISERROR($BB45),"",IF(OR($C45="",$C45=0,$BB45=0),"",$BB45))</f>
        <v>U</v>
      </c>
      <c r="J45" s="1016">
        <f t="shared" ref="J45:J64" si="44">IF(ISERROR($BC45),"",IF(OR($C45="",$C45=0,$BC45=""),"",IF(ISTEXT($BC45),$BC45,$BC45*IF($AA$1=B1SEL,1,IF($AA$1=2,FBBLS,1/FBBLS)))))</f>
        <v>915.2</v>
      </c>
      <c r="K45" s="213">
        <f t="shared" ref="K45:K64" si="45">IF(ISERROR($BD45),"",IF(OR($C45="",$C45=0,$BD45=""),0,IF(ISTEXT($BD45),$BD45,$BD45*IF($AB$1=W1SEL,1,IF($AB$1=2,FINCH,1/FINCH)))))</f>
        <v>0</v>
      </c>
      <c r="L45" s="212">
        <f t="shared" ref="L45:L64" si="46">IF(ISERROR($BE45),"",IF(OR($C45="",$C45=0,$BE45=""),0,IF(ISTEXT($BE45),$BE45,$BE45*IF($AA$1=B1SEL,1,IF($AA$1=2,FBBLS,1/FBBLS)))))</f>
        <v>0</v>
      </c>
      <c r="M45" s="1125">
        <f>IF(OR($C45="",$C45=0),"",INDEX(API1DENST,MATCH($C45,'Vessel Gauging Data'!$B$27:$B$56,0),$AA$1))</f>
        <v>0.94889999999999997</v>
      </c>
      <c r="N45" s="212">
        <f t="shared" ref="N45:N64" si="47">IF(ISERROR(Z45),"",IF(OR($C45="",$C45=0,Z45=""),"",IF(ISTEXT(Z45),Z45,IF($AA$1=T1SEL,Z45,IF($AA$1=2,(Z45*9/5)+32,(Z45-32)*5/9)))))</f>
        <v>34</v>
      </c>
      <c r="O45" s="1016">
        <f>IF(OR(J45="",L45=""),"",IF(ISTEXT(J45),"N/A",IF(ISTEXT(L45),J45,J45-L45)))</f>
        <v>915.2</v>
      </c>
      <c r="P45" s="1125">
        <f>IF(OR(M45="",N45=""),"",IF(OR(ISTEXT(M45),ISTEXT(N45)),"N/A",IF($AA$1=1,ROUND(EXP(-AF45*(N45-15)*(1+0.8*AF45*(N45-15))),5),AZ45)))</f>
        <v>0.98624999999999996</v>
      </c>
      <c r="Q45" s="1016">
        <f>IF(OR(M45="",N45=""),"",IF(OR(ISTEXT(M45),ISTEXT(N45)),"N/A",ROUND(O45*P45,3)))</f>
        <v>902.61599999999999</v>
      </c>
      <c r="R45" s="214">
        <f>IF(M45="","",IF($AA$1=1,IF(ISTEXT(Q45),"N/A",ROUND(Q45*M45,3)),IF(ISTEXT(T45),"N/A",ROUND(T45*AC45,3))))</f>
        <v>856.49199999999996</v>
      </c>
      <c r="S45" s="1125">
        <f t="shared" ref="S45:S64" si="48">IF(M45="","",IF($AA$1=1,ROUND(M45-0.0011,5),ROUND((1.00122697*(141.5/(M45+131.5))-1.22269727*10^-3)*8.32823*42/2204.62,5+2)))</f>
        <v>0.94779999999999998</v>
      </c>
      <c r="T45" s="236">
        <f>IF(OR(M45="",N45=""),"",IF(ISTEXT(Q45),"N/A",IF($AA$1=1,ROUND((Q45*(M45-0.0011)),3),ROUND(Q45*S45,3))))</f>
        <v>855.49900000000002</v>
      </c>
      <c r="U45" s="641"/>
      <c r="V45" s="642">
        <f>INDEX('Vessel Gauging Data'!$B$26:$V$56,MATCH($C45,'Vessel Gauging Data'!$B$26:$B$56,0),$V$18)</f>
        <v>20.332999999999998</v>
      </c>
      <c r="W45" s="642">
        <f>INDEX('Vessel Gauging Data'!$B$26:$V$56,MATCH($C45,'Vessel Gauging Data'!$B$26:$B$56,0),$W$18)</f>
        <v>20.332999999999998</v>
      </c>
      <c r="X45" s="642">
        <f>INDEX('Vessel Gauging Data'!$B$26:$V$56,MATCH($C45,'Vessel Gauging Data'!$B$26:$B$56,0),$X$18)</f>
        <v>19.12</v>
      </c>
      <c r="Y45" s="642">
        <f>INDEX('Vessel Gauging Data'!$B$26:$V$56,MATCH($C45,'Vessel Gauging Data'!$B$26:$B$56,0),$Y$18)</f>
        <v>19.12</v>
      </c>
      <c r="Z45" s="642">
        <f>INDEX('Vessel Gauging Data'!$B$26:$V$56,MATCH($C45,'Vessel Gauging Data'!$B$26:$B$56,0),$Z$18)</f>
        <v>34</v>
      </c>
      <c r="AA45" s="641"/>
      <c r="AB45" s="642">
        <f>INDEX(API1DENST,MATCH($C45,'Vessel Gauging Data'!$B$27:$B$56,0),1)</f>
        <v>0.94889999999999997</v>
      </c>
      <c r="AC45" s="642">
        <f t="shared" ref="AC45:AC64" si="49">((INT((AB45/(1.0001506*AB45-0.0012202))*10000)+0.5)/10000)</f>
        <v>1.00115</v>
      </c>
      <c r="AD45" s="641"/>
      <c r="AE45" s="661">
        <f t="shared" ref="AE45:AE64" si="50">ROUND(+M45/2*1000,0)*2</f>
        <v>948</v>
      </c>
      <c r="AF45" s="661">
        <f t="shared" ref="AF45:AF64" si="51">ROUND(186.9696/(AE45*AE45)+(0.4862/AE45),8)</f>
        <v>7.2090999999999995E-4</v>
      </c>
      <c r="AG45" s="641"/>
      <c r="AH45" s="662">
        <f t="shared" ref="AH45:AH64" si="52">N45</f>
        <v>34</v>
      </c>
      <c r="AI45" s="662">
        <f t="shared" ref="AI45:AI64" si="53">M45</f>
        <v>0.94889999999999997</v>
      </c>
      <c r="AJ45" s="663">
        <f t="shared" ref="AJ45:AJ64" si="54">IF(AND(AI45&gt;=0,AI45&lt;=37),103.872,IF(AND(AI45&gt;=48,AI45&lt;=52),-0.0018684,IF(AND(AI45&gt;=37.1,AI45&lt;=47.9),330.301,IF(AND(AI45&gt;=52.1),192.4571))))</f>
        <v>103.872</v>
      </c>
      <c r="AK45" s="660">
        <f t="shared" ref="AK45:AK64" si="55">IF(AND(AI45&gt;=0,AI45&lt;=37),0.2701,IF(AND(AI45&gt;=48,AJ45&lt;=52),1489.067,IF(AND(AI45&gt;=37.1,AI45&lt;=47.9),0,IF(AI45&gt;=52.1,0.2438))))</f>
        <v>0.27010000000000001</v>
      </c>
      <c r="AL45" s="660">
        <f t="shared" ref="AL45:AL64" si="56">ROUND(141360.198/(AI45+131.5),2)</f>
        <v>1067.28</v>
      </c>
      <c r="AM45" s="664">
        <f t="shared" ref="AM45:AM64" si="57">TRUNC(AJ45/AL45,8)</f>
        <v>9.7324030000000006E-2</v>
      </c>
      <c r="AN45" s="664">
        <f t="shared" ref="AN45:AN64" si="58">TRUNC(AM45/AL45,10)</f>
        <v>9.1188799999999997E-5</v>
      </c>
      <c r="AO45" s="665">
        <f t="shared" ref="AO45:AO64" si="59">TRUNC(AK45/AL45,10)</f>
        <v>2.5307319999999999E-4</v>
      </c>
      <c r="AP45" s="666">
        <f t="shared" ref="AP45:AP64" si="60">IF(AND(AI45&gt;=48,AI45&lt;=52),ROUND(AW45+AJ45,7),ROUND(AN45+AO45,7))</f>
        <v>3.4430000000000002E-4</v>
      </c>
      <c r="AQ45" s="660">
        <f t="shared" ref="AQ45:AQ64" si="61">AH45-60</f>
        <v>-26</v>
      </c>
      <c r="AR45" s="667">
        <f t="shared" ref="AR45:AR64" si="62">TRUNC(AP45*AQ45,8)</f>
        <v>-8.9517999999999993E-3</v>
      </c>
      <c r="AS45" s="667">
        <f t="shared" ref="AS45:AS64" si="63">TRUNC(0.8*AR45,8)</f>
        <v>-7.1614399999999998E-3</v>
      </c>
      <c r="AT45" s="668">
        <f t="shared" ref="AT45:AT64" si="64">TRUNC(0.8*AP45^2*AQ45^2,8)</f>
        <v>6.41E-5</v>
      </c>
      <c r="AU45" s="667">
        <f t="shared" ref="AU45:AU64" si="65">-AR45-AT45</f>
        <v>8.8877000000000001E-3</v>
      </c>
      <c r="AV45" s="669">
        <f t="shared" ref="AV45:AV64" si="66">TRUNC(AK45/AL45,5)</f>
        <v>2.5000000000000001E-4</v>
      </c>
      <c r="AW45" s="667">
        <f t="shared" ref="AW45:AW64" si="67">ROUND(AV45/AL45,8)</f>
        <v>2.2999999999999999E-7</v>
      </c>
      <c r="AX45" s="667">
        <f t="shared" ref="AX45:AX64" si="68">ROUND(AW45+AJ45,8)</f>
        <v>103.87200023</v>
      </c>
      <c r="AY45" s="660">
        <f t="shared" ref="AY45:AY64" si="69">IF(AND(AI45&gt;=48,AI45&lt;=52),AX45,AP45)</f>
        <v>3.4430000000000002E-4</v>
      </c>
      <c r="AZ45" s="670">
        <f t="shared" ref="AZ45:AZ64" si="70">ROUND(EXP(AU45),5)</f>
        <v>1.0089300000000001</v>
      </c>
      <c r="BA45" s="641"/>
      <c r="BB45" s="662" t="str">
        <f>INDEX('Vessel Gauging Data'!$B$26:$V$56,MATCH($C45,'Vessel Gauging Data'!$B$26:$B$56,0),$BB$18)</f>
        <v>U</v>
      </c>
      <c r="BC45" s="662">
        <f>INDEX('Vessel Gauging Data'!$B$26:$V$56,MATCH($C45,'Vessel Gauging Data'!$B$26:$B$56,0),$BC$18)</f>
        <v>915.2</v>
      </c>
      <c r="BD45" s="662">
        <f>INDEX('Vessel Gauging Data'!$B$26:$V$56,MATCH($C45,'Vessel Gauging Data'!$B$26:$B$56,0),$BD$18)</f>
        <v>0</v>
      </c>
      <c r="BE45" s="662">
        <f>INDEX('Vessel Gauging Data'!$B$26:$V$56,MATCH($C45,'Vessel Gauging Data'!$B$26:$B$56,0),$BE$18)</f>
        <v>0</v>
      </c>
    </row>
    <row r="46" spans="1:57" ht="15">
      <c r="A46" s="641" t="str">
        <f t="shared" si="38"/>
        <v>Y</v>
      </c>
      <c r="B46" s="641"/>
      <c r="C46" s="235" t="str">
        <f t="array" ref="C46">IF(OR($E$44="",SUMPRODUCT(('Vessel Gauging Data'!$C$27:$C$56=$E$44)*1)&lt;ROWS($C$45:$C46)),"",INDEX('Vessel Gauging Data'!$B$27:$B$56,SMALL(IF(('Vessel Gauging Data'!$C$27:$C$56=$E$44),ROW('Vessel Gauging Data'!$B$27:$B$56)-ROW('Vessel Gauging Data'!$C$26)),ROW()-ROW(C$44))))</f>
        <v>HFO 2C</v>
      </c>
      <c r="D46" s="211" t="str">
        <f>IF(OR($C46="",$C46=0),"",INDEX('Vessel Gauging Data'!$B$26:$V$56,MATCH($C46,'Vessel Gauging Data'!$B$27:$B$56,0)+1,2))</f>
        <v>LSFO</v>
      </c>
      <c r="E46" s="1016">
        <f t="shared" si="39"/>
        <v>20.327000000000002</v>
      </c>
      <c r="F46" s="1016">
        <f t="shared" si="40"/>
        <v>20.329999999999998</v>
      </c>
      <c r="G46" s="1016">
        <f t="shared" si="41"/>
        <v>0.02</v>
      </c>
      <c r="H46" s="1016">
        <f t="shared" si="42"/>
        <v>0.02</v>
      </c>
      <c r="I46" s="211" t="str">
        <f t="shared" si="43"/>
        <v>S</v>
      </c>
      <c r="J46" s="1016">
        <f t="shared" si="44"/>
        <v>6.6</v>
      </c>
      <c r="K46" s="213">
        <f t="shared" si="45"/>
        <v>0</v>
      </c>
      <c r="L46" s="212">
        <f t="shared" si="46"/>
        <v>0</v>
      </c>
      <c r="M46" s="1125">
        <f>IF(OR($C46="",$C46=0),"",INDEX(API1DENST,MATCH($C46,'Vessel Gauging Data'!$B$27:$B$56,0),$AA$1))</f>
        <v>0.91769999999999996</v>
      </c>
      <c r="N46" s="212">
        <f t="shared" si="47"/>
        <v>29</v>
      </c>
      <c r="O46" s="1016">
        <f t="shared" ref="O46:O64" si="71">IF(OR(J46="",L46=""),"",IF(ISTEXT(J46),"N/A",IF(ISTEXT(L46),J46,J46-L46)))</f>
        <v>6.6</v>
      </c>
      <c r="P46" s="1125">
        <f t="shared" ref="P46:P64" si="72">IF(OR(M46="",N46=""),"",IF(OR(ISTEXT(M46),ISTEXT(N46)),"N/A",IF($AA$1=1,ROUND(EXP(-AF46*(N46-15)*(1+0.8*AF46*(N46-15))),5),AZ46)))</f>
        <v>0.98945000000000005</v>
      </c>
      <c r="Q46" s="1016">
        <f t="shared" ref="Q46:Q64" si="73">IF(OR(M46="",N46=""),"",IF(OR(ISTEXT(M46),ISTEXT(N46)),"N/A",ROUND(O46*P46,3)))</f>
        <v>6.53</v>
      </c>
      <c r="R46" s="214">
        <f t="shared" ref="R46:R64" si="74">IF(M46="","",IF($AA$1=1,IF(ISTEXT(Q46),"N/A",ROUND(Q46*M46,3)),IF(ISTEXT(T46),"N/A",ROUND(T46*AC46,3))))</f>
        <v>5.9930000000000003</v>
      </c>
      <c r="S46" s="1125">
        <f t="shared" si="48"/>
        <v>0.91659999999999997</v>
      </c>
      <c r="T46" s="236">
        <f t="shared" ref="T46:T64" si="75">IF(OR(M46="",N46=""),"",IF(ISTEXT(Q46),"N/A",IF($AA$1=1,ROUND((Q46*(M46-0.0011)),3),ROUND(Q46*S46,3))))</f>
        <v>5.9850000000000003</v>
      </c>
      <c r="U46" s="641"/>
      <c r="V46" s="642">
        <f>INDEX('Vessel Gauging Data'!$B$26:$V$56,MATCH($C46,'Vessel Gauging Data'!$B$26:$B$56,0),$V$18)</f>
        <v>20.327000000000002</v>
      </c>
      <c r="W46" s="642">
        <f>INDEX('Vessel Gauging Data'!$B$26:$V$56,MATCH($C46,'Vessel Gauging Data'!$B$26:$B$56,0),$W$18)</f>
        <v>20.329999999999998</v>
      </c>
      <c r="X46" s="642">
        <f>INDEX('Vessel Gauging Data'!$B$26:$V$56,MATCH($C46,'Vessel Gauging Data'!$B$26:$B$56,0),$X$18)</f>
        <v>0.02</v>
      </c>
      <c r="Y46" s="642">
        <f>INDEX('Vessel Gauging Data'!$B$26:$V$56,MATCH($C46,'Vessel Gauging Data'!$B$26:$B$56,0),$Y$18)</f>
        <v>0.02</v>
      </c>
      <c r="Z46" s="642">
        <f>INDEX('Vessel Gauging Data'!$B$26:$V$56,MATCH($C46,'Vessel Gauging Data'!$B$26:$B$56,0),$Z$18)</f>
        <v>29</v>
      </c>
      <c r="AA46" s="641"/>
      <c r="AB46" s="642">
        <f>INDEX(API1DENST,MATCH($C46,'Vessel Gauging Data'!$B$27:$B$56,0),1)</f>
        <v>0.91769999999999996</v>
      </c>
      <c r="AC46" s="642">
        <f t="shared" si="49"/>
        <v>1.00115</v>
      </c>
      <c r="AD46" s="641"/>
      <c r="AE46" s="661">
        <f t="shared" si="50"/>
        <v>918</v>
      </c>
      <c r="AF46" s="661">
        <f t="shared" si="51"/>
        <v>7.5148999999999995E-4</v>
      </c>
      <c r="AG46" s="641"/>
      <c r="AH46" s="662">
        <f t="shared" si="52"/>
        <v>29</v>
      </c>
      <c r="AI46" s="662">
        <f t="shared" si="53"/>
        <v>0.91769999999999996</v>
      </c>
      <c r="AJ46" s="663">
        <f t="shared" si="54"/>
        <v>103.872</v>
      </c>
      <c r="AK46" s="660">
        <f t="shared" si="55"/>
        <v>0.27010000000000001</v>
      </c>
      <c r="AL46" s="660">
        <f t="shared" si="56"/>
        <v>1067.53</v>
      </c>
      <c r="AM46" s="664">
        <f t="shared" si="57"/>
        <v>9.7301239999999997E-2</v>
      </c>
      <c r="AN46" s="664">
        <f t="shared" si="58"/>
        <v>9.1146100000000005E-5</v>
      </c>
      <c r="AO46" s="665">
        <f t="shared" si="59"/>
        <v>2.5301389999999999E-4</v>
      </c>
      <c r="AP46" s="666">
        <f t="shared" si="60"/>
        <v>3.4420000000000002E-4</v>
      </c>
      <c r="AQ46" s="660">
        <f t="shared" si="61"/>
        <v>-31</v>
      </c>
      <c r="AR46" s="667">
        <f t="shared" si="62"/>
        <v>-1.0670199999999999E-2</v>
      </c>
      <c r="AS46" s="667">
        <f t="shared" si="63"/>
        <v>-8.5361599999999992E-3</v>
      </c>
      <c r="AT46" s="668">
        <f t="shared" si="64"/>
        <v>9.1080000000000002E-5</v>
      </c>
      <c r="AU46" s="667">
        <f t="shared" si="65"/>
        <v>1.0579119999999999E-2</v>
      </c>
      <c r="AV46" s="669">
        <f t="shared" si="66"/>
        <v>2.5000000000000001E-4</v>
      </c>
      <c r="AW46" s="667">
        <f t="shared" si="67"/>
        <v>2.2999999999999999E-7</v>
      </c>
      <c r="AX46" s="667">
        <f t="shared" si="68"/>
        <v>103.87200023</v>
      </c>
      <c r="AY46" s="660">
        <f t="shared" si="69"/>
        <v>3.4420000000000002E-4</v>
      </c>
      <c r="AZ46" s="670">
        <f t="shared" si="70"/>
        <v>1.01064</v>
      </c>
      <c r="BA46" s="641"/>
      <c r="BB46" s="662" t="str">
        <f>INDEX('Vessel Gauging Data'!$B$26:$V$56,MATCH($C46,'Vessel Gauging Data'!$B$26:$B$56,0),$BB$18)</f>
        <v>S</v>
      </c>
      <c r="BC46" s="662">
        <f>INDEX('Vessel Gauging Data'!$B$26:$V$56,MATCH($C46,'Vessel Gauging Data'!$B$26:$B$56,0),$BC$18)</f>
        <v>6.6</v>
      </c>
      <c r="BD46" s="662">
        <f>INDEX('Vessel Gauging Data'!$B$26:$V$56,MATCH($C46,'Vessel Gauging Data'!$B$26:$B$56,0),$BD$18)</f>
        <v>0</v>
      </c>
      <c r="BE46" s="662">
        <f>INDEX('Vessel Gauging Data'!$B$26:$V$56,MATCH($C46,'Vessel Gauging Data'!$B$26:$B$56,0),$BE$18)</f>
        <v>0</v>
      </c>
    </row>
    <row r="47" spans="1:57" ht="15">
      <c r="A47" s="641" t="str">
        <f t="shared" si="38"/>
        <v>Y</v>
      </c>
      <c r="B47" s="641"/>
      <c r="C47" s="235" t="str">
        <f t="array" ref="C47">IF(OR($E$44="",SUMPRODUCT(('Vessel Gauging Data'!$C$27:$C$56=$E$44)*1)&lt;ROWS($C$45:$C47)),"",INDEX('Vessel Gauging Data'!$B$27:$B$56,SMALL(IF(('Vessel Gauging Data'!$C$27:$C$56=$E$44),ROW('Vessel Gauging Data'!$B$27:$B$56)-ROW('Vessel Gauging Data'!$C$26)),ROW()-ROW(C$44))))</f>
        <v>A FO P</v>
      </c>
      <c r="D47" s="211" t="str">
        <f>IF(OR($C47="",$C47=0),"",INDEX('Vessel Gauging Data'!$B$26:$V$56,MATCH($C47,'Vessel Gauging Data'!$B$27:$B$56,0)+1,2))</f>
        <v>LSFO</v>
      </c>
      <c r="E47" s="1016">
        <f t="shared" si="39"/>
        <v>17.43</v>
      </c>
      <c r="F47" s="1016">
        <f t="shared" si="40"/>
        <v>17.43</v>
      </c>
      <c r="G47" s="1016">
        <f t="shared" si="41"/>
        <v>0</v>
      </c>
      <c r="H47" s="1016">
        <f t="shared" si="42"/>
        <v>0</v>
      </c>
      <c r="I47" s="211" t="str">
        <f t="shared" si="43"/>
        <v>S</v>
      </c>
      <c r="J47" s="1016">
        <f t="shared" si="44"/>
        <v>0.1</v>
      </c>
      <c r="K47" s="213">
        <f t="shared" si="45"/>
        <v>0</v>
      </c>
      <c r="L47" s="212">
        <f t="shared" si="46"/>
        <v>0</v>
      </c>
      <c r="M47" s="1125">
        <f>IF(OR($C47="",$C47=0),"",INDEX(API1DENST,MATCH($C47,'Vessel Gauging Data'!$B$27:$B$56,0),$AA$1))</f>
        <v>0.91769999999999996</v>
      </c>
      <c r="N47" s="212">
        <f t="shared" si="47"/>
        <v>35</v>
      </c>
      <c r="O47" s="1016">
        <f t="shared" si="71"/>
        <v>0.1</v>
      </c>
      <c r="P47" s="1125">
        <f t="shared" si="72"/>
        <v>0.9849</v>
      </c>
      <c r="Q47" s="1016">
        <f t="shared" si="73"/>
        <v>9.8000000000000004E-2</v>
      </c>
      <c r="R47" s="214">
        <f t="shared" si="74"/>
        <v>0.09</v>
      </c>
      <c r="S47" s="1125">
        <f t="shared" si="48"/>
        <v>0.91659999999999997</v>
      </c>
      <c r="T47" s="236">
        <f t="shared" si="75"/>
        <v>0.09</v>
      </c>
      <c r="U47" s="641"/>
      <c r="V47" s="642">
        <f>INDEX('Vessel Gauging Data'!$B$26:$V$56,MATCH($C47,'Vessel Gauging Data'!$B$26:$B$56,0),$V$18)</f>
        <v>17.43</v>
      </c>
      <c r="W47" s="642">
        <f>INDEX('Vessel Gauging Data'!$B$26:$V$56,MATCH($C47,'Vessel Gauging Data'!$B$26:$B$56,0),$W$18)</f>
        <v>17.43</v>
      </c>
      <c r="X47" s="642">
        <f>INDEX('Vessel Gauging Data'!$B$26:$V$56,MATCH($C47,'Vessel Gauging Data'!$B$26:$B$56,0),$X$18)</f>
        <v>0</v>
      </c>
      <c r="Y47" s="642">
        <f>INDEX('Vessel Gauging Data'!$B$26:$V$56,MATCH($C47,'Vessel Gauging Data'!$B$26:$B$56,0),$Y$18)</f>
        <v>0</v>
      </c>
      <c r="Z47" s="642">
        <f>INDEX('Vessel Gauging Data'!$B$26:$V$56,MATCH($C47,'Vessel Gauging Data'!$B$26:$B$56,0),$Z$18)</f>
        <v>35</v>
      </c>
      <c r="AA47" s="641"/>
      <c r="AB47" s="642">
        <f>INDEX(API1DENST,MATCH($C47,'Vessel Gauging Data'!$B$27:$B$56,0),1)</f>
        <v>0.91769999999999996</v>
      </c>
      <c r="AC47" s="642">
        <f t="shared" si="49"/>
        <v>1.00115</v>
      </c>
      <c r="AD47" s="641"/>
      <c r="AE47" s="661">
        <f t="shared" si="50"/>
        <v>918</v>
      </c>
      <c r="AF47" s="661">
        <f t="shared" si="51"/>
        <v>7.5148999999999995E-4</v>
      </c>
      <c r="AG47" s="641"/>
      <c r="AH47" s="662">
        <f t="shared" si="52"/>
        <v>35</v>
      </c>
      <c r="AI47" s="662">
        <f t="shared" si="53"/>
        <v>0.91769999999999996</v>
      </c>
      <c r="AJ47" s="663">
        <f t="shared" si="54"/>
        <v>103.872</v>
      </c>
      <c r="AK47" s="660">
        <f t="shared" si="55"/>
        <v>0.27010000000000001</v>
      </c>
      <c r="AL47" s="660">
        <f t="shared" si="56"/>
        <v>1067.53</v>
      </c>
      <c r="AM47" s="664">
        <f t="shared" si="57"/>
        <v>9.7301239999999997E-2</v>
      </c>
      <c r="AN47" s="664">
        <f t="shared" si="58"/>
        <v>9.1146100000000005E-5</v>
      </c>
      <c r="AO47" s="665">
        <f t="shared" si="59"/>
        <v>2.5301389999999999E-4</v>
      </c>
      <c r="AP47" s="666">
        <f t="shared" si="60"/>
        <v>3.4420000000000002E-4</v>
      </c>
      <c r="AQ47" s="660">
        <f t="shared" si="61"/>
        <v>-25</v>
      </c>
      <c r="AR47" s="667">
        <f t="shared" si="62"/>
        <v>-8.6049999999999998E-3</v>
      </c>
      <c r="AS47" s="667">
        <f t="shared" si="63"/>
        <v>-6.8840000000000004E-3</v>
      </c>
      <c r="AT47" s="668">
        <f t="shared" si="64"/>
        <v>5.923E-5</v>
      </c>
      <c r="AU47" s="667">
        <f t="shared" si="65"/>
        <v>8.5457699999999994E-3</v>
      </c>
      <c r="AV47" s="669">
        <f t="shared" si="66"/>
        <v>2.5000000000000001E-4</v>
      </c>
      <c r="AW47" s="667">
        <f t="shared" si="67"/>
        <v>2.2999999999999999E-7</v>
      </c>
      <c r="AX47" s="667">
        <f t="shared" si="68"/>
        <v>103.87200023</v>
      </c>
      <c r="AY47" s="660">
        <f t="shared" si="69"/>
        <v>3.4420000000000002E-4</v>
      </c>
      <c r="AZ47" s="670">
        <f t="shared" si="70"/>
        <v>1.00858</v>
      </c>
      <c r="BA47" s="641"/>
      <c r="BB47" s="662" t="str">
        <f>INDEX('Vessel Gauging Data'!$B$26:$V$56,MATCH($C47,'Vessel Gauging Data'!$B$26:$B$56,0),$BB$18)</f>
        <v>S</v>
      </c>
      <c r="BC47" s="662">
        <f>INDEX('Vessel Gauging Data'!$B$26:$V$56,MATCH($C47,'Vessel Gauging Data'!$B$26:$B$56,0),$BC$18)</f>
        <v>0.1</v>
      </c>
      <c r="BD47" s="662">
        <f>INDEX('Vessel Gauging Data'!$B$26:$V$56,MATCH($C47,'Vessel Gauging Data'!$B$26:$B$56,0),$BD$18)</f>
        <v>0</v>
      </c>
      <c r="BE47" s="662">
        <f>INDEX('Vessel Gauging Data'!$B$26:$V$56,MATCH($C47,'Vessel Gauging Data'!$B$26:$B$56,0),$BE$18)</f>
        <v>0</v>
      </c>
    </row>
    <row r="48" spans="1:57" ht="15">
      <c r="A48" s="641" t="str">
        <f t="shared" si="38"/>
        <v>Y</v>
      </c>
      <c r="B48" s="641"/>
      <c r="C48" s="235" t="str">
        <f t="array" ref="C48">IF(OR($E$44="",SUMPRODUCT(('Vessel Gauging Data'!$C$27:$C$56=$E$44)*1)&lt;ROWS($C$45:$C48)),"",INDEX('Vessel Gauging Data'!$B$27:$B$56,SMALL(IF(('Vessel Gauging Data'!$C$27:$C$56=$E$44),ROW('Vessel Gauging Data'!$B$27:$B$56)-ROW('Vessel Gauging Data'!$C$26)),ROW()-ROW(C$44))))</f>
        <v>HFO SETT</v>
      </c>
      <c r="D48" s="211" t="str">
        <f>IF(OR($C48="",$C48=0),"",INDEX('Vessel Gauging Data'!$B$26:$V$56,MATCH($C48,'Vessel Gauging Data'!$B$27:$B$56,0)+1,2))</f>
        <v>LSFO</v>
      </c>
      <c r="E48" s="1016" t="str">
        <f t="shared" si="39"/>
        <v>GAUGE</v>
      </c>
      <c r="F48" s="1016" t="str">
        <f t="shared" si="40"/>
        <v>GAUGE</v>
      </c>
      <c r="G48" s="1016" t="str">
        <f t="shared" si="41"/>
        <v>GAUGE</v>
      </c>
      <c r="H48" s="1016" t="str">
        <f t="shared" si="42"/>
        <v>GAUGE</v>
      </c>
      <c r="I48" s="211" t="str">
        <f t="shared" si="43"/>
        <v>G</v>
      </c>
      <c r="J48" s="1016">
        <f t="shared" si="44"/>
        <v>16.5</v>
      </c>
      <c r="K48" s="213">
        <f t="shared" si="45"/>
        <v>0</v>
      </c>
      <c r="L48" s="212">
        <f t="shared" si="46"/>
        <v>0</v>
      </c>
      <c r="M48" s="1125">
        <f>IF(OR($C48="",$C48=0),"",INDEX(API1DENST,MATCH($C48,'Vessel Gauging Data'!$B$27:$B$56,0),$AA$1))</f>
        <v>0.94889999999999997</v>
      </c>
      <c r="N48" s="212">
        <f t="shared" si="47"/>
        <v>100</v>
      </c>
      <c r="O48" s="1016">
        <f t="shared" si="71"/>
        <v>16.5</v>
      </c>
      <c r="P48" s="1125">
        <f t="shared" si="72"/>
        <v>0.93774000000000002</v>
      </c>
      <c r="Q48" s="1016">
        <f t="shared" si="73"/>
        <v>15.473000000000001</v>
      </c>
      <c r="R48" s="214">
        <f t="shared" si="74"/>
        <v>14.682</v>
      </c>
      <c r="S48" s="1125">
        <f t="shared" si="48"/>
        <v>0.94779999999999998</v>
      </c>
      <c r="T48" s="236">
        <f t="shared" si="75"/>
        <v>14.664999999999999</v>
      </c>
      <c r="U48" s="641"/>
      <c r="V48" s="642" t="str">
        <f>INDEX('Vessel Gauging Data'!$B$26:$V$56,MATCH($C48,'Vessel Gauging Data'!$B$26:$B$56,0),$V$18)</f>
        <v>GAUGE</v>
      </c>
      <c r="W48" s="642" t="str">
        <f>INDEX('Vessel Gauging Data'!$B$26:$V$56,MATCH($C48,'Vessel Gauging Data'!$B$26:$B$56,0),$W$18)</f>
        <v>GAUGE</v>
      </c>
      <c r="X48" s="642" t="str">
        <f>INDEX('Vessel Gauging Data'!$B$26:$V$56,MATCH($C48,'Vessel Gauging Data'!$B$26:$B$56,0),$X$18)</f>
        <v>GAUGE</v>
      </c>
      <c r="Y48" s="642" t="str">
        <f>INDEX('Vessel Gauging Data'!$B$26:$V$56,MATCH($C48,'Vessel Gauging Data'!$B$26:$B$56,0),$Y$18)</f>
        <v>GAUGE</v>
      </c>
      <c r="Z48" s="642">
        <f>INDEX('Vessel Gauging Data'!$B$26:$V$56,MATCH($C48,'Vessel Gauging Data'!$B$26:$B$56,0),$Z$18)</f>
        <v>100</v>
      </c>
      <c r="AA48" s="641"/>
      <c r="AB48" s="642">
        <f>INDEX(API1DENST,MATCH($C48,'Vessel Gauging Data'!$B$27:$B$56,0),1)</f>
        <v>0.94889999999999997</v>
      </c>
      <c r="AC48" s="642">
        <f t="shared" si="49"/>
        <v>1.00115</v>
      </c>
      <c r="AD48" s="641"/>
      <c r="AE48" s="661">
        <f t="shared" si="50"/>
        <v>948</v>
      </c>
      <c r="AF48" s="661">
        <f t="shared" si="51"/>
        <v>7.2090999999999995E-4</v>
      </c>
      <c r="AG48" s="641"/>
      <c r="AH48" s="662">
        <f t="shared" si="52"/>
        <v>100</v>
      </c>
      <c r="AI48" s="662">
        <f t="shared" si="53"/>
        <v>0.94889999999999997</v>
      </c>
      <c r="AJ48" s="663">
        <f t="shared" si="54"/>
        <v>103.872</v>
      </c>
      <c r="AK48" s="660">
        <f t="shared" si="55"/>
        <v>0.27010000000000001</v>
      </c>
      <c r="AL48" s="660">
        <f t="shared" si="56"/>
        <v>1067.28</v>
      </c>
      <c r="AM48" s="664">
        <f t="shared" si="57"/>
        <v>9.7324030000000006E-2</v>
      </c>
      <c r="AN48" s="664">
        <f t="shared" si="58"/>
        <v>9.1188799999999997E-5</v>
      </c>
      <c r="AO48" s="665">
        <f t="shared" si="59"/>
        <v>2.5307319999999999E-4</v>
      </c>
      <c r="AP48" s="666">
        <f t="shared" si="60"/>
        <v>3.4430000000000002E-4</v>
      </c>
      <c r="AQ48" s="660">
        <f t="shared" si="61"/>
        <v>40</v>
      </c>
      <c r="AR48" s="667">
        <f t="shared" si="62"/>
        <v>1.3772E-2</v>
      </c>
      <c r="AS48" s="667">
        <f t="shared" si="63"/>
        <v>1.1017600000000001E-2</v>
      </c>
      <c r="AT48" s="668">
        <f t="shared" si="64"/>
        <v>1.5173000000000001E-4</v>
      </c>
      <c r="AU48" s="667">
        <f t="shared" si="65"/>
        <v>-1.3923729999999999E-2</v>
      </c>
      <c r="AV48" s="669">
        <f t="shared" si="66"/>
        <v>2.5000000000000001E-4</v>
      </c>
      <c r="AW48" s="667">
        <f t="shared" si="67"/>
        <v>2.2999999999999999E-7</v>
      </c>
      <c r="AX48" s="667">
        <f t="shared" si="68"/>
        <v>103.87200023</v>
      </c>
      <c r="AY48" s="660">
        <f t="shared" si="69"/>
        <v>3.4430000000000002E-4</v>
      </c>
      <c r="AZ48" s="670">
        <f t="shared" si="70"/>
        <v>0.98616999999999999</v>
      </c>
      <c r="BA48" s="641"/>
      <c r="BB48" s="662" t="str">
        <f>INDEX('Vessel Gauging Data'!$B$26:$V$56,MATCH($C48,'Vessel Gauging Data'!$B$26:$B$56,0),$BB$18)</f>
        <v>G</v>
      </c>
      <c r="BC48" s="662">
        <f>INDEX('Vessel Gauging Data'!$B$26:$V$56,MATCH($C48,'Vessel Gauging Data'!$B$26:$B$56,0),$BC$18)</f>
        <v>16.5</v>
      </c>
      <c r="BD48" s="662">
        <f>INDEX('Vessel Gauging Data'!$B$26:$V$56,MATCH($C48,'Vessel Gauging Data'!$B$26:$B$56,0),$BD$18)</f>
        <v>0</v>
      </c>
      <c r="BE48" s="662">
        <f>INDEX('Vessel Gauging Data'!$B$26:$V$56,MATCH($C48,'Vessel Gauging Data'!$B$26:$B$56,0),$BE$18)</f>
        <v>0</v>
      </c>
    </row>
    <row r="49" spans="1:57" ht="15">
      <c r="A49" s="641" t="str">
        <f t="shared" si="38"/>
        <v>Y</v>
      </c>
      <c r="B49" s="641"/>
      <c r="C49" s="235" t="str">
        <f t="array" ref="C49">IF(OR($E$44="",SUMPRODUCT(('Vessel Gauging Data'!$C$27:$C$56=$E$44)*1)&lt;ROWS($C$45:$C49)),"",INDEX('Vessel Gauging Data'!$B$27:$B$56,SMALL(IF(('Vessel Gauging Data'!$C$27:$C$56=$E$44),ROW('Vessel Gauging Data'!$B$27:$B$56)-ROW('Vessel Gauging Data'!$C$26)),ROW()-ROW(C$44))))</f>
        <v>HFO SERV</v>
      </c>
      <c r="D49" s="211" t="str">
        <f>IF(OR($C49="",$C49=0),"",INDEX('Vessel Gauging Data'!$B$26:$V$56,MATCH($C49,'Vessel Gauging Data'!$B$27:$B$56,0)+1,2))</f>
        <v>LSFO</v>
      </c>
      <c r="E49" s="1016" t="str">
        <f t="shared" si="39"/>
        <v>GAUGE</v>
      </c>
      <c r="F49" s="1016" t="str">
        <f t="shared" si="40"/>
        <v>GAUGE</v>
      </c>
      <c r="G49" s="1016" t="str">
        <f t="shared" si="41"/>
        <v>GAUGE</v>
      </c>
      <c r="H49" s="1016" t="str">
        <f t="shared" si="42"/>
        <v>GAUGE</v>
      </c>
      <c r="I49" s="211" t="str">
        <f t="shared" si="43"/>
        <v>G</v>
      </c>
      <c r="J49" s="1016">
        <f t="shared" si="44"/>
        <v>20.399999999999999</v>
      </c>
      <c r="K49" s="213">
        <f t="shared" si="45"/>
        <v>0</v>
      </c>
      <c r="L49" s="212">
        <f t="shared" si="46"/>
        <v>0</v>
      </c>
      <c r="M49" s="1125">
        <f>IF(OR($C49="",$C49=0),"",INDEX(API1DENST,MATCH($C49,'Vessel Gauging Data'!$B$27:$B$56,0),$AA$1))</f>
        <v>0.94889999999999997</v>
      </c>
      <c r="N49" s="212">
        <f t="shared" si="47"/>
        <v>100</v>
      </c>
      <c r="O49" s="1016">
        <f t="shared" si="71"/>
        <v>20.399999999999999</v>
      </c>
      <c r="P49" s="1125">
        <f t="shared" si="72"/>
        <v>0.93774000000000002</v>
      </c>
      <c r="Q49" s="1016">
        <f t="shared" si="73"/>
        <v>19.13</v>
      </c>
      <c r="R49" s="214">
        <f t="shared" si="74"/>
        <v>18.152000000000001</v>
      </c>
      <c r="S49" s="1125">
        <f t="shared" si="48"/>
        <v>0.94779999999999998</v>
      </c>
      <c r="T49" s="236">
        <f t="shared" si="75"/>
        <v>18.131</v>
      </c>
      <c r="U49" s="641"/>
      <c r="V49" s="642" t="str">
        <f>INDEX('Vessel Gauging Data'!$B$26:$V$56,MATCH($C49,'Vessel Gauging Data'!$B$26:$B$56,0),$V$18)</f>
        <v>GAUGE</v>
      </c>
      <c r="W49" s="642" t="str">
        <f>INDEX('Vessel Gauging Data'!$B$26:$V$56,MATCH($C49,'Vessel Gauging Data'!$B$26:$B$56,0),$W$18)</f>
        <v>GAUGE</v>
      </c>
      <c r="X49" s="642" t="str">
        <f>INDEX('Vessel Gauging Data'!$B$26:$V$56,MATCH($C49,'Vessel Gauging Data'!$B$26:$B$56,0),$X$18)</f>
        <v>GAUGE</v>
      </c>
      <c r="Y49" s="642" t="str">
        <f>INDEX('Vessel Gauging Data'!$B$26:$V$56,MATCH($C49,'Vessel Gauging Data'!$B$26:$B$56,0),$Y$18)</f>
        <v>GAUGE</v>
      </c>
      <c r="Z49" s="642">
        <f>INDEX('Vessel Gauging Data'!$B$26:$V$56,MATCH($C49,'Vessel Gauging Data'!$B$26:$B$56,0),$Z$18)</f>
        <v>100</v>
      </c>
      <c r="AA49" s="641"/>
      <c r="AB49" s="642">
        <f>INDEX(API1DENST,MATCH($C49,'Vessel Gauging Data'!$B$27:$B$56,0),1)</f>
        <v>0.94889999999999997</v>
      </c>
      <c r="AC49" s="642">
        <f t="shared" si="49"/>
        <v>1.00115</v>
      </c>
      <c r="AD49" s="641"/>
      <c r="AE49" s="661">
        <f t="shared" si="50"/>
        <v>948</v>
      </c>
      <c r="AF49" s="661">
        <f t="shared" si="51"/>
        <v>7.2090999999999995E-4</v>
      </c>
      <c r="AG49" s="641"/>
      <c r="AH49" s="662">
        <f t="shared" si="52"/>
        <v>100</v>
      </c>
      <c r="AI49" s="662">
        <f t="shared" si="53"/>
        <v>0.94889999999999997</v>
      </c>
      <c r="AJ49" s="663">
        <f t="shared" si="54"/>
        <v>103.872</v>
      </c>
      <c r="AK49" s="660">
        <f t="shared" si="55"/>
        <v>0.27010000000000001</v>
      </c>
      <c r="AL49" s="660">
        <f t="shared" si="56"/>
        <v>1067.28</v>
      </c>
      <c r="AM49" s="664">
        <f t="shared" si="57"/>
        <v>9.7324030000000006E-2</v>
      </c>
      <c r="AN49" s="664">
        <f t="shared" si="58"/>
        <v>9.1188799999999997E-5</v>
      </c>
      <c r="AO49" s="665">
        <f t="shared" si="59"/>
        <v>2.5307319999999999E-4</v>
      </c>
      <c r="AP49" s="666">
        <f t="shared" si="60"/>
        <v>3.4430000000000002E-4</v>
      </c>
      <c r="AQ49" s="660">
        <f t="shared" si="61"/>
        <v>40</v>
      </c>
      <c r="AR49" s="667">
        <f t="shared" si="62"/>
        <v>1.3772E-2</v>
      </c>
      <c r="AS49" s="667">
        <f t="shared" si="63"/>
        <v>1.1017600000000001E-2</v>
      </c>
      <c r="AT49" s="668">
        <f t="shared" si="64"/>
        <v>1.5173000000000001E-4</v>
      </c>
      <c r="AU49" s="667">
        <f t="shared" si="65"/>
        <v>-1.3923729999999999E-2</v>
      </c>
      <c r="AV49" s="669">
        <f t="shared" si="66"/>
        <v>2.5000000000000001E-4</v>
      </c>
      <c r="AW49" s="667">
        <f t="shared" si="67"/>
        <v>2.2999999999999999E-7</v>
      </c>
      <c r="AX49" s="667">
        <f t="shared" si="68"/>
        <v>103.87200023</v>
      </c>
      <c r="AY49" s="660">
        <f t="shared" si="69"/>
        <v>3.4430000000000002E-4</v>
      </c>
      <c r="AZ49" s="670">
        <f t="shared" si="70"/>
        <v>0.98616999999999999</v>
      </c>
      <c r="BA49" s="641"/>
      <c r="BB49" s="662" t="str">
        <f>INDEX('Vessel Gauging Data'!$B$26:$V$56,MATCH($C49,'Vessel Gauging Data'!$B$26:$B$56,0),$BB$18)</f>
        <v>G</v>
      </c>
      <c r="BC49" s="662">
        <f>INDEX('Vessel Gauging Data'!$B$26:$V$56,MATCH($C49,'Vessel Gauging Data'!$B$26:$B$56,0),$BC$18)</f>
        <v>20.399999999999999</v>
      </c>
      <c r="BD49" s="662">
        <f>INDEX('Vessel Gauging Data'!$B$26:$V$56,MATCH($C49,'Vessel Gauging Data'!$B$26:$B$56,0),$BD$18)</f>
        <v>0</v>
      </c>
      <c r="BE49" s="662">
        <f>INDEX('Vessel Gauging Data'!$B$26:$V$56,MATCH($C49,'Vessel Gauging Data'!$B$26:$B$56,0),$BE$18)</f>
        <v>0</v>
      </c>
    </row>
    <row r="50" spans="1:57" ht="15">
      <c r="A50" s="641" t="str">
        <f t="shared" si="38"/>
        <v>Y</v>
      </c>
      <c r="B50" s="641"/>
      <c r="C50" s="235" t="str">
        <f t="array" ref="C50">IF(OR($E$44="",SUMPRODUCT(('Vessel Gauging Data'!$C$27:$C$56=$E$44)*1)&lt;ROWS($C$45:$C50)),"",INDEX('Vessel Gauging Data'!$B$27:$B$56,SMALL(IF(('Vessel Gauging Data'!$C$27:$C$56=$E$44),ROW('Vessel Gauging Data'!$B$27:$B$56)-ROW('Vessel Gauging Data'!$C$26)),ROW()-ROW(C$44))))</f>
        <v>HFO OVER</v>
      </c>
      <c r="D50" s="211" t="str">
        <f>IF(OR($C50="",$C50=0),"",INDEX('Vessel Gauging Data'!$B$26:$V$56,MATCH($C50,'Vessel Gauging Data'!$B$27:$B$56,0)+1,2))</f>
        <v>LSFO</v>
      </c>
      <c r="E50" s="1016">
        <f t="shared" si="39"/>
        <v>2.44</v>
      </c>
      <c r="F50" s="1016">
        <f t="shared" si="40"/>
        <v>2.44</v>
      </c>
      <c r="G50" s="1016">
        <f t="shared" si="41"/>
        <v>1.42</v>
      </c>
      <c r="H50" s="1016">
        <f t="shared" si="42"/>
        <v>1.42</v>
      </c>
      <c r="I50" s="211" t="str">
        <f t="shared" si="43"/>
        <v>S</v>
      </c>
      <c r="J50" s="1016">
        <f t="shared" si="44"/>
        <v>7.5</v>
      </c>
      <c r="K50" s="213">
        <f t="shared" si="45"/>
        <v>0</v>
      </c>
      <c r="L50" s="212">
        <f t="shared" si="46"/>
        <v>0</v>
      </c>
      <c r="M50" s="1125">
        <f>IF(OR($C50="",$C50=0),"",INDEX(API1DENST,MATCH($C50,'Vessel Gauging Data'!$B$27:$B$56,0),$AA$1))</f>
        <v>0.94889999999999997</v>
      </c>
      <c r="N50" s="212">
        <f t="shared" si="47"/>
        <v>38</v>
      </c>
      <c r="O50" s="1016">
        <f t="shared" si="71"/>
        <v>7.5</v>
      </c>
      <c r="P50" s="1125">
        <f t="shared" si="72"/>
        <v>0.98333999999999999</v>
      </c>
      <c r="Q50" s="1016">
        <f t="shared" si="73"/>
        <v>7.375</v>
      </c>
      <c r="R50" s="214">
        <f t="shared" si="74"/>
        <v>6.9980000000000002</v>
      </c>
      <c r="S50" s="1125">
        <f t="shared" si="48"/>
        <v>0.94779999999999998</v>
      </c>
      <c r="T50" s="236">
        <f t="shared" si="75"/>
        <v>6.99</v>
      </c>
      <c r="U50" s="641"/>
      <c r="V50" s="642">
        <f>INDEX('Vessel Gauging Data'!$B$26:$V$56,MATCH($C50,'Vessel Gauging Data'!$B$26:$B$56,0),$V$18)</f>
        <v>2.44</v>
      </c>
      <c r="W50" s="642">
        <f>INDEX('Vessel Gauging Data'!$B$26:$V$56,MATCH($C50,'Vessel Gauging Data'!$B$26:$B$56,0),$W$18)</f>
        <v>2.44</v>
      </c>
      <c r="X50" s="642">
        <f>INDEX('Vessel Gauging Data'!$B$26:$V$56,MATCH($C50,'Vessel Gauging Data'!$B$26:$B$56,0),$X$18)</f>
        <v>1.42</v>
      </c>
      <c r="Y50" s="642">
        <f>INDEX('Vessel Gauging Data'!$B$26:$V$56,MATCH($C50,'Vessel Gauging Data'!$B$26:$B$56,0),$Y$18)</f>
        <v>1.42</v>
      </c>
      <c r="Z50" s="642">
        <f>INDEX('Vessel Gauging Data'!$B$26:$V$56,MATCH($C50,'Vessel Gauging Data'!$B$26:$B$56,0),$Z$18)</f>
        <v>38</v>
      </c>
      <c r="AA50" s="641"/>
      <c r="AB50" s="642">
        <f>INDEX(API1DENST,MATCH($C50,'Vessel Gauging Data'!$B$27:$B$56,0),1)</f>
        <v>0.94889999999999997</v>
      </c>
      <c r="AC50" s="642">
        <f t="shared" si="49"/>
        <v>1.00115</v>
      </c>
      <c r="AD50" s="641"/>
      <c r="AE50" s="661">
        <f t="shared" si="50"/>
        <v>948</v>
      </c>
      <c r="AF50" s="661">
        <f t="shared" si="51"/>
        <v>7.2090999999999995E-4</v>
      </c>
      <c r="AG50" s="641"/>
      <c r="AH50" s="662">
        <f t="shared" si="52"/>
        <v>38</v>
      </c>
      <c r="AI50" s="662">
        <f t="shared" si="53"/>
        <v>0.94889999999999997</v>
      </c>
      <c r="AJ50" s="663">
        <f t="shared" si="54"/>
        <v>103.872</v>
      </c>
      <c r="AK50" s="660">
        <f t="shared" si="55"/>
        <v>0.27010000000000001</v>
      </c>
      <c r="AL50" s="660">
        <f t="shared" si="56"/>
        <v>1067.28</v>
      </c>
      <c r="AM50" s="664">
        <f t="shared" si="57"/>
        <v>9.7324030000000006E-2</v>
      </c>
      <c r="AN50" s="664">
        <f t="shared" si="58"/>
        <v>9.1188799999999997E-5</v>
      </c>
      <c r="AO50" s="665">
        <f t="shared" si="59"/>
        <v>2.5307319999999999E-4</v>
      </c>
      <c r="AP50" s="666">
        <f t="shared" si="60"/>
        <v>3.4430000000000002E-4</v>
      </c>
      <c r="AQ50" s="660">
        <f t="shared" si="61"/>
        <v>-22</v>
      </c>
      <c r="AR50" s="667">
        <f t="shared" si="62"/>
        <v>-7.5745999999999999E-3</v>
      </c>
      <c r="AS50" s="667">
        <f t="shared" si="63"/>
        <v>-6.0596799999999996E-3</v>
      </c>
      <c r="AT50" s="668">
        <f t="shared" si="64"/>
        <v>4.5890000000000003E-5</v>
      </c>
      <c r="AU50" s="667">
        <f t="shared" si="65"/>
        <v>7.5287100000000001E-3</v>
      </c>
      <c r="AV50" s="669">
        <f t="shared" si="66"/>
        <v>2.5000000000000001E-4</v>
      </c>
      <c r="AW50" s="667">
        <f t="shared" si="67"/>
        <v>2.2999999999999999E-7</v>
      </c>
      <c r="AX50" s="667">
        <f t="shared" si="68"/>
        <v>103.87200023</v>
      </c>
      <c r="AY50" s="660">
        <f t="shared" si="69"/>
        <v>3.4430000000000002E-4</v>
      </c>
      <c r="AZ50" s="670">
        <f t="shared" si="70"/>
        <v>1.00756</v>
      </c>
      <c r="BA50" s="641"/>
      <c r="BB50" s="662" t="str">
        <f>INDEX('Vessel Gauging Data'!$B$26:$V$56,MATCH($C50,'Vessel Gauging Data'!$B$26:$B$56,0),$BB$18)</f>
        <v>S</v>
      </c>
      <c r="BC50" s="662">
        <f>INDEX('Vessel Gauging Data'!$B$26:$V$56,MATCH($C50,'Vessel Gauging Data'!$B$26:$B$56,0),$BC$18)</f>
        <v>7.5</v>
      </c>
      <c r="BD50" s="662">
        <f>INDEX('Vessel Gauging Data'!$B$26:$V$56,MATCH($C50,'Vessel Gauging Data'!$B$26:$B$56,0),$BD$18)</f>
        <v>0</v>
      </c>
      <c r="BE50" s="662">
        <f>INDEX('Vessel Gauging Data'!$B$26:$V$56,MATCH($C50,'Vessel Gauging Data'!$B$26:$B$56,0),$BE$18)</f>
        <v>0</v>
      </c>
    </row>
    <row r="51" spans="1:57" ht="15" hidden="1">
      <c r="A51" s="641" t="str">
        <f t="shared" si="38"/>
        <v>N</v>
      </c>
      <c r="B51" s="641"/>
      <c r="C51" s="235" t="str">
        <f t="array" ref="C51">IF(OR($E$44="",SUMPRODUCT(('Vessel Gauging Data'!$C$27:$C$56=$E$44)*1)&lt;ROWS($C$45:$C51)),"",INDEX('Vessel Gauging Data'!$B$27:$B$56,SMALL(IF(('Vessel Gauging Data'!$C$27:$C$56=$E$44),ROW('Vessel Gauging Data'!$B$27:$B$56)-ROW('Vessel Gauging Data'!$C$26)),ROW()-ROW(C$44))))</f>
        <v/>
      </c>
      <c r="D51" s="211" t="str">
        <f>IF(OR($C51="",$C51=0),"",INDEX('Vessel Gauging Data'!$B$26:$V$56,MATCH($C51,'Vessel Gauging Data'!$B$27:$B$56,0)+1,2))</f>
        <v/>
      </c>
      <c r="E51" s="1016" t="str">
        <f t="shared" si="39"/>
        <v/>
      </c>
      <c r="F51" s="1016" t="str">
        <f t="shared" si="40"/>
        <v/>
      </c>
      <c r="G51" s="1016" t="str">
        <f t="shared" si="41"/>
        <v/>
      </c>
      <c r="H51" s="1016" t="str">
        <f t="shared" si="42"/>
        <v/>
      </c>
      <c r="I51" s="211" t="str">
        <f t="shared" si="43"/>
        <v/>
      </c>
      <c r="J51" s="1016" t="str">
        <f t="shared" si="44"/>
        <v/>
      </c>
      <c r="K51" s="213" t="str">
        <f t="shared" si="45"/>
        <v/>
      </c>
      <c r="L51" s="212" t="str">
        <f t="shared" si="46"/>
        <v/>
      </c>
      <c r="M51" s="1125" t="str">
        <f>IF(OR($C51="",$C51=0),"",INDEX(API1DENST,MATCH($C51,'Vessel Gauging Data'!$B$27:$B$56,0),$AA$1))</f>
        <v/>
      </c>
      <c r="N51" s="212" t="str">
        <f t="shared" si="47"/>
        <v/>
      </c>
      <c r="O51" s="1016" t="str">
        <f t="shared" si="71"/>
        <v/>
      </c>
      <c r="P51" s="1125" t="str">
        <f t="shared" si="72"/>
        <v/>
      </c>
      <c r="Q51" s="1016" t="str">
        <f t="shared" si="73"/>
        <v/>
      </c>
      <c r="R51" s="214" t="str">
        <f t="shared" si="74"/>
        <v/>
      </c>
      <c r="S51" s="1125" t="str">
        <f t="shared" si="48"/>
        <v/>
      </c>
      <c r="T51" s="236" t="str">
        <f t="shared" si="75"/>
        <v/>
      </c>
      <c r="U51" s="641"/>
      <c r="V51" s="642" t="e">
        <f>INDEX('Vessel Gauging Data'!$B$26:$V$56,MATCH($C51,'Vessel Gauging Data'!$B$26:$B$56,0),$V$18)</f>
        <v>#N/A</v>
      </c>
      <c r="W51" s="642" t="e">
        <f>INDEX('Vessel Gauging Data'!$B$26:$V$56,MATCH($C51,'Vessel Gauging Data'!$B$26:$B$56,0),$W$18)</f>
        <v>#N/A</v>
      </c>
      <c r="X51" s="642" t="e">
        <f>INDEX('Vessel Gauging Data'!$B$26:$V$56,MATCH($C51,'Vessel Gauging Data'!$B$26:$B$56,0),$X$18)</f>
        <v>#N/A</v>
      </c>
      <c r="Y51" s="642" t="e">
        <f>INDEX('Vessel Gauging Data'!$B$26:$V$56,MATCH($C51,'Vessel Gauging Data'!$B$26:$B$56,0),$Y$18)</f>
        <v>#N/A</v>
      </c>
      <c r="Z51" s="642" t="e">
        <f>INDEX('Vessel Gauging Data'!$B$26:$V$56,MATCH($C51,'Vessel Gauging Data'!$B$26:$B$56,0),$Z$18)</f>
        <v>#N/A</v>
      </c>
      <c r="AA51" s="641"/>
      <c r="AB51" s="642" t="e">
        <f>INDEX(API1DENST,MATCH($C51,'Vessel Gauging Data'!$B$27:$B$56,0),1)</f>
        <v>#N/A</v>
      </c>
      <c r="AC51" s="642" t="e">
        <f t="shared" si="49"/>
        <v>#N/A</v>
      </c>
      <c r="AD51" s="641"/>
      <c r="AE51" s="661" t="e">
        <f t="shared" si="50"/>
        <v>#VALUE!</v>
      </c>
      <c r="AF51" s="661" t="e">
        <f t="shared" si="51"/>
        <v>#VALUE!</v>
      </c>
      <c r="AG51" s="641"/>
      <c r="AH51" s="662" t="str">
        <f t="shared" si="52"/>
        <v/>
      </c>
      <c r="AI51" s="662" t="str">
        <f t="shared" si="53"/>
        <v/>
      </c>
      <c r="AJ51" s="663">
        <f t="shared" si="54"/>
        <v>192.4571</v>
      </c>
      <c r="AK51" s="660">
        <f t="shared" si="55"/>
        <v>0.24379999999999999</v>
      </c>
      <c r="AL51" s="660" t="e">
        <f t="shared" si="56"/>
        <v>#VALUE!</v>
      </c>
      <c r="AM51" s="664" t="e">
        <f t="shared" si="57"/>
        <v>#VALUE!</v>
      </c>
      <c r="AN51" s="664" t="e">
        <f t="shared" si="58"/>
        <v>#VALUE!</v>
      </c>
      <c r="AO51" s="665" t="e">
        <f t="shared" si="59"/>
        <v>#VALUE!</v>
      </c>
      <c r="AP51" s="666" t="e">
        <f t="shared" si="60"/>
        <v>#VALUE!</v>
      </c>
      <c r="AQ51" s="660" t="e">
        <f t="shared" si="61"/>
        <v>#VALUE!</v>
      </c>
      <c r="AR51" s="667" t="e">
        <f t="shared" si="62"/>
        <v>#VALUE!</v>
      </c>
      <c r="AS51" s="667" t="e">
        <f t="shared" si="63"/>
        <v>#VALUE!</v>
      </c>
      <c r="AT51" s="668" t="e">
        <f t="shared" si="64"/>
        <v>#VALUE!</v>
      </c>
      <c r="AU51" s="667" t="e">
        <f t="shared" si="65"/>
        <v>#VALUE!</v>
      </c>
      <c r="AV51" s="669" t="e">
        <f t="shared" si="66"/>
        <v>#VALUE!</v>
      </c>
      <c r="AW51" s="667" t="e">
        <f t="shared" si="67"/>
        <v>#VALUE!</v>
      </c>
      <c r="AX51" s="667" t="e">
        <f t="shared" si="68"/>
        <v>#VALUE!</v>
      </c>
      <c r="AY51" s="660" t="e">
        <f t="shared" si="69"/>
        <v>#VALUE!</v>
      </c>
      <c r="AZ51" s="670" t="e">
        <f t="shared" si="70"/>
        <v>#VALUE!</v>
      </c>
      <c r="BA51" s="641"/>
      <c r="BB51" s="662" t="e">
        <f>INDEX('Vessel Gauging Data'!$B$26:$V$56,MATCH($C51,'Vessel Gauging Data'!$B$26:$B$56,0),$BB$18)</f>
        <v>#N/A</v>
      </c>
      <c r="BC51" s="662" t="e">
        <f>INDEX('Vessel Gauging Data'!$B$26:$V$56,MATCH($C51,'Vessel Gauging Data'!$B$26:$B$56,0),$BC$18)</f>
        <v>#N/A</v>
      </c>
      <c r="BD51" s="662" t="e">
        <f>INDEX('Vessel Gauging Data'!$B$26:$V$56,MATCH($C51,'Vessel Gauging Data'!$B$26:$B$56,0),$BD$18)</f>
        <v>#N/A</v>
      </c>
      <c r="BE51" s="662" t="e">
        <f>INDEX('Vessel Gauging Data'!$B$26:$V$56,MATCH($C51,'Vessel Gauging Data'!$B$26:$B$56,0),$BE$18)</f>
        <v>#N/A</v>
      </c>
    </row>
    <row r="52" spans="1:57" ht="15" hidden="1">
      <c r="A52" s="641" t="str">
        <f t="shared" si="38"/>
        <v>N</v>
      </c>
      <c r="B52" s="641"/>
      <c r="C52" s="235" t="str">
        <f t="array" ref="C52">IF(OR($E$44="",SUMPRODUCT(('Vessel Gauging Data'!$C$27:$C$56=$E$44)*1)&lt;ROWS($C$45:$C52)),"",INDEX('Vessel Gauging Data'!$B$27:$B$56,SMALL(IF(('Vessel Gauging Data'!$C$27:$C$56=$E$44),ROW('Vessel Gauging Data'!$B$27:$B$56)-ROW('Vessel Gauging Data'!$C$26)),ROW()-ROW(C$44))))</f>
        <v/>
      </c>
      <c r="D52" s="211" t="str">
        <f>IF(OR($C52="",$C52=0),"",INDEX('Vessel Gauging Data'!$B$26:$V$56,MATCH($C52,'Vessel Gauging Data'!$B$27:$B$56,0)+1,2))</f>
        <v/>
      </c>
      <c r="E52" s="1016" t="str">
        <f t="shared" si="39"/>
        <v/>
      </c>
      <c r="F52" s="1016" t="str">
        <f t="shared" si="40"/>
        <v/>
      </c>
      <c r="G52" s="1016" t="str">
        <f t="shared" si="41"/>
        <v/>
      </c>
      <c r="H52" s="1016" t="str">
        <f t="shared" si="42"/>
        <v/>
      </c>
      <c r="I52" s="211" t="str">
        <f t="shared" si="43"/>
        <v/>
      </c>
      <c r="J52" s="1016" t="str">
        <f t="shared" si="44"/>
        <v/>
      </c>
      <c r="K52" s="213" t="str">
        <f t="shared" si="45"/>
        <v/>
      </c>
      <c r="L52" s="212" t="str">
        <f t="shared" si="46"/>
        <v/>
      </c>
      <c r="M52" s="1125" t="str">
        <f>IF(OR($C52="",$C52=0),"",INDEX(API1DENST,MATCH($C52,'Vessel Gauging Data'!$B$27:$B$56,0),$AA$1))</f>
        <v/>
      </c>
      <c r="N52" s="212" t="str">
        <f t="shared" si="47"/>
        <v/>
      </c>
      <c r="O52" s="1016" t="str">
        <f t="shared" si="71"/>
        <v/>
      </c>
      <c r="P52" s="1125" t="str">
        <f t="shared" si="72"/>
        <v/>
      </c>
      <c r="Q52" s="1016" t="str">
        <f t="shared" si="73"/>
        <v/>
      </c>
      <c r="R52" s="214" t="str">
        <f t="shared" si="74"/>
        <v/>
      </c>
      <c r="S52" s="1125" t="str">
        <f t="shared" si="48"/>
        <v/>
      </c>
      <c r="T52" s="236" t="str">
        <f t="shared" si="75"/>
        <v/>
      </c>
      <c r="U52" s="641"/>
      <c r="V52" s="642" t="e">
        <f>INDEX('Vessel Gauging Data'!$B$26:$V$56,MATCH($C52,'Vessel Gauging Data'!$B$26:$B$56,0),$V$18)</f>
        <v>#N/A</v>
      </c>
      <c r="W52" s="642" t="e">
        <f>INDEX('Vessel Gauging Data'!$B$26:$V$56,MATCH($C52,'Vessel Gauging Data'!$B$26:$B$56,0),$W$18)</f>
        <v>#N/A</v>
      </c>
      <c r="X52" s="642" t="e">
        <f>INDEX('Vessel Gauging Data'!$B$26:$V$56,MATCH($C52,'Vessel Gauging Data'!$B$26:$B$56,0),$X$18)</f>
        <v>#N/A</v>
      </c>
      <c r="Y52" s="642" t="e">
        <f>INDEX('Vessel Gauging Data'!$B$26:$V$56,MATCH($C52,'Vessel Gauging Data'!$B$26:$B$56,0),$Y$18)</f>
        <v>#N/A</v>
      </c>
      <c r="Z52" s="642" t="e">
        <f>INDEX('Vessel Gauging Data'!$B$26:$V$56,MATCH($C52,'Vessel Gauging Data'!$B$26:$B$56,0),$Z$18)</f>
        <v>#N/A</v>
      </c>
      <c r="AA52" s="641"/>
      <c r="AB52" s="642" t="e">
        <f>INDEX(API1DENST,MATCH($C52,'Vessel Gauging Data'!$B$27:$B$56,0),1)</f>
        <v>#N/A</v>
      </c>
      <c r="AC52" s="642" t="e">
        <f t="shared" si="49"/>
        <v>#N/A</v>
      </c>
      <c r="AD52" s="641"/>
      <c r="AE52" s="661" t="e">
        <f t="shared" si="50"/>
        <v>#VALUE!</v>
      </c>
      <c r="AF52" s="661" t="e">
        <f t="shared" si="51"/>
        <v>#VALUE!</v>
      </c>
      <c r="AG52" s="641"/>
      <c r="AH52" s="662" t="str">
        <f t="shared" si="52"/>
        <v/>
      </c>
      <c r="AI52" s="662" t="str">
        <f t="shared" si="53"/>
        <v/>
      </c>
      <c r="AJ52" s="663">
        <f t="shared" si="54"/>
        <v>192.4571</v>
      </c>
      <c r="AK52" s="660">
        <f t="shared" si="55"/>
        <v>0.24379999999999999</v>
      </c>
      <c r="AL52" s="660" t="e">
        <f t="shared" si="56"/>
        <v>#VALUE!</v>
      </c>
      <c r="AM52" s="664" t="e">
        <f t="shared" si="57"/>
        <v>#VALUE!</v>
      </c>
      <c r="AN52" s="664" t="e">
        <f t="shared" si="58"/>
        <v>#VALUE!</v>
      </c>
      <c r="AO52" s="665" t="e">
        <f t="shared" si="59"/>
        <v>#VALUE!</v>
      </c>
      <c r="AP52" s="666" t="e">
        <f t="shared" si="60"/>
        <v>#VALUE!</v>
      </c>
      <c r="AQ52" s="660" t="e">
        <f t="shared" si="61"/>
        <v>#VALUE!</v>
      </c>
      <c r="AR52" s="667" t="e">
        <f t="shared" si="62"/>
        <v>#VALUE!</v>
      </c>
      <c r="AS52" s="667" t="e">
        <f t="shared" si="63"/>
        <v>#VALUE!</v>
      </c>
      <c r="AT52" s="668" t="e">
        <f t="shared" si="64"/>
        <v>#VALUE!</v>
      </c>
      <c r="AU52" s="667" t="e">
        <f t="shared" si="65"/>
        <v>#VALUE!</v>
      </c>
      <c r="AV52" s="669" t="e">
        <f t="shared" si="66"/>
        <v>#VALUE!</v>
      </c>
      <c r="AW52" s="667" t="e">
        <f t="shared" si="67"/>
        <v>#VALUE!</v>
      </c>
      <c r="AX52" s="667" t="e">
        <f t="shared" si="68"/>
        <v>#VALUE!</v>
      </c>
      <c r="AY52" s="660" t="e">
        <f t="shared" si="69"/>
        <v>#VALUE!</v>
      </c>
      <c r="AZ52" s="670" t="e">
        <f t="shared" si="70"/>
        <v>#VALUE!</v>
      </c>
      <c r="BA52" s="641"/>
      <c r="BB52" s="662" t="e">
        <f>INDEX('Vessel Gauging Data'!$B$26:$V$56,MATCH($C52,'Vessel Gauging Data'!$B$26:$B$56,0),$BB$18)</f>
        <v>#N/A</v>
      </c>
      <c r="BC52" s="662" t="e">
        <f>INDEX('Vessel Gauging Data'!$B$26:$V$56,MATCH($C52,'Vessel Gauging Data'!$B$26:$B$56,0),$BC$18)</f>
        <v>#N/A</v>
      </c>
      <c r="BD52" s="662" t="e">
        <f>INDEX('Vessel Gauging Data'!$B$26:$V$56,MATCH($C52,'Vessel Gauging Data'!$B$26:$B$56,0),$BD$18)</f>
        <v>#N/A</v>
      </c>
      <c r="BE52" s="662" t="e">
        <f>INDEX('Vessel Gauging Data'!$B$26:$V$56,MATCH($C52,'Vessel Gauging Data'!$B$26:$B$56,0),$BE$18)</f>
        <v>#N/A</v>
      </c>
    </row>
    <row r="53" spans="1:57" ht="15" hidden="1">
      <c r="A53" s="641" t="str">
        <f t="shared" si="38"/>
        <v>N</v>
      </c>
      <c r="B53" s="641"/>
      <c r="C53" s="235" t="str">
        <f t="array" ref="C53">IF(OR($E$44="",SUMPRODUCT(('Vessel Gauging Data'!$C$27:$C$56=$E$44)*1)&lt;ROWS($C$45:$C53)),"",INDEX('Vessel Gauging Data'!$B$27:$B$56,SMALL(IF(('Vessel Gauging Data'!$C$27:$C$56=$E$44),ROW('Vessel Gauging Data'!$B$27:$B$56)-ROW('Vessel Gauging Data'!$C$26)),ROW()-ROW(C$44))))</f>
        <v/>
      </c>
      <c r="D53" s="211" t="str">
        <f>IF(OR($C53="",$C53=0),"",INDEX('Vessel Gauging Data'!$B$26:$V$56,MATCH($C53,'Vessel Gauging Data'!$B$27:$B$56,0)+1,2))</f>
        <v/>
      </c>
      <c r="E53" s="1016" t="str">
        <f t="shared" si="39"/>
        <v/>
      </c>
      <c r="F53" s="1016" t="str">
        <f t="shared" si="40"/>
        <v/>
      </c>
      <c r="G53" s="1016" t="str">
        <f t="shared" si="41"/>
        <v/>
      </c>
      <c r="H53" s="1016" t="str">
        <f t="shared" si="42"/>
        <v/>
      </c>
      <c r="I53" s="211" t="str">
        <f t="shared" si="43"/>
        <v/>
      </c>
      <c r="J53" s="1016" t="str">
        <f t="shared" si="44"/>
        <v/>
      </c>
      <c r="K53" s="213" t="str">
        <f t="shared" si="45"/>
        <v/>
      </c>
      <c r="L53" s="212" t="str">
        <f t="shared" si="46"/>
        <v/>
      </c>
      <c r="M53" s="1125" t="str">
        <f>IF(OR($C53="",$C53=0),"",INDEX(API1DENST,MATCH($C53,'Vessel Gauging Data'!$B$27:$B$56,0),$AA$1))</f>
        <v/>
      </c>
      <c r="N53" s="212" t="str">
        <f t="shared" si="47"/>
        <v/>
      </c>
      <c r="O53" s="1016" t="str">
        <f t="shared" si="71"/>
        <v/>
      </c>
      <c r="P53" s="1125" t="str">
        <f t="shared" si="72"/>
        <v/>
      </c>
      <c r="Q53" s="1016" t="str">
        <f t="shared" si="73"/>
        <v/>
      </c>
      <c r="R53" s="214" t="str">
        <f t="shared" si="74"/>
        <v/>
      </c>
      <c r="S53" s="1125" t="str">
        <f t="shared" si="48"/>
        <v/>
      </c>
      <c r="T53" s="236" t="str">
        <f t="shared" si="75"/>
        <v/>
      </c>
      <c r="U53" s="641"/>
      <c r="V53" s="642" t="e">
        <f>INDEX('Vessel Gauging Data'!$B$26:$V$56,MATCH($C53,'Vessel Gauging Data'!$B$26:$B$56,0),$V$18)</f>
        <v>#N/A</v>
      </c>
      <c r="W53" s="642" t="e">
        <f>INDEX('Vessel Gauging Data'!$B$26:$V$56,MATCH($C53,'Vessel Gauging Data'!$B$26:$B$56,0),$W$18)</f>
        <v>#N/A</v>
      </c>
      <c r="X53" s="642" t="e">
        <f>INDEX('Vessel Gauging Data'!$B$26:$V$56,MATCH($C53,'Vessel Gauging Data'!$B$26:$B$56,0),$X$18)</f>
        <v>#N/A</v>
      </c>
      <c r="Y53" s="642" t="e">
        <f>INDEX('Vessel Gauging Data'!$B$26:$V$56,MATCH($C53,'Vessel Gauging Data'!$B$26:$B$56,0),$Y$18)</f>
        <v>#N/A</v>
      </c>
      <c r="Z53" s="642" t="e">
        <f>INDEX('Vessel Gauging Data'!$B$26:$V$56,MATCH($C53,'Vessel Gauging Data'!$B$26:$B$56,0),$Z$18)</f>
        <v>#N/A</v>
      </c>
      <c r="AA53" s="641"/>
      <c r="AB53" s="642" t="e">
        <f>INDEX(API1DENST,MATCH($C53,'Vessel Gauging Data'!$B$27:$B$56,0),1)</f>
        <v>#N/A</v>
      </c>
      <c r="AC53" s="642" t="e">
        <f t="shared" si="49"/>
        <v>#N/A</v>
      </c>
      <c r="AD53" s="641"/>
      <c r="AE53" s="661" t="e">
        <f t="shared" si="50"/>
        <v>#VALUE!</v>
      </c>
      <c r="AF53" s="661" t="e">
        <f t="shared" si="51"/>
        <v>#VALUE!</v>
      </c>
      <c r="AG53" s="641"/>
      <c r="AH53" s="662" t="str">
        <f t="shared" si="52"/>
        <v/>
      </c>
      <c r="AI53" s="662" t="str">
        <f t="shared" si="53"/>
        <v/>
      </c>
      <c r="AJ53" s="663">
        <f t="shared" si="54"/>
        <v>192.4571</v>
      </c>
      <c r="AK53" s="660">
        <f t="shared" si="55"/>
        <v>0.24379999999999999</v>
      </c>
      <c r="AL53" s="660" t="e">
        <f t="shared" si="56"/>
        <v>#VALUE!</v>
      </c>
      <c r="AM53" s="664" t="e">
        <f t="shared" si="57"/>
        <v>#VALUE!</v>
      </c>
      <c r="AN53" s="664" t="e">
        <f t="shared" si="58"/>
        <v>#VALUE!</v>
      </c>
      <c r="AO53" s="665" t="e">
        <f t="shared" si="59"/>
        <v>#VALUE!</v>
      </c>
      <c r="AP53" s="666" t="e">
        <f t="shared" si="60"/>
        <v>#VALUE!</v>
      </c>
      <c r="AQ53" s="660" t="e">
        <f t="shared" si="61"/>
        <v>#VALUE!</v>
      </c>
      <c r="AR53" s="667" t="e">
        <f t="shared" si="62"/>
        <v>#VALUE!</v>
      </c>
      <c r="AS53" s="667" t="e">
        <f t="shared" si="63"/>
        <v>#VALUE!</v>
      </c>
      <c r="AT53" s="668" t="e">
        <f t="shared" si="64"/>
        <v>#VALUE!</v>
      </c>
      <c r="AU53" s="667" t="e">
        <f t="shared" si="65"/>
        <v>#VALUE!</v>
      </c>
      <c r="AV53" s="669" t="e">
        <f t="shared" si="66"/>
        <v>#VALUE!</v>
      </c>
      <c r="AW53" s="667" t="e">
        <f t="shared" si="67"/>
        <v>#VALUE!</v>
      </c>
      <c r="AX53" s="667" t="e">
        <f t="shared" si="68"/>
        <v>#VALUE!</v>
      </c>
      <c r="AY53" s="660" t="e">
        <f t="shared" si="69"/>
        <v>#VALUE!</v>
      </c>
      <c r="AZ53" s="670" t="e">
        <f t="shared" si="70"/>
        <v>#VALUE!</v>
      </c>
      <c r="BA53" s="641"/>
      <c r="BB53" s="662" t="e">
        <f>INDEX('Vessel Gauging Data'!$B$26:$V$56,MATCH($C53,'Vessel Gauging Data'!$B$26:$B$56,0),$BB$18)</f>
        <v>#N/A</v>
      </c>
      <c r="BC53" s="662" t="e">
        <f>INDEX('Vessel Gauging Data'!$B$26:$V$56,MATCH($C53,'Vessel Gauging Data'!$B$26:$B$56,0),$BC$18)</f>
        <v>#N/A</v>
      </c>
      <c r="BD53" s="662" t="e">
        <f>INDEX('Vessel Gauging Data'!$B$26:$V$56,MATCH($C53,'Vessel Gauging Data'!$B$26:$B$56,0),$BD$18)</f>
        <v>#N/A</v>
      </c>
      <c r="BE53" s="662" t="e">
        <f>INDEX('Vessel Gauging Data'!$B$26:$V$56,MATCH($C53,'Vessel Gauging Data'!$B$26:$B$56,0),$BE$18)</f>
        <v>#N/A</v>
      </c>
    </row>
    <row r="54" spans="1:57" ht="15" hidden="1">
      <c r="A54" s="641" t="str">
        <f t="shared" si="38"/>
        <v>N</v>
      </c>
      <c r="B54" s="641"/>
      <c r="C54" s="235" t="str">
        <f t="array" ref="C54">IF(OR($E$44="",SUMPRODUCT(('Vessel Gauging Data'!$C$27:$C$56=$E$44)*1)&lt;ROWS($C$45:$C54)),"",INDEX('Vessel Gauging Data'!$B$27:$B$56,SMALL(IF(('Vessel Gauging Data'!$C$27:$C$56=$E$44),ROW('Vessel Gauging Data'!$B$27:$B$56)-ROW('Vessel Gauging Data'!$C$26)),ROW()-ROW(C$44))))</f>
        <v/>
      </c>
      <c r="D54" s="211" t="str">
        <f>IF(OR($C54="",$C54=0),"",INDEX('Vessel Gauging Data'!$B$26:$V$56,MATCH($C54,'Vessel Gauging Data'!$B$27:$B$56,0)+1,2))</f>
        <v/>
      </c>
      <c r="E54" s="1016" t="str">
        <f t="shared" si="39"/>
        <v/>
      </c>
      <c r="F54" s="1016" t="str">
        <f t="shared" si="40"/>
        <v/>
      </c>
      <c r="G54" s="1016" t="str">
        <f t="shared" si="41"/>
        <v/>
      </c>
      <c r="H54" s="1016" t="str">
        <f t="shared" si="42"/>
        <v/>
      </c>
      <c r="I54" s="211" t="str">
        <f t="shared" si="43"/>
        <v/>
      </c>
      <c r="J54" s="1016" t="str">
        <f t="shared" si="44"/>
        <v/>
      </c>
      <c r="K54" s="213" t="str">
        <f t="shared" si="45"/>
        <v/>
      </c>
      <c r="L54" s="212" t="str">
        <f t="shared" si="46"/>
        <v/>
      </c>
      <c r="M54" s="1125" t="str">
        <f>IF(OR($C54="",$C54=0),"",INDEX(API1DENST,MATCH($C54,'Vessel Gauging Data'!$B$27:$B$56,0),$AA$1))</f>
        <v/>
      </c>
      <c r="N54" s="212" t="str">
        <f t="shared" si="47"/>
        <v/>
      </c>
      <c r="O54" s="1016" t="str">
        <f t="shared" si="71"/>
        <v/>
      </c>
      <c r="P54" s="1125" t="str">
        <f t="shared" si="72"/>
        <v/>
      </c>
      <c r="Q54" s="1016" t="str">
        <f t="shared" si="73"/>
        <v/>
      </c>
      <c r="R54" s="214" t="str">
        <f t="shared" si="74"/>
        <v/>
      </c>
      <c r="S54" s="1125" t="str">
        <f t="shared" si="48"/>
        <v/>
      </c>
      <c r="T54" s="236" t="str">
        <f t="shared" si="75"/>
        <v/>
      </c>
      <c r="U54" s="641"/>
      <c r="V54" s="642" t="e">
        <f>INDEX('Vessel Gauging Data'!$B$26:$V$56,MATCH($C54,'Vessel Gauging Data'!$B$26:$B$56,0),$V$18)</f>
        <v>#N/A</v>
      </c>
      <c r="W54" s="642" t="e">
        <f>INDEX('Vessel Gauging Data'!$B$26:$V$56,MATCH($C54,'Vessel Gauging Data'!$B$26:$B$56,0),$W$18)</f>
        <v>#N/A</v>
      </c>
      <c r="X54" s="642" t="e">
        <f>INDEX('Vessel Gauging Data'!$B$26:$V$56,MATCH($C54,'Vessel Gauging Data'!$B$26:$B$56,0),$X$18)</f>
        <v>#N/A</v>
      </c>
      <c r="Y54" s="642" t="e">
        <f>INDEX('Vessel Gauging Data'!$B$26:$V$56,MATCH($C54,'Vessel Gauging Data'!$B$26:$B$56,0),$Y$18)</f>
        <v>#N/A</v>
      </c>
      <c r="Z54" s="642" t="e">
        <f>INDEX('Vessel Gauging Data'!$B$26:$V$56,MATCH($C54,'Vessel Gauging Data'!$B$26:$B$56,0),$Z$18)</f>
        <v>#N/A</v>
      </c>
      <c r="AA54" s="641"/>
      <c r="AB54" s="642" t="e">
        <f>INDEX(API1DENST,MATCH($C54,'Vessel Gauging Data'!$B$27:$B$56,0),1)</f>
        <v>#N/A</v>
      </c>
      <c r="AC54" s="642" t="e">
        <f t="shared" si="49"/>
        <v>#N/A</v>
      </c>
      <c r="AD54" s="641"/>
      <c r="AE54" s="661" t="e">
        <f t="shared" si="50"/>
        <v>#VALUE!</v>
      </c>
      <c r="AF54" s="661" t="e">
        <f t="shared" si="51"/>
        <v>#VALUE!</v>
      </c>
      <c r="AG54" s="641"/>
      <c r="AH54" s="662" t="str">
        <f t="shared" si="52"/>
        <v/>
      </c>
      <c r="AI54" s="662" t="str">
        <f t="shared" si="53"/>
        <v/>
      </c>
      <c r="AJ54" s="663">
        <f t="shared" si="54"/>
        <v>192.4571</v>
      </c>
      <c r="AK54" s="660">
        <f t="shared" si="55"/>
        <v>0.24379999999999999</v>
      </c>
      <c r="AL54" s="660" t="e">
        <f t="shared" si="56"/>
        <v>#VALUE!</v>
      </c>
      <c r="AM54" s="664" t="e">
        <f t="shared" si="57"/>
        <v>#VALUE!</v>
      </c>
      <c r="AN54" s="664" t="e">
        <f t="shared" si="58"/>
        <v>#VALUE!</v>
      </c>
      <c r="AO54" s="665" t="e">
        <f t="shared" si="59"/>
        <v>#VALUE!</v>
      </c>
      <c r="AP54" s="666" t="e">
        <f t="shared" si="60"/>
        <v>#VALUE!</v>
      </c>
      <c r="AQ54" s="660" t="e">
        <f t="shared" si="61"/>
        <v>#VALUE!</v>
      </c>
      <c r="AR54" s="667" t="e">
        <f t="shared" si="62"/>
        <v>#VALUE!</v>
      </c>
      <c r="AS54" s="667" t="e">
        <f t="shared" si="63"/>
        <v>#VALUE!</v>
      </c>
      <c r="AT54" s="668" t="e">
        <f t="shared" si="64"/>
        <v>#VALUE!</v>
      </c>
      <c r="AU54" s="667" t="e">
        <f t="shared" si="65"/>
        <v>#VALUE!</v>
      </c>
      <c r="AV54" s="669" t="e">
        <f t="shared" si="66"/>
        <v>#VALUE!</v>
      </c>
      <c r="AW54" s="667" t="e">
        <f t="shared" si="67"/>
        <v>#VALUE!</v>
      </c>
      <c r="AX54" s="667" t="e">
        <f t="shared" si="68"/>
        <v>#VALUE!</v>
      </c>
      <c r="AY54" s="660" t="e">
        <f t="shared" si="69"/>
        <v>#VALUE!</v>
      </c>
      <c r="AZ54" s="670" t="e">
        <f t="shared" si="70"/>
        <v>#VALUE!</v>
      </c>
      <c r="BA54" s="641"/>
      <c r="BB54" s="662" t="e">
        <f>INDEX('Vessel Gauging Data'!$B$26:$V$56,MATCH($C54,'Vessel Gauging Data'!$B$26:$B$56,0),$BB$18)</f>
        <v>#N/A</v>
      </c>
      <c r="BC54" s="662" t="e">
        <f>INDEX('Vessel Gauging Data'!$B$26:$V$56,MATCH($C54,'Vessel Gauging Data'!$B$26:$B$56,0),$BC$18)</f>
        <v>#N/A</v>
      </c>
      <c r="BD54" s="662" t="e">
        <f>INDEX('Vessel Gauging Data'!$B$26:$V$56,MATCH($C54,'Vessel Gauging Data'!$B$26:$B$56,0),$BD$18)</f>
        <v>#N/A</v>
      </c>
      <c r="BE54" s="662" t="e">
        <f>INDEX('Vessel Gauging Data'!$B$26:$V$56,MATCH($C54,'Vessel Gauging Data'!$B$26:$B$56,0),$BE$18)</f>
        <v>#N/A</v>
      </c>
    </row>
    <row r="55" spans="1:57" ht="15" hidden="1">
      <c r="A55" s="641" t="str">
        <f t="shared" si="38"/>
        <v>N</v>
      </c>
      <c r="B55" s="641"/>
      <c r="C55" s="235" t="str">
        <f t="array" ref="C55">IF(OR($E$44="",SUMPRODUCT(('Vessel Gauging Data'!$C$27:$C$56=$E$44)*1)&lt;ROWS($C$45:$C55)),"",INDEX('Vessel Gauging Data'!$B$27:$B$56,SMALL(IF(('Vessel Gauging Data'!$C$27:$C$56=$E$44),ROW('Vessel Gauging Data'!$B$27:$B$56)-ROW('Vessel Gauging Data'!$C$26)),ROW()-ROW(C$44))))</f>
        <v/>
      </c>
      <c r="D55" s="211" t="str">
        <f>IF(OR($C55="",$C55=0),"",INDEX('Vessel Gauging Data'!$B$26:$V$56,MATCH($C55,'Vessel Gauging Data'!$B$27:$B$56,0)+1,2))</f>
        <v/>
      </c>
      <c r="E55" s="1016" t="str">
        <f t="shared" si="39"/>
        <v/>
      </c>
      <c r="F55" s="1016" t="str">
        <f t="shared" si="40"/>
        <v/>
      </c>
      <c r="G55" s="1016" t="str">
        <f t="shared" si="41"/>
        <v/>
      </c>
      <c r="H55" s="1016" t="str">
        <f t="shared" si="42"/>
        <v/>
      </c>
      <c r="I55" s="211" t="str">
        <f t="shared" si="43"/>
        <v/>
      </c>
      <c r="J55" s="1016" t="str">
        <f t="shared" si="44"/>
        <v/>
      </c>
      <c r="K55" s="213" t="str">
        <f t="shared" si="45"/>
        <v/>
      </c>
      <c r="L55" s="212" t="str">
        <f t="shared" si="46"/>
        <v/>
      </c>
      <c r="M55" s="1125" t="str">
        <f>IF(OR($C55="",$C55=0),"",INDEX(API1DENST,MATCH($C55,'Vessel Gauging Data'!$B$27:$B$56,0),$AA$1))</f>
        <v/>
      </c>
      <c r="N55" s="212" t="str">
        <f t="shared" si="47"/>
        <v/>
      </c>
      <c r="O55" s="1016" t="str">
        <f t="shared" si="71"/>
        <v/>
      </c>
      <c r="P55" s="1125" t="str">
        <f t="shared" si="72"/>
        <v/>
      </c>
      <c r="Q55" s="1016" t="str">
        <f t="shared" si="73"/>
        <v/>
      </c>
      <c r="R55" s="214" t="str">
        <f t="shared" si="74"/>
        <v/>
      </c>
      <c r="S55" s="1125" t="str">
        <f t="shared" si="48"/>
        <v/>
      </c>
      <c r="T55" s="236" t="str">
        <f t="shared" si="75"/>
        <v/>
      </c>
      <c r="U55" s="641"/>
      <c r="V55" s="642" t="e">
        <f>INDEX('Vessel Gauging Data'!$B$26:$V$56,MATCH($C55,'Vessel Gauging Data'!$B$26:$B$56,0),$V$18)</f>
        <v>#N/A</v>
      </c>
      <c r="W55" s="642" t="e">
        <f>INDEX('Vessel Gauging Data'!$B$26:$V$56,MATCH($C55,'Vessel Gauging Data'!$B$26:$B$56,0),$W$18)</f>
        <v>#N/A</v>
      </c>
      <c r="X55" s="642" t="e">
        <f>INDEX('Vessel Gauging Data'!$B$26:$V$56,MATCH($C55,'Vessel Gauging Data'!$B$26:$B$56,0),$X$18)</f>
        <v>#N/A</v>
      </c>
      <c r="Y55" s="642" t="e">
        <f>INDEX('Vessel Gauging Data'!$B$26:$V$56,MATCH($C55,'Vessel Gauging Data'!$B$26:$B$56,0),$Y$18)</f>
        <v>#N/A</v>
      </c>
      <c r="Z55" s="642" t="e">
        <f>INDEX('Vessel Gauging Data'!$B$26:$V$56,MATCH($C55,'Vessel Gauging Data'!$B$26:$B$56,0),$Z$18)</f>
        <v>#N/A</v>
      </c>
      <c r="AA55" s="641"/>
      <c r="AB55" s="642" t="e">
        <f>INDEX(API1DENST,MATCH($C55,'Vessel Gauging Data'!$B$27:$B$56,0),1)</f>
        <v>#N/A</v>
      </c>
      <c r="AC55" s="642" t="e">
        <f t="shared" si="49"/>
        <v>#N/A</v>
      </c>
      <c r="AD55" s="641"/>
      <c r="AE55" s="661" t="e">
        <f t="shared" si="50"/>
        <v>#VALUE!</v>
      </c>
      <c r="AF55" s="661" t="e">
        <f t="shared" si="51"/>
        <v>#VALUE!</v>
      </c>
      <c r="AG55" s="641"/>
      <c r="AH55" s="662" t="str">
        <f t="shared" si="52"/>
        <v/>
      </c>
      <c r="AI55" s="662" t="str">
        <f t="shared" si="53"/>
        <v/>
      </c>
      <c r="AJ55" s="663">
        <f t="shared" si="54"/>
        <v>192.4571</v>
      </c>
      <c r="AK55" s="660">
        <f t="shared" si="55"/>
        <v>0.24379999999999999</v>
      </c>
      <c r="AL55" s="660" t="e">
        <f t="shared" si="56"/>
        <v>#VALUE!</v>
      </c>
      <c r="AM55" s="664" t="e">
        <f t="shared" si="57"/>
        <v>#VALUE!</v>
      </c>
      <c r="AN55" s="664" t="e">
        <f t="shared" si="58"/>
        <v>#VALUE!</v>
      </c>
      <c r="AO55" s="665" t="e">
        <f t="shared" si="59"/>
        <v>#VALUE!</v>
      </c>
      <c r="AP55" s="666" t="e">
        <f t="shared" si="60"/>
        <v>#VALUE!</v>
      </c>
      <c r="AQ55" s="660" t="e">
        <f t="shared" si="61"/>
        <v>#VALUE!</v>
      </c>
      <c r="AR55" s="667" t="e">
        <f t="shared" si="62"/>
        <v>#VALUE!</v>
      </c>
      <c r="AS55" s="667" t="e">
        <f t="shared" si="63"/>
        <v>#VALUE!</v>
      </c>
      <c r="AT55" s="668" t="e">
        <f t="shared" si="64"/>
        <v>#VALUE!</v>
      </c>
      <c r="AU55" s="667" t="e">
        <f t="shared" si="65"/>
        <v>#VALUE!</v>
      </c>
      <c r="AV55" s="669" t="e">
        <f t="shared" si="66"/>
        <v>#VALUE!</v>
      </c>
      <c r="AW55" s="667" t="e">
        <f t="shared" si="67"/>
        <v>#VALUE!</v>
      </c>
      <c r="AX55" s="667" t="e">
        <f t="shared" si="68"/>
        <v>#VALUE!</v>
      </c>
      <c r="AY55" s="660" t="e">
        <f t="shared" si="69"/>
        <v>#VALUE!</v>
      </c>
      <c r="AZ55" s="670" t="e">
        <f t="shared" si="70"/>
        <v>#VALUE!</v>
      </c>
      <c r="BA55" s="641"/>
      <c r="BB55" s="662" t="e">
        <f>INDEX('Vessel Gauging Data'!$B$26:$V$56,MATCH($C55,'Vessel Gauging Data'!$B$26:$B$56,0),$BB$18)</f>
        <v>#N/A</v>
      </c>
      <c r="BC55" s="662" t="e">
        <f>INDEX('Vessel Gauging Data'!$B$26:$V$56,MATCH($C55,'Vessel Gauging Data'!$B$26:$B$56,0),$BC$18)</f>
        <v>#N/A</v>
      </c>
      <c r="BD55" s="662" t="e">
        <f>INDEX('Vessel Gauging Data'!$B$26:$V$56,MATCH($C55,'Vessel Gauging Data'!$B$26:$B$56,0),$BD$18)</f>
        <v>#N/A</v>
      </c>
      <c r="BE55" s="662" t="e">
        <f>INDEX('Vessel Gauging Data'!$B$26:$V$56,MATCH($C55,'Vessel Gauging Data'!$B$26:$B$56,0),$BE$18)</f>
        <v>#N/A</v>
      </c>
    </row>
    <row r="56" spans="1:57" ht="15" hidden="1">
      <c r="A56" s="641" t="str">
        <f t="shared" si="38"/>
        <v>N</v>
      </c>
      <c r="B56" s="641"/>
      <c r="C56" s="235" t="str">
        <f t="array" ref="C56">IF(OR($E$44="",SUMPRODUCT(('Vessel Gauging Data'!$C$27:$C$56=$E$44)*1)&lt;ROWS($C$45:$C56)),"",INDEX('Vessel Gauging Data'!$B$27:$B$56,SMALL(IF(('Vessel Gauging Data'!$C$27:$C$56=$E$44),ROW('Vessel Gauging Data'!$B$27:$B$56)-ROW('Vessel Gauging Data'!$C$26)),ROW()-ROW(C$44))))</f>
        <v/>
      </c>
      <c r="D56" s="211" t="str">
        <f>IF(OR($C56="",$C56=0),"",INDEX('Vessel Gauging Data'!$B$26:$V$56,MATCH($C56,'Vessel Gauging Data'!$B$27:$B$56,0)+1,2))</f>
        <v/>
      </c>
      <c r="E56" s="1016" t="str">
        <f t="shared" si="39"/>
        <v/>
      </c>
      <c r="F56" s="1016" t="str">
        <f t="shared" si="40"/>
        <v/>
      </c>
      <c r="G56" s="1016" t="str">
        <f t="shared" si="41"/>
        <v/>
      </c>
      <c r="H56" s="1016" t="str">
        <f t="shared" si="42"/>
        <v/>
      </c>
      <c r="I56" s="211" t="str">
        <f t="shared" si="43"/>
        <v/>
      </c>
      <c r="J56" s="1016" t="str">
        <f t="shared" si="44"/>
        <v/>
      </c>
      <c r="K56" s="213" t="str">
        <f t="shared" si="45"/>
        <v/>
      </c>
      <c r="L56" s="212" t="str">
        <f t="shared" si="46"/>
        <v/>
      </c>
      <c r="M56" s="1125" t="str">
        <f>IF(OR($C56="",$C56=0),"",INDEX(API1DENST,MATCH($C56,'Vessel Gauging Data'!$B$27:$B$56,0),$AA$1))</f>
        <v/>
      </c>
      <c r="N56" s="212" t="str">
        <f t="shared" si="47"/>
        <v/>
      </c>
      <c r="O56" s="1016" t="str">
        <f t="shared" si="71"/>
        <v/>
      </c>
      <c r="P56" s="1125" t="str">
        <f t="shared" si="72"/>
        <v/>
      </c>
      <c r="Q56" s="1016" t="str">
        <f t="shared" si="73"/>
        <v/>
      </c>
      <c r="R56" s="214" t="str">
        <f t="shared" si="74"/>
        <v/>
      </c>
      <c r="S56" s="1125" t="str">
        <f t="shared" si="48"/>
        <v/>
      </c>
      <c r="T56" s="236" t="str">
        <f t="shared" si="75"/>
        <v/>
      </c>
      <c r="U56" s="641"/>
      <c r="V56" s="642" t="e">
        <f>INDEX('Vessel Gauging Data'!$B$26:$V$56,MATCH($C56,'Vessel Gauging Data'!$B$26:$B$56,0),$V$18)</f>
        <v>#N/A</v>
      </c>
      <c r="W56" s="642" t="e">
        <f>INDEX('Vessel Gauging Data'!$B$26:$V$56,MATCH($C56,'Vessel Gauging Data'!$B$26:$B$56,0),$W$18)</f>
        <v>#N/A</v>
      </c>
      <c r="X56" s="642" t="e">
        <f>INDEX('Vessel Gauging Data'!$B$26:$V$56,MATCH($C56,'Vessel Gauging Data'!$B$26:$B$56,0),$X$18)</f>
        <v>#N/A</v>
      </c>
      <c r="Y56" s="642" t="e">
        <f>INDEX('Vessel Gauging Data'!$B$26:$V$56,MATCH($C56,'Vessel Gauging Data'!$B$26:$B$56,0),$Y$18)</f>
        <v>#N/A</v>
      </c>
      <c r="Z56" s="642" t="e">
        <f>INDEX('Vessel Gauging Data'!$B$26:$V$56,MATCH($C56,'Vessel Gauging Data'!$B$26:$B$56,0),$Z$18)</f>
        <v>#N/A</v>
      </c>
      <c r="AA56" s="641"/>
      <c r="AB56" s="642" t="e">
        <f>INDEX(API1DENST,MATCH($C56,'Vessel Gauging Data'!$B$27:$B$56,0),1)</f>
        <v>#N/A</v>
      </c>
      <c r="AC56" s="642" t="e">
        <f t="shared" si="49"/>
        <v>#N/A</v>
      </c>
      <c r="AD56" s="641"/>
      <c r="AE56" s="661" t="e">
        <f t="shared" si="50"/>
        <v>#VALUE!</v>
      </c>
      <c r="AF56" s="661" t="e">
        <f t="shared" si="51"/>
        <v>#VALUE!</v>
      </c>
      <c r="AG56" s="641"/>
      <c r="AH56" s="662" t="str">
        <f t="shared" si="52"/>
        <v/>
      </c>
      <c r="AI56" s="662" t="str">
        <f t="shared" si="53"/>
        <v/>
      </c>
      <c r="AJ56" s="663">
        <f t="shared" si="54"/>
        <v>192.4571</v>
      </c>
      <c r="AK56" s="660">
        <f t="shared" si="55"/>
        <v>0.24379999999999999</v>
      </c>
      <c r="AL56" s="660" t="e">
        <f t="shared" si="56"/>
        <v>#VALUE!</v>
      </c>
      <c r="AM56" s="664" t="e">
        <f t="shared" si="57"/>
        <v>#VALUE!</v>
      </c>
      <c r="AN56" s="664" t="e">
        <f t="shared" si="58"/>
        <v>#VALUE!</v>
      </c>
      <c r="AO56" s="665" t="e">
        <f t="shared" si="59"/>
        <v>#VALUE!</v>
      </c>
      <c r="AP56" s="666" t="e">
        <f t="shared" si="60"/>
        <v>#VALUE!</v>
      </c>
      <c r="AQ56" s="660" t="e">
        <f t="shared" si="61"/>
        <v>#VALUE!</v>
      </c>
      <c r="AR56" s="667" t="e">
        <f t="shared" si="62"/>
        <v>#VALUE!</v>
      </c>
      <c r="AS56" s="667" t="e">
        <f t="shared" si="63"/>
        <v>#VALUE!</v>
      </c>
      <c r="AT56" s="668" t="e">
        <f t="shared" si="64"/>
        <v>#VALUE!</v>
      </c>
      <c r="AU56" s="667" t="e">
        <f t="shared" si="65"/>
        <v>#VALUE!</v>
      </c>
      <c r="AV56" s="669" t="e">
        <f t="shared" si="66"/>
        <v>#VALUE!</v>
      </c>
      <c r="AW56" s="667" t="e">
        <f t="shared" si="67"/>
        <v>#VALUE!</v>
      </c>
      <c r="AX56" s="667" t="e">
        <f t="shared" si="68"/>
        <v>#VALUE!</v>
      </c>
      <c r="AY56" s="660" t="e">
        <f t="shared" si="69"/>
        <v>#VALUE!</v>
      </c>
      <c r="AZ56" s="670" t="e">
        <f t="shared" si="70"/>
        <v>#VALUE!</v>
      </c>
      <c r="BA56" s="641"/>
      <c r="BB56" s="662" t="e">
        <f>INDEX('Vessel Gauging Data'!$B$26:$V$56,MATCH($C56,'Vessel Gauging Data'!$B$26:$B$56,0),$BB$18)</f>
        <v>#N/A</v>
      </c>
      <c r="BC56" s="662" t="e">
        <f>INDEX('Vessel Gauging Data'!$B$26:$V$56,MATCH($C56,'Vessel Gauging Data'!$B$26:$B$56,0),$BC$18)</f>
        <v>#N/A</v>
      </c>
      <c r="BD56" s="662" t="e">
        <f>INDEX('Vessel Gauging Data'!$B$26:$V$56,MATCH($C56,'Vessel Gauging Data'!$B$26:$B$56,0),$BD$18)</f>
        <v>#N/A</v>
      </c>
      <c r="BE56" s="662" t="e">
        <f>INDEX('Vessel Gauging Data'!$B$26:$V$56,MATCH($C56,'Vessel Gauging Data'!$B$26:$B$56,0),$BE$18)</f>
        <v>#N/A</v>
      </c>
    </row>
    <row r="57" spans="1:57" ht="15" hidden="1">
      <c r="A57" s="641" t="str">
        <f t="shared" si="38"/>
        <v>N</v>
      </c>
      <c r="B57" s="641"/>
      <c r="C57" s="235" t="str">
        <f t="array" ref="C57">IF(OR($E$44="",SUMPRODUCT(('Vessel Gauging Data'!$C$27:$C$56=$E$44)*1)&lt;ROWS($C$45:$C57)),"",INDEX('Vessel Gauging Data'!$B$27:$B$56,SMALL(IF(('Vessel Gauging Data'!$C$27:$C$56=$E$44),ROW('Vessel Gauging Data'!$B$27:$B$56)-ROW('Vessel Gauging Data'!$C$26)),ROW()-ROW(C$44))))</f>
        <v/>
      </c>
      <c r="D57" s="211" t="str">
        <f>IF(OR($C57="",$C57=0),"",INDEX('Vessel Gauging Data'!$B$26:$V$56,MATCH($C57,'Vessel Gauging Data'!$B$27:$B$56,0)+1,2))</f>
        <v/>
      </c>
      <c r="E57" s="1016" t="str">
        <f t="shared" si="39"/>
        <v/>
      </c>
      <c r="F57" s="1016" t="str">
        <f t="shared" si="40"/>
        <v/>
      </c>
      <c r="G57" s="1016" t="str">
        <f t="shared" si="41"/>
        <v/>
      </c>
      <c r="H57" s="1016" t="str">
        <f t="shared" si="42"/>
        <v/>
      </c>
      <c r="I57" s="211" t="str">
        <f t="shared" si="43"/>
        <v/>
      </c>
      <c r="J57" s="1016" t="str">
        <f t="shared" si="44"/>
        <v/>
      </c>
      <c r="K57" s="213" t="str">
        <f t="shared" si="45"/>
        <v/>
      </c>
      <c r="L57" s="212" t="str">
        <f t="shared" si="46"/>
        <v/>
      </c>
      <c r="M57" s="1125" t="str">
        <f>IF(OR($C57="",$C57=0),"",INDEX(API1DENST,MATCH($C57,'Vessel Gauging Data'!$B$27:$B$56,0),$AA$1))</f>
        <v/>
      </c>
      <c r="N57" s="212" t="str">
        <f t="shared" si="47"/>
        <v/>
      </c>
      <c r="O57" s="1016" t="str">
        <f t="shared" si="71"/>
        <v/>
      </c>
      <c r="P57" s="1125" t="str">
        <f t="shared" si="72"/>
        <v/>
      </c>
      <c r="Q57" s="1016" t="str">
        <f t="shared" si="73"/>
        <v/>
      </c>
      <c r="R57" s="214" t="str">
        <f t="shared" si="74"/>
        <v/>
      </c>
      <c r="S57" s="1125" t="str">
        <f t="shared" si="48"/>
        <v/>
      </c>
      <c r="T57" s="236" t="str">
        <f t="shared" si="75"/>
        <v/>
      </c>
      <c r="U57" s="641"/>
      <c r="V57" s="642" t="e">
        <f>INDEX('Vessel Gauging Data'!$B$26:$V$56,MATCH($C57,'Vessel Gauging Data'!$B$26:$B$56,0),$V$18)</f>
        <v>#N/A</v>
      </c>
      <c r="W57" s="642" t="e">
        <f>INDEX('Vessel Gauging Data'!$B$26:$V$56,MATCH($C57,'Vessel Gauging Data'!$B$26:$B$56,0),$W$18)</f>
        <v>#N/A</v>
      </c>
      <c r="X57" s="642" t="e">
        <f>INDEX('Vessel Gauging Data'!$B$26:$V$56,MATCH($C57,'Vessel Gauging Data'!$B$26:$B$56,0),$X$18)</f>
        <v>#N/A</v>
      </c>
      <c r="Y57" s="642" t="e">
        <f>INDEX('Vessel Gauging Data'!$B$26:$V$56,MATCH($C57,'Vessel Gauging Data'!$B$26:$B$56,0),$Y$18)</f>
        <v>#N/A</v>
      </c>
      <c r="Z57" s="642" t="e">
        <f>INDEX('Vessel Gauging Data'!$B$26:$V$56,MATCH($C57,'Vessel Gauging Data'!$B$26:$B$56,0),$Z$18)</f>
        <v>#N/A</v>
      </c>
      <c r="AA57" s="641"/>
      <c r="AB57" s="642" t="e">
        <f>INDEX(API1DENST,MATCH($C57,'Vessel Gauging Data'!$B$27:$B$56,0),1)</f>
        <v>#N/A</v>
      </c>
      <c r="AC57" s="642" t="e">
        <f t="shared" si="49"/>
        <v>#N/A</v>
      </c>
      <c r="AD57" s="641"/>
      <c r="AE57" s="661" t="e">
        <f t="shared" si="50"/>
        <v>#VALUE!</v>
      </c>
      <c r="AF57" s="661" t="e">
        <f t="shared" si="51"/>
        <v>#VALUE!</v>
      </c>
      <c r="AG57" s="641"/>
      <c r="AH57" s="662" t="str">
        <f t="shared" si="52"/>
        <v/>
      </c>
      <c r="AI57" s="662" t="str">
        <f t="shared" si="53"/>
        <v/>
      </c>
      <c r="AJ57" s="663">
        <f t="shared" si="54"/>
        <v>192.4571</v>
      </c>
      <c r="AK57" s="660">
        <f t="shared" si="55"/>
        <v>0.24379999999999999</v>
      </c>
      <c r="AL57" s="660" t="e">
        <f t="shared" si="56"/>
        <v>#VALUE!</v>
      </c>
      <c r="AM57" s="664" t="e">
        <f t="shared" si="57"/>
        <v>#VALUE!</v>
      </c>
      <c r="AN57" s="664" t="e">
        <f t="shared" si="58"/>
        <v>#VALUE!</v>
      </c>
      <c r="AO57" s="665" t="e">
        <f t="shared" si="59"/>
        <v>#VALUE!</v>
      </c>
      <c r="AP57" s="666" t="e">
        <f t="shared" si="60"/>
        <v>#VALUE!</v>
      </c>
      <c r="AQ57" s="660" t="e">
        <f t="shared" si="61"/>
        <v>#VALUE!</v>
      </c>
      <c r="AR57" s="667" t="e">
        <f t="shared" si="62"/>
        <v>#VALUE!</v>
      </c>
      <c r="AS57" s="667" t="e">
        <f t="shared" si="63"/>
        <v>#VALUE!</v>
      </c>
      <c r="AT57" s="668" t="e">
        <f t="shared" si="64"/>
        <v>#VALUE!</v>
      </c>
      <c r="AU57" s="667" t="e">
        <f t="shared" si="65"/>
        <v>#VALUE!</v>
      </c>
      <c r="AV57" s="669" t="e">
        <f t="shared" si="66"/>
        <v>#VALUE!</v>
      </c>
      <c r="AW57" s="667" t="e">
        <f t="shared" si="67"/>
        <v>#VALUE!</v>
      </c>
      <c r="AX57" s="667" t="e">
        <f t="shared" si="68"/>
        <v>#VALUE!</v>
      </c>
      <c r="AY57" s="660" t="e">
        <f t="shared" si="69"/>
        <v>#VALUE!</v>
      </c>
      <c r="AZ57" s="670" t="e">
        <f t="shared" si="70"/>
        <v>#VALUE!</v>
      </c>
      <c r="BA57" s="641"/>
      <c r="BB57" s="662" t="e">
        <f>INDEX('Vessel Gauging Data'!$B$26:$V$56,MATCH($C57,'Vessel Gauging Data'!$B$26:$B$56,0),$BB$18)</f>
        <v>#N/A</v>
      </c>
      <c r="BC57" s="662" t="e">
        <f>INDEX('Vessel Gauging Data'!$B$26:$V$56,MATCH($C57,'Vessel Gauging Data'!$B$26:$B$56,0),$BC$18)</f>
        <v>#N/A</v>
      </c>
      <c r="BD57" s="662" t="e">
        <f>INDEX('Vessel Gauging Data'!$B$26:$V$56,MATCH($C57,'Vessel Gauging Data'!$B$26:$B$56,0),$BD$18)</f>
        <v>#N/A</v>
      </c>
      <c r="BE57" s="662" t="e">
        <f>INDEX('Vessel Gauging Data'!$B$26:$V$56,MATCH($C57,'Vessel Gauging Data'!$B$26:$B$56,0),$BE$18)</f>
        <v>#N/A</v>
      </c>
    </row>
    <row r="58" spans="1:57" ht="15" hidden="1">
      <c r="A58" s="641" t="str">
        <f t="shared" si="38"/>
        <v>N</v>
      </c>
      <c r="B58" s="641"/>
      <c r="C58" s="235" t="str">
        <f t="array" ref="C58">IF(OR($E$44="",SUMPRODUCT(('Vessel Gauging Data'!$C$27:$C$56=$E$44)*1)&lt;ROWS($C$45:$C58)),"",INDEX('Vessel Gauging Data'!$B$27:$B$56,SMALL(IF(('Vessel Gauging Data'!$C$27:$C$56=$E$44),ROW('Vessel Gauging Data'!$B$27:$B$56)-ROW('Vessel Gauging Data'!$C$26)),ROW()-ROW(C$44))))</f>
        <v/>
      </c>
      <c r="D58" s="211" t="str">
        <f>IF(OR($C58="",$C58=0),"",INDEX('Vessel Gauging Data'!$B$26:$V$56,MATCH($C58,'Vessel Gauging Data'!$B$27:$B$56,0)+1,2))</f>
        <v/>
      </c>
      <c r="E58" s="1016" t="str">
        <f t="shared" si="39"/>
        <v/>
      </c>
      <c r="F58" s="1016" t="str">
        <f t="shared" si="40"/>
        <v/>
      </c>
      <c r="G58" s="1016" t="str">
        <f t="shared" si="41"/>
        <v/>
      </c>
      <c r="H58" s="1016" t="str">
        <f t="shared" si="42"/>
        <v/>
      </c>
      <c r="I58" s="211" t="str">
        <f t="shared" si="43"/>
        <v/>
      </c>
      <c r="J58" s="1016" t="str">
        <f t="shared" si="44"/>
        <v/>
      </c>
      <c r="K58" s="213" t="str">
        <f t="shared" si="45"/>
        <v/>
      </c>
      <c r="L58" s="212" t="str">
        <f t="shared" si="46"/>
        <v/>
      </c>
      <c r="M58" s="1125" t="str">
        <f>IF(OR($C58="",$C58=0),"",INDEX(API1DENST,MATCH($C58,'Vessel Gauging Data'!$B$27:$B$56,0),$AA$1))</f>
        <v/>
      </c>
      <c r="N58" s="212" t="str">
        <f t="shared" si="47"/>
        <v/>
      </c>
      <c r="O58" s="1016" t="str">
        <f t="shared" si="71"/>
        <v/>
      </c>
      <c r="P58" s="1125" t="str">
        <f t="shared" si="72"/>
        <v/>
      </c>
      <c r="Q58" s="1016" t="str">
        <f t="shared" si="73"/>
        <v/>
      </c>
      <c r="R58" s="214" t="str">
        <f t="shared" si="74"/>
        <v/>
      </c>
      <c r="S58" s="1125" t="str">
        <f t="shared" si="48"/>
        <v/>
      </c>
      <c r="T58" s="236" t="str">
        <f t="shared" si="75"/>
        <v/>
      </c>
      <c r="U58" s="641"/>
      <c r="V58" s="642" t="e">
        <f>INDEX('Vessel Gauging Data'!$B$26:$V$56,MATCH($C58,'Vessel Gauging Data'!$B$26:$B$56,0),$V$18)</f>
        <v>#N/A</v>
      </c>
      <c r="W58" s="642" t="e">
        <f>INDEX('Vessel Gauging Data'!$B$26:$V$56,MATCH($C58,'Vessel Gauging Data'!$B$26:$B$56,0),$W$18)</f>
        <v>#N/A</v>
      </c>
      <c r="X58" s="642" t="e">
        <f>INDEX('Vessel Gauging Data'!$B$26:$V$56,MATCH($C58,'Vessel Gauging Data'!$B$26:$B$56,0),$X$18)</f>
        <v>#N/A</v>
      </c>
      <c r="Y58" s="642" t="e">
        <f>INDEX('Vessel Gauging Data'!$B$26:$V$56,MATCH($C58,'Vessel Gauging Data'!$B$26:$B$56,0),$Y$18)</f>
        <v>#N/A</v>
      </c>
      <c r="Z58" s="642" t="e">
        <f>INDEX('Vessel Gauging Data'!$B$26:$V$56,MATCH($C58,'Vessel Gauging Data'!$B$26:$B$56,0),$Z$18)</f>
        <v>#N/A</v>
      </c>
      <c r="AA58" s="641"/>
      <c r="AB58" s="642" t="e">
        <f>INDEX(API1DENST,MATCH($C58,'Vessel Gauging Data'!$B$27:$B$56,0),1)</f>
        <v>#N/A</v>
      </c>
      <c r="AC58" s="642" t="e">
        <f t="shared" si="49"/>
        <v>#N/A</v>
      </c>
      <c r="AD58" s="641"/>
      <c r="AE58" s="661" t="e">
        <f t="shared" si="50"/>
        <v>#VALUE!</v>
      </c>
      <c r="AF58" s="661" t="e">
        <f t="shared" si="51"/>
        <v>#VALUE!</v>
      </c>
      <c r="AG58" s="641"/>
      <c r="AH58" s="662" t="str">
        <f t="shared" si="52"/>
        <v/>
      </c>
      <c r="AI58" s="662" t="str">
        <f t="shared" si="53"/>
        <v/>
      </c>
      <c r="AJ58" s="663">
        <f t="shared" si="54"/>
        <v>192.4571</v>
      </c>
      <c r="AK58" s="660">
        <f t="shared" si="55"/>
        <v>0.24379999999999999</v>
      </c>
      <c r="AL58" s="660" t="e">
        <f t="shared" si="56"/>
        <v>#VALUE!</v>
      </c>
      <c r="AM58" s="664" t="e">
        <f t="shared" si="57"/>
        <v>#VALUE!</v>
      </c>
      <c r="AN58" s="664" t="e">
        <f t="shared" si="58"/>
        <v>#VALUE!</v>
      </c>
      <c r="AO58" s="665" t="e">
        <f t="shared" si="59"/>
        <v>#VALUE!</v>
      </c>
      <c r="AP58" s="666" t="e">
        <f t="shared" si="60"/>
        <v>#VALUE!</v>
      </c>
      <c r="AQ58" s="660" t="e">
        <f t="shared" si="61"/>
        <v>#VALUE!</v>
      </c>
      <c r="AR58" s="667" t="e">
        <f t="shared" si="62"/>
        <v>#VALUE!</v>
      </c>
      <c r="AS58" s="667" t="e">
        <f t="shared" si="63"/>
        <v>#VALUE!</v>
      </c>
      <c r="AT58" s="668" t="e">
        <f t="shared" si="64"/>
        <v>#VALUE!</v>
      </c>
      <c r="AU58" s="667" t="e">
        <f t="shared" si="65"/>
        <v>#VALUE!</v>
      </c>
      <c r="AV58" s="669" t="e">
        <f t="shared" si="66"/>
        <v>#VALUE!</v>
      </c>
      <c r="AW58" s="667" t="e">
        <f t="shared" si="67"/>
        <v>#VALUE!</v>
      </c>
      <c r="AX58" s="667" t="e">
        <f t="shared" si="68"/>
        <v>#VALUE!</v>
      </c>
      <c r="AY58" s="660" t="e">
        <f t="shared" si="69"/>
        <v>#VALUE!</v>
      </c>
      <c r="AZ58" s="670" t="e">
        <f t="shared" si="70"/>
        <v>#VALUE!</v>
      </c>
      <c r="BA58" s="641"/>
      <c r="BB58" s="662" t="e">
        <f>INDEX('Vessel Gauging Data'!$B$26:$V$56,MATCH($C58,'Vessel Gauging Data'!$B$26:$B$56,0),$BB$18)</f>
        <v>#N/A</v>
      </c>
      <c r="BC58" s="662" t="e">
        <f>INDEX('Vessel Gauging Data'!$B$26:$V$56,MATCH($C58,'Vessel Gauging Data'!$B$26:$B$56,0),$BC$18)</f>
        <v>#N/A</v>
      </c>
      <c r="BD58" s="662" t="e">
        <f>INDEX('Vessel Gauging Data'!$B$26:$V$56,MATCH($C58,'Vessel Gauging Data'!$B$26:$B$56,0),$BD$18)</f>
        <v>#N/A</v>
      </c>
      <c r="BE58" s="662" t="e">
        <f>INDEX('Vessel Gauging Data'!$B$26:$V$56,MATCH($C58,'Vessel Gauging Data'!$B$26:$B$56,0),$BE$18)</f>
        <v>#N/A</v>
      </c>
    </row>
    <row r="59" spans="1:57" ht="15" hidden="1">
      <c r="A59" s="641" t="str">
        <f t="shared" si="38"/>
        <v>N</v>
      </c>
      <c r="B59" s="641"/>
      <c r="C59" s="235" t="str">
        <f t="array" ref="C59">IF(OR($E$44="",SUMPRODUCT(('Vessel Gauging Data'!$C$27:$C$56=$E$44)*1)&lt;ROWS($C$45:$C59)),"",INDEX('Vessel Gauging Data'!$B$27:$B$56,SMALL(IF(('Vessel Gauging Data'!$C$27:$C$56=$E$44),ROW('Vessel Gauging Data'!$B$27:$B$56)-ROW('Vessel Gauging Data'!$C$26)),ROW()-ROW(C$44))))</f>
        <v/>
      </c>
      <c r="D59" s="211" t="str">
        <f>IF(OR($C59="",$C59=0),"",INDEX('Vessel Gauging Data'!$B$26:$V$56,MATCH($C59,'Vessel Gauging Data'!$B$27:$B$56,0)+1,2))</f>
        <v/>
      </c>
      <c r="E59" s="1016" t="str">
        <f t="shared" si="39"/>
        <v/>
      </c>
      <c r="F59" s="1016" t="str">
        <f t="shared" si="40"/>
        <v/>
      </c>
      <c r="G59" s="1016" t="str">
        <f t="shared" si="41"/>
        <v/>
      </c>
      <c r="H59" s="1016" t="str">
        <f t="shared" si="42"/>
        <v/>
      </c>
      <c r="I59" s="211" t="str">
        <f t="shared" si="43"/>
        <v/>
      </c>
      <c r="J59" s="1016" t="str">
        <f t="shared" si="44"/>
        <v/>
      </c>
      <c r="K59" s="213" t="str">
        <f t="shared" si="45"/>
        <v/>
      </c>
      <c r="L59" s="212" t="str">
        <f t="shared" si="46"/>
        <v/>
      </c>
      <c r="M59" s="1125" t="str">
        <f>IF(OR($C59="",$C59=0),"",INDEX(API1DENST,MATCH($C59,'Vessel Gauging Data'!$B$27:$B$56,0),$AA$1))</f>
        <v/>
      </c>
      <c r="N59" s="212" t="str">
        <f t="shared" si="47"/>
        <v/>
      </c>
      <c r="O59" s="1016" t="str">
        <f t="shared" si="71"/>
        <v/>
      </c>
      <c r="P59" s="1125" t="str">
        <f t="shared" si="72"/>
        <v/>
      </c>
      <c r="Q59" s="1016" t="str">
        <f t="shared" si="73"/>
        <v/>
      </c>
      <c r="R59" s="214" t="str">
        <f t="shared" si="74"/>
        <v/>
      </c>
      <c r="S59" s="1125" t="str">
        <f t="shared" si="48"/>
        <v/>
      </c>
      <c r="T59" s="236" t="str">
        <f t="shared" si="75"/>
        <v/>
      </c>
      <c r="U59" s="641"/>
      <c r="V59" s="642" t="e">
        <f>INDEX('Vessel Gauging Data'!$B$26:$V$56,MATCH($C59,'Vessel Gauging Data'!$B$26:$B$56,0),$V$18)</f>
        <v>#N/A</v>
      </c>
      <c r="W59" s="642" t="e">
        <f>INDEX('Vessel Gauging Data'!$B$26:$V$56,MATCH($C59,'Vessel Gauging Data'!$B$26:$B$56,0),$W$18)</f>
        <v>#N/A</v>
      </c>
      <c r="X59" s="642" t="e">
        <f>INDEX('Vessel Gauging Data'!$B$26:$V$56,MATCH($C59,'Vessel Gauging Data'!$B$26:$B$56,0),$X$18)</f>
        <v>#N/A</v>
      </c>
      <c r="Y59" s="642" t="e">
        <f>INDEX('Vessel Gauging Data'!$B$26:$V$56,MATCH($C59,'Vessel Gauging Data'!$B$26:$B$56,0),$Y$18)</f>
        <v>#N/A</v>
      </c>
      <c r="Z59" s="642" t="e">
        <f>INDEX('Vessel Gauging Data'!$B$26:$V$56,MATCH($C59,'Vessel Gauging Data'!$B$26:$B$56,0),$Z$18)</f>
        <v>#N/A</v>
      </c>
      <c r="AA59" s="641"/>
      <c r="AB59" s="642" t="e">
        <f>INDEX(API1DENST,MATCH($C59,'Vessel Gauging Data'!$B$27:$B$56,0),1)</f>
        <v>#N/A</v>
      </c>
      <c r="AC59" s="642" t="e">
        <f t="shared" si="49"/>
        <v>#N/A</v>
      </c>
      <c r="AD59" s="641"/>
      <c r="AE59" s="661" t="e">
        <f t="shared" si="50"/>
        <v>#VALUE!</v>
      </c>
      <c r="AF59" s="661" t="e">
        <f t="shared" si="51"/>
        <v>#VALUE!</v>
      </c>
      <c r="AG59" s="641"/>
      <c r="AH59" s="662" t="str">
        <f t="shared" si="52"/>
        <v/>
      </c>
      <c r="AI59" s="662" t="str">
        <f t="shared" si="53"/>
        <v/>
      </c>
      <c r="AJ59" s="663">
        <f t="shared" si="54"/>
        <v>192.4571</v>
      </c>
      <c r="AK59" s="660">
        <f t="shared" si="55"/>
        <v>0.24379999999999999</v>
      </c>
      <c r="AL59" s="660" t="e">
        <f t="shared" si="56"/>
        <v>#VALUE!</v>
      </c>
      <c r="AM59" s="664" t="e">
        <f t="shared" si="57"/>
        <v>#VALUE!</v>
      </c>
      <c r="AN59" s="664" t="e">
        <f t="shared" si="58"/>
        <v>#VALUE!</v>
      </c>
      <c r="AO59" s="665" t="e">
        <f t="shared" si="59"/>
        <v>#VALUE!</v>
      </c>
      <c r="AP59" s="666" t="e">
        <f t="shared" si="60"/>
        <v>#VALUE!</v>
      </c>
      <c r="AQ59" s="660" t="e">
        <f t="shared" si="61"/>
        <v>#VALUE!</v>
      </c>
      <c r="AR59" s="667" t="e">
        <f t="shared" si="62"/>
        <v>#VALUE!</v>
      </c>
      <c r="AS59" s="667" t="e">
        <f t="shared" si="63"/>
        <v>#VALUE!</v>
      </c>
      <c r="AT59" s="668" t="e">
        <f t="shared" si="64"/>
        <v>#VALUE!</v>
      </c>
      <c r="AU59" s="667" t="e">
        <f t="shared" si="65"/>
        <v>#VALUE!</v>
      </c>
      <c r="AV59" s="669" t="e">
        <f t="shared" si="66"/>
        <v>#VALUE!</v>
      </c>
      <c r="AW59" s="667" t="e">
        <f t="shared" si="67"/>
        <v>#VALUE!</v>
      </c>
      <c r="AX59" s="667" t="e">
        <f t="shared" si="68"/>
        <v>#VALUE!</v>
      </c>
      <c r="AY59" s="660" t="e">
        <f t="shared" si="69"/>
        <v>#VALUE!</v>
      </c>
      <c r="AZ59" s="670" t="e">
        <f t="shared" si="70"/>
        <v>#VALUE!</v>
      </c>
      <c r="BA59" s="641"/>
      <c r="BB59" s="662" t="e">
        <f>INDEX('Vessel Gauging Data'!$B$26:$V$56,MATCH($C59,'Vessel Gauging Data'!$B$26:$B$56,0),$BB$18)</f>
        <v>#N/A</v>
      </c>
      <c r="BC59" s="662" t="e">
        <f>INDEX('Vessel Gauging Data'!$B$26:$V$56,MATCH($C59,'Vessel Gauging Data'!$B$26:$B$56,0),$BC$18)</f>
        <v>#N/A</v>
      </c>
      <c r="BD59" s="662" t="e">
        <f>INDEX('Vessel Gauging Data'!$B$26:$V$56,MATCH($C59,'Vessel Gauging Data'!$B$26:$B$56,0),$BD$18)</f>
        <v>#N/A</v>
      </c>
      <c r="BE59" s="662" t="e">
        <f>INDEX('Vessel Gauging Data'!$B$26:$V$56,MATCH($C59,'Vessel Gauging Data'!$B$26:$B$56,0),$BE$18)</f>
        <v>#N/A</v>
      </c>
    </row>
    <row r="60" spans="1:57" ht="15" hidden="1">
      <c r="A60" s="641" t="str">
        <f t="shared" si="38"/>
        <v>N</v>
      </c>
      <c r="B60" s="641"/>
      <c r="C60" s="235" t="str">
        <f t="array" ref="C60">IF(OR($E$44="",SUMPRODUCT(('Vessel Gauging Data'!$C$27:$C$56=$E$44)*1)&lt;ROWS($C$45:$C60)),"",INDEX('Vessel Gauging Data'!$B$27:$B$56,SMALL(IF(('Vessel Gauging Data'!$C$27:$C$56=$E$44),ROW('Vessel Gauging Data'!$B$27:$B$56)-ROW('Vessel Gauging Data'!$C$26)),ROW()-ROW(C$44))))</f>
        <v/>
      </c>
      <c r="D60" s="211" t="str">
        <f>IF(OR($C60="",$C60=0),"",INDEX('Vessel Gauging Data'!$B$26:$V$56,MATCH($C60,'Vessel Gauging Data'!$B$27:$B$56,0)+1,2))</f>
        <v/>
      </c>
      <c r="E60" s="1016" t="str">
        <f t="shared" si="39"/>
        <v/>
      </c>
      <c r="F60" s="1016" t="str">
        <f t="shared" si="40"/>
        <v/>
      </c>
      <c r="G60" s="1016" t="str">
        <f t="shared" si="41"/>
        <v/>
      </c>
      <c r="H60" s="1016" t="str">
        <f t="shared" si="42"/>
        <v/>
      </c>
      <c r="I60" s="211" t="str">
        <f t="shared" si="43"/>
        <v/>
      </c>
      <c r="J60" s="1016" t="str">
        <f t="shared" si="44"/>
        <v/>
      </c>
      <c r="K60" s="213" t="str">
        <f t="shared" si="45"/>
        <v/>
      </c>
      <c r="L60" s="212" t="str">
        <f t="shared" si="46"/>
        <v/>
      </c>
      <c r="M60" s="1125" t="str">
        <f>IF(OR($C60="",$C60=0),"",INDEX(API1DENST,MATCH($C60,'Vessel Gauging Data'!$B$27:$B$56,0),$AA$1))</f>
        <v/>
      </c>
      <c r="N60" s="212" t="str">
        <f t="shared" si="47"/>
        <v/>
      </c>
      <c r="O60" s="1016" t="str">
        <f t="shared" si="71"/>
        <v/>
      </c>
      <c r="P60" s="1125" t="str">
        <f t="shared" si="72"/>
        <v/>
      </c>
      <c r="Q60" s="1016" t="str">
        <f t="shared" si="73"/>
        <v/>
      </c>
      <c r="R60" s="214" t="str">
        <f t="shared" si="74"/>
        <v/>
      </c>
      <c r="S60" s="1125" t="str">
        <f t="shared" si="48"/>
        <v/>
      </c>
      <c r="T60" s="236" t="str">
        <f t="shared" si="75"/>
        <v/>
      </c>
      <c r="U60" s="641"/>
      <c r="V60" s="642" t="e">
        <f>INDEX('Vessel Gauging Data'!$B$26:$V$56,MATCH($C60,'Vessel Gauging Data'!$B$26:$B$56,0),$V$18)</f>
        <v>#N/A</v>
      </c>
      <c r="W60" s="642" t="e">
        <f>INDEX('Vessel Gauging Data'!$B$26:$V$56,MATCH($C60,'Vessel Gauging Data'!$B$26:$B$56,0),$W$18)</f>
        <v>#N/A</v>
      </c>
      <c r="X60" s="642" t="e">
        <f>INDEX('Vessel Gauging Data'!$B$26:$V$56,MATCH($C60,'Vessel Gauging Data'!$B$26:$B$56,0),$X$18)</f>
        <v>#N/A</v>
      </c>
      <c r="Y60" s="642" t="e">
        <f>INDEX('Vessel Gauging Data'!$B$26:$V$56,MATCH($C60,'Vessel Gauging Data'!$B$26:$B$56,0),$Y$18)</f>
        <v>#N/A</v>
      </c>
      <c r="Z60" s="642" t="e">
        <f>INDEX('Vessel Gauging Data'!$B$26:$V$56,MATCH($C60,'Vessel Gauging Data'!$B$26:$B$56,0),$Z$18)</f>
        <v>#N/A</v>
      </c>
      <c r="AA60" s="641"/>
      <c r="AB60" s="642" t="e">
        <f>INDEX(API1DENST,MATCH($C60,'Vessel Gauging Data'!$B$27:$B$56,0),1)</f>
        <v>#N/A</v>
      </c>
      <c r="AC60" s="642" t="e">
        <f t="shared" si="49"/>
        <v>#N/A</v>
      </c>
      <c r="AD60" s="641"/>
      <c r="AE60" s="661" t="e">
        <f t="shared" si="50"/>
        <v>#VALUE!</v>
      </c>
      <c r="AF60" s="661" t="e">
        <f t="shared" si="51"/>
        <v>#VALUE!</v>
      </c>
      <c r="AG60" s="641"/>
      <c r="AH60" s="662" t="str">
        <f t="shared" si="52"/>
        <v/>
      </c>
      <c r="AI60" s="662" t="str">
        <f t="shared" si="53"/>
        <v/>
      </c>
      <c r="AJ60" s="663">
        <f t="shared" si="54"/>
        <v>192.4571</v>
      </c>
      <c r="AK60" s="660">
        <f t="shared" si="55"/>
        <v>0.24379999999999999</v>
      </c>
      <c r="AL60" s="660" t="e">
        <f t="shared" si="56"/>
        <v>#VALUE!</v>
      </c>
      <c r="AM60" s="664" t="e">
        <f t="shared" si="57"/>
        <v>#VALUE!</v>
      </c>
      <c r="AN60" s="664" t="e">
        <f t="shared" si="58"/>
        <v>#VALUE!</v>
      </c>
      <c r="AO60" s="665" t="e">
        <f t="shared" si="59"/>
        <v>#VALUE!</v>
      </c>
      <c r="AP60" s="666" t="e">
        <f t="shared" si="60"/>
        <v>#VALUE!</v>
      </c>
      <c r="AQ60" s="660" t="e">
        <f t="shared" si="61"/>
        <v>#VALUE!</v>
      </c>
      <c r="AR60" s="667" t="e">
        <f t="shared" si="62"/>
        <v>#VALUE!</v>
      </c>
      <c r="AS60" s="667" t="e">
        <f t="shared" si="63"/>
        <v>#VALUE!</v>
      </c>
      <c r="AT60" s="668" t="e">
        <f t="shared" si="64"/>
        <v>#VALUE!</v>
      </c>
      <c r="AU60" s="667" t="e">
        <f t="shared" si="65"/>
        <v>#VALUE!</v>
      </c>
      <c r="AV60" s="669" t="e">
        <f t="shared" si="66"/>
        <v>#VALUE!</v>
      </c>
      <c r="AW60" s="667" t="e">
        <f t="shared" si="67"/>
        <v>#VALUE!</v>
      </c>
      <c r="AX60" s="667" t="e">
        <f t="shared" si="68"/>
        <v>#VALUE!</v>
      </c>
      <c r="AY60" s="660" t="e">
        <f t="shared" si="69"/>
        <v>#VALUE!</v>
      </c>
      <c r="AZ60" s="670" t="e">
        <f t="shared" si="70"/>
        <v>#VALUE!</v>
      </c>
      <c r="BA60" s="641"/>
      <c r="BB60" s="662" t="e">
        <f>INDEX('Vessel Gauging Data'!$B$26:$V$56,MATCH($C60,'Vessel Gauging Data'!$B$26:$B$56,0),$BB$18)</f>
        <v>#N/A</v>
      </c>
      <c r="BC60" s="662" t="e">
        <f>INDEX('Vessel Gauging Data'!$B$26:$V$56,MATCH($C60,'Vessel Gauging Data'!$B$26:$B$56,0),$BC$18)</f>
        <v>#N/A</v>
      </c>
      <c r="BD60" s="662" t="e">
        <f>INDEX('Vessel Gauging Data'!$B$26:$V$56,MATCH($C60,'Vessel Gauging Data'!$B$26:$B$56,0),$BD$18)</f>
        <v>#N/A</v>
      </c>
      <c r="BE60" s="662" t="e">
        <f>INDEX('Vessel Gauging Data'!$B$26:$V$56,MATCH($C60,'Vessel Gauging Data'!$B$26:$B$56,0),$BE$18)</f>
        <v>#N/A</v>
      </c>
    </row>
    <row r="61" spans="1:57" ht="15" hidden="1">
      <c r="A61" s="641" t="str">
        <f t="shared" si="38"/>
        <v>N</v>
      </c>
      <c r="B61" s="641"/>
      <c r="C61" s="235" t="str">
        <f t="array" ref="C61">IF(OR($E$44="",SUMPRODUCT(('Vessel Gauging Data'!$C$27:$C$56=$E$44)*1)&lt;ROWS($C$45:$C61)),"",INDEX('Vessel Gauging Data'!$B$27:$B$56,SMALL(IF(('Vessel Gauging Data'!$C$27:$C$56=$E$44),ROW('Vessel Gauging Data'!$B$27:$B$56)-ROW('Vessel Gauging Data'!$C$26)),ROW()-ROW(C$44))))</f>
        <v/>
      </c>
      <c r="D61" s="211" t="str">
        <f>IF(OR($C61="",$C61=0),"",INDEX('Vessel Gauging Data'!$B$26:$V$56,MATCH($C61,'Vessel Gauging Data'!$B$27:$B$56,0)+1,2))</f>
        <v/>
      </c>
      <c r="E61" s="1016" t="str">
        <f t="shared" si="39"/>
        <v/>
      </c>
      <c r="F61" s="1016" t="str">
        <f t="shared" si="40"/>
        <v/>
      </c>
      <c r="G61" s="1016" t="str">
        <f t="shared" si="41"/>
        <v/>
      </c>
      <c r="H61" s="1016" t="str">
        <f t="shared" si="42"/>
        <v/>
      </c>
      <c r="I61" s="211" t="str">
        <f t="shared" si="43"/>
        <v/>
      </c>
      <c r="J61" s="1016" t="str">
        <f t="shared" si="44"/>
        <v/>
      </c>
      <c r="K61" s="213" t="str">
        <f t="shared" si="45"/>
        <v/>
      </c>
      <c r="L61" s="212" t="str">
        <f t="shared" si="46"/>
        <v/>
      </c>
      <c r="M61" s="1125" t="str">
        <f>IF(OR($C61="",$C61=0),"",INDEX(API1DENST,MATCH($C61,'Vessel Gauging Data'!$B$27:$B$56,0),$AA$1))</f>
        <v/>
      </c>
      <c r="N61" s="212" t="str">
        <f t="shared" si="47"/>
        <v/>
      </c>
      <c r="O61" s="1016" t="str">
        <f t="shared" si="71"/>
        <v/>
      </c>
      <c r="P61" s="1125" t="str">
        <f t="shared" si="72"/>
        <v/>
      </c>
      <c r="Q61" s="1016" t="str">
        <f t="shared" si="73"/>
        <v/>
      </c>
      <c r="R61" s="214" t="str">
        <f t="shared" si="74"/>
        <v/>
      </c>
      <c r="S61" s="1125" t="str">
        <f t="shared" si="48"/>
        <v/>
      </c>
      <c r="T61" s="236" t="str">
        <f t="shared" si="75"/>
        <v/>
      </c>
      <c r="U61" s="641"/>
      <c r="V61" s="642" t="e">
        <f>INDEX('Vessel Gauging Data'!$B$26:$V$56,MATCH($C61,'Vessel Gauging Data'!$B$26:$B$56,0),$V$18)</f>
        <v>#N/A</v>
      </c>
      <c r="W61" s="642" t="e">
        <f>INDEX('Vessel Gauging Data'!$B$26:$V$56,MATCH($C61,'Vessel Gauging Data'!$B$26:$B$56,0),$W$18)</f>
        <v>#N/A</v>
      </c>
      <c r="X61" s="642" t="e">
        <f>INDEX('Vessel Gauging Data'!$B$26:$V$56,MATCH($C61,'Vessel Gauging Data'!$B$26:$B$56,0),$X$18)</f>
        <v>#N/A</v>
      </c>
      <c r="Y61" s="642" t="e">
        <f>INDEX('Vessel Gauging Data'!$B$26:$V$56,MATCH($C61,'Vessel Gauging Data'!$B$26:$B$56,0),$Y$18)</f>
        <v>#N/A</v>
      </c>
      <c r="Z61" s="642" t="e">
        <f>INDEX('Vessel Gauging Data'!$B$26:$V$56,MATCH($C61,'Vessel Gauging Data'!$B$26:$B$56,0),$Z$18)</f>
        <v>#N/A</v>
      </c>
      <c r="AA61" s="641"/>
      <c r="AB61" s="642" t="e">
        <f>INDEX(API1DENST,MATCH($C61,'Vessel Gauging Data'!$B$27:$B$56,0),1)</f>
        <v>#N/A</v>
      </c>
      <c r="AC61" s="642" t="e">
        <f t="shared" si="49"/>
        <v>#N/A</v>
      </c>
      <c r="AD61" s="641"/>
      <c r="AE61" s="661" t="e">
        <f t="shared" si="50"/>
        <v>#VALUE!</v>
      </c>
      <c r="AF61" s="661" t="e">
        <f t="shared" si="51"/>
        <v>#VALUE!</v>
      </c>
      <c r="AG61" s="641"/>
      <c r="AH61" s="662" t="str">
        <f t="shared" si="52"/>
        <v/>
      </c>
      <c r="AI61" s="662" t="str">
        <f t="shared" si="53"/>
        <v/>
      </c>
      <c r="AJ61" s="663">
        <f t="shared" si="54"/>
        <v>192.4571</v>
      </c>
      <c r="AK61" s="660">
        <f t="shared" si="55"/>
        <v>0.24379999999999999</v>
      </c>
      <c r="AL61" s="660" t="e">
        <f t="shared" si="56"/>
        <v>#VALUE!</v>
      </c>
      <c r="AM61" s="664" t="e">
        <f t="shared" si="57"/>
        <v>#VALUE!</v>
      </c>
      <c r="AN61" s="664" t="e">
        <f t="shared" si="58"/>
        <v>#VALUE!</v>
      </c>
      <c r="AO61" s="665" t="e">
        <f t="shared" si="59"/>
        <v>#VALUE!</v>
      </c>
      <c r="AP61" s="666" t="e">
        <f t="shared" si="60"/>
        <v>#VALUE!</v>
      </c>
      <c r="AQ61" s="660" t="e">
        <f t="shared" si="61"/>
        <v>#VALUE!</v>
      </c>
      <c r="AR61" s="667" t="e">
        <f t="shared" si="62"/>
        <v>#VALUE!</v>
      </c>
      <c r="AS61" s="667" t="e">
        <f t="shared" si="63"/>
        <v>#VALUE!</v>
      </c>
      <c r="AT61" s="668" t="e">
        <f t="shared" si="64"/>
        <v>#VALUE!</v>
      </c>
      <c r="AU61" s="667" t="e">
        <f t="shared" si="65"/>
        <v>#VALUE!</v>
      </c>
      <c r="AV61" s="669" t="e">
        <f t="shared" si="66"/>
        <v>#VALUE!</v>
      </c>
      <c r="AW61" s="667" t="e">
        <f t="shared" si="67"/>
        <v>#VALUE!</v>
      </c>
      <c r="AX61" s="667" t="e">
        <f t="shared" si="68"/>
        <v>#VALUE!</v>
      </c>
      <c r="AY61" s="660" t="e">
        <f t="shared" si="69"/>
        <v>#VALUE!</v>
      </c>
      <c r="AZ61" s="670" t="e">
        <f t="shared" si="70"/>
        <v>#VALUE!</v>
      </c>
      <c r="BA61" s="641"/>
      <c r="BB61" s="662" t="e">
        <f>INDEX('Vessel Gauging Data'!$B$26:$V$56,MATCH($C61,'Vessel Gauging Data'!$B$26:$B$56,0),$BB$18)</f>
        <v>#N/A</v>
      </c>
      <c r="BC61" s="662" t="e">
        <f>INDEX('Vessel Gauging Data'!$B$26:$V$56,MATCH($C61,'Vessel Gauging Data'!$B$26:$B$56,0),$BC$18)</f>
        <v>#N/A</v>
      </c>
      <c r="BD61" s="662" t="e">
        <f>INDEX('Vessel Gauging Data'!$B$26:$V$56,MATCH($C61,'Vessel Gauging Data'!$B$26:$B$56,0),$BD$18)</f>
        <v>#N/A</v>
      </c>
      <c r="BE61" s="662" t="e">
        <f>INDEX('Vessel Gauging Data'!$B$26:$V$56,MATCH($C61,'Vessel Gauging Data'!$B$26:$B$56,0),$BE$18)</f>
        <v>#N/A</v>
      </c>
    </row>
    <row r="62" spans="1:57" ht="15" hidden="1">
      <c r="A62" s="641" t="str">
        <f t="shared" si="38"/>
        <v>N</v>
      </c>
      <c r="B62" s="641"/>
      <c r="C62" s="235" t="str">
        <f t="array" ref="C62">IF(OR($E$44="",SUMPRODUCT(('Vessel Gauging Data'!$C$27:$C$56=$E$44)*1)&lt;ROWS($C$45:$C62)),"",INDEX('Vessel Gauging Data'!$B$27:$B$56,SMALL(IF(('Vessel Gauging Data'!$C$27:$C$56=$E$44),ROW('Vessel Gauging Data'!$B$27:$B$56)-ROW('Vessel Gauging Data'!$C$26)),ROW()-ROW(C$44))))</f>
        <v/>
      </c>
      <c r="D62" s="211" t="str">
        <f>IF(OR($C62="",$C62=0),"",INDEX('Vessel Gauging Data'!$B$26:$V$56,MATCH($C62,'Vessel Gauging Data'!$B$27:$B$56,0)+1,2))</f>
        <v/>
      </c>
      <c r="E62" s="1016" t="str">
        <f t="shared" si="39"/>
        <v/>
      </c>
      <c r="F62" s="1016" t="str">
        <f t="shared" si="40"/>
        <v/>
      </c>
      <c r="G62" s="1016" t="str">
        <f t="shared" si="41"/>
        <v/>
      </c>
      <c r="H62" s="1016" t="str">
        <f t="shared" si="42"/>
        <v/>
      </c>
      <c r="I62" s="211" t="str">
        <f t="shared" si="43"/>
        <v/>
      </c>
      <c r="J62" s="1016" t="str">
        <f t="shared" si="44"/>
        <v/>
      </c>
      <c r="K62" s="213" t="str">
        <f t="shared" si="45"/>
        <v/>
      </c>
      <c r="L62" s="212" t="str">
        <f t="shared" si="46"/>
        <v/>
      </c>
      <c r="M62" s="1125" t="str">
        <f>IF(OR($C62="",$C62=0),"",INDEX(API1DENST,MATCH($C62,'Vessel Gauging Data'!$B$27:$B$56,0),$AA$1))</f>
        <v/>
      </c>
      <c r="N62" s="212" t="str">
        <f t="shared" si="47"/>
        <v/>
      </c>
      <c r="O62" s="1016" t="str">
        <f t="shared" si="71"/>
        <v/>
      </c>
      <c r="P62" s="1125" t="str">
        <f t="shared" si="72"/>
        <v/>
      </c>
      <c r="Q62" s="1016" t="str">
        <f t="shared" si="73"/>
        <v/>
      </c>
      <c r="R62" s="214" t="str">
        <f t="shared" si="74"/>
        <v/>
      </c>
      <c r="S62" s="1125" t="str">
        <f t="shared" si="48"/>
        <v/>
      </c>
      <c r="T62" s="236" t="str">
        <f t="shared" si="75"/>
        <v/>
      </c>
      <c r="U62" s="641"/>
      <c r="V62" s="642" t="e">
        <f>INDEX('Vessel Gauging Data'!$B$26:$V$56,MATCH($C62,'Vessel Gauging Data'!$B$26:$B$56,0),$V$18)</f>
        <v>#N/A</v>
      </c>
      <c r="W62" s="642" t="e">
        <f>INDEX('Vessel Gauging Data'!$B$26:$V$56,MATCH($C62,'Vessel Gauging Data'!$B$26:$B$56,0),$W$18)</f>
        <v>#N/A</v>
      </c>
      <c r="X62" s="642" t="e">
        <f>INDEX('Vessel Gauging Data'!$B$26:$V$56,MATCH($C62,'Vessel Gauging Data'!$B$26:$B$56,0),$X$18)</f>
        <v>#N/A</v>
      </c>
      <c r="Y62" s="642" t="e">
        <f>INDEX('Vessel Gauging Data'!$B$26:$V$56,MATCH($C62,'Vessel Gauging Data'!$B$26:$B$56,0),$Y$18)</f>
        <v>#N/A</v>
      </c>
      <c r="Z62" s="642" t="e">
        <f>INDEX('Vessel Gauging Data'!$B$26:$V$56,MATCH($C62,'Vessel Gauging Data'!$B$26:$B$56,0),$Z$18)</f>
        <v>#N/A</v>
      </c>
      <c r="AA62" s="641"/>
      <c r="AB62" s="642" t="e">
        <f>INDEX(API1DENST,MATCH($C62,'Vessel Gauging Data'!$B$27:$B$56,0),1)</f>
        <v>#N/A</v>
      </c>
      <c r="AC62" s="642" t="e">
        <f t="shared" si="49"/>
        <v>#N/A</v>
      </c>
      <c r="AD62" s="641"/>
      <c r="AE62" s="661" t="e">
        <f t="shared" si="50"/>
        <v>#VALUE!</v>
      </c>
      <c r="AF62" s="661" t="e">
        <f t="shared" si="51"/>
        <v>#VALUE!</v>
      </c>
      <c r="AG62" s="641"/>
      <c r="AH62" s="662" t="str">
        <f t="shared" si="52"/>
        <v/>
      </c>
      <c r="AI62" s="662" t="str">
        <f t="shared" si="53"/>
        <v/>
      </c>
      <c r="AJ62" s="663">
        <f t="shared" si="54"/>
        <v>192.4571</v>
      </c>
      <c r="AK62" s="660">
        <f t="shared" si="55"/>
        <v>0.24379999999999999</v>
      </c>
      <c r="AL62" s="660" t="e">
        <f t="shared" si="56"/>
        <v>#VALUE!</v>
      </c>
      <c r="AM62" s="664" t="e">
        <f t="shared" si="57"/>
        <v>#VALUE!</v>
      </c>
      <c r="AN62" s="664" t="e">
        <f t="shared" si="58"/>
        <v>#VALUE!</v>
      </c>
      <c r="AO62" s="665" t="e">
        <f t="shared" si="59"/>
        <v>#VALUE!</v>
      </c>
      <c r="AP62" s="666" t="e">
        <f t="shared" si="60"/>
        <v>#VALUE!</v>
      </c>
      <c r="AQ62" s="660" t="e">
        <f t="shared" si="61"/>
        <v>#VALUE!</v>
      </c>
      <c r="AR62" s="667" t="e">
        <f t="shared" si="62"/>
        <v>#VALUE!</v>
      </c>
      <c r="AS62" s="667" t="e">
        <f t="shared" si="63"/>
        <v>#VALUE!</v>
      </c>
      <c r="AT62" s="668" t="e">
        <f t="shared" si="64"/>
        <v>#VALUE!</v>
      </c>
      <c r="AU62" s="667" t="e">
        <f t="shared" si="65"/>
        <v>#VALUE!</v>
      </c>
      <c r="AV62" s="669" t="e">
        <f t="shared" si="66"/>
        <v>#VALUE!</v>
      </c>
      <c r="AW62" s="667" t="e">
        <f t="shared" si="67"/>
        <v>#VALUE!</v>
      </c>
      <c r="AX62" s="667" t="e">
        <f t="shared" si="68"/>
        <v>#VALUE!</v>
      </c>
      <c r="AY62" s="660" t="e">
        <f t="shared" si="69"/>
        <v>#VALUE!</v>
      </c>
      <c r="AZ62" s="670" t="e">
        <f t="shared" si="70"/>
        <v>#VALUE!</v>
      </c>
      <c r="BA62" s="641"/>
      <c r="BB62" s="662" t="e">
        <f>INDEX('Vessel Gauging Data'!$B$26:$V$56,MATCH($C62,'Vessel Gauging Data'!$B$26:$B$56,0),$BB$18)</f>
        <v>#N/A</v>
      </c>
      <c r="BC62" s="662" t="e">
        <f>INDEX('Vessel Gauging Data'!$B$26:$V$56,MATCH($C62,'Vessel Gauging Data'!$B$26:$B$56,0),$BC$18)</f>
        <v>#N/A</v>
      </c>
      <c r="BD62" s="662" t="e">
        <f>INDEX('Vessel Gauging Data'!$B$26:$V$56,MATCH($C62,'Vessel Gauging Data'!$B$26:$B$56,0),$BD$18)</f>
        <v>#N/A</v>
      </c>
      <c r="BE62" s="662" t="e">
        <f>INDEX('Vessel Gauging Data'!$B$26:$V$56,MATCH($C62,'Vessel Gauging Data'!$B$26:$B$56,0),$BE$18)</f>
        <v>#N/A</v>
      </c>
    </row>
    <row r="63" spans="1:57" ht="15" hidden="1">
      <c r="A63" s="641" t="str">
        <f t="shared" si="38"/>
        <v>N</v>
      </c>
      <c r="B63" s="641"/>
      <c r="C63" s="235" t="str">
        <f t="array" ref="C63">IF(OR($E$44="",SUMPRODUCT(('Vessel Gauging Data'!$C$27:$C$56=$E$44)*1)&lt;ROWS($C$45:$C63)),"",INDEX('Vessel Gauging Data'!$B$27:$B$56,SMALL(IF(('Vessel Gauging Data'!$C$27:$C$56=$E$44),ROW('Vessel Gauging Data'!$B$27:$B$56)-ROW('Vessel Gauging Data'!$C$26)),ROW()-ROW(C$44))))</f>
        <v/>
      </c>
      <c r="D63" s="211" t="str">
        <f>IF(OR($C63="",$C63=0),"",INDEX('Vessel Gauging Data'!$B$26:$V$56,MATCH($C63,'Vessel Gauging Data'!$B$27:$B$56,0)+1,2))</f>
        <v/>
      </c>
      <c r="E63" s="1016" t="str">
        <f t="shared" si="39"/>
        <v/>
      </c>
      <c r="F63" s="1016" t="str">
        <f t="shared" si="40"/>
        <v/>
      </c>
      <c r="G63" s="1016" t="str">
        <f t="shared" si="41"/>
        <v/>
      </c>
      <c r="H63" s="1016" t="str">
        <f t="shared" si="42"/>
        <v/>
      </c>
      <c r="I63" s="211" t="str">
        <f t="shared" si="43"/>
        <v/>
      </c>
      <c r="J63" s="1016" t="str">
        <f t="shared" si="44"/>
        <v/>
      </c>
      <c r="K63" s="213" t="str">
        <f t="shared" si="45"/>
        <v/>
      </c>
      <c r="L63" s="212" t="str">
        <f t="shared" si="46"/>
        <v/>
      </c>
      <c r="M63" s="1125" t="str">
        <f>IF(OR($C63="",$C63=0),"",INDEX(API1DENST,MATCH($C63,'Vessel Gauging Data'!$B$27:$B$56,0),$AA$1))</f>
        <v/>
      </c>
      <c r="N63" s="212" t="str">
        <f t="shared" si="47"/>
        <v/>
      </c>
      <c r="O63" s="1016" t="str">
        <f t="shared" si="71"/>
        <v/>
      </c>
      <c r="P63" s="1125" t="str">
        <f t="shared" si="72"/>
        <v/>
      </c>
      <c r="Q63" s="1016" t="str">
        <f t="shared" si="73"/>
        <v/>
      </c>
      <c r="R63" s="214" t="str">
        <f t="shared" si="74"/>
        <v/>
      </c>
      <c r="S63" s="1125" t="str">
        <f t="shared" si="48"/>
        <v/>
      </c>
      <c r="T63" s="236" t="str">
        <f t="shared" si="75"/>
        <v/>
      </c>
      <c r="U63" s="641"/>
      <c r="V63" s="642" t="e">
        <f>INDEX('Vessel Gauging Data'!$B$26:$V$56,MATCH($C63,'Vessel Gauging Data'!$B$26:$B$56,0),$V$18)</f>
        <v>#N/A</v>
      </c>
      <c r="W63" s="642" t="e">
        <f>INDEX('Vessel Gauging Data'!$B$26:$V$56,MATCH($C63,'Vessel Gauging Data'!$B$26:$B$56,0),$W$18)</f>
        <v>#N/A</v>
      </c>
      <c r="X63" s="642" t="e">
        <f>INDEX('Vessel Gauging Data'!$B$26:$V$56,MATCH($C63,'Vessel Gauging Data'!$B$26:$B$56,0),$X$18)</f>
        <v>#N/A</v>
      </c>
      <c r="Y63" s="642" t="e">
        <f>INDEX('Vessel Gauging Data'!$B$26:$V$56,MATCH($C63,'Vessel Gauging Data'!$B$26:$B$56,0),$Y$18)</f>
        <v>#N/A</v>
      </c>
      <c r="Z63" s="642" t="e">
        <f>INDEX('Vessel Gauging Data'!$B$26:$V$56,MATCH($C63,'Vessel Gauging Data'!$B$26:$B$56,0),$Z$18)</f>
        <v>#N/A</v>
      </c>
      <c r="AA63" s="641"/>
      <c r="AB63" s="642" t="e">
        <f>INDEX(API1DENST,MATCH($C63,'Vessel Gauging Data'!$B$27:$B$56,0),1)</f>
        <v>#N/A</v>
      </c>
      <c r="AC63" s="642" t="e">
        <f t="shared" si="49"/>
        <v>#N/A</v>
      </c>
      <c r="AD63" s="641"/>
      <c r="AE63" s="661" t="e">
        <f t="shared" si="50"/>
        <v>#VALUE!</v>
      </c>
      <c r="AF63" s="661" t="e">
        <f t="shared" si="51"/>
        <v>#VALUE!</v>
      </c>
      <c r="AG63" s="641"/>
      <c r="AH63" s="662" t="str">
        <f t="shared" si="52"/>
        <v/>
      </c>
      <c r="AI63" s="662" t="str">
        <f t="shared" si="53"/>
        <v/>
      </c>
      <c r="AJ63" s="663">
        <f t="shared" si="54"/>
        <v>192.4571</v>
      </c>
      <c r="AK63" s="660">
        <f t="shared" si="55"/>
        <v>0.24379999999999999</v>
      </c>
      <c r="AL63" s="660" t="e">
        <f t="shared" si="56"/>
        <v>#VALUE!</v>
      </c>
      <c r="AM63" s="664" t="e">
        <f t="shared" si="57"/>
        <v>#VALUE!</v>
      </c>
      <c r="AN63" s="664" t="e">
        <f t="shared" si="58"/>
        <v>#VALUE!</v>
      </c>
      <c r="AO63" s="665" t="e">
        <f t="shared" si="59"/>
        <v>#VALUE!</v>
      </c>
      <c r="AP63" s="666" t="e">
        <f t="shared" si="60"/>
        <v>#VALUE!</v>
      </c>
      <c r="AQ63" s="660" t="e">
        <f t="shared" si="61"/>
        <v>#VALUE!</v>
      </c>
      <c r="AR63" s="667" t="e">
        <f t="shared" si="62"/>
        <v>#VALUE!</v>
      </c>
      <c r="AS63" s="667" t="e">
        <f t="shared" si="63"/>
        <v>#VALUE!</v>
      </c>
      <c r="AT63" s="668" t="e">
        <f t="shared" si="64"/>
        <v>#VALUE!</v>
      </c>
      <c r="AU63" s="667" t="e">
        <f t="shared" si="65"/>
        <v>#VALUE!</v>
      </c>
      <c r="AV63" s="669" t="e">
        <f t="shared" si="66"/>
        <v>#VALUE!</v>
      </c>
      <c r="AW63" s="667" t="e">
        <f t="shared" si="67"/>
        <v>#VALUE!</v>
      </c>
      <c r="AX63" s="667" t="e">
        <f t="shared" si="68"/>
        <v>#VALUE!</v>
      </c>
      <c r="AY63" s="660" t="e">
        <f t="shared" si="69"/>
        <v>#VALUE!</v>
      </c>
      <c r="AZ63" s="670" t="e">
        <f t="shared" si="70"/>
        <v>#VALUE!</v>
      </c>
      <c r="BA63" s="641"/>
      <c r="BB63" s="662" t="e">
        <f>INDEX('Vessel Gauging Data'!$B$26:$V$56,MATCH($C63,'Vessel Gauging Data'!$B$26:$B$56,0),$BB$18)</f>
        <v>#N/A</v>
      </c>
      <c r="BC63" s="662" t="e">
        <f>INDEX('Vessel Gauging Data'!$B$26:$V$56,MATCH($C63,'Vessel Gauging Data'!$B$26:$B$56,0),$BC$18)</f>
        <v>#N/A</v>
      </c>
      <c r="BD63" s="662" t="e">
        <f>INDEX('Vessel Gauging Data'!$B$26:$V$56,MATCH($C63,'Vessel Gauging Data'!$B$26:$B$56,0),$BD$18)</f>
        <v>#N/A</v>
      </c>
      <c r="BE63" s="662" t="e">
        <f>INDEX('Vessel Gauging Data'!$B$26:$V$56,MATCH($C63,'Vessel Gauging Data'!$B$26:$B$56,0),$BE$18)</f>
        <v>#N/A</v>
      </c>
    </row>
    <row r="64" spans="1:57" ht="15" hidden="1">
      <c r="A64" s="641" t="str">
        <f t="shared" si="38"/>
        <v>N</v>
      </c>
      <c r="B64" s="641"/>
      <c r="C64" s="235" t="str">
        <f t="array" ref="C64">IF(OR($E$44="",SUMPRODUCT(('Vessel Gauging Data'!$C$27:$C$56=$E$44)*1)&lt;ROWS($C$45:$C64)),"",INDEX('Vessel Gauging Data'!$B$27:$B$56,SMALL(IF(('Vessel Gauging Data'!$C$27:$C$56=$E$44),ROW('Vessel Gauging Data'!$B$27:$B$56)-ROW('Vessel Gauging Data'!$C$26)),ROW()-ROW(C$44))))</f>
        <v/>
      </c>
      <c r="D64" s="238" t="str">
        <f>IF(OR($C64="",$C64=0),"",INDEX('Vessel Gauging Data'!$B$26:$V$56,MATCH($C64,'Vessel Gauging Data'!$B$27:$B$56,0)+1,2))</f>
        <v/>
      </c>
      <c r="E64" s="1017" t="str">
        <f t="shared" si="39"/>
        <v/>
      </c>
      <c r="F64" s="1017" t="str">
        <f t="shared" si="40"/>
        <v/>
      </c>
      <c r="G64" s="1017" t="str">
        <f t="shared" si="41"/>
        <v/>
      </c>
      <c r="H64" s="1017" t="str">
        <f t="shared" si="42"/>
        <v/>
      </c>
      <c r="I64" s="238" t="str">
        <f t="shared" si="43"/>
        <v/>
      </c>
      <c r="J64" s="1017" t="str">
        <f t="shared" si="44"/>
        <v/>
      </c>
      <c r="K64" s="240" t="str">
        <f t="shared" si="45"/>
        <v/>
      </c>
      <c r="L64" s="239" t="str">
        <f t="shared" si="46"/>
        <v/>
      </c>
      <c r="M64" s="1126" t="str">
        <f>IF(OR($C64="",$C64=0),"",INDEX(API1DENST,MATCH($C64,'Vessel Gauging Data'!$B$27:$B$56,0),$AA$1))</f>
        <v/>
      </c>
      <c r="N64" s="239" t="str">
        <f t="shared" si="47"/>
        <v/>
      </c>
      <c r="O64" s="1017" t="str">
        <f t="shared" si="71"/>
        <v/>
      </c>
      <c r="P64" s="1126" t="str">
        <f t="shared" si="72"/>
        <v/>
      </c>
      <c r="Q64" s="1017" t="str">
        <f t="shared" si="73"/>
        <v/>
      </c>
      <c r="R64" s="241" t="str">
        <f t="shared" si="74"/>
        <v/>
      </c>
      <c r="S64" s="1126" t="str">
        <f t="shared" si="48"/>
        <v/>
      </c>
      <c r="T64" s="242" t="str">
        <f t="shared" si="75"/>
        <v/>
      </c>
      <c r="U64" s="641"/>
      <c r="V64" s="642" t="e">
        <f>INDEX('Vessel Gauging Data'!$B$26:$V$56,MATCH($C64,'Vessel Gauging Data'!$B$26:$B$56,0),$V$18)</f>
        <v>#N/A</v>
      </c>
      <c r="W64" s="642" t="e">
        <f>INDEX('Vessel Gauging Data'!$B$26:$V$56,MATCH($C64,'Vessel Gauging Data'!$B$26:$B$56,0),$W$18)</f>
        <v>#N/A</v>
      </c>
      <c r="X64" s="642" t="e">
        <f>INDEX('Vessel Gauging Data'!$B$26:$V$56,MATCH($C64,'Vessel Gauging Data'!$B$26:$B$56,0),$X$18)</f>
        <v>#N/A</v>
      </c>
      <c r="Y64" s="642" t="e">
        <f>INDEX('Vessel Gauging Data'!$B$26:$V$56,MATCH($C64,'Vessel Gauging Data'!$B$26:$B$56,0),$Y$18)</f>
        <v>#N/A</v>
      </c>
      <c r="Z64" s="642" t="e">
        <f>INDEX('Vessel Gauging Data'!$B$26:$V$56,MATCH($C64,'Vessel Gauging Data'!$B$26:$B$56,0),$Z$18)</f>
        <v>#N/A</v>
      </c>
      <c r="AA64" s="641"/>
      <c r="AB64" s="642" t="e">
        <f>INDEX(API1DENST,MATCH($C64,'Vessel Gauging Data'!$B$27:$B$56,0),1)</f>
        <v>#N/A</v>
      </c>
      <c r="AC64" s="642" t="e">
        <f t="shared" si="49"/>
        <v>#N/A</v>
      </c>
      <c r="AD64" s="641"/>
      <c r="AE64" s="661" t="e">
        <f t="shared" si="50"/>
        <v>#VALUE!</v>
      </c>
      <c r="AF64" s="661" t="e">
        <f t="shared" si="51"/>
        <v>#VALUE!</v>
      </c>
      <c r="AG64" s="641"/>
      <c r="AH64" s="662" t="str">
        <f t="shared" si="52"/>
        <v/>
      </c>
      <c r="AI64" s="662" t="str">
        <f t="shared" si="53"/>
        <v/>
      </c>
      <c r="AJ64" s="663">
        <f t="shared" si="54"/>
        <v>192.4571</v>
      </c>
      <c r="AK64" s="660">
        <f t="shared" si="55"/>
        <v>0.24379999999999999</v>
      </c>
      <c r="AL64" s="660" t="e">
        <f t="shared" si="56"/>
        <v>#VALUE!</v>
      </c>
      <c r="AM64" s="664" t="e">
        <f t="shared" si="57"/>
        <v>#VALUE!</v>
      </c>
      <c r="AN64" s="664" t="e">
        <f t="shared" si="58"/>
        <v>#VALUE!</v>
      </c>
      <c r="AO64" s="665" t="e">
        <f t="shared" si="59"/>
        <v>#VALUE!</v>
      </c>
      <c r="AP64" s="666" t="e">
        <f t="shared" si="60"/>
        <v>#VALUE!</v>
      </c>
      <c r="AQ64" s="660" t="e">
        <f t="shared" si="61"/>
        <v>#VALUE!</v>
      </c>
      <c r="AR64" s="667" t="e">
        <f t="shared" si="62"/>
        <v>#VALUE!</v>
      </c>
      <c r="AS64" s="667" t="e">
        <f t="shared" si="63"/>
        <v>#VALUE!</v>
      </c>
      <c r="AT64" s="668" t="e">
        <f t="shared" si="64"/>
        <v>#VALUE!</v>
      </c>
      <c r="AU64" s="667" t="e">
        <f t="shared" si="65"/>
        <v>#VALUE!</v>
      </c>
      <c r="AV64" s="669" t="e">
        <f t="shared" si="66"/>
        <v>#VALUE!</v>
      </c>
      <c r="AW64" s="667" t="e">
        <f t="shared" si="67"/>
        <v>#VALUE!</v>
      </c>
      <c r="AX64" s="667" t="e">
        <f t="shared" si="68"/>
        <v>#VALUE!</v>
      </c>
      <c r="AY64" s="660" t="e">
        <f t="shared" si="69"/>
        <v>#VALUE!</v>
      </c>
      <c r="AZ64" s="670" t="e">
        <f t="shared" si="70"/>
        <v>#VALUE!</v>
      </c>
      <c r="BA64" s="641"/>
      <c r="BB64" s="662" t="e">
        <f>INDEX('Vessel Gauging Data'!$B$26:$V$56,MATCH($C64,'Vessel Gauging Data'!$B$26:$B$56,0),$BB$18)</f>
        <v>#N/A</v>
      </c>
      <c r="BC64" s="662" t="e">
        <f>INDEX('Vessel Gauging Data'!$B$26:$V$56,MATCH($C64,'Vessel Gauging Data'!$B$26:$B$56,0),$BC$18)</f>
        <v>#N/A</v>
      </c>
      <c r="BD64" s="662" t="e">
        <f>INDEX('Vessel Gauging Data'!$B$26:$V$56,MATCH($C64,'Vessel Gauging Data'!$B$26:$B$56,0),$BD$18)</f>
        <v>#N/A</v>
      </c>
      <c r="BE64" s="662" t="e">
        <f>INDEX('Vessel Gauging Data'!$B$26:$V$56,MATCH($C64,'Vessel Gauging Data'!$B$26:$B$56,0),$BE$18)</f>
        <v>#N/A</v>
      </c>
    </row>
    <row r="65" spans="1:57" ht="15">
      <c r="A65" s="641" t="str">
        <f>A44</f>
        <v>Y</v>
      </c>
      <c r="B65" s="641"/>
      <c r="C65" s="671"/>
      <c r="D65" s="671"/>
      <c r="E65" s="672"/>
      <c r="F65" s="672"/>
      <c r="G65" s="672"/>
      <c r="H65" s="1501"/>
      <c r="I65" s="671"/>
      <c r="J65" s="672"/>
      <c r="K65" s="673"/>
      <c r="L65" s="672"/>
      <c r="M65" s="674"/>
      <c r="N65" s="672"/>
      <c r="O65" s="672"/>
      <c r="P65" s="1127"/>
      <c r="Q65" s="672"/>
      <c r="R65" s="675"/>
      <c r="S65" s="1137" t="s">
        <v>401</v>
      </c>
      <c r="T65" s="619">
        <f>SUM(T45:T64)</f>
        <v>901.36</v>
      </c>
      <c r="U65" s="641"/>
      <c r="V65" s="719"/>
      <c r="W65" s="719"/>
      <c r="X65" s="719"/>
      <c r="Y65" s="719"/>
      <c r="Z65" s="719"/>
      <c r="AA65" s="676"/>
      <c r="AB65" s="719"/>
      <c r="AC65" s="719"/>
      <c r="AD65" s="676"/>
      <c r="AE65" s="720"/>
      <c r="AF65" s="720"/>
      <c r="AG65" s="676"/>
      <c r="AH65" s="721"/>
      <c r="AI65" s="721"/>
      <c r="AJ65" s="722"/>
      <c r="AK65" s="723"/>
      <c r="AL65" s="723"/>
      <c r="AM65" s="724"/>
      <c r="AN65" s="724"/>
      <c r="AO65" s="725"/>
      <c r="AP65" s="726"/>
      <c r="AQ65" s="723"/>
      <c r="AR65" s="727"/>
      <c r="AS65" s="727"/>
      <c r="AT65" s="728"/>
      <c r="AU65" s="727"/>
      <c r="AV65" s="729"/>
      <c r="AW65" s="727"/>
      <c r="AX65" s="727"/>
      <c r="AY65" s="723"/>
      <c r="AZ65" s="730"/>
      <c r="BA65" s="676"/>
      <c r="BB65" s="721"/>
      <c r="BC65" s="721"/>
      <c r="BD65" s="721"/>
      <c r="BE65" s="721"/>
    </row>
    <row r="66" spans="1:57" s="855" customFormat="1" ht="5.25" hidden="1">
      <c r="A66" s="702" t="str">
        <f>IF(A67="N",A67,IF(COUNTIF($A$21:$A64,"Y")&gt;0,A67,"N"))</f>
        <v>N</v>
      </c>
      <c r="B66" s="702"/>
      <c r="C66" s="704"/>
      <c r="D66" s="704"/>
      <c r="E66" s="704"/>
      <c r="F66" s="704"/>
      <c r="G66" s="704"/>
      <c r="H66" s="704"/>
      <c r="I66" s="704"/>
      <c r="J66" s="705"/>
      <c r="K66" s="705"/>
      <c r="L66" s="705"/>
      <c r="M66" s="705"/>
      <c r="N66" s="705"/>
      <c r="O66" s="705"/>
      <c r="P66" s="1128"/>
      <c r="Q66" s="705"/>
      <c r="R66" s="705"/>
      <c r="S66" s="1136"/>
      <c r="T66" s="706"/>
      <c r="U66" s="702"/>
      <c r="V66" s="707"/>
      <c r="W66" s="707"/>
      <c r="X66" s="707"/>
      <c r="Y66" s="707"/>
      <c r="Z66" s="707"/>
      <c r="AA66" s="707"/>
      <c r="AB66" s="707"/>
      <c r="AC66" s="707"/>
      <c r="AD66" s="707"/>
      <c r="AE66" s="708"/>
      <c r="AF66" s="708"/>
      <c r="AG66" s="707"/>
      <c r="AH66" s="709"/>
      <c r="AI66" s="709"/>
      <c r="AJ66" s="710"/>
      <c r="AK66" s="711"/>
      <c r="AL66" s="711"/>
      <c r="AM66" s="712"/>
      <c r="AN66" s="712"/>
      <c r="AO66" s="713"/>
      <c r="AP66" s="714"/>
      <c r="AQ66" s="711"/>
      <c r="AR66" s="715"/>
      <c r="AS66" s="715"/>
      <c r="AT66" s="716"/>
      <c r="AU66" s="715"/>
      <c r="AV66" s="717"/>
      <c r="AW66" s="715"/>
      <c r="AX66" s="715"/>
      <c r="AY66" s="711"/>
      <c r="AZ66" s="718"/>
      <c r="BA66" s="707"/>
      <c r="BB66" s="709"/>
      <c r="BC66" s="709"/>
      <c r="BD66" s="709"/>
      <c r="BE66" s="709"/>
    </row>
    <row r="67" spans="1:57" ht="15.75" hidden="1">
      <c r="A67" s="641" t="str">
        <f>A68</f>
        <v>N</v>
      </c>
      <c r="B67" s="641">
        <v>3</v>
      </c>
      <c r="C67" s="2797" t="s">
        <v>499</v>
      </c>
      <c r="D67" s="2798"/>
      <c r="E67" s="2799" t="str">
        <f>'Preliminary Report'!G1</f>
        <v>MDO</v>
      </c>
      <c r="F67" s="2800"/>
      <c r="G67" s="2800"/>
      <c r="H67" s="2824"/>
      <c r="I67" s="2801"/>
      <c r="J67" s="698"/>
      <c r="K67" s="699"/>
      <c r="L67" s="700"/>
      <c r="M67" s="699"/>
      <c r="N67" s="699"/>
      <c r="O67" s="700"/>
      <c r="P67" s="1129"/>
      <c r="Q67" s="700"/>
      <c r="R67" s="701"/>
      <c r="S67" s="1129"/>
      <c r="T67" s="701"/>
      <c r="U67" s="641"/>
      <c r="V67" s="731"/>
      <c r="W67" s="731"/>
      <c r="X67" s="731"/>
      <c r="Y67" s="731"/>
      <c r="Z67" s="731"/>
      <c r="AA67" s="676"/>
      <c r="AB67" s="731"/>
      <c r="AC67" s="731"/>
      <c r="AD67" s="676"/>
      <c r="AE67" s="732"/>
      <c r="AF67" s="732"/>
      <c r="AG67" s="676"/>
      <c r="AH67" s="733"/>
      <c r="AI67" s="733"/>
      <c r="AJ67" s="734"/>
      <c r="AK67" s="735"/>
      <c r="AL67" s="735"/>
      <c r="AM67" s="736"/>
      <c r="AN67" s="736"/>
      <c r="AO67" s="737"/>
      <c r="AP67" s="738"/>
      <c r="AQ67" s="735"/>
      <c r="AR67" s="739"/>
      <c r="AS67" s="739"/>
      <c r="AT67" s="740"/>
      <c r="AU67" s="739"/>
      <c r="AV67" s="741"/>
      <c r="AW67" s="739"/>
      <c r="AX67" s="739"/>
      <c r="AY67" s="735"/>
      <c r="AZ67" s="742"/>
      <c r="BA67" s="676"/>
      <c r="BB67" s="733"/>
      <c r="BC67" s="733"/>
      <c r="BD67" s="733"/>
      <c r="BE67" s="733"/>
    </row>
    <row r="68" spans="1:57" ht="15" hidden="1">
      <c r="A68" s="641" t="str">
        <f t="shared" ref="A68:A87" si="76">IF(C68="","N",IF(ISERROR(MATCH($E$67,IF($Z$1=1,GRADESLIST,IF($Z$1=2,RESIDUALS,DISTILLATES)),0)),"N","Y"))</f>
        <v>N</v>
      </c>
      <c r="B68" s="641"/>
      <c r="C68" s="235" t="str">
        <f t="array" ref="C68">IF(OR($E$67="",SUMPRODUCT(('Vessel Gauging Data'!$C$27:$C$56=$E$67)*1)&lt;ROWS($C$68:$C68)),"",INDEX('Vessel Gauging Data'!$B$27:$B$56,SMALL(IF(('Vessel Gauging Data'!$C$27:$C$56=$E$67),ROW('Vessel Gauging Data'!$B$27:$B$56)-ROW('Vessel Gauging Data'!$C$26)),ROW()-ROW(C$67))))</f>
        <v/>
      </c>
      <c r="D68" s="211" t="str">
        <f>IF(OR($C68="",$C68=0),"",INDEX('Vessel Gauging Data'!$B$26:$V$56,MATCH($C68,'Vessel Gauging Data'!$B$27:$B$56,0)+1,2))</f>
        <v/>
      </c>
      <c r="E68" s="1016" t="str">
        <f t="shared" ref="E68:E87" si="77">IF(ISERROR(V68),"",IF(OR($C68="",$C68=0),"",IF(ISTEXT(V68),V68,IF($AB$1=1,V68*UNITOR,INT(V68*UNITOR)&amp;"'-"&amp;TRIM(TEXT(ROUND(MOD(V68*UNITOR,1)*12,1),"# ???/???"))&amp;""""))))</f>
        <v/>
      </c>
      <c r="F68" s="1016" t="str">
        <f t="shared" ref="F68:F87" si="78">IF(ISERROR(W68),"",IF(OR($C68="",$C68=0),"",IF($I68=UMETHOD,"ULL",IF(ISTEXT(W68),W68,IF($AB$1=1,W68*UNITOR,INT(W68*UNITOR)&amp;"'-"&amp;TRIM(TEXT(ROUND(MOD(W68*UNITOR,1)*12,1),"# ???/???"))&amp;"""")))))</f>
        <v/>
      </c>
      <c r="G68" s="1016" t="str">
        <f t="shared" ref="G68:G87" si="79">IF(ISERROR(X68),"",IF(OR($C68="",$C68=0),"",IF(ISTEXT(X68),X68,IF($AB$1=1,X68*UNITOR,INT(X68*UNITOR)&amp;"'-"&amp;TRIM(TEXT(ROUND(MOD(X68*UNITOR,1)*12,1),"# ???/???"))&amp;""""))))</f>
        <v/>
      </c>
      <c r="H68" s="1016" t="str">
        <f t="shared" ref="H68:H87" si="80">IF(ISERROR(Y68),"",IF(OR($C68="",$C68=0),"",IF(ISTEXT(Y68),Y68,IF($AB$1=1,Y68*UNITOR,INT(Y68*UNITOR)&amp;"'-"&amp;TRIM(TEXT(ROUND(MOD(Y68*UNITOR,1)*12,1),"# ???/???"))&amp;""""))))</f>
        <v/>
      </c>
      <c r="I68" s="211" t="str">
        <f t="shared" ref="I68:I87" si="81">IF(ISERROR($BB68),"",IF(OR($C68="",$C68=0,$BB68=0),"",$BB68))</f>
        <v/>
      </c>
      <c r="J68" s="1016" t="str">
        <f t="shared" ref="J68:J87" si="82">IF(ISERROR($BC68),"",IF(OR($C68="",$C68=0,$BC68=""),"",IF(ISTEXT($BC68),$BC68,$BC68*IF($AA$1=B1SEL,1,IF($AA$1=2,FBBLS,1/FBBLS)))))</f>
        <v/>
      </c>
      <c r="K68" s="213" t="str">
        <f t="shared" ref="K68:K87" si="83">IF(ISERROR($BD68),"",IF(OR($C68="",$C68=0,$BD68=""),0,IF(ISTEXT($BD68),$BD68,$BD68*IF($AB$1=W1SEL,1,IF($AB$1=2,FINCH,1/FINCH)))))</f>
        <v/>
      </c>
      <c r="L68" s="212" t="str">
        <f t="shared" ref="L68:L87" si="84">IF(ISERROR($BE68),"",IF(OR($C68="",$C68=0,$BE68=""),0,IF(ISTEXT($BE68),$BE68,$BE68*IF($AA$1=B1SEL,1,IF($AA$1=2,FBBLS,1/FBBLS)))))</f>
        <v/>
      </c>
      <c r="M68" s="1125" t="str">
        <f>IF(OR($C68="",$C68=0),"",INDEX(API1DENST,MATCH($C68,'Vessel Gauging Data'!$B$27:$B$56,0),$AA$1))</f>
        <v/>
      </c>
      <c r="N68" s="212" t="str">
        <f t="shared" ref="N68:N87" si="85">IF(ISERROR(Z68),"",IF(OR($C68="",$C68=0,Z68=""),"",IF(ISTEXT(Z68),Z68,IF($AA$1=T1SEL,Z68,IF($AA$1=2,(Z68*9/5)+32,(Z68-32)*5/9)))))</f>
        <v/>
      </c>
      <c r="O68" s="1016" t="str">
        <f>IF(OR(J68="",L68=""),"",IF(ISTEXT(J68),"N/A",IF(ISTEXT(L68),J68,J68-L68)))</f>
        <v/>
      </c>
      <c r="P68" s="1125" t="str">
        <f>IF(OR(M68="",N68=""),"",IF(OR(ISTEXT(M68),ISTEXT(N68)),"N/A",IF($AA$1=1,ROUND(EXP(-AF68*(N68-15)*(1+0.8*AF68*(N68-15))),5),AZ68)))</f>
        <v/>
      </c>
      <c r="Q68" s="1016" t="str">
        <f>IF(OR(M68="",N68=""),"",IF(OR(ISTEXT(M68),ISTEXT(N68)),"N/A",ROUND(O68*P68,3)))</f>
        <v/>
      </c>
      <c r="R68" s="214" t="str">
        <f>IF(M68="","",IF($AA$1=1,IF(ISTEXT(Q68),"N/A",ROUND(Q68*M68,3)),IF(ISTEXT(T68),"N/A",ROUND(T68*AC68,3))))</f>
        <v/>
      </c>
      <c r="S68" s="1125" t="str">
        <f t="shared" ref="S68:S87" si="86">IF(M68="","",IF($AA$1=1,ROUND(M68-0.0011,5),ROUND((1.00122697*(141.5/(M68+131.5))-1.22269727*10^-3)*8.32823*42/2204.62,5+2)))</f>
        <v/>
      </c>
      <c r="T68" s="236" t="str">
        <f>IF(OR(M68="",N68=""),"",IF(ISTEXT(Q68),"N/A",IF($AA$1=1,ROUND((Q68*(M68-0.0011)),3),ROUND(Q68*S68,3))))</f>
        <v/>
      </c>
      <c r="U68" s="641"/>
      <c r="V68" s="642" t="e">
        <f>INDEX('Vessel Gauging Data'!$B$26:$V$56,MATCH($C68,'Vessel Gauging Data'!$B$26:$B$56,0),$V$18)</f>
        <v>#N/A</v>
      </c>
      <c r="W68" s="642" t="e">
        <f>INDEX('Vessel Gauging Data'!$B$26:$V$56,MATCH($C68,'Vessel Gauging Data'!$B$26:$B$56,0),$W$18)</f>
        <v>#N/A</v>
      </c>
      <c r="X68" s="642" t="e">
        <f>INDEX('Vessel Gauging Data'!$B$26:$V$56,MATCH($C68,'Vessel Gauging Data'!$B$26:$B$56,0),$X$18)</f>
        <v>#N/A</v>
      </c>
      <c r="Y68" s="642" t="e">
        <f>INDEX('Vessel Gauging Data'!$B$26:$V$56,MATCH($C68,'Vessel Gauging Data'!$B$26:$B$56,0),$Y$18)</f>
        <v>#N/A</v>
      </c>
      <c r="Z68" s="642" t="e">
        <f>INDEX('Vessel Gauging Data'!$B$26:$V$56,MATCH($C68,'Vessel Gauging Data'!$B$26:$B$56,0),$Z$18)</f>
        <v>#N/A</v>
      </c>
      <c r="AA68" s="641"/>
      <c r="AB68" s="642" t="e">
        <f>INDEX(API1DENST,MATCH($C68,'Vessel Gauging Data'!$B$27:$B$56,0),1)</f>
        <v>#N/A</v>
      </c>
      <c r="AC68" s="642" t="e">
        <f t="shared" ref="AC68:AC87" si="87">((INT((AB68/(1.0001506*AB68-0.0012202))*10000)+0.5)/10000)</f>
        <v>#N/A</v>
      </c>
      <c r="AD68" s="641"/>
      <c r="AE68" s="661" t="e">
        <f t="shared" ref="AE68:AE87" si="88">ROUND(+M68/2*1000,0)*2</f>
        <v>#VALUE!</v>
      </c>
      <c r="AF68" s="661" t="e">
        <f t="shared" ref="AF68:AF87" si="89">ROUND(186.9696/(AE68*AE68)+(0.4862/AE68),8)</f>
        <v>#VALUE!</v>
      </c>
      <c r="AG68" s="641"/>
      <c r="AH68" s="662" t="str">
        <f t="shared" ref="AH68:AH87" si="90">N68</f>
        <v/>
      </c>
      <c r="AI68" s="662" t="str">
        <f t="shared" ref="AI68:AI87" si="91">M68</f>
        <v/>
      </c>
      <c r="AJ68" s="663">
        <f t="shared" ref="AJ68:AJ87" si="92">IF(AND(AI68&gt;=0,AI68&lt;=37),103.872,IF(AND(AI68&gt;=48,AI68&lt;=52),-0.0018684,IF(AND(AI68&gt;=37.1,AI68&lt;=47.9),330.301,IF(AND(AI68&gt;=52.1),192.4571))))</f>
        <v>192.4571</v>
      </c>
      <c r="AK68" s="660">
        <f t="shared" ref="AK68:AK87" si="93">IF(AND(AI68&gt;=0,AI68&lt;=37),0.2701,IF(AND(AI68&gt;=48,AJ68&lt;=52),1489.067,IF(AND(AI68&gt;=37.1,AI68&lt;=47.9),0,IF(AI68&gt;=52.1,0.2438))))</f>
        <v>0.24379999999999999</v>
      </c>
      <c r="AL68" s="660" t="e">
        <f t="shared" ref="AL68:AL87" si="94">ROUND(141360.198/(AI68+131.5),2)</f>
        <v>#VALUE!</v>
      </c>
      <c r="AM68" s="664" t="e">
        <f t="shared" ref="AM68:AM87" si="95">TRUNC(AJ68/AL68,8)</f>
        <v>#VALUE!</v>
      </c>
      <c r="AN68" s="664" t="e">
        <f t="shared" ref="AN68:AN87" si="96">TRUNC(AM68/AL68,10)</f>
        <v>#VALUE!</v>
      </c>
      <c r="AO68" s="665" t="e">
        <f t="shared" ref="AO68:AO87" si="97">TRUNC(AK68/AL68,10)</f>
        <v>#VALUE!</v>
      </c>
      <c r="AP68" s="666" t="e">
        <f t="shared" ref="AP68:AP87" si="98">IF(AND(AI68&gt;=48,AI68&lt;=52),ROUND(AW68+AJ68,7),ROUND(AN68+AO68,7))</f>
        <v>#VALUE!</v>
      </c>
      <c r="AQ68" s="660" t="e">
        <f t="shared" ref="AQ68:AQ87" si="99">AH68-60</f>
        <v>#VALUE!</v>
      </c>
      <c r="AR68" s="667" t="e">
        <f t="shared" ref="AR68:AR87" si="100">TRUNC(AP68*AQ68,8)</f>
        <v>#VALUE!</v>
      </c>
      <c r="AS68" s="667" t="e">
        <f t="shared" ref="AS68:AS87" si="101">TRUNC(0.8*AR68,8)</f>
        <v>#VALUE!</v>
      </c>
      <c r="AT68" s="668" t="e">
        <f t="shared" ref="AT68:AT87" si="102">TRUNC(0.8*AP68^2*AQ68^2,8)</f>
        <v>#VALUE!</v>
      </c>
      <c r="AU68" s="667" t="e">
        <f t="shared" ref="AU68:AU87" si="103">-AR68-AT68</f>
        <v>#VALUE!</v>
      </c>
      <c r="AV68" s="669" t="e">
        <f t="shared" ref="AV68:AV87" si="104">TRUNC(AK68/AL68,5)</f>
        <v>#VALUE!</v>
      </c>
      <c r="AW68" s="667" t="e">
        <f t="shared" ref="AW68:AW87" si="105">ROUND(AV68/AL68,8)</f>
        <v>#VALUE!</v>
      </c>
      <c r="AX68" s="667" t="e">
        <f t="shared" ref="AX68:AX87" si="106">ROUND(AW68+AJ68,8)</f>
        <v>#VALUE!</v>
      </c>
      <c r="AY68" s="660" t="e">
        <f t="shared" ref="AY68:AY87" si="107">IF(AND(AI68&gt;=48,AI68&lt;=52),AX68,AP68)</f>
        <v>#VALUE!</v>
      </c>
      <c r="AZ68" s="670" t="e">
        <f t="shared" ref="AZ68:AZ87" si="108">ROUND(EXP(AU68),5)</f>
        <v>#VALUE!</v>
      </c>
      <c r="BA68" s="641"/>
      <c r="BB68" s="662" t="e">
        <f>INDEX('Vessel Gauging Data'!$B$26:$V$56,MATCH($C68,'Vessel Gauging Data'!$B$26:$B$56,0),$BB$18)</f>
        <v>#N/A</v>
      </c>
      <c r="BC68" s="662" t="e">
        <f>INDEX('Vessel Gauging Data'!$B$26:$V$56,MATCH($C68,'Vessel Gauging Data'!$B$26:$B$56,0),$BC$18)</f>
        <v>#N/A</v>
      </c>
      <c r="BD68" s="662" t="e">
        <f>INDEX('Vessel Gauging Data'!$B$26:$V$56,MATCH($C68,'Vessel Gauging Data'!$B$26:$B$56,0),$BD$18)</f>
        <v>#N/A</v>
      </c>
      <c r="BE68" s="662" t="e">
        <f>INDEX('Vessel Gauging Data'!$B$26:$V$56,MATCH($C68,'Vessel Gauging Data'!$B$26:$B$56,0),$BE$18)</f>
        <v>#N/A</v>
      </c>
    </row>
    <row r="69" spans="1:57" ht="15" hidden="1">
      <c r="A69" s="641" t="str">
        <f t="shared" si="76"/>
        <v>N</v>
      </c>
      <c r="B69" s="641"/>
      <c r="C69" s="235" t="str">
        <f t="array" ref="C69">IF(OR($E$67="",SUMPRODUCT(('Vessel Gauging Data'!$C$27:$C$56=$E$67)*1)&lt;ROWS($C$68:$C69)),"",INDEX('Vessel Gauging Data'!$B$27:$B$56,SMALL(IF(('Vessel Gauging Data'!$C$27:$C$56=$E$67),ROW('Vessel Gauging Data'!$B$27:$B$56)-ROW('Vessel Gauging Data'!$C$26)),ROW()-ROW(C$67))))</f>
        <v/>
      </c>
      <c r="D69" s="211" t="str">
        <f>IF(OR($C69="",$C69=0),"",INDEX('Vessel Gauging Data'!$B$26:$V$56,MATCH($C69,'Vessel Gauging Data'!$B$27:$B$56,0)+1,2))</f>
        <v/>
      </c>
      <c r="E69" s="1016" t="str">
        <f t="shared" si="77"/>
        <v/>
      </c>
      <c r="F69" s="1016" t="str">
        <f t="shared" si="78"/>
        <v/>
      </c>
      <c r="G69" s="1016" t="str">
        <f t="shared" si="79"/>
        <v/>
      </c>
      <c r="H69" s="1016" t="str">
        <f t="shared" si="80"/>
        <v/>
      </c>
      <c r="I69" s="211" t="str">
        <f t="shared" si="81"/>
        <v/>
      </c>
      <c r="J69" s="1016" t="str">
        <f t="shared" si="82"/>
        <v/>
      </c>
      <c r="K69" s="213" t="str">
        <f t="shared" si="83"/>
        <v/>
      </c>
      <c r="L69" s="212" t="str">
        <f t="shared" si="84"/>
        <v/>
      </c>
      <c r="M69" s="1125" t="str">
        <f>IF(OR($C69="",$C69=0),"",INDEX(API1DENST,MATCH($C69,'Vessel Gauging Data'!$B$27:$B$56,0),$AA$1))</f>
        <v/>
      </c>
      <c r="N69" s="212" t="str">
        <f t="shared" si="85"/>
        <v/>
      </c>
      <c r="O69" s="1016" t="str">
        <f t="shared" ref="O69:O87" si="109">IF(OR(J69="",L69=""),"",IF(ISTEXT(J69),"N/A",IF(ISTEXT(L69),J69,J69-L69)))</f>
        <v/>
      </c>
      <c r="P69" s="1125" t="str">
        <f t="shared" ref="P69:P87" si="110">IF(OR(M69="",N69=""),"",IF(OR(ISTEXT(M69),ISTEXT(N69)),"N/A",IF($AA$1=1,ROUND(EXP(-AF69*(N69-15)*(1+0.8*AF69*(N69-15))),5),AZ69)))</f>
        <v/>
      </c>
      <c r="Q69" s="1016" t="str">
        <f t="shared" ref="Q69:Q87" si="111">IF(OR(M69="",N69=""),"",IF(OR(ISTEXT(M69),ISTEXT(N69)),"N/A",ROUND(O69*P69,3)))</f>
        <v/>
      </c>
      <c r="R69" s="214" t="str">
        <f t="shared" ref="R69:R87" si="112">IF(M69="","",IF($AA$1=1,IF(ISTEXT(Q69),"N/A",ROUND(Q69*M69,3)),IF(ISTEXT(T69),"N/A",ROUND(T69*AC69,3))))</f>
        <v/>
      </c>
      <c r="S69" s="1125" t="str">
        <f t="shared" si="86"/>
        <v/>
      </c>
      <c r="T69" s="236" t="str">
        <f t="shared" ref="T69:T87" si="113">IF(OR(M69="",N69=""),"",IF(ISTEXT(Q69),"N/A",IF($AA$1=1,ROUND((Q69*(M69-0.0011)),3),ROUND(Q69*S69,3))))</f>
        <v/>
      </c>
      <c r="U69" s="641"/>
      <c r="V69" s="642" t="e">
        <f>INDEX('Vessel Gauging Data'!$B$26:$V$56,MATCH($C69,'Vessel Gauging Data'!$B$26:$B$56,0),$V$18)</f>
        <v>#N/A</v>
      </c>
      <c r="W69" s="642" t="e">
        <f>INDEX('Vessel Gauging Data'!$B$26:$V$56,MATCH($C69,'Vessel Gauging Data'!$B$26:$B$56,0),$W$18)</f>
        <v>#N/A</v>
      </c>
      <c r="X69" s="642" t="e">
        <f>INDEX('Vessel Gauging Data'!$B$26:$V$56,MATCH($C69,'Vessel Gauging Data'!$B$26:$B$56,0),$X$18)</f>
        <v>#N/A</v>
      </c>
      <c r="Y69" s="642" t="e">
        <f>INDEX('Vessel Gauging Data'!$B$26:$V$56,MATCH($C69,'Vessel Gauging Data'!$B$26:$B$56,0),$Y$18)</f>
        <v>#N/A</v>
      </c>
      <c r="Z69" s="642" t="e">
        <f>INDEX('Vessel Gauging Data'!$B$26:$V$56,MATCH($C69,'Vessel Gauging Data'!$B$26:$B$56,0),$Z$18)</f>
        <v>#N/A</v>
      </c>
      <c r="AA69" s="641"/>
      <c r="AB69" s="642" t="e">
        <f>INDEX(API1DENST,MATCH($C69,'Vessel Gauging Data'!$B$27:$B$56,0),1)</f>
        <v>#N/A</v>
      </c>
      <c r="AC69" s="642" t="e">
        <f t="shared" si="87"/>
        <v>#N/A</v>
      </c>
      <c r="AD69" s="641"/>
      <c r="AE69" s="661" t="e">
        <f t="shared" si="88"/>
        <v>#VALUE!</v>
      </c>
      <c r="AF69" s="661" t="e">
        <f t="shared" si="89"/>
        <v>#VALUE!</v>
      </c>
      <c r="AG69" s="641"/>
      <c r="AH69" s="662" t="str">
        <f t="shared" si="90"/>
        <v/>
      </c>
      <c r="AI69" s="662" t="str">
        <f t="shared" si="91"/>
        <v/>
      </c>
      <c r="AJ69" s="663">
        <f t="shared" si="92"/>
        <v>192.4571</v>
      </c>
      <c r="AK69" s="660">
        <f t="shared" si="93"/>
        <v>0.24379999999999999</v>
      </c>
      <c r="AL69" s="660" t="e">
        <f t="shared" si="94"/>
        <v>#VALUE!</v>
      </c>
      <c r="AM69" s="664" t="e">
        <f t="shared" si="95"/>
        <v>#VALUE!</v>
      </c>
      <c r="AN69" s="664" t="e">
        <f t="shared" si="96"/>
        <v>#VALUE!</v>
      </c>
      <c r="AO69" s="665" t="e">
        <f t="shared" si="97"/>
        <v>#VALUE!</v>
      </c>
      <c r="AP69" s="666" t="e">
        <f t="shared" si="98"/>
        <v>#VALUE!</v>
      </c>
      <c r="AQ69" s="660" t="e">
        <f t="shared" si="99"/>
        <v>#VALUE!</v>
      </c>
      <c r="AR69" s="667" t="e">
        <f t="shared" si="100"/>
        <v>#VALUE!</v>
      </c>
      <c r="AS69" s="667" t="e">
        <f t="shared" si="101"/>
        <v>#VALUE!</v>
      </c>
      <c r="AT69" s="668" t="e">
        <f t="shared" si="102"/>
        <v>#VALUE!</v>
      </c>
      <c r="AU69" s="667" t="e">
        <f t="shared" si="103"/>
        <v>#VALUE!</v>
      </c>
      <c r="AV69" s="669" t="e">
        <f t="shared" si="104"/>
        <v>#VALUE!</v>
      </c>
      <c r="AW69" s="667" t="e">
        <f t="shared" si="105"/>
        <v>#VALUE!</v>
      </c>
      <c r="AX69" s="667" t="e">
        <f t="shared" si="106"/>
        <v>#VALUE!</v>
      </c>
      <c r="AY69" s="660" t="e">
        <f t="shared" si="107"/>
        <v>#VALUE!</v>
      </c>
      <c r="AZ69" s="670" t="e">
        <f t="shared" si="108"/>
        <v>#VALUE!</v>
      </c>
      <c r="BA69" s="641"/>
      <c r="BB69" s="662" t="e">
        <f>INDEX('Vessel Gauging Data'!$B$26:$V$56,MATCH($C69,'Vessel Gauging Data'!$B$26:$B$56,0),$BB$18)</f>
        <v>#N/A</v>
      </c>
      <c r="BC69" s="662" t="e">
        <f>INDEX('Vessel Gauging Data'!$B$26:$V$56,MATCH($C69,'Vessel Gauging Data'!$B$26:$B$56,0),$BC$18)</f>
        <v>#N/A</v>
      </c>
      <c r="BD69" s="662" t="e">
        <f>INDEX('Vessel Gauging Data'!$B$26:$V$56,MATCH($C69,'Vessel Gauging Data'!$B$26:$B$56,0),$BD$18)</f>
        <v>#N/A</v>
      </c>
      <c r="BE69" s="662" t="e">
        <f>INDEX('Vessel Gauging Data'!$B$26:$V$56,MATCH($C69,'Vessel Gauging Data'!$B$26:$B$56,0),$BE$18)</f>
        <v>#N/A</v>
      </c>
    </row>
    <row r="70" spans="1:57" ht="15" hidden="1">
      <c r="A70" s="641" t="str">
        <f t="shared" si="76"/>
        <v>N</v>
      </c>
      <c r="B70" s="641"/>
      <c r="C70" s="235" t="str">
        <f t="array" ref="C70">IF(OR($E$67="",SUMPRODUCT(('Vessel Gauging Data'!$C$27:$C$56=$E$67)*1)&lt;ROWS($C$68:$C70)),"",INDEX('Vessel Gauging Data'!$B$27:$B$56,SMALL(IF(('Vessel Gauging Data'!$C$27:$C$56=$E$67),ROW('Vessel Gauging Data'!$B$27:$B$56)-ROW('Vessel Gauging Data'!$C$26)),ROW()-ROW(C$67))))</f>
        <v/>
      </c>
      <c r="D70" s="211" t="str">
        <f>IF(OR($C70="",$C70=0),"",INDEX('Vessel Gauging Data'!$B$26:$V$56,MATCH($C70,'Vessel Gauging Data'!$B$27:$B$56,0)+1,2))</f>
        <v/>
      </c>
      <c r="E70" s="1016" t="str">
        <f t="shared" si="77"/>
        <v/>
      </c>
      <c r="F70" s="1016" t="str">
        <f t="shared" si="78"/>
        <v/>
      </c>
      <c r="G70" s="1016" t="str">
        <f t="shared" si="79"/>
        <v/>
      </c>
      <c r="H70" s="1016" t="str">
        <f t="shared" si="80"/>
        <v/>
      </c>
      <c r="I70" s="211" t="str">
        <f t="shared" si="81"/>
        <v/>
      </c>
      <c r="J70" s="1016" t="str">
        <f t="shared" si="82"/>
        <v/>
      </c>
      <c r="K70" s="213" t="str">
        <f t="shared" si="83"/>
        <v/>
      </c>
      <c r="L70" s="212" t="str">
        <f t="shared" si="84"/>
        <v/>
      </c>
      <c r="M70" s="1125" t="str">
        <f>IF(OR($C70="",$C70=0),"",INDEX(API1DENST,MATCH($C70,'Vessel Gauging Data'!$B$27:$B$56,0),$AA$1))</f>
        <v/>
      </c>
      <c r="N70" s="212" t="str">
        <f t="shared" si="85"/>
        <v/>
      </c>
      <c r="O70" s="1016" t="str">
        <f t="shared" si="109"/>
        <v/>
      </c>
      <c r="P70" s="1125" t="str">
        <f t="shared" si="110"/>
        <v/>
      </c>
      <c r="Q70" s="1016" t="str">
        <f t="shared" si="111"/>
        <v/>
      </c>
      <c r="R70" s="214" t="str">
        <f t="shared" si="112"/>
        <v/>
      </c>
      <c r="S70" s="1125" t="str">
        <f t="shared" si="86"/>
        <v/>
      </c>
      <c r="T70" s="236" t="str">
        <f t="shared" si="113"/>
        <v/>
      </c>
      <c r="U70" s="641"/>
      <c r="V70" s="642" t="e">
        <f>INDEX('Vessel Gauging Data'!$B$26:$V$56,MATCH($C70,'Vessel Gauging Data'!$B$26:$B$56,0),$V$18)</f>
        <v>#N/A</v>
      </c>
      <c r="W70" s="642" t="e">
        <f>INDEX('Vessel Gauging Data'!$B$26:$V$56,MATCH($C70,'Vessel Gauging Data'!$B$26:$B$56,0),$W$18)</f>
        <v>#N/A</v>
      </c>
      <c r="X70" s="642" t="e">
        <f>INDEX('Vessel Gauging Data'!$B$26:$V$56,MATCH($C70,'Vessel Gauging Data'!$B$26:$B$56,0),$X$18)</f>
        <v>#N/A</v>
      </c>
      <c r="Y70" s="642" t="e">
        <f>INDEX('Vessel Gauging Data'!$B$26:$V$56,MATCH($C70,'Vessel Gauging Data'!$B$26:$B$56,0),$Y$18)</f>
        <v>#N/A</v>
      </c>
      <c r="Z70" s="642" t="e">
        <f>INDEX('Vessel Gauging Data'!$B$26:$V$56,MATCH($C70,'Vessel Gauging Data'!$B$26:$B$56,0),$Z$18)</f>
        <v>#N/A</v>
      </c>
      <c r="AA70" s="641"/>
      <c r="AB70" s="642" t="e">
        <f>INDEX(API1DENST,MATCH($C70,'Vessel Gauging Data'!$B$27:$B$56,0),1)</f>
        <v>#N/A</v>
      </c>
      <c r="AC70" s="642" t="e">
        <f t="shared" si="87"/>
        <v>#N/A</v>
      </c>
      <c r="AD70" s="641"/>
      <c r="AE70" s="661" t="e">
        <f t="shared" si="88"/>
        <v>#VALUE!</v>
      </c>
      <c r="AF70" s="661" t="e">
        <f t="shared" si="89"/>
        <v>#VALUE!</v>
      </c>
      <c r="AG70" s="641"/>
      <c r="AH70" s="662" t="str">
        <f t="shared" si="90"/>
        <v/>
      </c>
      <c r="AI70" s="662" t="str">
        <f t="shared" si="91"/>
        <v/>
      </c>
      <c r="AJ70" s="663">
        <f t="shared" si="92"/>
        <v>192.4571</v>
      </c>
      <c r="AK70" s="660">
        <f t="shared" si="93"/>
        <v>0.24379999999999999</v>
      </c>
      <c r="AL70" s="660" t="e">
        <f t="shared" si="94"/>
        <v>#VALUE!</v>
      </c>
      <c r="AM70" s="664" t="e">
        <f t="shared" si="95"/>
        <v>#VALUE!</v>
      </c>
      <c r="AN70" s="664" t="e">
        <f t="shared" si="96"/>
        <v>#VALUE!</v>
      </c>
      <c r="AO70" s="665" t="e">
        <f t="shared" si="97"/>
        <v>#VALUE!</v>
      </c>
      <c r="AP70" s="666" t="e">
        <f t="shared" si="98"/>
        <v>#VALUE!</v>
      </c>
      <c r="AQ70" s="660" t="e">
        <f t="shared" si="99"/>
        <v>#VALUE!</v>
      </c>
      <c r="AR70" s="667" t="e">
        <f t="shared" si="100"/>
        <v>#VALUE!</v>
      </c>
      <c r="AS70" s="667" t="e">
        <f t="shared" si="101"/>
        <v>#VALUE!</v>
      </c>
      <c r="AT70" s="668" t="e">
        <f t="shared" si="102"/>
        <v>#VALUE!</v>
      </c>
      <c r="AU70" s="667" t="e">
        <f t="shared" si="103"/>
        <v>#VALUE!</v>
      </c>
      <c r="AV70" s="669" t="e">
        <f t="shared" si="104"/>
        <v>#VALUE!</v>
      </c>
      <c r="AW70" s="667" t="e">
        <f t="shared" si="105"/>
        <v>#VALUE!</v>
      </c>
      <c r="AX70" s="667" t="e">
        <f t="shared" si="106"/>
        <v>#VALUE!</v>
      </c>
      <c r="AY70" s="660" t="e">
        <f t="shared" si="107"/>
        <v>#VALUE!</v>
      </c>
      <c r="AZ70" s="670" t="e">
        <f t="shared" si="108"/>
        <v>#VALUE!</v>
      </c>
      <c r="BA70" s="641"/>
      <c r="BB70" s="662" t="e">
        <f>INDEX('Vessel Gauging Data'!$B$26:$V$56,MATCH($C70,'Vessel Gauging Data'!$B$26:$B$56,0),$BB$18)</f>
        <v>#N/A</v>
      </c>
      <c r="BC70" s="662" t="e">
        <f>INDEX('Vessel Gauging Data'!$B$26:$V$56,MATCH($C70,'Vessel Gauging Data'!$B$26:$B$56,0),$BC$18)</f>
        <v>#N/A</v>
      </c>
      <c r="BD70" s="662" t="e">
        <f>INDEX('Vessel Gauging Data'!$B$26:$V$56,MATCH($C70,'Vessel Gauging Data'!$B$26:$B$56,0),$BD$18)</f>
        <v>#N/A</v>
      </c>
      <c r="BE70" s="662" t="e">
        <f>INDEX('Vessel Gauging Data'!$B$26:$V$56,MATCH($C70,'Vessel Gauging Data'!$B$26:$B$56,0),$BE$18)</f>
        <v>#N/A</v>
      </c>
    </row>
    <row r="71" spans="1:57" ht="15" hidden="1">
      <c r="A71" s="641" t="str">
        <f t="shared" si="76"/>
        <v>N</v>
      </c>
      <c r="B71" s="641"/>
      <c r="C71" s="235" t="str">
        <f t="array" ref="C71">IF(OR($E$67="",SUMPRODUCT(('Vessel Gauging Data'!$C$27:$C$56=$E$67)*1)&lt;ROWS($C$68:$C71)),"",INDEX('Vessel Gauging Data'!$B$27:$B$56,SMALL(IF(('Vessel Gauging Data'!$C$27:$C$56=$E$67),ROW('Vessel Gauging Data'!$B$27:$B$56)-ROW('Vessel Gauging Data'!$C$26)),ROW()-ROW(C$67))))</f>
        <v/>
      </c>
      <c r="D71" s="211" t="str">
        <f>IF(OR($C71="",$C71=0),"",INDEX('Vessel Gauging Data'!$B$26:$V$56,MATCH($C71,'Vessel Gauging Data'!$B$27:$B$56,0)+1,2))</f>
        <v/>
      </c>
      <c r="E71" s="1016" t="str">
        <f t="shared" si="77"/>
        <v/>
      </c>
      <c r="F71" s="1016" t="str">
        <f t="shared" si="78"/>
        <v/>
      </c>
      <c r="G71" s="1016" t="str">
        <f t="shared" si="79"/>
        <v/>
      </c>
      <c r="H71" s="1016" t="str">
        <f t="shared" si="80"/>
        <v/>
      </c>
      <c r="I71" s="211" t="str">
        <f t="shared" si="81"/>
        <v/>
      </c>
      <c r="J71" s="1016" t="str">
        <f t="shared" si="82"/>
        <v/>
      </c>
      <c r="K71" s="213" t="str">
        <f t="shared" si="83"/>
        <v/>
      </c>
      <c r="L71" s="212" t="str">
        <f t="shared" si="84"/>
        <v/>
      </c>
      <c r="M71" s="1125" t="str">
        <f>IF(OR($C71="",$C71=0),"",INDEX(API1DENST,MATCH($C71,'Vessel Gauging Data'!$B$27:$B$56,0),$AA$1))</f>
        <v/>
      </c>
      <c r="N71" s="212" t="str">
        <f t="shared" si="85"/>
        <v/>
      </c>
      <c r="O71" s="1016" t="str">
        <f t="shared" si="109"/>
        <v/>
      </c>
      <c r="P71" s="1125" t="str">
        <f t="shared" si="110"/>
        <v/>
      </c>
      <c r="Q71" s="1016" t="str">
        <f t="shared" si="111"/>
        <v/>
      </c>
      <c r="R71" s="214" t="str">
        <f t="shared" si="112"/>
        <v/>
      </c>
      <c r="S71" s="1125" t="str">
        <f t="shared" si="86"/>
        <v/>
      </c>
      <c r="T71" s="236" t="str">
        <f t="shared" si="113"/>
        <v/>
      </c>
      <c r="U71" s="641"/>
      <c r="V71" s="642" t="e">
        <f>INDEX('Vessel Gauging Data'!$B$26:$V$56,MATCH($C71,'Vessel Gauging Data'!$B$26:$B$56,0),$V$18)</f>
        <v>#N/A</v>
      </c>
      <c r="W71" s="642" t="e">
        <f>INDEX('Vessel Gauging Data'!$B$26:$V$56,MATCH($C71,'Vessel Gauging Data'!$B$26:$B$56,0),$W$18)</f>
        <v>#N/A</v>
      </c>
      <c r="X71" s="642" t="e">
        <f>INDEX('Vessel Gauging Data'!$B$26:$V$56,MATCH($C71,'Vessel Gauging Data'!$B$26:$B$56,0),$X$18)</f>
        <v>#N/A</v>
      </c>
      <c r="Y71" s="642" t="e">
        <f>INDEX('Vessel Gauging Data'!$B$26:$V$56,MATCH($C71,'Vessel Gauging Data'!$B$26:$B$56,0),$Y$18)</f>
        <v>#N/A</v>
      </c>
      <c r="Z71" s="642" t="e">
        <f>INDEX('Vessel Gauging Data'!$B$26:$V$56,MATCH($C71,'Vessel Gauging Data'!$B$26:$B$56,0),$Z$18)</f>
        <v>#N/A</v>
      </c>
      <c r="AA71" s="641"/>
      <c r="AB71" s="642" t="e">
        <f>INDEX(API1DENST,MATCH($C71,'Vessel Gauging Data'!$B$27:$B$56,0),1)</f>
        <v>#N/A</v>
      </c>
      <c r="AC71" s="642" t="e">
        <f t="shared" si="87"/>
        <v>#N/A</v>
      </c>
      <c r="AD71" s="641"/>
      <c r="AE71" s="661" t="e">
        <f t="shared" si="88"/>
        <v>#VALUE!</v>
      </c>
      <c r="AF71" s="661" t="e">
        <f t="shared" si="89"/>
        <v>#VALUE!</v>
      </c>
      <c r="AG71" s="641"/>
      <c r="AH71" s="662" t="str">
        <f t="shared" si="90"/>
        <v/>
      </c>
      <c r="AI71" s="662" t="str">
        <f t="shared" si="91"/>
        <v/>
      </c>
      <c r="AJ71" s="663">
        <f t="shared" si="92"/>
        <v>192.4571</v>
      </c>
      <c r="AK71" s="660">
        <f t="shared" si="93"/>
        <v>0.24379999999999999</v>
      </c>
      <c r="AL71" s="660" t="e">
        <f t="shared" si="94"/>
        <v>#VALUE!</v>
      </c>
      <c r="AM71" s="664" t="e">
        <f t="shared" si="95"/>
        <v>#VALUE!</v>
      </c>
      <c r="AN71" s="664" t="e">
        <f t="shared" si="96"/>
        <v>#VALUE!</v>
      </c>
      <c r="AO71" s="665" t="e">
        <f t="shared" si="97"/>
        <v>#VALUE!</v>
      </c>
      <c r="AP71" s="666" t="e">
        <f t="shared" si="98"/>
        <v>#VALUE!</v>
      </c>
      <c r="AQ71" s="660" t="e">
        <f t="shared" si="99"/>
        <v>#VALUE!</v>
      </c>
      <c r="AR71" s="667" t="e">
        <f t="shared" si="100"/>
        <v>#VALUE!</v>
      </c>
      <c r="AS71" s="667" t="e">
        <f t="shared" si="101"/>
        <v>#VALUE!</v>
      </c>
      <c r="AT71" s="668" t="e">
        <f t="shared" si="102"/>
        <v>#VALUE!</v>
      </c>
      <c r="AU71" s="667" t="e">
        <f t="shared" si="103"/>
        <v>#VALUE!</v>
      </c>
      <c r="AV71" s="669" t="e">
        <f t="shared" si="104"/>
        <v>#VALUE!</v>
      </c>
      <c r="AW71" s="667" t="e">
        <f t="shared" si="105"/>
        <v>#VALUE!</v>
      </c>
      <c r="AX71" s="667" t="e">
        <f t="shared" si="106"/>
        <v>#VALUE!</v>
      </c>
      <c r="AY71" s="660" t="e">
        <f t="shared" si="107"/>
        <v>#VALUE!</v>
      </c>
      <c r="AZ71" s="670" t="e">
        <f t="shared" si="108"/>
        <v>#VALUE!</v>
      </c>
      <c r="BA71" s="641"/>
      <c r="BB71" s="662" t="e">
        <f>INDEX('Vessel Gauging Data'!$B$26:$V$56,MATCH($C71,'Vessel Gauging Data'!$B$26:$B$56,0),$BB$18)</f>
        <v>#N/A</v>
      </c>
      <c r="BC71" s="662" t="e">
        <f>INDEX('Vessel Gauging Data'!$B$26:$V$56,MATCH($C71,'Vessel Gauging Data'!$B$26:$B$56,0),$BC$18)</f>
        <v>#N/A</v>
      </c>
      <c r="BD71" s="662" t="e">
        <f>INDEX('Vessel Gauging Data'!$B$26:$V$56,MATCH($C71,'Vessel Gauging Data'!$B$26:$B$56,0),$BD$18)</f>
        <v>#N/A</v>
      </c>
      <c r="BE71" s="662" t="e">
        <f>INDEX('Vessel Gauging Data'!$B$26:$V$56,MATCH($C71,'Vessel Gauging Data'!$B$26:$B$56,0),$BE$18)</f>
        <v>#N/A</v>
      </c>
    </row>
    <row r="72" spans="1:57" ht="15" hidden="1">
      <c r="A72" s="641" t="str">
        <f t="shared" si="76"/>
        <v>N</v>
      </c>
      <c r="B72" s="641"/>
      <c r="C72" s="235" t="str">
        <f t="array" ref="C72">IF(OR($E$67="",SUMPRODUCT(('Vessel Gauging Data'!$C$27:$C$56=$E$67)*1)&lt;ROWS($C$68:$C72)),"",INDEX('Vessel Gauging Data'!$B$27:$B$56,SMALL(IF(('Vessel Gauging Data'!$C$27:$C$56=$E$67),ROW('Vessel Gauging Data'!$B$27:$B$56)-ROW('Vessel Gauging Data'!$C$26)),ROW()-ROW(C$67))))</f>
        <v/>
      </c>
      <c r="D72" s="211" t="str">
        <f>IF(OR($C72="",$C72=0),"",INDEX('Vessel Gauging Data'!$B$26:$V$56,MATCH($C72,'Vessel Gauging Data'!$B$27:$B$56,0)+1,2))</f>
        <v/>
      </c>
      <c r="E72" s="1016" t="str">
        <f t="shared" si="77"/>
        <v/>
      </c>
      <c r="F72" s="1016" t="str">
        <f t="shared" si="78"/>
        <v/>
      </c>
      <c r="G72" s="1016" t="str">
        <f t="shared" si="79"/>
        <v/>
      </c>
      <c r="H72" s="1016" t="str">
        <f t="shared" si="80"/>
        <v/>
      </c>
      <c r="I72" s="211" t="str">
        <f t="shared" si="81"/>
        <v/>
      </c>
      <c r="J72" s="1016" t="str">
        <f t="shared" si="82"/>
        <v/>
      </c>
      <c r="K72" s="213" t="str">
        <f t="shared" si="83"/>
        <v/>
      </c>
      <c r="L72" s="212" t="str">
        <f t="shared" si="84"/>
        <v/>
      </c>
      <c r="M72" s="1125" t="str">
        <f>IF(OR($C72="",$C72=0),"",INDEX(API1DENST,MATCH($C72,'Vessel Gauging Data'!$B$27:$B$56,0),$AA$1))</f>
        <v/>
      </c>
      <c r="N72" s="212" t="str">
        <f t="shared" si="85"/>
        <v/>
      </c>
      <c r="O72" s="1016" t="str">
        <f t="shared" si="109"/>
        <v/>
      </c>
      <c r="P72" s="1125" t="str">
        <f t="shared" si="110"/>
        <v/>
      </c>
      <c r="Q72" s="1016" t="str">
        <f t="shared" si="111"/>
        <v/>
      </c>
      <c r="R72" s="214" t="str">
        <f t="shared" si="112"/>
        <v/>
      </c>
      <c r="S72" s="1125" t="str">
        <f t="shared" si="86"/>
        <v/>
      </c>
      <c r="T72" s="236" t="str">
        <f t="shared" si="113"/>
        <v/>
      </c>
      <c r="U72" s="641"/>
      <c r="V72" s="642" t="e">
        <f>INDEX('Vessel Gauging Data'!$B$26:$V$56,MATCH($C72,'Vessel Gauging Data'!$B$26:$B$56,0),$V$18)</f>
        <v>#N/A</v>
      </c>
      <c r="W72" s="642" t="e">
        <f>INDEX('Vessel Gauging Data'!$B$26:$V$56,MATCH($C72,'Vessel Gauging Data'!$B$26:$B$56,0),$W$18)</f>
        <v>#N/A</v>
      </c>
      <c r="X72" s="642" t="e">
        <f>INDEX('Vessel Gauging Data'!$B$26:$V$56,MATCH($C72,'Vessel Gauging Data'!$B$26:$B$56,0),$X$18)</f>
        <v>#N/A</v>
      </c>
      <c r="Y72" s="642" t="e">
        <f>INDEX('Vessel Gauging Data'!$B$26:$V$56,MATCH($C72,'Vessel Gauging Data'!$B$26:$B$56,0),$Y$18)</f>
        <v>#N/A</v>
      </c>
      <c r="Z72" s="642" t="e">
        <f>INDEX('Vessel Gauging Data'!$B$26:$V$56,MATCH($C72,'Vessel Gauging Data'!$B$26:$B$56,0),$Z$18)</f>
        <v>#N/A</v>
      </c>
      <c r="AA72" s="641"/>
      <c r="AB72" s="642" t="e">
        <f>INDEX(API1DENST,MATCH($C72,'Vessel Gauging Data'!$B$27:$B$56,0),1)</f>
        <v>#N/A</v>
      </c>
      <c r="AC72" s="642" t="e">
        <f t="shared" si="87"/>
        <v>#N/A</v>
      </c>
      <c r="AD72" s="641"/>
      <c r="AE72" s="661" t="e">
        <f t="shared" si="88"/>
        <v>#VALUE!</v>
      </c>
      <c r="AF72" s="661" t="e">
        <f t="shared" si="89"/>
        <v>#VALUE!</v>
      </c>
      <c r="AG72" s="641"/>
      <c r="AH72" s="662" t="str">
        <f t="shared" si="90"/>
        <v/>
      </c>
      <c r="AI72" s="662" t="str">
        <f t="shared" si="91"/>
        <v/>
      </c>
      <c r="AJ72" s="663">
        <f t="shared" si="92"/>
        <v>192.4571</v>
      </c>
      <c r="AK72" s="660">
        <f t="shared" si="93"/>
        <v>0.24379999999999999</v>
      </c>
      <c r="AL72" s="660" t="e">
        <f t="shared" si="94"/>
        <v>#VALUE!</v>
      </c>
      <c r="AM72" s="664" t="e">
        <f t="shared" si="95"/>
        <v>#VALUE!</v>
      </c>
      <c r="AN72" s="664" t="e">
        <f t="shared" si="96"/>
        <v>#VALUE!</v>
      </c>
      <c r="AO72" s="665" t="e">
        <f t="shared" si="97"/>
        <v>#VALUE!</v>
      </c>
      <c r="AP72" s="666" t="e">
        <f t="shared" si="98"/>
        <v>#VALUE!</v>
      </c>
      <c r="AQ72" s="660" t="e">
        <f t="shared" si="99"/>
        <v>#VALUE!</v>
      </c>
      <c r="AR72" s="667" t="e">
        <f t="shared" si="100"/>
        <v>#VALUE!</v>
      </c>
      <c r="AS72" s="667" t="e">
        <f t="shared" si="101"/>
        <v>#VALUE!</v>
      </c>
      <c r="AT72" s="668" t="e">
        <f t="shared" si="102"/>
        <v>#VALUE!</v>
      </c>
      <c r="AU72" s="667" t="e">
        <f t="shared" si="103"/>
        <v>#VALUE!</v>
      </c>
      <c r="AV72" s="669" t="e">
        <f t="shared" si="104"/>
        <v>#VALUE!</v>
      </c>
      <c r="AW72" s="667" t="e">
        <f t="shared" si="105"/>
        <v>#VALUE!</v>
      </c>
      <c r="AX72" s="667" t="e">
        <f t="shared" si="106"/>
        <v>#VALUE!</v>
      </c>
      <c r="AY72" s="660" t="e">
        <f t="shared" si="107"/>
        <v>#VALUE!</v>
      </c>
      <c r="AZ72" s="670" t="e">
        <f t="shared" si="108"/>
        <v>#VALUE!</v>
      </c>
      <c r="BA72" s="641"/>
      <c r="BB72" s="662" t="e">
        <f>INDEX('Vessel Gauging Data'!$B$26:$V$56,MATCH($C72,'Vessel Gauging Data'!$B$26:$B$56,0),$BB$18)</f>
        <v>#N/A</v>
      </c>
      <c r="BC72" s="662" t="e">
        <f>INDEX('Vessel Gauging Data'!$B$26:$V$56,MATCH($C72,'Vessel Gauging Data'!$B$26:$B$56,0),$BC$18)</f>
        <v>#N/A</v>
      </c>
      <c r="BD72" s="662" t="e">
        <f>INDEX('Vessel Gauging Data'!$B$26:$V$56,MATCH($C72,'Vessel Gauging Data'!$B$26:$B$56,0),$BD$18)</f>
        <v>#N/A</v>
      </c>
      <c r="BE72" s="662" t="e">
        <f>INDEX('Vessel Gauging Data'!$B$26:$V$56,MATCH($C72,'Vessel Gauging Data'!$B$26:$B$56,0),$BE$18)</f>
        <v>#N/A</v>
      </c>
    </row>
    <row r="73" spans="1:57" ht="15" hidden="1">
      <c r="A73" s="641" t="str">
        <f t="shared" si="76"/>
        <v>N</v>
      </c>
      <c r="B73" s="641"/>
      <c r="C73" s="235" t="str">
        <f t="array" ref="C73">IF(OR($E$67="",SUMPRODUCT(('Vessel Gauging Data'!$C$27:$C$56=$E$67)*1)&lt;ROWS($C$68:$C73)),"",INDEX('Vessel Gauging Data'!$B$27:$B$56,SMALL(IF(('Vessel Gauging Data'!$C$27:$C$56=$E$67),ROW('Vessel Gauging Data'!$B$27:$B$56)-ROW('Vessel Gauging Data'!$C$26)),ROW()-ROW(C$67))))</f>
        <v/>
      </c>
      <c r="D73" s="211" t="str">
        <f>IF(OR($C73="",$C73=0),"",INDEX('Vessel Gauging Data'!$B$26:$V$56,MATCH($C73,'Vessel Gauging Data'!$B$27:$B$56,0)+1,2))</f>
        <v/>
      </c>
      <c r="E73" s="1016" t="str">
        <f t="shared" si="77"/>
        <v/>
      </c>
      <c r="F73" s="1016" t="str">
        <f t="shared" si="78"/>
        <v/>
      </c>
      <c r="G73" s="1016" t="str">
        <f t="shared" si="79"/>
        <v/>
      </c>
      <c r="H73" s="1016" t="str">
        <f t="shared" si="80"/>
        <v/>
      </c>
      <c r="I73" s="211" t="str">
        <f t="shared" si="81"/>
        <v/>
      </c>
      <c r="J73" s="1016" t="str">
        <f t="shared" si="82"/>
        <v/>
      </c>
      <c r="K73" s="213" t="str">
        <f t="shared" si="83"/>
        <v/>
      </c>
      <c r="L73" s="212" t="str">
        <f t="shared" si="84"/>
        <v/>
      </c>
      <c r="M73" s="1125" t="str">
        <f>IF(OR($C73="",$C73=0),"",INDEX(API1DENST,MATCH($C73,'Vessel Gauging Data'!$B$27:$B$56,0),$AA$1))</f>
        <v/>
      </c>
      <c r="N73" s="212" t="str">
        <f t="shared" si="85"/>
        <v/>
      </c>
      <c r="O73" s="1016" t="str">
        <f t="shared" si="109"/>
        <v/>
      </c>
      <c r="P73" s="1125" t="str">
        <f t="shared" si="110"/>
        <v/>
      </c>
      <c r="Q73" s="1016" t="str">
        <f t="shared" si="111"/>
        <v/>
      </c>
      <c r="R73" s="214" t="str">
        <f t="shared" si="112"/>
        <v/>
      </c>
      <c r="S73" s="1125" t="str">
        <f t="shared" si="86"/>
        <v/>
      </c>
      <c r="T73" s="236" t="str">
        <f t="shared" si="113"/>
        <v/>
      </c>
      <c r="U73" s="641"/>
      <c r="V73" s="642" t="e">
        <f>INDEX('Vessel Gauging Data'!$B$26:$V$56,MATCH($C73,'Vessel Gauging Data'!$B$26:$B$56,0),$V$18)</f>
        <v>#N/A</v>
      </c>
      <c r="W73" s="642" t="e">
        <f>INDEX('Vessel Gauging Data'!$B$26:$V$56,MATCH($C73,'Vessel Gauging Data'!$B$26:$B$56,0),$W$18)</f>
        <v>#N/A</v>
      </c>
      <c r="X73" s="642" t="e">
        <f>INDEX('Vessel Gauging Data'!$B$26:$V$56,MATCH($C73,'Vessel Gauging Data'!$B$26:$B$56,0),$X$18)</f>
        <v>#N/A</v>
      </c>
      <c r="Y73" s="642" t="e">
        <f>INDEX('Vessel Gauging Data'!$B$26:$V$56,MATCH($C73,'Vessel Gauging Data'!$B$26:$B$56,0),$Y$18)</f>
        <v>#N/A</v>
      </c>
      <c r="Z73" s="642" t="e">
        <f>INDEX('Vessel Gauging Data'!$B$26:$V$56,MATCH($C73,'Vessel Gauging Data'!$B$26:$B$56,0),$Z$18)</f>
        <v>#N/A</v>
      </c>
      <c r="AA73" s="641"/>
      <c r="AB73" s="642" t="e">
        <f>INDEX(API1DENST,MATCH($C73,'Vessel Gauging Data'!$B$27:$B$56,0),1)</f>
        <v>#N/A</v>
      </c>
      <c r="AC73" s="642" t="e">
        <f t="shared" si="87"/>
        <v>#N/A</v>
      </c>
      <c r="AD73" s="641"/>
      <c r="AE73" s="661" t="e">
        <f t="shared" si="88"/>
        <v>#VALUE!</v>
      </c>
      <c r="AF73" s="661" t="e">
        <f t="shared" si="89"/>
        <v>#VALUE!</v>
      </c>
      <c r="AG73" s="641"/>
      <c r="AH73" s="662" t="str">
        <f t="shared" si="90"/>
        <v/>
      </c>
      <c r="AI73" s="662" t="str">
        <f t="shared" si="91"/>
        <v/>
      </c>
      <c r="AJ73" s="663">
        <f t="shared" si="92"/>
        <v>192.4571</v>
      </c>
      <c r="AK73" s="660">
        <f t="shared" si="93"/>
        <v>0.24379999999999999</v>
      </c>
      <c r="AL73" s="660" t="e">
        <f t="shared" si="94"/>
        <v>#VALUE!</v>
      </c>
      <c r="AM73" s="664" t="e">
        <f t="shared" si="95"/>
        <v>#VALUE!</v>
      </c>
      <c r="AN73" s="664" t="e">
        <f t="shared" si="96"/>
        <v>#VALUE!</v>
      </c>
      <c r="AO73" s="665" t="e">
        <f t="shared" si="97"/>
        <v>#VALUE!</v>
      </c>
      <c r="AP73" s="666" t="e">
        <f t="shared" si="98"/>
        <v>#VALUE!</v>
      </c>
      <c r="AQ73" s="660" t="e">
        <f t="shared" si="99"/>
        <v>#VALUE!</v>
      </c>
      <c r="AR73" s="667" t="e">
        <f t="shared" si="100"/>
        <v>#VALUE!</v>
      </c>
      <c r="AS73" s="667" t="e">
        <f t="shared" si="101"/>
        <v>#VALUE!</v>
      </c>
      <c r="AT73" s="668" t="e">
        <f t="shared" si="102"/>
        <v>#VALUE!</v>
      </c>
      <c r="AU73" s="667" t="e">
        <f t="shared" si="103"/>
        <v>#VALUE!</v>
      </c>
      <c r="AV73" s="669" t="e">
        <f t="shared" si="104"/>
        <v>#VALUE!</v>
      </c>
      <c r="AW73" s="667" t="e">
        <f t="shared" si="105"/>
        <v>#VALUE!</v>
      </c>
      <c r="AX73" s="667" t="e">
        <f t="shared" si="106"/>
        <v>#VALUE!</v>
      </c>
      <c r="AY73" s="660" t="e">
        <f t="shared" si="107"/>
        <v>#VALUE!</v>
      </c>
      <c r="AZ73" s="670" t="e">
        <f t="shared" si="108"/>
        <v>#VALUE!</v>
      </c>
      <c r="BA73" s="641"/>
      <c r="BB73" s="662" t="e">
        <f>INDEX('Vessel Gauging Data'!$B$26:$V$56,MATCH($C73,'Vessel Gauging Data'!$B$26:$B$56,0),$BB$18)</f>
        <v>#N/A</v>
      </c>
      <c r="BC73" s="662" t="e">
        <f>INDEX('Vessel Gauging Data'!$B$26:$V$56,MATCH($C73,'Vessel Gauging Data'!$B$26:$B$56,0),$BC$18)</f>
        <v>#N/A</v>
      </c>
      <c r="BD73" s="662" t="e">
        <f>INDEX('Vessel Gauging Data'!$B$26:$V$56,MATCH($C73,'Vessel Gauging Data'!$B$26:$B$56,0),$BD$18)</f>
        <v>#N/A</v>
      </c>
      <c r="BE73" s="662" t="e">
        <f>INDEX('Vessel Gauging Data'!$B$26:$V$56,MATCH($C73,'Vessel Gauging Data'!$B$26:$B$56,0),$BE$18)</f>
        <v>#N/A</v>
      </c>
    </row>
    <row r="74" spans="1:57" ht="15" hidden="1">
      <c r="A74" s="641" t="str">
        <f t="shared" si="76"/>
        <v>N</v>
      </c>
      <c r="B74" s="641"/>
      <c r="C74" s="235" t="str">
        <f t="array" ref="C74">IF(OR($E$67="",SUMPRODUCT(('Vessel Gauging Data'!$C$27:$C$56=$E$67)*1)&lt;ROWS($C$68:$C74)),"",INDEX('Vessel Gauging Data'!$B$27:$B$56,SMALL(IF(('Vessel Gauging Data'!$C$27:$C$56=$E$67),ROW('Vessel Gauging Data'!$B$27:$B$56)-ROW('Vessel Gauging Data'!$C$26)),ROW()-ROW(C$67))))</f>
        <v/>
      </c>
      <c r="D74" s="211" t="str">
        <f>IF(OR($C74="",$C74=0),"",INDEX('Vessel Gauging Data'!$B$26:$V$56,MATCH($C74,'Vessel Gauging Data'!$B$27:$B$56,0)+1,2))</f>
        <v/>
      </c>
      <c r="E74" s="1016" t="str">
        <f t="shared" si="77"/>
        <v/>
      </c>
      <c r="F74" s="1016" t="str">
        <f t="shared" si="78"/>
        <v/>
      </c>
      <c r="G74" s="1016" t="str">
        <f t="shared" si="79"/>
        <v/>
      </c>
      <c r="H74" s="1016" t="str">
        <f t="shared" si="80"/>
        <v/>
      </c>
      <c r="I74" s="211" t="str">
        <f t="shared" si="81"/>
        <v/>
      </c>
      <c r="J74" s="1016" t="str">
        <f t="shared" si="82"/>
        <v/>
      </c>
      <c r="K74" s="213" t="str">
        <f t="shared" si="83"/>
        <v/>
      </c>
      <c r="L74" s="212" t="str">
        <f t="shared" si="84"/>
        <v/>
      </c>
      <c r="M74" s="1125" t="str">
        <f>IF(OR($C74="",$C74=0),"",INDEX(API1DENST,MATCH($C74,'Vessel Gauging Data'!$B$27:$B$56,0),$AA$1))</f>
        <v/>
      </c>
      <c r="N74" s="212" t="str">
        <f t="shared" si="85"/>
        <v/>
      </c>
      <c r="O74" s="1016" t="str">
        <f t="shared" si="109"/>
        <v/>
      </c>
      <c r="P74" s="1125" t="str">
        <f t="shared" si="110"/>
        <v/>
      </c>
      <c r="Q74" s="1016" t="str">
        <f t="shared" si="111"/>
        <v/>
      </c>
      <c r="R74" s="214" t="str">
        <f t="shared" si="112"/>
        <v/>
      </c>
      <c r="S74" s="1125" t="str">
        <f t="shared" si="86"/>
        <v/>
      </c>
      <c r="T74" s="236" t="str">
        <f t="shared" si="113"/>
        <v/>
      </c>
      <c r="U74" s="641"/>
      <c r="V74" s="642" t="e">
        <f>INDEX('Vessel Gauging Data'!$B$26:$V$56,MATCH($C74,'Vessel Gauging Data'!$B$26:$B$56,0),$V$18)</f>
        <v>#N/A</v>
      </c>
      <c r="W74" s="642" t="e">
        <f>INDEX('Vessel Gauging Data'!$B$26:$V$56,MATCH($C74,'Vessel Gauging Data'!$B$26:$B$56,0),$W$18)</f>
        <v>#N/A</v>
      </c>
      <c r="X74" s="642" t="e">
        <f>INDEX('Vessel Gauging Data'!$B$26:$V$56,MATCH($C74,'Vessel Gauging Data'!$B$26:$B$56,0),$X$18)</f>
        <v>#N/A</v>
      </c>
      <c r="Y74" s="642" t="e">
        <f>INDEX('Vessel Gauging Data'!$B$26:$V$56,MATCH($C74,'Vessel Gauging Data'!$B$26:$B$56,0),$Y$18)</f>
        <v>#N/A</v>
      </c>
      <c r="Z74" s="642" t="e">
        <f>INDEX('Vessel Gauging Data'!$B$26:$V$56,MATCH($C74,'Vessel Gauging Data'!$B$26:$B$56,0),$Z$18)</f>
        <v>#N/A</v>
      </c>
      <c r="AA74" s="641"/>
      <c r="AB74" s="642" t="e">
        <f>INDEX(API1DENST,MATCH($C74,'Vessel Gauging Data'!$B$27:$B$56,0),1)</f>
        <v>#N/A</v>
      </c>
      <c r="AC74" s="642" t="e">
        <f t="shared" si="87"/>
        <v>#N/A</v>
      </c>
      <c r="AD74" s="641"/>
      <c r="AE74" s="661" t="e">
        <f t="shared" si="88"/>
        <v>#VALUE!</v>
      </c>
      <c r="AF74" s="661" t="e">
        <f t="shared" si="89"/>
        <v>#VALUE!</v>
      </c>
      <c r="AG74" s="641"/>
      <c r="AH74" s="662" t="str">
        <f t="shared" si="90"/>
        <v/>
      </c>
      <c r="AI74" s="662" t="str">
        <f t="shared" si="91"/>
        <v/>
      </c>
      <c r="AJ74" s="663">
        <f t="shared" si="92"/>
        <v>192.4571</v>
      </c>
      <c r="AK74" s="660">
        <f t="shared" si="93"/>
        <v>0.24379999999999999</v>
      </c>
      <c r="AL74" s="660" t="e">
        <f t="shared" si="94"/>
        <v>#VALUE!</v>
      </c>
      <c r="AM74" s="664" t="e">
        <f t="shared" si="95"/>
        <v>#VALUE!</v>
      </c>
      <c r="AN74" s="664" t="e">
        <f t="shared" si="96"/>
        <v>#VALUE!</v>
      </c>
      <c r="AO74" s="665" t="e">
        <f t="shared" si="97"/>
        <v>#VALUE!</v>
      </c>
      <c r="AP74" s="666" t="e">
        <f t="shared" si="98"/>
        <v>#VALUE!</v>
      </c>
      <c r="AQ74" s="660" t="e">
        <f t="shared" si="99"/>
        <v>#VALUE!</v>
      </c>
      <c r="AR74" s="667" t="e">
        <f t="shared" si="100"/>
        <v>#VALUE!</v>
      </c>
      <c r="AS74" s="667" t="e">
        <f t="shared" si="101"/>
        <v>#VALUE!</v>
      </c>
      <c r="AT74" s="668" t="e">
        <f t="shared" si="102"/>
        <v>#VALUE!</v>
      </c>
      <c r="AU74" s="667" t="e">
        <f t="shared" si="103"/>
        <v>#VALUE!</v>
      </c>
      <c r="AV74" s="669" t="e">
        <f t="shared" si="104"/>
        <v>#VALUE!</v>
      </c>
      <c r="AW74" s="667" t="e">
        <f t="shared" si="105"/>
        <v>#VALUE!</v>
      </c>
      <c r="AX74" s="667" t="e">
        <f t="shared" si="106"/>
        <v>#VALUE!</v>
      </c>
      <c r="AY74" s="660" t="e">
        <f t="shared" si="107"/>
        <v>#VALUE!</v>
      </c>
      <c r="AZ74" s="670" t="e">
        <f t="shared" si="108"/>
        <v>#VALUE!</v>
      </c>
      <c r="BA74" s="641"/>
      <c r="BB74" s="662" t="e">
        <f>INDEX('Vessel Gauging Data'!$B$26:$V$56,MATCH($C74,'Vessel Gauging Data'!$B$26:$B$56,0),$BB$18)</f>
        <v>#N/A</v>
      </c>
      <c r="BC74" s="662" t="e">
        <f>INDEX('Vessel Gauging Data'!$B$26:$V$56,MATCH($C74,'Vessel Gauging Data'!$B$26:$B$56,0),$BC$18)</f>
        <v>#N/A</v>
      </c>
      <c r="BD74" s="662" t="e">
        <f>INDEX('Vessel Gauging Data'!$B$26:$V$56,MATCH($C74,'Vessel Gauging Data'!$B$26:$B$56,0),$BD$18)</f>
        <v>#N/A</v>
      </c>
      <c r="BE74" s="662" t="e">
        <f>INDEX('Vessel Gauging Data'!$B$26:$V$56,MATCH($C74,'Vessel Gauging Data'!$B$26:$B$56,0),$BE$18)</f>
        <v>#N/A</v>
      </c>
    </row>
    <row r="75" spans="1:57" ht="15" hidden="1">
      <c r="A75" s="641" t="str">
        <f t="shared" si="76"/>
        <v>N</v>
      </c>
      <c r="B75" s="641"/>
      <c r="C75" s="235" t="str">
        <f t="array" ref="C75">IF(OR($E$67="",SUMPRODUCT(('Vessel Gauging Data'!$C$27:$C$56=$E$67)*1)&lt;ROWS($C$68:$C75)),"",INDEX('Vessel Gauging Data'!$B$27:$B$56,SMALL(IF(('Vessel Gauging Data'!$C$27:$C$56=$E$67),ROW('Vessel Gauging Data'!$B$27:$B$56)-ROW('Vessel Gauging Data'!$C$26)),ROW()-ROW(C$67))))</f>
        <v/>
      </c>
      <c r="D75" s="211" t="str">
        <f>IF(OR($C75="",$C75=0),"",INDEX('Vessel Gauging Data'!$B$26:$V$56,MATCH($C75,'Vessel Gauging Data'!$B$27:$B$56,0)+1,2))</f>
        <v/>
      </c>
      <c r="E75" s="1016" t="str">
        <f t="shared" si="77"/>
        <v/>
      </c>
      <c r="F75" s="1016" t="str">
        <f t="shared" si="78"/>
        <v/>
      </c>
      <c r="G75" s="1016" t="str">
        <f t="shared" si="79"/>
        <v/>
      </c>
      <c r="H75" s="1016" t="str">
        <f t="shared" si="80"/>
        <v/>
      </c>
      <c r="I75" s="211" t="str">
        <f t="shared" si="81"/>
        <v/>
      </c>
      <c r="J75" s="1016" t="str">
        <f t="shared" si="82"/>
        <v/>
      </c>
      <c r="K75" s="213" t="str">
        <f t="shared" si="83"/>
        <v/>
      </c>
      <c r="L75" s="212" t="str">
        <f t="shared" si="84"/>
        <v/>
      </c>
      <c r="M75" s="1125" t="str">
        <f>IF(OR($C75="",$C75=0),"",INDEX(API1DENST,MATCH($C75,'Vessel Gauging Data'!$B$27:$B$56,0),$AA$1))</f>
        <v/>
      </c>
      <c r="N75" s="212" t="str">
        <f t="shared" si="85"/>
        <v/>
      </c>
      <c r="O75" s="1016" t="str">
        <f t="shared" si="109"/>
        <v/>
      </c>
      <c r="P75" s="1125" t="str">
        <f t="shared" si="110"/>
        <v/>
      </c>
      <c r="Q75" s="1016" t="str">
        <f t="shared" si="111"/>
        <v/>
      </c>
      <c r="R75" s="214" t="str">
        <f t="shared" si="112"/>
        <v/>
      </c>
      <c r="S75" s="1125" t="str">
        <f t="shared" si="86"/>
        <v/>
      </c>
      <c r="T75" s="236" t="str">
        <f t="shared" si="113"/>
        <v/>
      </c>
      <c r="U75" s="641"/>
      <c r="V75" s="642" t="e">
        <f>INDEX('Vessel Gauging Data'!$B$26:$V$56,MATCH($C75,'Vessel Gauging Data'!$B$26:$B$56,0),$V$18)</f>
        <v>#N/A</v>
      </c>
      <c r="W75" s="642" t="e">
        <f>INDEX('Vessel Gauging Data'!$B$26:$V$56,MATCH($C75,'Vessel Gauging Data'!$B$26:$B$56,0),$W$18)</f>
        <v>#N/A</v>
      </c>
      <c r="X75" s="642" t="e">
        <f>INDEX('Vessel Gauging Data'!$B$26:$V$56,MATCH($C75,'Vessel Gauging Data'!$B$26:$B$56,0),$X$18)</f>
        <v>#N/A</v>
      </c>
      <c r="Y75" s="642" t="e">
        <f>INDEX('Vessel Gauging Data'!$B$26:$V$56,MATCH($C75,'Vessel Gauging Data'!$B$26:$B$56,0),$Y$18)</f>
        <v>#N/A</v>
      </c>
      <c r="Z75" s="642" t="e">
        <f>INDEX('Vessel Gauging Data'!$B$26:$V$56,MATCH($C75,'Vessel Gauging Data'!$B$26:$B$56,0),$Z$18)</f>
        <v>#N/A</v>
      </c>
      <c r="AA75" s="641"/>
      <c r="AB75" s="642" t="e">
        <f>INDEX(API1DENST,MATCH($C75,'Vessel Gauging Data'!$B$27:$B$56,0),1)</f>
        <v>#N/A</v>
      </c>
      <c r="AC75" s="642" t="e">
        <f t="shared" si="87"/>
        <v>#N/A</v>
      </c>
      <c r="AD75" s="641"/>
      <c r="AE75" s="661" t="e">
        <f t="shared" si="88"/>
        <v>#VALUE!</v>
      </c>
      <c r="AF75" s="661" t="e">
        <f t="shared" si="89"/>
        <v>#VALUE!</v>
      </c>
      <c r="AG75" s="641"/>
      <c r="AH75" s="662" t="str">
        <f t="shared" si="90"/>
        <v/>
      </c>
      <c r="AI75" s="662" t="str">
        <f t="shared" si="91"/>
        <v/>
      </c>
      <c r="AJ75" s="663">
        <f t="shared" si="92"/>
        <v>192.4571</v>
      </c>
      <c r="AK75" s="660">
        <f t="shared" si="93"/>
        <v>0.24379999999999999</v>
      </c>
      <c r="AL75" s="660" t="e">
        <f t="shared" si="94"/>
        <v>#VALUE!</v>
      </c>
      <c r="AM75" s="664" t="e">
        <f t="shared" si="95"/>
        <v>#VALUE!</v>
      </c>
      <c r="AN75" s="664" t="e">
        <f t="shared" si="96"/>
        <v>#VALUE!</v>
      </c>
      <c r="AO75" s="665" t="e">
        <f t="shared" si="97"/>
        <v>#VALUE!</v>
      </c>
      <c r="AP75" s="666" t="e">
        <f t="shared" si="98"/>
        <v>#VALUE!</v>
      </c>
      <c r="AQ75" s="660" t="e">
        <f t="shared" si="99"/>
        <v>#VALUE!</v>
      </c>
      <c r="AR75" s="667" t="e">
        <f t="shared" si="100"/>
        <v>#VALUE!</v>
      </c>
      <c r="AS75" s="667" t="e">
        <f t="shared" si="101"/>
        <v>#VALUE!</v>
      </c>
      <c r="AT75" s="668" t="e">
        <f t="shared" si="102"/>
        <v>#VALUE!</v>
      </c>
      <c r="AU75" s="667" t="e">
        <f t="shared" si="103"/>
        <v>#VALUE!</v>
      </c>
      <c r="AV75" s="669" t="e">
        <f t="shared" si="104"/>
        <v>#VALUE!</v>
      </c>
      <c r="AW75" s="667" t="e">
        <f t="shared" si="105"/>
        <v>#VALUE!</v>
      </c>
      <c r="AX75" s="667" t="e">
        <f t="shared" si="106"/>
        <v>#VALUE!</v>
      </c>
      <c r="AY75" s="660" t="e">
        <f t="shared" si="107"/>
        <v>#VALUE!</v>
      </c>
      <c r="AZ75" s="670" t="e">
        <f t="shared" si="108"/>
        <v>#VALUE!</v>
      </c>
      <c r="BA75" s="641"/>
      <c r="BB75" s="662" t="e">
        <f>INDEX('Vessel Gauging Data'!$B$26:$V$56,MATCH($C75,'Vessel Gauging Data'!$B$26:$B$56,0),$BB$18)</f>
        <v>#N/A</v>
      </c>
      <c r="BC75" s="662" t="e">
        <f>INDEX('Vessel Gauging Data'!$B$26:$V$56,MATCH($C75,'Vessel Gauging Data'!$B$26:$B$56,0),$BC$18)</f>
        <v>#N/A</v>
      </c>
      <c r="BD75" s="662" t="e">
        <f>INDEX('Vessel Gauging Data'!$B$26:$V$56,MATCH($C75,'Vessel Gauging Data'!$B$26:$B$56,0),$BD$18)</f>
        <v>#N/A</v>
      </c>
      <c r="BE75" s="662" t="e">
        <f>INDEX('Vessel Gauging Data'!$B$26:$V$56,MATCH($C75,'Vessel Gauging Data'!$B$26:$B$56,0),$BE$18)</f>
        <v>#N/A</v>
      </c>
    </row>
    <row r="76" spans="1:57" ht="15" hidden="1">
      <c r="A76" s="641" t="str">
        <f t="shared" si="76"/>
        <v>N</v>
      </c>
      <c r="B76" s="641"/>
      <c r="C76" s="235" t="str">
        <f t="array" ref="C76">IF(OR($E$67="",SUMPRODUCT(('Vessel Gauging Data'!$C$27:$C$56=$E$67)*1)&lt;ROWS($C$68:$C76)),"",INDEX('Vessel Gauging Data'!$B$27:$B$56,SMALL(IF(('Vessel Gauging Data'!$C$27:$C$56=$E$67),ROW('Vessel Gauging Data'!$B$27:$B$56)-ROW('Vessel Gauging Data'!$C$26)),ROW()-ROW(C$67))))</f>
        <v/>
      </c>
      <c r="D76" s="211" t="str">
        <f>IF(OR($C76="",$C76=0),"",INDEX('Vessel Gauging Data'!$B$26:$V$56,MATCH($C76,'Vessel Gauging Data'!$B$27:$B$56,0)+1,2))</f>
        <v/>
      </c>
      <c r="E76" s="1016" t="str">
        <f t="shared" si="77"/>
        <v/>
      </c>
      <c r="F76" s="1016" t="str">
        <f t="shared" si="78"/>
        <v/>
      </c>
      <c r="G76" s="1016" t="str">
        <f t="shared" si="79"/>
        <v/>
      </c>
      <c r="H76" s="1016" t="str">
        <f t="shared" si="80"/>
        <v/>
      </c>
      <c r="I76" s="211" t="str">
        <f t="shared" si="81"/>
        <v/>
      </c>
      <c r="J76" s="1016" t="str">
        <f t="shared" si="82"/>
        <v/>
      </c>
      <c r="K76" s="213" t="str">
        <f t="shared" si="83"/>
        <v/>
      </c>
      <c r="L76" s="212" t="str">
        <f t="shared" si="84"/>
        <v/>
      </c>
      <c r="M76" s="1125" t="str">
        <f>IF(OR($C76="",$C76=0),"",INDEX(API1DENST,MATCH($C76,'Vessel Gauging Data'!$B$27:$B$56,0),$AA$1))</f>
        <v/>
      </c>
      <c r="N76" s="212" t="str">
        <f t="shared" si="85"/>
        <v/>
      </c>
      <c r="O76" s="1016" t="str">
        <f t="shared" si="109"/>
        <v/>
      </c>
      <c r="P76" s="1125" t="str">
        <f t="shared" si="110"/>
        <v/>
      </c>
      <c r="Q76" s="1016" t="str">
        <f t="shared" si="111"/>
        <v/>
      </c>
      <c r="R76" s="214" t="str">
        <f t="shared" si="112"/>
        <v/>
      </c>
      <c r="S76" s="1125" t="str">
        <f t="shared" si="86"/>
        <v/>
      </c>
      <c r="T76" s="236" t="str">
        <f t="shared" si="113"/>
        <v/>
      </c>
      <c r="U76" s="641"/>
      <c r="V76" s="642" t="e">
        <f>INDEX('Vessel Gauging Data'!$B$26:$V$56,MATCH($C76,'Vessel Gauging Data'!$B$26:$B$56,0),$V$18)</f>
        <v>#N/A</v>
      </c>
      <c r="W76" s="642" t="e">
        <f>INDEX('Vessel Gauging Data'!$B$26:$V$56,MATCH($C76,'Vessel Gauging Data'!$B$26:$B$56,0),$W$18)</f>
        <v>#N/A</v>
      </c>
      <c r="X76" s="642" t="e">
        <f>INDEX('Vessel Gauging Data'!$B$26:$V$56,MATCH($C76,'Vessel Gauging Data'!$B$26:$B$56,0),$X$18)</f>
        <v>#N/A</v>
      </c>
      <c r="Y76" s="642" t="e">
        <f>INDEX('Vessel Gauging Data'!$B$26:$V$56,MATCH($C76,'Vessel Gauging Data'!$B$26:$B$56,0),$Y$18)</f>
        <v>#N/A</v>
      </c>
      <c r="Z76" s="642" t="e">
        <f>INDEX('Vessel Gauging Data'!$B$26:$V$56,MATCH($C76,'Vessel Gauging Data'!$B$26:$B$56,0),$Z$18)</f>
        <v>#N/A</v>
      </c>
      <c r="AA76" s="641"/>
      <c r="AB76" s="642" t="e">
        <f>INDEX(API1DENST,MATCH($C76,'Vessel Gauging Data'!$B$27:$B$56,0),1)</f>
        <v>#N/A</v>
      </c>
      <c r="AC76" s="642" t="e">
        <f t="shared" si="87"/>
        <v>#N/A</v>
      </c>
      <c r="AD76" s="641"/>
      <c r="AE76" s="661" t="e">
        <f t="shared" si="88"/>
        <v>#VALUE!</v>
      </c>
      <c r="AF76" s="661" t="e">
        <f t="shared" si="89"/>
        <v>#VALUE!</v>
      </c>
      <c r="AG76" s="641"/>
      <c r="AH76" s="662" t="str">
        <f t="shared" si="90"/>
        <v/>
      </c>
      <c r="AI76" s="662" t="str">
        <f t="shared" si="91"/>
        <v/>
      </c>
      <c r="AJ76" s="663">
        <f t="shared" si="92"/>
        <v>192.4571</v>
      </c>
      <c r="AK76" s="660">
        <f t="shared" si="93"/>
        <v>0.24379999999999999</v>
      </c>
      <c r="AL76" s="660" t="e">
        <f t="shared" si="94"/>
        <v>#VALUE!</v>
      </c>
      <c r="AM76" s="664" t="e">
        <f t="shared" si="95"/>
        <v>#VALUE!</v>
      </c>
      <c r="AN76" s="664" t="e">
        <f t="shared" si="96"/>
        <v>#VALUE!</v>
      </c>
      <c r="AO76" s="665" t="e">
        <f t="shared" si="97"/>
        <v>#VALUE!</v>
      </c>
      <c r="AP76" s="666" t="e">
        <f t="shared" si="98"/>
        <v>#VALUE!</v>
      </c>
      <c r="AQ76" s="660" t="e">
        <f t="shared" si="99"/>
        <v>#VALUE!</v>
      </c>
      <c r="AR76" s="667" t="e">
        <f t="shared" si="100"/>
        <v>#VALUE!</v>
      </c>
      <c r="AS76" s="667" t="e">
        <f t="shared" si="101"/>
        <v>#VALUE!</v>
      </c>
      <c r="AT76" s="668" t="e">
        <f t="shared" si="102"/>
        <v>#VALUE!</v>
      </c>
      <c r="AU76" s="667" t="e">
        <f t="shared" si="103"/>
        <v>#VALUE!</v>
      </c>
      <c r="AV76" s="669" t="e">
        <f t="shared" si="104"/>
        <v>#VALUE!</v>
      </c>
      <c r="AW76" s="667" t="e">
        <f t="shared" si="105"/>
        <v>#VALUE!</v>
      </c>
      <c r="AX76" s="667" t="e">
        <f t="shared" si="106"/>
        <v>#VALUE!</v>
      </c>
      <c r="AY76" s="660" t="e">
        <f t="shared" si="107"/>
        <v>#VALUE!</v>
      </c>
      <c r="AZ76" s="670" t="e">
        <f t="shared" si="108"/>
        <v>#VALUE!</v>
      </c>
      <c r="BA76" s="641"/>
      <c r="BB76" s="662" t="e">
        <f>INDEX('Vessel Gauging Data'!$B$26:$V$56,MATCH($C76,'Vessel Gauging Data'!$B$26:$B$56,0),$BB$18)</f>
        <v>#N/A</v>
      </c>
      <c r="BC76" s="662" t="e">
        <f>INDEX('Vessel Gauging Data'!$B$26:$V$56,MATCH($C76,'Vessel Gauging Data'!$B$26:$B$56,0),$BC$18)</f>
        <v>#N/A</v>
      </c>
      <c r="BD76" s="662" t="e">
        <f>INDEX('Vessel Gauging Data'!$B$26:$V$56,MATCH($C76,'Vessel Gauging Data'!$B$26:$B$56,0),$BD$18)</f>
        <v>#N/A</v>
      </c>
      <c r="BE76" s="662" t="e">
        <f>INDEX('Vessel Gauging Data'!$B$26:$V$56,MATCH($C76,'Vessel Gauging Data'!$B$26:$B$56,0),$BE$18)</f>
        <v>#N/A</v>
      </c>
    </row>
    <row r="77" spans="1:57" ht="15" hidden="1">
      <c r="A77" s="641" t="str">
        <f t="shared" si="76"/>
        <v>N</v>
      </c>
      <c r="B77" s="641"/>
      <c r="C77" s="235" t="str">
        <f t="array" ref="C77">IF(OR($E$67="",SUMPRODUCT(('Vessel Gauging Data'!$C$27:$C$56=$E$67)*1)&lt;ROWS($C$68:$C77)),"",INDEX('Vessel Gauging Data'!$B$27:$B$56,SMALL(IF(('Vessel Gauging Data'!$C$27:$C$56=$E$67),ROW('Vessel Gauging Data'!$B$27:$B$56)-ROW('Vessel Gauging Data'!$C$26)),ROW()-ROW(C$67))))</f>
        <v/>
      </c>
      <c r="D77" s="211" t="str">
        <f>IF(OR($C77="",$C77=0),"",INDEX('Vessel Gauging Data'!$B$26:$V$56,MATCH($C77,'Vessel Gauging Data'!$B$27:$B$56,0)+1,2))</f>
        <v/>
      </c>
      <c r="E77" s="1016" t="str">
        <f t="shared" si="77"/>
        <v/>
      </c>
      <c r="F77" s="1016" t="str">
        <f t="shared" si="78"/>
        <v/>
      </c>
      <c r="G77" s="1016" t="str">
        <f t="shared" si="79"/>
        <v/>
      </c>
      <c r="H77" s="1016" t="str">
        <f t="shared" si="80"/>
        <v/>
      </c>
      <c r="I77" s="211" t="str">
        <f t="shared" si="81"/>
        <v/>
      </c>
      <c r="J77" s="1016" t="str">
        <f t="shared" si="82"/>
        <v/>
      </c>
      <c r="K77" s="213" t="str">
        <f t="shared" si="83"/>
        <v/>
      </c>
      <c r="L77" s="212" t="str">
        <f t="shared" si="84"/>
        <v/>
      </c>
      <c r="M77" s="1125" t="str">
        <f>IF(OR($C77="",$C77=0),"",INDEX(API1DENST,MATCH($C77,'Vessel Gauging Data'!$B$27:$B$56,0),$AA$1))</f>
        <v/>
      </c>
      <c r="N77" s="212" t="str">
        <f t="shared" si="85"/>
        <v/>
      </c>
      <c r="O77" s="1016" t="str">
        <f t="shared" si="109"/>
        <v/>
      </c>
      <c r="P77" s="1125" t="str">
        <f t="shared" si="110"/>
        <v/>
      </c>
      <c r="Q77" s="1016" t="str">
        <f t="shared" si="111"/>
        <v/>
      </c>
      <c r="R77" s="214" t="str">
        <f t="shared" si="112"/>
        <v/>
      </c>
      <c r="S77" s="1125" t="str">
        <f t="shared" si="86"/>
        <v/>
      </c>
      <c r="T77" s="236" t="str">
        <f t="shared" si="113"/>
        <v/>
      </c>
      <c r="U77" s="641"/>
      <c r="V77" s="642" t="e">
        <f>INDEX('Vessel Gauging Data'!$B$26:$V$56,MATCH($C77,'Vessel Gauging Data'!$B$26:$B$56,0),$V$18)</f>
        <v>#N/A</v>
      </c>
      <c r="W77" s="642" t="e">
        <f>INDEX('Vessel Gauging Data'!$B$26:$V$56,MATCH($C77,'Vessel Gauging Data'!$B$26:$B$56,0),$W$18)</f>
        <v>#N/A</v>
      </c>
      <c r="X77" s="642" t="e">
        <f>INDEX('Vessel Gauging Data'!$B$26:$V$56,MATCH($C77,'Vessel Gauging Data'!$B$26:$B$56,0),$X$18)</f>
        <v>#N/A</v>
      </c>
      <c r="Y77" s="642" t="e">
        <f>INDEX('Vessel Gauging Data'!$B$26:$V$56,MATCH($C77,'Vessel Gauging Data'!$B$26:$B$56,0),$Y$18)</f>
        <v>#N/A</v>
      </c>
      <c r="Z77" s="642" t="e">
        <f>INDEX('Vessel Gauging Data'!$B$26:$V$56,MATCH($C77,'Vessel Gauging Data'!$B$26:$B$56,0),$Z$18)</f>
        <v>#N/A</v>
      </c>
      <c r="AA77" s="641"/>
      <c r="AB77" s="642" t="e">
        <f>INDEX(API1DENST,MATCH($C77,'Vessel Gauging Data'!$B$27:$B$56,0),1)</f>
        <v>#N/A</v>
      </c>
      <c r="AC77" s="642" t="e">
        <f t="shared" si="87"/>
        <v>#N/A</v>
      </c>
      <c r="AD77" s="641"/>
      <c r="AE77" s="661" t="e">
        <f t="shared" si="88"/>
        <v>#VALUE!</v>
      </c>
      <c r="AF77" s="661" t="e">
        <f t="shared" si="89"/>
        <v>#VALUE!</v>
      </c>
      <c r="AG77" s="641"/>
      <c r="AH77" s="662" t="str">
        <f t="shared" si="90"/>
        <v/>
      </c>
      <c r="AI77" s="662" t="str">
        <f t="shared" si="91"/>
        <v/>
      </c>
      <c r="AJ77" s="663">
        <f t="shared" si="92"/>
        <v>192.4571</v>
      </c>
      <c r="AK77" s="660">
        <f t="shared" si="93"/>
        <v>0.24379999999999999</v>
      </c>
      <c r="AL77" s="660" t="e">
        <f t="shared" si="94"/>
        <v>#VALUE!</v>
      </c>
      <c r="AM77" s="664" t="e">
        <f t="shared" si="95"/>
        <v>#VALUE!</v>
      </c>
      <c r="AN77" s="664" t="e">
        <f t="shared" si="96"/>
        <v>#VALUE!</v>
      </c>
      <c r="AO77" s="665" t="e">
        <f t="shared" si="97"/>
        <v>#VALUE!</v>
      </c>
      <c r="AP77" s="666" t="e">
        <f t="shared" si="98"/>
        <v>#VALUE!</v>
      </c>
      <c r="AQ77" s="660" t="e">
        <f t="shared" si="99"/>
        <v>#VALUE!</v>
      </c>
      <c r="AR77" s="667" t="e">
        <f t="shared" si="100"/>
        <v>#VALUE!</v>
      </c>
      <c r="AS77" s="667" t="e">
        <f t="shared" si="101"/>
        <v>#VALUE!</v>
      </c>
      <c r="AT77" s="668" t="e">
        <f t="shared" si="102"/>
        <v>#VALUE!</v>
      </c>
      <c r="AU77" s="667" t="e">
        <f t="shared" si="103"/>
        <v>#VALUE!</v>
      </c>
      <c r="AV77" s="669" t="e">
        <f t="shared" si="104"/>
        <v>#VALUE!</v>
      </c>
      <c r="AW77" s="667" t="e">
        <f t="shared" si="105"/>
        <v>#VALUE!</v>
      </c>
      <c r="AX77" s="667" t="e">
        <f t="shared" si="106"/>
        <v>#VALUE!</v>
      </c>
      <c r="AY77" s="660" t="e">
        <f t="shared" si="107"/>
        <v>#VALUE!</v>
      </c>
      <c r="AZ77" s="670" t="e">
        <f t="shared" si="108"/>
        <v>#VALUE!</v>
      </c>
      <c r="BA77" s="641"/>
      <c r="BB77" s="662" t="e">
        <f>INDEX('Vessel Gauging Data'!$B$26:$V$56,MATCH($C77,'Vessel Gauging Data'!$B$26:$B$56,0),$BB$18)</f>
        <v>#N/A</v>
      </c>
      <c r="BC77" s="662" t="e">
        <f>INDEX('Vessel Gauging Data'!$B$26:$V$56,MATCH($C77,'Vessel Gauging Data'!$B$26:$B$56,0),$BC$18)</f>
        <v>#N/A</v>
      </c>
      <c r="BD77" s="662" t="e">
        <f>INDEX('Vessel Gauging Data'!$B$26:$V$56,MATCH($C77,'Vessel Gauging Data'!$B$26:$B$56,0),$BD$18)</f>
        <v>#N/A</v>
      </c>
      <c r="BE77" s="662" t="e">
        <f>INDEX('Vessel Gauging Data'!$B$26:$V$56,MATCH($C77,'Vessel Gauging Data'!$B$26:$B$56,0),$BE$18)</f>
        <v>#N/A</v>
      </c>
    </row>
    <row r="78" spans="1:57" ht="15" hidden="1">
      <c r="A78" s="641" t="str">
        <f t="shared" si="76"/>
        <v>N</v>
      </c>
      <c r="B78" s="641"/>
      <c r="C78" s="235" t="str">
        <f t="array" ref="C78">IF(OR($E$67="",SUMPRODUCT(('Vessel Gauging Data'!$C$27:$C$56=$E$67)*1)&lt;ROWS($C$68:$C78)),"",INDEX('Vessel Gauging Data'!$B$27:$B$56,SMALL(IF(('Vessel Gauging Data'!$C$27:$C$56=$E$67),ROW('Vessel Gauging Data'!$B$27:$B$56)-ROW('Vessel Gauging Data'!$C$26)),ROW()-ROW(C$67))))</f>
        <v/>
      </c>
      <c r="D78" s="211" t="str">
        <f>IF(OR($C78="",$C78=0),"",INDEX('Vessel Gauging Data'!$B$26:$V$56,MATCH($C78,'Vessel Gauging Data'!$B$27:$B$56,0)+1,2))</f>
        <v/>
      </c>
      <c r="E78" s="1016" t="str">
        <f t="shared" si="77"/>
        <v/>
      </c>
      <c r="F78" s="1016" t="str">
        <f t="shared" si="78"/>
        <v/>
      </c>
      <c r="G78" s="1016" t="str">
        <f t="shared" si="79"/>
        <v/>
      </c>
      <c r="H78" s="1016" t="str">
        <f t="shared" si="80"/>
        <v/>
      </c>
      <c r="I78" s="211" t="str">
        <f t="shared" si="81"/>
        <v/>
      </c>
      <c r="J78" s="1016" t="str">
        <f t="shared" si="82"/>
        <v/>
      </c>
      <c r="K78" s="213" t="str">
        <f t="shared" si="83"/>
        <v/>
      </c>
      <c r="L78" s="212" t="str">
        <f t="shared" si="84"/>
        <v/>
      </c>
      <c r="M78" s="1125" t="str">
        <f>IF(OR($C78="",$C78=0),"",INDEX(API1DENST,MATCH($C78,'Vessel Gauging Data'!$B$27:$B$56,0),$AA$1))</f>
        <v/>
      </c>
      <c r="N78" s="212" t="str">
        <f t="shared" si="85"/>
        <v/>
      </c>
      <c r="O78" s="1016" t="str">
        <f t="shared" si="109"/>
        <v/>
      </c>
      <c r="P78" s="1125" t="str">
        <f t="shared" si="110"/>
        <v/>
      </c>
      <c r="Q78" s="1016" t="str">
        <f t="shared" si="111"/>
        <v/>
      </c>
      <c r="R78" s="214" t="str">
        <f t="shared" si="112"/>
        <v/>
      </c>
      <c r="S78" s="1125" t="str">
        <f t="shared" si="86"/>
        <v/>
      </c>
      <c r="T78" s="236" t="str">
        <f t="shared" si="113"/>
        <v/>
      </c>
      <c r="U78" s="641"/>
      <c r="V78" s="642" t="e">
        <f>INDEX('Vessel Gauging Data'!$B$26:$V$56,MATCH($C78,'Vessel Gauging Data'!$B$26:$B$56,0),$V$18)</f>
        <v>#N/A</v>
      </c>
      <c r="W78" s="642" t="e">
        <f>INDEX('Vessel Gauging Data'!$B$26:$V$56,MATCH($C78,'Vessel Gauging Data'!$B$26:$B$56,0),$W$18)</f>
        <v>#N/A</v>
      </c>
      <c r="X78" s="642" t="e">
        <f>INDEX('Vessel Gauging Data'!$B$26:$V$56,MATCH($C78,'Vessel Gauging Data'!$B$26:$B$56,0),$X$18)</f>
        <v>#N/A</v>
      </c>
      <c r="Y78" s="642" t="e">
        <f>INDEX('Vessel Gauging Data'!$B$26:$V$56,MATCH($C78,'Vessel Gauging Data'!$B$26:$B$56,0),$Y$18)</f>
        <v>#N/A</v>
      </c>
      <c r="Z78" s="642" t="e">
        <f>INDEX('Vessel Gauging Data'!$B$26:$V$56,MATCH($C78,'Vessel Gauging Data'!$B$26:$B$56,0),$Z$18)</f>
        <v>#N/A</v>
      </c>
      <c r="AA78" s="641"/>
      <c r="AB78" s="642" t="e">
        <f>INDEX(API1DENST,MATCH($C78,'Vessel Gauging Data'!$B$27:$B$56,0),1)</f>
        <v>#N/A</v>
      </c>
      <c r="AC78" s="642" t="e">
        <f t="shared" si="87"/>
        <v>#N/A</v>
      </c>
      <c r="AD78" s="641"/>
      <c r="AE78" s="661" t="e">
        <f t="shared" si="88"/>
        <v>#VALUE!</v>
      </c>
      <c r="AF78" s="661" t="e">
        <f t="shared" si="89"/>
        <v>#VALUE!</v>
      </c>
      <c r="AG78" s="641"/>
      <c r="AH78" s="662" t="str">
        <f t="shared" si="90"/>
        <v/>
      </c>
      <c r="AI78" s="662" t="str">
        <f t="shared" si="91"/>
        <v/>
      </c>
      <c r="AJ78" s="663">
        <f t="shared" si="92"/>
        <v>192.4571</v>
      </c>
      <c r="AK78" s="660">
        <f t="shared" si="93"/>
        <v>0.24379999999999999</v>
      </c>
      <c r="AL78" s="660" t="e">
        <f t="shared" si="94"/>
        <v>#VALUE!</v>
      </c>
      <c r="AM78" s="664" t="e">
        <f t="shared" si="95"/>
        <v>#VALUE!</v>
      </c>
      <c r="AN78" s="664" t="e">
        <f t="shared" si="96"/>
        <v>#VALUE!</v>
      </c>
      <c r="AO78" s="665" t="e">
        <f t="shared" si="97"/>
        <v>#VALUE!</v>
      </c>
      <c r="AP78" s="666" t="e">
        <f t="shared" si="98"/>
        <v>#VALUE!</v>
      </c>
      <c r="AQ78" s="660" t="e">
        <f t="shared" si="99"/>
        <v>#VALUE!</v>
      </c>
      <c r="AR78" s="667" t="e">
        <f t="shared" si="100"/>
        <v>#VALUE!</v>
      </c>
      <c r="AS78" s="667" t="e">
        <f t="shared" si="101"/>
        <v>#VALUE!</v>
      </c>
      <c r="AT78" s="668" t="e">
        <f t="shared" si="102"/>
        <v>#VALUE!</v>
      </c>
      <c r="AU78" s="667" t="e">
        <f t="shared" si="103"/>
        <v>#VALUE!</v>
      </c>
      <c r="AV78" s="669" t="e">
        <f t="shared" si="104"/>
        <v>#VALUE!</v>
      </c>
      <c r="AW78" s="667" t="e">
        <f t="shared" si="105"/>
        <v>#VALUE!</v>
      </c>
      <c r="AX78" s="667" t="e">
        <f t="shared" si="106"/>
        <v>#VALUE!</v>
      </c>
      <c r="AY78" s="660" t="e">
        <f t="shared" si="107"/>
        <v>#VALUE!</v>
      </c>
      <c r="AZ78" s="670" t="e">
        <f t="shared" si="108"/>
        <v>#VALUE!</v>
      </c>
      <c r="BA78" s="641"/>
      <c r="BB78" s="662" t="e">
        <f>INDEX('Vessel Gauging Data'!$B$26:$V$56,MATCH($C78,'Vessel Gauging Data'!$B$26:$B$56,0),$BB$18)</f>
        <v>#N/A</v>
      </c>
      <c r="BC78" s="662" t="e">
        <f>INDEX('Vessel Gauging Data'!$B$26:$V$56,MATCH($C78,'Vessel Gauging Data'!$B$26:$B$56,0),$BC$18)</f>
        <v>#N/A</v>
      </c>
      <c r="BD78" s="662" t="e">
        <f>INDEX('Vessel Gauging Data'!$B$26:$V$56,MATCH($C78,'Vessel Gauging Data'!$B$26:$B$56,0),$BD$18)</f>
        <v>#N/A</v>
      </c>
      <c r="BE78" s="662" t="e">
        <f>INDEX('Vessel Gauging Data'!$B$26:$V$56,MATCH($C78,'Vessel Gauging Data'!$B$26:$B$56,0),$BE$18)</f>
        <v>#N/A</v>
      </c>
    </row>
    <row r="79" spans="1:57" ht="15" hidden="1">
      <c r="A79" s="641" t="str">
        <f t="shared" si="76"/>
        <v>N</v>
      </c>
      <c r="B79" s="641"/>
      <c r="C79" s="235" t="str">
        <f t="array" ref="C79">IF(OR($E$67="",SUMPRODUCT(('Vessel Gauging Data'!$C$27:$C$56=$E$67)*1)&lt;ROWS($C$68:$C79)),"",INDEX('Vessel Gauging Data'!$B$27:$B$56,SMALL(IF(('Vessel Gauging Data'!$C$27:$C$56=$E$67),ROW('Vessel Gauging Data'!$B$27:$B$56)-ROW('Vessel Gauging Data'!$C$26)),ROW()-ROW(C$67))))</f>
        <v/>
      </c>
      <c r="D79" s="211" t="str">
        <f>IF(OR($C79="",$C79=0),"",INDEX('Vessel Gauging Data'!$B$26:$V$56,MATCH($C79,'Vessel Gauging Data'!$B$27:$B$56,0)+1,2))</f>
        <v/>
      </c>
      <c r="E79" s="1016" t="str">
        <f t="shared" si="77"/>
        <v/>
      </c>
      <c r="F79" s="1016" t="str">
        <f t="shared" si="78"/>
        <v/>
      </c>
      <c r="G79" s="1016" t="str">
        <f t="shared" si="79"/>
        <v/>
      </c>
      <c r="H79" s="1016" t="str">
        <f t="shared" si="80"/>
        <v/>
      </c>
      <c r="I79" s="211" t="str">
        <f t="shared" si="81"/>
        <v/>
      </c>
      <c r="J79" s="1016" t="str">
        <f t="shared" si="82"/>
        <v/>
      </c>
      <c r="K79" s="213" t="str">
        <f t="shared" si="83"/>
        <v/>
      </c>
      <c r="L79" s="212" t="str">
        <f t="shared" si="84"/>
        <v/>
      </c>
      <c r="M79" s="1125" t="str">
        <f>IF(OR($C79="",$C79=0),"",INDEX(API1DENST,MATCH($C79,'Vessel Gauging Data'!$B$27:$B$56,0),$AA$1))</f>
        <v/>
      </c>
      <c r="N79" s="212" t="str">
        <f t="shared" si="85"/>
        <v/>
      </c>
      <c r="O79" s="1016" t="str">
        <f t="shared" si="109"/>
        <v/>
      </c>
      <c r="P79" s="1125" t="str">
        <f t="shared" si="110"/>
        <v/>
      </c>
      <c r="Q79" s="1016" t="str">
        <f t="shared" si="111"/>
        <v/>
      </c>
      <c r="R79" s="214" t="str">
        <f t="shared" si="112"/>
        <v/>
      </c>
      <c r="S79" s="1125" t="str">
        <f t="shared" si="86"/>
        <v/>
      </c>
      <c r="T79" s="236" t="str">
        <f t="shared" si="113"/>
        <v/>
      </c>
      <c r="U79" s="641"/>
      <c r="V79" s="642" t="e">
        <f>INDEX('Vessel Gauging Data'!$B$26:$V$56,MATCH($C79,'Vessel Gauging Data'!$B$26:$B$56,0),$V$18)</f>
        <v>#N/A</v>
      </c>
      <c r="W79" s="642" t="e">
        <f>INDEX('Vessel Gauging Data'!$B$26:$V$56,MATCH($C79,'Vessel Gauging Data'!$B$26:$B$56,0),$W$18)</f>
        <v>#N/A</v>
      </c>
      <c r="X79" s="642" t="e">
        <f>INDEX('Vessel Gauging Data'!$B$26:$V$56,MATCH($C79,'Vessel Gauging Data'!$B$26:$B$56,0),$X$18)</f>
        <v>#N/A</v>
      </c>
      <c r="Y79" s="642" t="e">
        <f>INDEX('Vessel Gauging Data'!$B$26:$V$56,MATCH($C79,'Vessel Gauging Data'!$B$26:$B$56,0),$Y$18)</f>
        <v>#N/A</v>
      </c>
      <c r="Z79" s="642" t="e">
        <f>INDEX('Vessel Gauging Data'!$B$26:$V$56,MATCH($C79,'Vessel Gauging Data'!$B$26:$B$56,0),$Z$18)</f>
        <v>#N/A</v>
      </c>
      <c r="AA79" s="641"/>
      <c r="AB79" s="642" t="e">
        <f>INDEX(API1DENST,MATCH($C79,'Vessel Gauging Data'!$B$27:$B$56,0),1)</f>
        <v>#N/A</v>
      </c>
      <c r="AC79" s="642" t="e">
        <f t="shared" si="87"/>
        <v>#N/A</v>
      </c>
      <c r="AD79" s="641"/>
      <c r="AE79" s="661" t="e">
        <f t="shared" si="88"/>
        <v>#VALUE!</v>
      </c>
      <c r="AF79" s="661" t="e">
        <f t="shared" si="89"/>
        <v>#VALUE!</v>
      </c>
      <c r="AG79" s="641"/>
      <c r="AH79" s="662" t="str">
        <f t="shared" si="90"/>
        <v/>
      </c>
      <c r="AI79" s="662" t="str">
        <f t="shared" si="91"/>
        <v/>
      </c>
      <c r="AJ79" s="663">
        <f t="shared" si="92"/>
        <v>192.4571</v>
      </c>
      <c r="AK79" s="660">
        <f t="shared" si="93"/>
        <v>0.24379999999999999</v>
      </c>
      <c r="AL79" s="660" t="e">
        <f t="shared" si="94"/>
        <v>#VALUE!</v>
      </c>
      <c r="AM79" s="664" t="e">
        <f t="shared" si="95"/>
        <v>#VALUE!</v>
      </c>
      <c r="AN79" s="664" t="e">
        <f t="shared" si="96"/>
        <v>#VALUE!</v>
      </c>
      <c r="AO79" s="665" t="e">
        <f t="shared" si="97"/>
        <v>#VALUE!</v>
      </c>
      <c r="AP79" s="666" t="e">
        <f t="shared" si="98"/>
        <v>#VALUE!</v>
      </c>
      <c r="AQ79" s="660" t="e">
        <f t="shared" si="99"/>
        <v>#VALUE!</v>
      </c>
      <c r="AR79" s="667" t="e">
        <f t="shared" si="100"/>
        <v>#VALUE!</v>
      </c>
      <c r="AS79" s="667" t="e">
        <f t="shared" si="101"/>
        <v>#VALUE!</v>
      </c>
      <c r="AT79" s="668" t="e">
        <f t="shared" si="102"/>
        <v>#VALUE!</v>
      </c>
      <c r="AU79" s="667" t="e">
        <f t="shared" si="103"/>
        <v>#VALUE!</v>
      </c>
      <c r="AV79" s="669" t="e">
        <f t="shared" si="104"/>
        <v>#VALUE!</v>
      </c>
      <c r="AW79" s="667" t="e">
        <f t="shared" si="105"/>
        <v>#VALUE!</v>
      </c>
      <c r="AX79" s="667" t="e">
        <f t="shared" si="106"/>
        <v>#VALUE!</v>
      </c>
      <c r="AY79" s="660" t="e">
        <f t="shared" si="107"/>
        <v>#VALUE!</v>
      </c>
      <c r="AZ79" s="670" t="e">
        <f t="shared" si="108"/>
        <v>#VALUE!</v>
      </c>
      <c r="BA79" s="641"/>
      <c r="BB79" s="662" t="e">
        <f>INDEX('Vessel Gauging Data'!$B$26:$V$56,MATCH($C79,'Vessel Gauging Data'!$B$26:$B$56,0),$BB$18)</f>
        <v>#N/A</v>
      </c>
      <c r="BC79" s="662" t="e">
        <f>INDEX('Vessel Gauging Data'!$B$26:$V$56,MATCH($C79,'Vessel Gauging Data'!$B$26:$B$56,0),$BC$18)</f>
        <v>#N/A</v>
      </c>
      <c r="BD79" s="662" t="e">
        <f>INDEX('Vessel Gauging Data'!$B$26:$V$56,MATCH($C79,'Vessel Gauging Data'!$B$26:$B$56,0),$BD$18)</f>
        <v>#N/A</v>
      </c>
      <c r="BE79" s="662" t="e">
        <f>INDEX('Vessel Gauging Data'!$B$26:$V$56,MATCH($C79,'Vessel Gauging Data'!$B$26:$B$56,0),$BE$18)</f>
        <v>#N/A</v>
      </c>
    </row>
    <row r="80" spans="1:57" ht="15" hidden="1">
      <c r="A80" s="641" t="str">
        <f t="shared" si="76"/>
        <v>N</v>
      </c>
      <c r="B80" s="641"/>
      <c r="C80" s="235" t="str">
        <f t="array" ref="C80">IF(OR($E$67="",SUMPRODUCT(('Vessel Gauging Data'!$C$27:$C$56=$E$67)*1)&lt;ROWS($C$68:$C80)),"",INDEX('Vessel Gauging Data'!$B$27:$B$56,SMALL(IF(('Vessel Gauging Data'!$C$27:$C$56=$E$67),ROW('Vessel Gauging Data'!$B$27:$B$56)-ROW('Vessel Gauging Data'!$C$26)),ROW()-ROW(C$67))))</f>
        <v/>
      </c>
      <c r="D80" s="211" t="str">
        <f>IF(OR($C80="",$C80=0),"",INDEX('Vessel Gauging Data'!$B$26:$V$56,MATCH($C80,'Vessel Gauging Data'!$B$27:$B$56,0)+1,2))</f>
        <v/>
      </c>
      <c r="E80" s="1016" t="str">
        <f t="shared" si="77"/>
        <v/>
      </c>
      <c r="F80" s="1016" t="str">
        <f t="shared" si="78"/>
        <v/>
      </c>
      <c r="G80" s="1016" t="str">
        <f t="shared" si="79"/>
        <v/>
      </c>
      <c r="H80" s="1016" t="str">
        <f t="shared" si="80"/>
        <v/>
      </c>
      <c r="I80" s="211" t="str">
        <f t="shared" si="81"/>
        <v/>
      </c>
      <c r="J80" s="1016" t="str">
        <f t="shared" si="82"/>
        <v/>
      </c>
      <c r="K80" s="213" t="str">
        <f t="shared" si="83"/>
        <v/>
      </c>
      <c r="L80" s="212" t="str">
        <f t="shared" si="84"/>
        <v/>
      </c>
      <c r="M80" s="1125" t="str">
        <f>IF(OR($C80="",$C80=0),"",INDEX(API1DENST,MATCH($C80,'Vessel Gauging Data'!$B$27:$B$56,0),$AA$1))</f>
        <v/>
      </c>
      <c r="N80" s="212" t="str">
        <f t="shared" si="85"/>
        <v/>
      </c>
      <c r="O80" s="1016" t="str">
        <f t="shared" si="109"/>
        <v/>
      </c>
      <c r="P80" s="1125" t="str">
        <f t="shared" si="110"/>
        <v/>
      </c>
      <c r="Q80" s="1016" t="str">
        <f t="shared" si="111"/>
        <v/>
      </c>
      <c r="R80" s="214" t="str">
        <f t="shared" si="112"/>
        <v/>
      </c>
      <c r="S80" s="1125" t="str">
        <f t="shared" si="86"/>
        <v/>
      </c>
      <c r="T80" s="236" t="str">
        <f t="shared" si="113"/>
        <v/>
      </c>
      <c r="U80" s="641"/>
      <c r="V80" s="642" t="e">
        <f>INDEX('Vessel Gauging Data'!$B$26:$V$56,MATCH($C80,'Vessel Gauging Data'!$B$26:$B$56,0),$V$18)</f>
        <v>#N/A</v>
      </c>
      <c r="W80" s="642" t="e">
        <f>INDEX('Vessel Gauging Data'!$B$26:$V$56,MATCH($C80,'Vessel Gauging Data'!$B$26:$B$56,0),$W$18)</f>
        <v>#N/A</v>
      </c>
      <c r="X80" s="642" t="e">
        <f>INDEX('Vessel Gauging Data'!$B$26:$V$56,MATCH($C80,'Vessel Gauging Data'!$B$26:$B$56,0),$X$18)</f>
        <v>#N/A</v>
      </c>
      <c r="Y80" s="642" t="e">
        <f>INDEX('Vessel Gauging Data'!$B$26:$V$56,MATCH($C80,'Vessel Gauging Data'!$B$26:$B$56,0),$Y$18)</f>
        <v>#N/A</v>
      </c>
      <c r="Z80" s="642" t="e">
        <f>INDEX('Vessel Gauging Data'!$B$26:$V$56,MATCH($C80,'Vessel Gauging Data'!$B$26:$B$56,0),$Z$18)</f>
        <v>#N/A</v>
      </c>
      <c r="AA80" s="641"/>
      <c r="AB80" s="642" t="e">
        <f>INDEX(API1DENST,MATCH($C80,'Vessel Gauging Data'!$B$27:$B$56,0),1)</f>
        <v>#N/A</v>
      </c>
      <c r="AC80" s="642" t="e">
        <f t="shared" si="87"/>
        <v>#N/A</v>
      </c>
      <c r="AD80" s="641"/>
      <c r="AE80" s="661" t="e">
        <f t="shared" si="88"/>
        <v>#VALUE!</v>
      </c>
      <c r="AF80" s="661" t="e">
        <f t="shared" si="89"/>
        <v>#VALUE!</v>
      </c>
      <c r="AG80" s="641"/>
      <c r="AH80" s="662" t="str">
        <f t="shared" si="90"/>
        <v/>
      </c>
      <c r="AI80" s="662" t="str">
        <f t="shared" si="91"/>
        <v/>
      </c>
      <c r="AJ80" s="663">
        <f t="shared" si="92"/>
        <v>192.4571</v>
      </c>
      <c r="AK80" s="660">
        <f t="shared" si="93"/>
        <v>0.24379999999999999</v>
      </c>
      <c r="AL80" s="660" t="e">
        <f t="shared" si="94"/>
        <v>#VALUE!</v>
      </c>
      <c r="AM80" s="664" t="e">
        <f t="shared" si="95"/>
        <v>#VALUE!</v>
      </c>
      <c r="AN80" s="664" t="e">
        <f t="shared" si="96"/>
        <v>#VALUE!</v>
      </c>
      <c r="AO80" s="665" t="e">
        <f t="shared" si="97"/>
        <v>#VALUE!</v>
      </c>
      <c r="AP80" s="666" t="e">
        <f t="shared" si="98"/>
        <v>#VALUE!</v>
      </c>
      <c r="AQ80" s="660" t="e">
        <f t="shared" si="99"/>
        <v>#VALUE!</v>
      </c>
      <c r="AR80" s="667" t="e">
        <f t="shared" si="100"/>
        <v>#VALUE!</v>
      </c>
      <c r="AS80" s="667" t="e">
        <f t="shared" si="101"/>
        <v>#VALUE!</v>
      </c>
      <c r="AT80" s="668" t="e">
        <f t="shared" si="102"/>
        <v>#VALUE!</v>
      </c>
      <c r="AU80" s="667" t="e">
        <f t="shared" si="103"/>
        <v>#VALUE!</v>
      </c>
      <c r="AV80" s="669" t="e">
        <f t="shared" si="104"/>
        <v>#VALUE!</v>
      </c>
      <c r="AW80" s="667" t="e">
        <f t="shared" si="105"/>
        <v>#VALUE!</v>
      </c>
      <c r="AX80" s="667" t="e">
        <f t="shared" si="106"/>
        <v>#VALUE!</v>
      </c>
      <c r="AY80" s="660" t="e">
        <f t="shared" si="107"/>
        <v>#VALUE!</v>
      </c>
      <c r="AZ80" s="670" t="e">
        <f t="shared" si="108"/>
        <v>#VALUE!</v>
      </c>
      <c r="BA80" s="641"/>
      <c r="BB80" s="662" t="e">
        <f>INDEX('Vessel Gauging Data'!$B$26:$V$56,MATCH($C80,'Vessel Gauging Data'!$B$26:$B$56,0),$BB$18)</f>
        <v>#N/A</v>
      </c>
      <c r="BC80" s="662" t="e">
        <f>INDEX('Vessel Gauging Data'!$B$26:$V$56,MATCH($C80,'Vessel Gauging Data'!$B$26:$B$56,0),$BC$18)</f>
        <v>#N/A</v>
      </c>
      <c r="BD80" s="662" t="e">
        <f>INDEX('Vessel Gauging Data'!$B$26:$V$56,MATCH($C80,'Vessel Gauging Data'!$B$26:$B$56,0),$BD$18)</f>
        <v>#N/A</v>
      </c>
      <c r="BE80" s="662" t="e">
        <f>INDEX('Vessel Gauging Data'!$B$26:$V$56,MATCH($C80,'Vessel Gauging Data'!$B$26:$B$56,0),$BE$18)</f>
        <v>#N/A</v>
      </c>
    </row>
    <row r="81" spans="1:57" ht="15" hidden="1">
      <c r="A81" s="641" t="str">
        <f t="shared" si="76"/>
        <v>N</v>
      </c>
      <c r="B81" s="641"/>
      <c r="C81" s="235" t="str">
        <f t="array" ref="C81">IF(OR($E$67="",SUMPRODUCT(('Vessel Gauging Data'!$C$27:$C$56=$E$67)*1)&lt;ROWS($C$68:$C81)),"",INDEX('Vessel Gauging Data'!$B$27:$B$56,SMALL(IF(('Vessel Gauging Data'!$C$27:$C$56=$E$67),ROW('Vessel Gauging Data'!$B$27:$B$56)-ROW('Vessel Gauging Data'!$C$26)),ROW()-ROW(C$67))))</f>
        <v/>
      </c>
      <c r="D81" s="211" t="str">
        <f>IF(OR($C81="",$C81=0),"",INDEX('Vessel Gauging Data'!$B$26:$V$56,MATCH($C81,'Vessel Gauging Data'!$B$27:$B$56,0)+1,2))</f>
        <v/>
      </c>
      <c r="E81" s="1016" t="str">
        <f t="shared" si="77"/>
        <v/>
      </c>
      <c r="F81" s="1016" t="str">
        <f t="shared" si="78"/>
        <v/>
      </c>
      <c r="G81" s="1016" t="str">
        <f t="shared" si="79"/>
        <v/>
      </c>
      <c r="H81" s="1016" t="str">
        <f t="shared" si="80"/>
        <v/>
      </c>
      <c r="I81" s="211" t="str">
        <f t="shared" si="81"/>
        <v/>
      </c>
      <c r="J81" s="1016" t="str">
        <f t="shared" si="82"/>
        <v/>
      </c>
      <c r="K81" s="213" t="str">
        <f t="shared" si="83"/>
        <v/>
      </c>
      <c r="L81" s="212" t="str">
        <f t="shared" si="84"/>
        <v/>
      </c>
      <c r="M81" s="1125" t="str">
        <f>IF(OR($C81="",$C81=0),"",INDEX(API1DENST,MATCH($C81,'Vessel Gauging Data'!$B$27:$B$56,0),$AA$1))</f>
        <v/>
      </c>
      <c r="N81" s="212" t="str">
        <f t="shared" si="85"/>
        <v/>
      </c>
      <c r="O81" s="1016" t="str">
        <f t="shared" si="109"/>
        <v/>
      </c>
      <c r="P81" s="1125" t="str">
        <f t="shared" si="110"/>
        <v/>
      </c>
      <c r="Q81" s="1016" t="str">
        <f t="shared" si="111"/>
        <v/>
      </c>
      <c r="R81" s="214" t="str">
        <f t="shared" si="112"/>
        <v/>
      </c>
      <c r="S81" s="1125" t="str">
        <f t="shared" si="86"/>
        <v/>
      </c>
      <c r="T81" s="236" t="str">
        <f t="shared" si="113"/>
        <v/>
      </c>
      <c r="U81" s="641"/>
      <c r="V81" s="642" t="e">
        <f>INDEX('Vessel Gauging Data'!$B$26:$V$56,MATCH($C81,'Vessel Gauging Data'!$B$26:$B$56,0),$V$18)</f>
        <v>#N/A</v>
      </c>
      <c r="W81" s="642" t="e">
        <f>INDEX('Vessel Gauging Data'!$B$26:$V$56,MATCH($C81,'Vessel Gauging Data'!$B$26:$B$56,0),$W$18)</f>
        <v>#N/A</v>
      </c>
      <c r="X81" s="642" t="e">
        <f>INDEX('Vessel Gauging Data'!$B$26:$V$56,MATCH($C81,'Vessel Gauging Data'!$B$26:$B$56,0),$X$18)</f>
        <v>#N/A</v>
      </c>
      <c r="Y81" s="642" t="e">
        <f>INDEX('Vessel Gauging Data'!$B$26:$V$56,MATCH($C81,'Vessel Gauging Data'!$B$26:$B$56,0),$Y$18)</f>
        <v>#N/A</v>
      </c>
      <c r="Z81" s="642" t="e">
        <f>INDEX('Vessel Gauging Data'!$B$26:$V$56,MATCH($C81,'Vessel Gauging Data'!$B$26:$B$56,0),$Z$18)</f>
        <v>#N/A</v>
      </c>
      <c r="AA81" s="641"/>
      <c r="AB81" s="642" t="e">
        <f>INDEX(API1DENST,MATCH($C81,'Vessel Gauging Data'!$B$27:$B$56,0),1)</f>
        <v>#N/A</v>
      </c>
      <c r="AC81" s="642" t="e">
        <f t="shared" si="87"/>
        <v>#N/A</v>
      </c>
      <c r="AD81" s="641"/>
      <c r="AE81" s="661" t="e">
        <f t="shared" si="88"/>
        <v>#VALUE!</v>
      </c>
      <c r="AF81" s="661" t="e">
        <f t="shared" si="89"/>
        <v>#VALUE!</v>
      </c>
      <c r="AG81" s="641"/>
      <c r="AH81" s="662" t="str">
        <f t="shared" si="90"/>
        <v/>
      </c>
      <c r="AI81" s="662" t="str">
        <f t="shared" si="91"/>
        <v/>
      </c>
      <c r="AJ81" s="663">
        <f t="shared" si="92"/>
        <v>192.4571</v>
      </c>
      <c r="AK81" s="660">
        <f t="shared" si="93"/>
        <v>0.24379999999999999</v>
      </c>
      <c r="AL81" s="660" t="e">
        <f t="shared" si="94"/>
        <v>#VALUE!</v>
      </c>
      <c r="AM81" s="664" t="e">
        <f t="shared" si="95"/>
        <v>#VALUE!</v>
      </c>
      <c r="AN81" s="664" t="e">
        <f t="shared" si="96"/>
        <v>#VALUE!</v>
      </c>
      <c r="AO81" s="665" t="e">
        <f t="shared" si="97"/>
        <v>#VALUE!</v>
      </c>
      <c r="AP81" s="666" t="e">
        <f t="shared" si="98"/>
        <v>#VALUE!</v>
      </c>
      <c r="AQ81" s="660" t="e">
        <f t="shared" si="99"/>
        <v>#VALUE!</v>
      </c>
      <c r="AR81" s="667" t="e">
        <f t="shared" si="100"/>
        <v>#VALUE!</v>
      </c>
      <c r="AS81" s="667" t="e">
        <f t="shared" si="101"/>
        <v>#VALUE!</v>
      </c>
      <c r="AT81" s="668" t="e">
        <f t="shared" si="102"/>
        <v>#VALUE!</v>
      </c>
      <c r="AU81" s="667" t="e">
        <f t="shared" si="103"/>
        <v>#VALUE!</v>
      </c>
      <c r="AV81" s="669" t="e">
        <f t="shared" si="104"/>
        <v>#VALUE!</v>
      </c>
      <c r="AW81" s="667" t="e">
        <f t="shared" si="105"/>
        <v>#VALUE!</v>
      </c>
      <c r="AX81" s="667" t="e">
        <f t="shared" si="106"/>
        <v>#VALUE!</v>
      </c>
      <c r="AY81" s="660" t="e">
        <f t="shared" si="107"/>
        <v>#VALUE!</v>
      </c>
      <c r="AZ81" s="670" t="e">
        <f t="shared" si="108"/>
        <v>#VALUE!</v>
      </c>
      <c r="BA81" s="641"/>
      <c r="BB81" s="662" t="e">
        <f>INDEX('Vessel Gauging Data'!$B$26:$V$56,MATCH($C81,'Vessel Gauging Data'!$B$26:$B$56,0),$BB$18)</f>
        <v>#N/A</v>
      </c>
      <c r="BC81" s="662" t="e">
        <f>INDEX('Vessel Gauging Data'!$B$26:$V$56,MATCH($C81,'Vessel Gauging Data'!$B$26:$B$56,0),$BC$18)</f>
        <v>#N/A</v>
      </c>
      <c r="BD81" s="662" t="e">
        <f>INDEX('Vessel Gauging Data'!$B$26:$V$56,MATCH($C81,'Vessel Gauging Data'!$B$26:$B$56,0),$BD$18)</f>
        <v>#N/A</v>
      </c>
      <c r="BE81" s="662" t="e">
        <f>INDEX('Vessel Gauging Data'!$B$26:$V$56,MATCH($C81,'Vessel Gauging Data'!$B$26:$B$56,0),$BE$18)</f>
        <v>#N/A</v>
      </c>
    </row>
    <row r="82" spans="1:57" ht="15" hidden="1">
      <c r="A82" s="641" t="str">
        <f t="shared" si="76"/>
        <v>N</v>
      </c>
      <c r="B82" s="641"/>
      <c r="C82" s="235" t="str">
        <f t="array" ref="C82">IF(OR($E$67="",SUMPRODUCT(('Vessel Gauging Data'!$C$27:$C$56=$E$67)*1)&lt;ROWS($C$68:$C82)),"",INDEX('Vessel Gauging Data'!$B$27:$B$56,SMALL(IF(('Vessel Gauging Data'!$C$27:$C$56=$E$67),ROW('Vessel Gauging Data'!$B$27:$B$56)-ROW('Vessel Gauging Data'!$C$26)),ROW()-ROW(C$67))))</f>
        <v/>
      </c>
      <c r="D82" s="211" t="str">
        <f>IF(OR($C82="",$C82=0),"",INDEX('Vessel Gauging Data'!$B$26:$V$56,MATCH($C82,'Vessel Gauging Data'!$B$27:$B$56,0)+1,2))</f>
        <v/>
      </c>
      <c r="E82" s="1016" t="str">
        <f t="shared" si="77"/>
        <v/>
      </c>
      <c r="F82" s="1016" t="str">
        <f t="shared" si="78"/>
        <v/>
      </c>
      <c r="G82" s="1016" t="str">
        <f t="shared" si="79"/>
        <v/>
      </c>
      <c r="H82" s="1016" t="str">
        <f t="shared" si="80"/>
        <v/>
      </c>
      <c r="I82" s="211" t="str">
        <f t="shared" si="81"/>
        <v/>
      </c>
      <c r="J82" s="1016" t="str">
        <f t="shared" si="82"/>
        <v/>
      </c>
      <c r="K82" s="213" t="str">
        <f t="shared" si="83"/>
        <v/>
      </c>
      <c r="L82" s="212" t="str">
        <f t="shared" si="84"/>
        <v/>
      </c>
      <c r="M82" s="1125" t="str">
        <f>IF(OR($C82="",$C82=0),"",INDEX(API1DENST,MATCH($C82,'Vessel Gauging Data'!$B$27:$B$56,0),$AA$1))</f>
        <v/>
      </c>
      <c r="N82" s="212" t="str">
        <f t="shared" si="85"/>
        <v/>
      </c>
      <c r="O82" s="1016" t="str">
        <f t="shared" si="109"/>
        <v/>
      </c>
      <c r="P82" s="1125" t="str">
        <f t="shared" si="110"/>
        <v/>
      </c>
      <c r="Q82" s="1016" t="str">
        <f t="shared" si="111"/>
        <v/>
      </c>
      <c r="R82" s="214" t="str">
        <f t="shared" si="112"/>
        <v/>
      </c>
      <c r="S82" s="1125" t="str">
        <f t="shared" si="86"/>
        <v/>
      </c>
      <c r="T82" s="236" t="str">
        <f t="shared" si="113"/>
        <v/>
      </c>
      <c r="U82" s="641"/>
      <c r="V82" s="642" t="e">
        <f>INDEX('Vessel Gauging Data'!$B$26:$V$56,MATCH($C82,'Vessel Gauging Data'!$B$26:$B$56,0),$V$18)</f>
        <v>#N/A</v>
      </c>
      <c r="W82" s="642" t="e">
        <f>INDEX('Vessel Gauging Data'!$B$26:$V$56,MATCH($C82,'Vessel Gauging Data'!$B$26:$B$56,0),$W$18)</f>
        <v>#N/A</v>
      </c>
      <c r="X82" s="642" t="e">
        <f>INDEX('Vessel Gauging Data'!$B$26:$V$56,MATCH($C82,'Vessel Gauging Data'!$B$26:$B$56,0),$X$18)</f>
        <v>#N/A</v>
      </c>
      <c r="Y82" s="642" t="e">
        <f>INDEX('Vessel Gauging Data'!$B$26:$V$56,MATCH($C82,'Vessel Gauging Data'!$B$26:$B$56,0),$Y$18)</f>
        <v>#N/A</v>
      </c>
      <c r="Z82" s="642" t="e">
        <f>INDEX('Vessel Gauging Data'!$B$26:$V$56,MATCH($C82,'Vessel Gauging Data'!$B$26:$B$56,0),$Z$18)</f>
        <v>#N/A</v>
      </c>
      <c r="AA82" s="641"/>
      <c r="AB82" s="642" t="e">
        <f>INDEX(API1DENST,MATCH($C82,'Vessel Gauging Data'!$B$27:$B$56,0),1)</f>
        <v>#N/A</v>
      </c>
      <c r="AC82" s="642" t="e">
        <f t="shared" si="87"/>
        <v>#N/A</v>
      </c>
      <c r="AD82" s="641"/>
      <c r="AE82" s="661" t="e">
        <f t="shared" si="88"/>
        <v>#VALUE!</v>
      </c>
      <c r="AF82" s="661" t="e">
        <f t="shared" si="89"/>
        <v>#VALUE!</v>
      </c>
      <c r="AG82" s="641"/>
      <c r="AH82" s="662" t="str">
        <f t="shared" si="90"/>
        <v/>
      </c>
      <c r="AI82" s="662" t="str">
        <f t="shared" si="91"/>
        <v/>
      </c>
      <c r="AJ82" s="663">
        <f t="shared" si="92"/>
        <v>192.4571</v>
      </c>
      <c r="AK82" s="660">
        <f t="shared" si="93"/>
        <v>0.24379999999999999</v>
      </c>
      <c r="AL82" s="660" t="e">
        <f t="shared" si="94"/>
        <v>#VALUE!</v>
      </c>
      <c r="AM82" s="664" t="e">
        <f t="shared" si="95"/>
        <v>#VALUE!</v>
      </c>
      <c r="AN82" s="664" t="e">
        <f t="shared" si="96"/>
        <v>#VALUE!</v>
      </c>
      <c r="AO82" s="665" t="e">
        <f t="shared" si="97"/>
        <v>#VALUE!</v>
      </c>
      <c r="AP82" s="666" t="e">
        <f t="shared" si="98"/>
        <v>#VALUE!</v>
      </c>
      <c r="AQ82" s="660" t="e">
        <f t="shared" si="99"/>
        <v>#VALUE!</v>
      </c>
      <c r="AR82" s="667" t="e">
        <f t="shared" si="100"/>
        <v>#VALUE!</v>
      </c>
      <c r="AS82" s="667" t="e">
        <f t="shared" si="101"/>
        <v>#VALUE!</v>
      </c>
      <c r="AT82" s="668" t="e">
        <f t="shared" si="102"/>
        <v>#VALUE!</v>
      </c>
      <c r="AU82" s="667" t="e">
        <f t="shared" si="103"/>
        <v>#VALUE!</v>
      </c>
      <c r="AV82" s="669" t="e">
        <f t="shared" si="104"/>
        <v>#VALUE!</v>
      </c>
      <c r="AW82" s="667" t="e">
        <f t="shared" si="105"/>
        <v>#VALUE!</v>
      </c>
      <c r="AX82" s="667" t="e">
        <f t="shared" si="106"/>
        <v>#VALUE!</v>
      </c>
      <c r="AY82" s="660" t="e">
        <f t="shared" si="107"/>
        <v>#VALUE!</v>
      </c>
      <c r="AZ82" s="670" t="e">
        <f t="shared" si="108"/>
        <v>#VALUE!</v>
      </c>
      <c r="BA82" s="641"/>
      <c r="BB82" s="662" t="e">
        <f>INDEX('Vessel Gauging Data'!$B$26:$V$56,MATCH($C82,'Vessel Gauging Data'!$B$26:$B$56,0),$BB$18)</f>
        <v>#N/A</v>
      </c>
      <c r="BC82" s="662" t="e">
        <f>INDEX('Vessel Gauging Data'!$B$26:$V$56,MATCH($C82,'Vessel Gauging Data'!$B$26:$B$56,0),$BC$18)</f>
        <v>#N/A</v>
      </c>
      <c r="BD82" s="662" t="e">
        <f>INDEX('Vessel Gauging Data'!$B$26:$V$56,MATCH($C82,'Vessel Gauging Data'!$B$26:$B$56,0),$BD$18)</f>
        <v>#N/A</v>
      </c>
      <c r="BE82" s="662" t="e">
        <f>INDEX('Vessel Gauging Data'!$B$26:$V$56,MATCH($C82,'Vessel Gauging Data'!$B$26:$B$56,0),$BE$18)</f>
        <v>#N/A</v>
      </c>
    </row>
    <row r="83" spans="1:57" ht="15" hidden="1">
      <c r="A83" s="641" t="str">
        <f t="shared" si="76"/>
        <v>N</v>
      </c>
      <c r="B83" s="641"/>
      <c r="C83" s="235" t="str">
        <f t="array" ref="C83">IF(OR($E$67="",SUMPRODUCT(('Vessel Gauging Data'!$C$27:$C$56=$E$67)*1)&lt;ROWS($C$68:$C83)),"",INDEX('Vessel Gauging Data'!$B$27:$B$56,SMALL(IF(('Vessel Gauging Data'!$C$27:$C$56=$E$67),ROW('Vessel Gauging Data'!$B$27:$B$56)-ROW('Vessel Gauging Data'!$C$26)),ROW()-ROW(C$67))))</f>
        <v/>
      </c>
      <c r="D83" s="211" t="str">
        <f>IF(OR($C83="",$C83=0),"",INDEX('Vessel Gauging Data'!$B$26:$V$56,MATCH($C83,'Vessel Gauging Data'!$B$27:$B$56,0)+1,2))</f>
        <v/>
      </c>
      <c r="E83" s="1016" t="str">
        <f t="shared" si="77"/>
        <v/>
      </c>
      <c r="F83" s="1016" t="str">
        <f t="shared" si="78"/>
        <v/>
      </c>
      <c r="G83" s="1016" t="str">
        <f t="shared" si="79"/>
        <v/>
      </c>
      <c r="H83" s="1016" t="str">
        <f t="shared" si="80"/>
        <v/>
      </c>
      <c r="I83" s="211" t="str">
        <f t="shared" si="81"/>
        <v/>
      </c>
      <c r="J83" s="1016" t="str">
        <f t="shared" si="82"/>
        <v/>
      </c>
      <c r="K83" s="213" t="str">
        <f t="shared" si="83"/>
        <v/>
      </c>
      <c r="L83" s="212" t="str">
        <f t="shared" si="84"/>
        <v/>
      </c>
      <c r="M83" s="1125" t="str">
        <f>IF(OR($C83="",$C83=0),"",INDEX(API1DENST,MATCH($C83,'Vessel Gauging Data'!$B$27:$B$56,0),$AA$1))</f>
        <v/>
      </c>
      <c r="N83" s="212" t="str">
        <f t="shared" si="85"/>
        <v/>
      </c>
      <c r="O83" s="1016" t="str">
        <f t="shared" si="109"/>
        <v/>
      </c>
      <c r="P83" s="1125" t="str">
        <f t="shared" si="110"/>
        <v/>
      </c>
      <c r="Q83" s="1016" t="str">
        <f t="shared" si="111"/>
        <v/>
      </c>
      <c r="R83" s="214" t="str">
        <f t="shared" si="112"/>
        <v/>
      </c>
      <c r="S83" s="1125" t="str">
        <f t="shared" si="86"/>
        <v/>
      </c>
      <c r="T83" s="236" t="str">
        <f t="shared" si="113"/>
        <v/>
      </c>
      <c r="U83" s="641"/>
      <c r="V83" s="642" t="e">
        <f>INDEX('Vessel Gauging Data'!$B$26:$V$56,MATCH($C83,'Vessel Gauging Data'!$B$26:$B$56,0),$V$18)</f>
        <v>#N/A</v>
      </c>
      <c r="W83" s="642" t="e">
        <f>INDEX('Vessel Gauging Data'!$B$26:$V$56,MATCH($C83,'Vessel Gauging Data'!$B$26:$B$56,0),$W$18)</f>
        <v>#N/A</v>
      </c>
      <c r="X83" s="642" t="e">
        <f>INDEX('Vessel Gauging Data'!$B$26:$V$56,MATCH($C83,'Vessel Gauging Data'!$B$26:$B$56,0),$X$18)</f>
        <v>#N/A</v>
      </c>
      <c r="Y83" s="642" t="e">
        <f>INDEX('Vessel Gauging Data'!$B$26:$V$56,MATCH($C83,'Vessel Gauging Data'!$B$26:$B$56,0),$Y$18)</f>
        <v>#N/A</v>
      </c>
      <c r="Z83" s="642" t="e">
        <f>INDEX('Vessel Gauging Data'!$B$26:$V$56,MATCH($C83,'Vessel Gauging Data'!$B$26:$B$56,0),$Z$18)</f>
        <v>#N/A</v>
      </c>
      <c r="AA83" s="641"/>
      <c r="AB83" s="642" t="e">
        <f>INDEX(API1DENST,MATCH($C83,'Vessel Gauging Data'!$B$27:$B$56,0),1)</f>
        <v>#N/A</v>
      </c>
      <c r="AC83" s="642" t="e">
        <f t="shared" si="87"/>
        <v>#N/A</v>
      </c>
      <c r="AD83" s="641"/>
      <c r="AE83" s="661" t="e">
        <f t="shared" si="88"/>
        <v>#VALUE!</v>
      </c>
      <c r="AF83" s="661" t="e">
        <f t="shared" si="89"/>
        <v>#VALUE!</v>
      </c>
      <c r="AG83" s="641"/>
      <c r="AH83" s="662" t="str">
        <f t="shared" si="90"/>
        <v/>
      </c>
      <c r="AI83" s="662" t="str">
        <f t="shared" si="91"/>
        <v/>
      </c>
      <c r="AJ83" s="663">
        <f t="shared" si="92"/>
        <v>192.4571</v>
      </c>
      <c r="AK83" s="660">
        <f t="shared" si="93"/>
        <v>0.24379999999999999</v>
      </c>
      <c r="AL83" s="660" t="e">
        <f t="shared" si="94"/>
        <v>#VALUE!</v>
      </c>
      <c r="AM83" s="664" t="e">
        <f t="shared" si="95"/>
        <v>#VALUE!</v>
      </c>
      <c r="AN83" s="664" t="e">
        <f t="shared" si="96"/>
        <v>#VALUE!</v>
      </c>
      <c r="AO83" s="665" t="e">
        <f t="shared" si="97"/>
        <v>#VALUE!</v>
      </c>
      <c r="AP83" s="666" t="e">
        <f t="shared" si="98"/>
        <v>#VALUE!</v>
      </c>
      <c r="AQ83" s="660" t="e">
        <f t="shared" si="99"/>
        <v>#VALUE!</v>
      </c>
      <c r="AR83" s="667" t="e">
        <f t="shared" si="100"/>
        <v>#VALUE!</v>
      </c>
      <c r="AS83" s="667" t="e">
        <f t="shared" si="101"/>
        <v>#VALUE!</v>
      </c>
      <c r="AT83" s="668" t="e">
        <f t="shared" si="102"/>
        <v>#VALUE!</v>
      </c>
      <c r="AU83" s="667" t="e">
        <f t="shared" si="103"/>
        <v>#VALUE!</v>
      </c>
      <c r="AV83" s="669" t="e">
        <f t="shared" si="104"/>
        <v>#VALUE!</v>
      </c>
      <c r="AW83" s="667" t="e">
        <f t="shared" si="105"/>
        <v>#VALUE!</v>
      </c>
      <c r="AX83" s="667" t="e">
        <f t="shared" si="106"/>
        <v>#VALUE!</v>
      </c>
      <c r="AY83" s="660" t="e">
        <f t="shared" si="107"/>
        <v>#VALUE!</v>
      </c>
      <c r="AZ83" s="670" t="e">
        <f t="shared" si="108"/>
        <v>#VALUE!</v>
      </c>
      <c r="BA83" s="641"/>
      <c r="BB83" s="662" t="e">
        <f>INDEX('Vessel Gauging Data'!$B$26:$V$56,MATCH($C83,'Vessel Gauging Data'!$B$26:$B$56,0),$BB$18)</f>
        <v>#N/A</v>
      </c>
      <c r="BC83" s="662" t="e">
        <f>INDEX('Vessel Gauging Data'!$B$26:$V$56,MATCH($C83,'Vessel Gauging Data'!$B$26:$B$56,0),$BC$18)</f>
        <v>#N/A</v>
      </c>
      <c r="BD83" s="662" t="e">
        <f>INDEX('Vessel Gauging Data'!$B$26:$V$56,MATCH($C83,'Vessel Gauging Data'!$B$26:$B$56,0),$BD$18)</f>
        <v>#N/A</v>
      </c>
      <c r="BE83" s="662" t="e">
        <f>INDEX('Vessel Gauging Data'!$B$26:$V$56,MATCH($C83,'Vessel Gauging Data'!$B$26:$B$56,0),$BE$18)</f>
        <v>#N/A</v>
      </c>
    </row>
    <row r="84" spans="1:57" ht="15" hidden="1">
      <c r="A84" s="641" t="str">
        <f t="shared" si="76"/>
        <v>N</v>
      </c>
      <c r="B84" s="641"/>
      <c r="C84" s="235" t="str">
        <f t="array" ref="C84">IF(OR($E$67="",SUMPRODUCT(('Vessel Gauging Data'!$C$27:$C$56=$E$67)*1)&lt;ROWS($C$68:$C84)),"",INDEX('Vessel Gauging Data'!$B$27:$B$56,SMALL(IF(('Vessel Gauging Data'!$C$27:$C$56=$E$67),ROW('Vessel Gauging Data'!$B$27:$B$56)-ROW('Vessel Gauging Data'!$C$26)),ROW()-ROW(C$67))))</f>
        <v/>
      </c>
      <c r="D84" s="211" t="str">
        <f>IF(OR($C84="",$C84=0),"",INDEX('Vessel Gauging Data'!$B$26:$V$56,MATCH($C84,'Vessel Gauging Data'!$B$27:$B$56,0)+1,2))</f>
        <v/>
      </c>
      <c r="E84" s="1016" t="str">
        <f t="shared" si="77"/>
        <v/>
      </c>
      <c r="F84" s="1016" t="str">
        <f t="shared" si="78"/>
        <v/>
      </c>
      <c r="G84" s="1016" t="str">
        <f t="shared" si="79"/>
        <v/>
      </c>
      <c r="H84" s="1016" t="str">
        <f t="shared" si="80"/>
        <v/>
      </c>
      <c r="I84" s="211" t="str">
        <f t="shared" si="81"/>
        <v/>
      </c>
      <c r="J84" s="1016" t="str">
        <f t="shared" si="82"/>
        <v/>
      </c>
      <c r="K84" s="213" t="str">
        <f t="shared" si="83"/>
        <v/>
      </c>
      <c r="L84" s="212" t="str">
        <f t="shared" si="84"/>
        <v/>
      </c>
      <c r="M84" s="1125" t="str">
        <f>IF(OR($C84="",$C84=0),"",INDEX(API1DENST,MATCH($C84,'Vessel Gauging Data'!$B$27:$B$56,0),$AA$1))</f>
        <v/>
      </c>
      <c r="N84" s="212" t="str">
        <f t="shared" si="85"/>
        <v/>
      </c>
      <c r="O84" s="1016" t="str">
        <f t="shared" si="109"/>
        <v/>
      </c>
      <c r="P84" s="1125" t="str">
        <f t="shared" si="110"/>
        <v/>
      </c>
      <c r="Q84" s="1016" t="str">
        <f t="shared" si="111"/>
        <v/>
      </c>
      <c r="R84" s="214" t="str">
        <f t="shared" si="112"/>
        <v/>
      </c>
      <c r="S84" s="1125" t="str">
        <f t="shared" si="86"/>
        <v/>
      </c>
      <c r="T84" s="236" t="str">
        <f t="shared" si="113"/>
        <v/>
      </c>
      <c r="U84" s="641"/>
      <c r="V84" s="642" t="e">
        <f>INDEX('Vessel Gauging Data'!$B$26:$V$56,MATCH($C84,'Vessel Gauging Data'!$B$26:$B$56,0),$V$18)</f>
        <v>#N/A</v>
      </c>
      <c r="W84" s="642" t="e">
        <f>INDEX('Vessel Gauging Data'!$B$26:$V$56,MATCH($C84,'Vessel Gauging Data'!$B$26:$B$56,0),$W$18)</f>
        <v>#N/A</v>
      </c>
      <c r="X84" s="642" t="e">
        <f>INDEX('Vessel Gauging Data'!$B$26:$V$56,MATCH($C84,'Vessel Gauging Data'!$B$26:$B$56,0),$X$18)</f>
        <v>#N/A</v>
      </c>
      <c r="Y84" s="642" t="e">
        <f>INDEX('Vessel Gauging Data'!$B$26:$V$56,MATCH($C84,'Vessel Gauging Data'!$B$26:$B$56,0),$Y$18)</f>
        <v>#N/A</v>
      </c>
      <c r="Z84" s="642" t="e">
        <f>INDEX('Vessel Gauging Data'!$B$26:$V$56,MATCH($C84,'Vessel Gauging Data'!$B$26:$B$56,0),$Z$18)</f>
        <v>#N/A</v>
      </c>
      <c r="AA84" s="641"/>
      <c r="AB84" s="642" t="e">
        <f>INDEX(API1DENST,MATCH($C84,'Vessel Gauging Data'!$B$27:$B$56,0),1)</f>
        <v>#N/A</v>
      </c>
      <c r="AC84" s="642" t="e">
        <f t="shared" si="87"/>
        <v>#N/A</v>
      </c>
      <c r="AD84" s="641"/>
      <c r="AE84" s="661" t="e">
        <f t="shared" si="88"/>
        <v>#VALUE!</v>
      </c>
      <c r="AF84" s="661" t="e">
        <f t="shared" si="89"/>
        <v>#VALUE!</v>
      </c>
      <c r="AG84" s="641"/>
      <c r="AH84" s="662" t="str">
        <f t="shared" si="90"/>
        <v/>
      </c>
      <c r="AI84" s="662" t="str">
        <f t="shared" si="91"/>
        <v/>
      </c>
      <c r="AJ84" s="663">
        <f t="shared" si="92"/>
        <v>192.4571</v>
      </c>
      <c r="AK84" s="660">
        <f t="shared" si="93"/>
        <v>0.24379999999999999</v>
      </c>
      <c r="AL84" s="660" t="e">
        <f t="shared" si="94"/>
        <v>#VALUE!</v>
      </c>
      <c r="AM84" s="664" t="e">
        <f t="shared" si="95"/>
        <v>#VALUE!</v>
      </c>
      <c r="AN84" s="664" t="e">
        <f t="shared" si="96"/>
        <v>#VALUE!</v>
      </c>
      <c r="AO84" s="665" t="e">
        <f t="shared" si="97"/>
        <v>#VALUE!</v>
      </c>
      <c r="AP84" s="666" t="e">
        <f t="shared" si="98"/>
        <v>#VALUE!</v>
      </c>
      <c r="AQ84" s="660" t="e">
        <f t="shared" si="99"/>
        <v>#VALUE!</v>
      </c>
      <c r="AR84" s="667" t="e">
        <f t="shared" si="100"/>
        <v>#VALUE!</v>
      </c>
      <c r="AS84" s="667" t="e">
        <f t="shared" si="101"/>
        <v>#VALUE!</v>
      </c>
      <c r="AT84" s="668" t="e">
        <f t="shared" si="102"/>
        <v>#VALUE!</v>
      </c>
      <c r="AU84" s="667" t="e">
        <f t="shared" si="103"/>
        <v>#VALUE!</v>
      </c>
      <c r="AV84" s="669" t="e">
        <f t="shared" si="104"/>
        <v>#VALUE!</v>
      </c>
      <c r="AW84" s="667" t="e">
        <f t="shared" si="105"/>
        <v>#VALUE!</v>
      </c>
      <c r="AX84" s="667" t="e">
        <f t="shared" si="106"/>
        <v>#VALUE!</v>
      </c>
      <c r="AY84" s="660" t="e">
        <f t="shared" si="107"/>
        <v>#VALUE!</v>
      </c>
      <c r="AZ84" s="670" t="e">
        <f t="shared" si="108"/>
        <v>#VALUE!</v>
      </c>
      <c r="BA84" s="641"/>
      <c r="BB84" s="662" t="e">
        <f>INDEX('Vessel Gauging Data'!$B$26:$V$56,MATCH($C84,'Vessel Gauging Data'!$B$26:$B$56,0),$BB$18)</f>
        <v>#N/A</v>
      </c>
      <c r="BC84" s="662" t="e">
        <f>INDEX('Vessel Gauging Data'!$B$26:$V$56,MATCH($C84,'Vessel Gauging Data'!$B$26:$B$56,0),$BC$18)</f>
        <v>#N/A</v>
      </c>
      <c r="BD84" s="662" t="e">
        <f>INDEX('Vessel Gauging Data'!$B$26:$V$56,MATCH($C84,'Vessel Gauging Data'!$B$26:$B$56,0),$BD$18)</f>
        <v>#N/A</v>
      </c>
      <c r="BE84" s="662" t="e">
        <f>INDEX('Vessel Gauging Data'!$B$26:$V$56,MATCH($C84,'Vessel Gauging Data'!$B$26:$B$56,0),$BE$18)</f>
        <v>#N/A</v>
      </c>
    </row>
    <row r="85" spans="1:57" ht="15" hidden="1">
      <c r="A85" s="641" t="str">
        <f t="shared" si="76"/>
        <v>N</v>
      </c>
      <c r="B85" s="641"/>
      <c r="C85" s="235" t="str">
        <f t="array" ref="C85">IF(OR($E$67="",SUMPRODUCT(('Vessel Gauging Data'!$C$27:$C$56=$E$67)*1)&lt;ROWS($C$68:$C85)),"",INDEX('Vessel Gauging Data'!$B$27:$B$56,SMALL(IF(('Vessel Gauging Data'!$C$27:$C$56=$E$67),ROW('Vessel Gauging Data'!$B$27:$B$56)-ROW('Vessel Gauging Data'!$C$26)),ROW()-ROW(C$67))))</f>
        <v/>
      </c>
      <c r="D85" s="211" t="str">
        <f>IF(OR($C85="",$C85=0),"",INDEX('Vessel Gauging Data'!$B$26:$V$56,MATCH($C85,'Vessel Gauging Data'!$B$27:$B$56,0)+1,2))</f>
        <v/>
      </c>
      <c r="E85" s="1016" t="str">
        <f t="shared" si="77"/>
        <v/>
      </c>
      <c r="F85" s="1016" t="str">
        <f t="shared" si="78"/>
        <v/>
      </c>
      <c r="G85" s="1016" t="str">
        <f t="shared" si="79"/>
        <v/>
      </c>
      <c r="H85" s="1016" t="str">
        <f t="shared" si="80"/>
        <v/>
      </c>
      <c r="I85" s="211" t="str">
        <f t="shared" si="81"/>
        <v/>
      </c>
      <c r="J85" s="1016" t="str">
        <f t="shared" si="82"/>
        <v/>
      </c>
      <c r="K85" s="213" t="str">
        <f t="shared" si="83"/>
        <v/>
      </c>
      <c r="L85" s="212" t="str">
        <f t="shared" si="84"/>
        <v/>
      </c>
      <c r="M85" s="1125" t="str">
        <f>IF(OR($C85="",$C85=0),"",INDEX(API1DENST,MATCH($C85,'Vessel Gauging Data'!$B$27:$B$56,0),$AA$1))</f>
        <v/>
      </c>
      <c r="N85" s="212" t="str">
        <f t="shared" si="85"/>
        <v/>
      </c>
      <c r="O85" s="1016" t="str">
        <f t="shared" si="109"/>
        <v/>
      </c>
      <c r="P85" s="1125" t="str">
        <f t="shared" si="110"/>
        <v/>
      </c>
      <c r="Q85" s="1016" t="str">
        <f t="shared" si="111"/>
        <v/>
      </c>
      <c r="R85" s="214" t="str">
        <f t="shared" si="112"/>
        <v/>
      </c>
      <c r="S85" s="1125" t="str">
        <f t="shared" si="86"/>
        <v/>
      </c>
      <c r="T85" s="236" t="str">
        <f t="shared" si="113"/>
        <v/>
      </c>
      <c r="U85" s="641"/>
      <c r="V85" s="642" t="e">
        <f>INDEX('Vessel Gauging Data'!$B$26:$V$56,MATCH($C85,'Vessel Gauging Data'!$B$26:$B$56,0),$V$18)</f>
        <v>#N/A</v>
      </c>
      <c r="W85" s="642" t="e">
        <f>INDEX('Vessel Gauging Data'!$B$26:$V$56,MATCH($C85,'Vessel Gauging Data'!$B$26:$B$56,0),$W$18)</f>
        <v>#N/A</v>
      </c>
      <c r="X85" s="642" t="e">
        <f>INDEX('Vessel Gauging Data'!$B$26:$V$56,MATCH($C85,'Vessel Gauging Data'!$B$26:$B$56,0),$X$18)</f>
        <v>#N/A</v>
      </c>
      <c r="Y85" s="642" t="e">
        <f>INDEX('Vessel Gauging Data'!$B$26:$V$56,MATCH($C85,'Vessel Gauging Data'!$B$26:$B$56,0),$Y$18)</f>
        <v>#N/A</v>
      </c>
      <c r="Z85" s="642" t="e">
        <f>INDEX('Vessel Gauging Data'!$B$26:$V$56,MATCH($C85,'Vessel Gauging Data'!$B$26:$B$56,0),$Z$18)</f>
        <v>#N/A</v>
      </c>
      <c r="AA85" s="641"/>
      <c r="AB85" s="642" t="e">
        <f>INDEX(API1DENST,MATCH($C85,'Vessel Gauging Data'!$B$27:$B$56,0),1)</f>
        <v>#N/A</v>
      </c>
      <c r="AC85" s="642" t="e">
        <f t="shared" si="87"/>
        <v>#N/A</v>
      </c>
      <c r="AD85" s="641"/>
      <c r="AE85" s="661" t="e">
        <f t="shared" si="88"/>
        <v>#VALUE!</v>
      </c>
      <c r="AF85" s="661" t="e">
        <f t="shared" si="89"/>
        <v>#VALUE!</v>
      </c>
      <c r="AG85" s="641"/>
      <c r="AH85" s="662" t="str">
        <f t="shared" si="90"/>
        <v/>
      </c>
      <c r="AI85" s="662" t="str">
        <f t="shared" si="91"/>
        <v/>
      </c>
      <c r="AJ85" s="663">
        <f t="shared" si="92"/>
        <v>192.4571</v>
      </c>
      <c r="AK85" s="660">
        <f t="shared" si="93"/>
        <v>0.24379999999999999</v>
      </c>
      <c r="AL85" s="660" t="e">
        <f t="shared" si="94"/>
        <v>#VALUE!</v>
      </c>
      <c r="AM85" s="664" t="e">
        <f t="shared" si="95"/>
        <v>#VALUE!</v>
      </c>
      <c r="AN85" s="664" t="e">
        <f t="shared" si="96"/>
        <v>#VALUE!</v>
      </c>
      <c r="AO85" s="665" t="e">
        <f t="shared" si="97"/>
        <v>#VALUE!</v>
      </c>
      <c r="AP85" s="666" t="e">
        <f t="shared" si="98"/>
        <v>#VALUE!</v>
      </c>
      <c r="AQ85" s="660" t="e">
        <f t="shared" si="99"/>
        <v>#VALUE!</v>
      </c>
      <c r="AR85" s="667" t="e">
        <f t="shared" si="100"/>
        <v>#VALUE!</v>
      </c>
      <c r="AS85" s="667" t="e">
        <f t="shared" si="101"/>
        <v>#VALUE!</v>
      </c>
      <c r="AT85" s="668" t="e">
        <f t="shared" si="102"/>
        <v>#VALUE!</v>
      </c>
      <c r="AU85" s="667" t="e">
        <f t="shared" si="103"/>
        <v>#VALUE!</v>
      </c>
      <c r="AV85" s="669" t="e">
        <f t="shared" si="104"/>
        <v>#VALUE!</v>
      </c>
      <c r="AW85" s="667" t="e">
        <f t="shared" si="105"/>
        <v>#VALUE!</v>
      </c>
      <c r="AX85" s="667" t="e">
        <f t="shared" si="106"/>
        <v>#VALUE!</v>
      </c>
      <c r="AY85" s="660" t="e">
        <f t="shared" si="107"/>
        <v>#VALUE!</v>
      </c>
      <c r="AZ85" s="670" t="e">
        <f t="shared" si="108"/>
        <v>#VALUE!</v>
      </c>
      <c r="BA85" s="641"/>
      <c r="BB85" s="662" t="e">
        <f>INDEX('Vessel Gauging Data'!$B$26:$V$56,MATCH($C85,'Vessel Gauging Data'!$B$26:$B$56,0),$BB$18)</f>
        <v>#N/A</v>
      </c>
      <c r="BC85" s="662" t="e">
        <f>INDEX('Vessel Gauging Data'!$B$26:$V$56,MATCH($C85,'Vessel Gauging Data'!$B$26:$B$56,0),$BC$18)</f>
        <v>#N/A</v>
      </c>
      <c r="BD85" s="662" t="e">
        <f>INDEX('Vessel Gauging Data'!$B$26:$V$56,MATCH($C85,'Vessel Gauging Data'!$B$26:$B$56,0),$BD$18)</f>
        <v>#N/A</v>
      </c>
      <c r="BE85" s="662" t="e">
        <f>INDEX('Vessel Gauging Data'!$B$26:$V$56,MATCH($C85,'Vessel Gauging Data'!$B$26:$B$56,0),$BE$18)</f>
        <v>#N/A</v>
      </c>
    </row>
    <row r="86" spans="1:57" ht="15" hidden="1">
      <c r="A86" s="641" t="str">
        <f t="shared" si="76"/>
        <v>N</v>
      </c>
      <c r="B86" s="641"/>
      <c r="C86" s="235" t="str">
        <f t="array" ref="C86">IF(OR($E$67="",SUMPRODUCT(('Vessel Gauging Data'!$C$27:$C$56=$E$67)*1)&lt;ROWS($C$68:$C86)),"",INDEX('Vessel Gauging Data'!$B$27:$B$56,SMALL(IF(('Vessel Gauging Data'!$C$27:$C$56=$E$67),ROW('Vessel Gauging Data'!$B$27:$B$56)-ROW('Vessel Gauging Data'!$C$26)),ROW()-ROW(C$67))))</f>
        <v/>
      </c>
      <c r="D86" s="211" t="str">
        <f>IF(OR($C86="",$C86=0),"",INDEX('Vessel Gauging Data'!$B$26:$V$56,MATCH($C86,'Vessel Gauging Data'!$B$27:$B$56,0)+1,2))</f>
        <v/>
      </c>
      <c r="E86" s="1016" t="str">
        <f t="shared" si="77"/>
        <v/>
      </c>
      <c r="F86" s="1016" t="str">
        <f t="shared" si="78"/>
        <v/>
      </c>
      <c r="G86" s="1016" t="str">
        <f t="shared" si="79"/>
        <v/>
      </c>
      <c r="H86" s="1016" t="str">
        <f t="shared" si="80"/>
        <v/>
      </c>
      <c r="I86" s="211" t="str">
        <f t="shared" si="81"/>
        <v/>
      </c>
      <c r="J86" s="1016" t="str">
        <f t="shared" si="82"/>
        <v/>
      </c>
      <c r="K86" s="213" t="str">
        <f t="shared" si="83"/>
        <v/>
      </c>
      <c r="L86" s="212" t="str">
        <f t="shared" si="84"/>
        <v/>
      </c>
      <c r="M86" s="1125" t="str">
        <f>IF(OR($C86="",$C86=0),"",INDEX(API1DENST,MATCH($C86,'Vessel Gauging Data'!$B$27:$B$56,0),$AA$1))</f>
        <v/>
      </c>
      <c r="N86" s="212" t="str">
        <f t="shared" si="85"/>
        <v/>
      </c>
      <c r="O86" s="1016" t="str">
        <f t="shared" si="109"/>
        <v/>
      </c>
      <c r="P86" s="1125" t="str">
        <f t="shared" si="110"/>
        <v/>
      </c>
      <c r="Q86" s="1016" t="str">
        <f t="shared" si="111"/>
        <v/>
      </c>
      <c r="R86" s="214" t="str">
        <f t="shared" si="112"/>
        <v/>
      </c>
      <c r="S86" s="1125" t="str">
        <f t="shared" si="86"/>
        <v/>
      </c>
      <c r="T86" s="236" t="str">
        <f t="shared" si="113"/>
        <v/>
      </c>
      <c r="U86" s="641"/>
      <c r="V86" s="642" t="e">
        <f>INDEX('Vessel Gauging Data'!$B$26:$V$56,MATCH($C86,'Vessel Gauging Data'!$B$26:$B$56,0),$V$18)</f>
        <v>#N/A</v>
      </c>
      <c r="W86" s="642" t="e">
        <f>INDEX('Vessel Gauging Data'!$B$26:$V$56,MATCH($C86,'Vessel Gauging Data'!$B$26:$B$56,0),$W$18)</f>
        <v>#N/A</v>
      </c>
      <c r="X86" s="642" t="e">
        <f>INDEX('Vessel Gauging Data'!$B$26:$V$56,MATCH($C86,'Vessel Gauging Data'!$B$26:$B$56,0),$X$18)</f>
        <v>#N/A</v>
      </c>
      <c r="Y86" s="642" t="e">
        <f>INDEX('Vessel Gauging Data'!$B$26:$V$56,MATCH($C86,'Vessel Gauging Data'!$B$26:$B$56,0),$Y$18)</f>
        <v>#N/A</v>
      </c>
      <c r="Z86" s="642" t="e">
        <f>INDEX('Vessel Gauging Data'!$B$26:$V$56,MATCH($C86,'Vessel Gauging Data'!$B$26:$B$56,0),$Z$18)</f>
        <v>#N/A</v>
      </c>
      <c r="AA86" s="641"/>
      <c r="AB86" s="642" t="e">
        <f>INDEX(API1DENST,MATCH($C86,'Vessel Gauging Data'!$B$27:$B$56,0),1)</f>
        <v>#N/A</v>
      </c>
      <c r="AC86" s="642" t="e">
        <f t="shared" si="87"/>
        <v>#N/A</v>
      </c>
      <c r="AD86" s="641"/>
      <c r="AE86" s="661" t="e">
        <f t="shared" si="88"/>
        <v>#VALUE!</v>
      </c>
      <c r="AF86" s="661" t="e">
        <f t="shared" si="89"/>
        <v>#VALUE!</v>
      </c>
      <c r="AG86" s="641"/>
      <c r="AH86" s="662" t="str">
        <f t="shared" si="90"/>
        <v/>
      </c>
      <c r="AI86" s="662" t="str">
        <f t="shared" si="91"/>
        <v/>
      </c>
      <c r="AJ86" s="663">
        <f t="shared" si="92"/>
        <v>192.4571</v>
      </c>
      <c r="AK86" s="660">
        <f t="shared" si="93"/>
        <v>0.24379999999999999</v>
      </c>
      <c r="AL86" s="660" t="e">
        <f t="shared" si="94"/>
        <v>#VALUE!</v>
      </c>
      <c r="AM86" s="664" t="e">
        <f t="shared" si="95"/>
        <v>#VALUE!</v>
      </c>
      <c r="AN86" s="664" t="e">
        <f t="shared" si="96"/>
        <v>#VALUE!</v>
      </c>
      <c r="AO86" s="665" t="e">
        <f t="shared" si="97"/>
        <v>#VALUE!</v>
      </c>
      <c r="AP86" s="666" t="e">
        <f t="shared" si="98"/>
        <v>#VALUE!</v>
      </c>
      <c r="AQ86" s="660" t="e">
        <f t="shared" si="99"/>
        <v>#VALUE!</v>
      </c>
      <c r="AR86" s="667" t="e">
        <f t="shared" si="100"/>
        <v>#VALUE!</v>
      </c>
      <c r="AS86" s="667" t="e">
        <f t="shared" si="101"/>
        <v>#VALUE!</v>
      </c>
      <c r="AT86" s="668" t="e">
        <f t="shared" si="102"/>
        <v>#VALUE!</v>
      </c>
      <c r="AU86" s="667" t="e">
        <f t="shared" si="103"/>
        <v>#VALUE!</v>
      </c>
      <c r="AV86" s="669" t="e">
        <f t="shared" si="104"/>
        <v>#VALUE!</v>
      </c>
      <c r="AW86" s="667" t="e">
        <f t="shared" si="105"/>
        <v>#VALUE!</v>
      </c>
      <c r="AX86" s="667" t="e">
        <f t="shared" si="106"/>
        <v>#VALUE!</v>
      </c>
      <c r="AY86" s="660" t="e">
        <f t="shared" si="107"/>
        <v>#VALUE!</v>
      </c>
      <c r="AZ86" s="670" t="e">
        <f t="shared" si="108"/>
        <v>#VALUE!</v>
      </c>
      <c r="BA86" s="641"/>
      <c r="BB86" s="662" t="e">
        <f>INDEX('Vessel Gauging Data'!$B$26:$V$56,MATCH($C86,'Vessel Gauging Data'!$B$26:$B$56,0),$BB$18)</f>
        <v>#N/A</v>
      </c>
      <c r="BC86" s="662" t="e">
        <f>INDEX('Vessel Gauging Data'!$B$26:$V$56,MATCH($C86,'Vessel Gauging Data'!$B$26:$B$56,0),$BC$18)</f>
        <v>#N/A</v>
      </c>
      <c r="BD86" s="662" t="e">
        <f>INDEX('Vessel Gauging Data'!$B$26:$V$56,MATCH($C86,'Vessel Gauging Data'!$B$26:$B$56,0),$BD$18)</f>
        <v>#N/A</v>
      </c>
      <c r="BE86" s="662" t="e">
        <f>INDEX('Vessel Gauging Data'!$B$26:$V$56,MATCH($C86,'Vessel Gauging Data'!$B$26:$B$56,0),$BE$18)</f>
        <v>#N/A</v>
      </c>
    </row>
    <row r="87" spans="1:57" ht="15" hidden="1">
      <c r="A87" s="641" t="str">
        <f t="shared" si="76"/>
        <v>N</v>
      </c>
      <c r="B87" s="641"/>
      <c r="C87" s="235" t="str">
        <f t="array" ref="C87">IF(OR($E$67="",SUMPRODUCT(('Vessel Gauging Data'!$C$27:$C$56=$E$67)*1)&lt;ROWS($C$68:$C87)),"",INDEX('Vessel Gauging Data'!$B$27:$B$56,SMALL(IF(('Vessel Gauging Data'!$C$27:$C$56=$E$67),ROW('Vessel Gauging Data'!$B$27:$B$56)-ROW('Vessel Gauging Data'!$C$26)),ROW()-ROW(C$67))))</f>
        <v/>
      </c>
      <c r="D87" s="238" t="str">
        <f>IF(OR($C87="",$C87=0),"",INDEX('Vessel Gauging Data'!$B$26:$V$56,MATCH($C87,'Vessel Gauging Data'!$B$27:$B$56,0)+1,2))</f>
        <v/>
      </c>
      <c r="E87" s="1017" t="str">
        <f t="shared" si="77"/>
        <v/>
      </c>
      <c r="F87" s="1017" t="str">
        <f t="shared" si="78"/>
        <v/>
      </c>
      <c r="G87" s="1017" t="str">
        <f t="shared" si="79"/>
        <v/>
      </c>
      <c r="H87" s="1017" t="str">
        <f t="shared" si="80"/>
        <v/>
      </c>
      <c r="I87" s="238" t="str">
        <f t="shared" si="81"/>
        <v/>
      </c>
      <c r="J87" s="1017" t="str">
        <f t="shared" si="82"/>
        <v/>
      </c>
      <c r="K87" s="240" t="str">
        <f t="shared" si="83"/>
        <v/>
      </c>
      <c r="L87" s="239" t="str">
        <f t="shared" si="84"/>
        <v/>
      </c>
      <c r="M87" s="1126" t="str">
        <f>IF(OR($C87="",$C87=0),"",INDEX(API1DENST,MATCH($C87,'Vessel Gauging Data'!$B$27:$B$56,0),$AA$1))</f>
        <v/>
      </c>
      <c r="N87" s="239" t="str">
        <f t="shared" si="85"/>
        <v/>
      </c>
      <c r="O87" s="1017" t="str">
        <f t="shared" si="109"/>
        <v/>
      </c>
      <c r="P87" s="1126" t="str">
        <f t="shared" si="110"/>
        <v/>
      </c>
      <c r="Q87" s="1017" t="str">
        <f t="shared" si="111"/>
        <v/>
      </c>
      <c r="R87" s="241" t="str">
        <f t="shared" si="112"/>
        <v/>
      </c>
      <c r="S87" s="1126" t="str">
        <f t="shared" si="86"/>
        <v/>
      </c>
      <c r="T87" s="242" t="str">
        <f t="shared" si="113"/>
        <v/>
      </c>
      <c r="U87" s="641"/>
      <c r="V87" s="642" t="e">
        <f>INDEX('Vessel Gauging Data'!$B$26:$V$56,MATCH($C87,'Vessel Gauging Data'!$B$26:$B$56,0),$V$18)</f>
        <v>#N/A</v>
      </c>
      <c r="W87" s="642" t="e">
        <f>INDEX('Vessel Gauging Data'!$B$26:$V$56,MATCH($C87,'Vessel Gauging Data'!$B$26:$B$56,0),$W$18)</f>
        <v>#N/A</v>
      </c>
      <c r="X87" s="642" t="e">
        <f>INDEX('Vessel Gauging Data'!$B$26:$V$56,MATCH($C87,'Vessel Gauging Data'!$B$26:$B$56,0),$X$18)</f>
        <v>#N/A</v>
      </c>
      <c r="Y87" s="642" t="e">
        <f>INDEX('Vessel Gauging Data'!$B$26:$V$56,MATCH($C87,'Vessel Gauging Data'!$B$26:$B$56,0),$Y$18)</f>
        <v>#N/A</v>
      </c>
      <c r="Z87" s="642" t="e">
        <f>INDEX('Vessel Gauging Data'!$B$26:$V$56,MATCH($C87,'Vessel Gauging Data'!$B$26:$B$56,0),$Z$18)</f>
        <v>#N/A</v>
      </c>
      <c r="AA87" s="641"/>
      <c r="AB87" s="642" t="e">
        <f>INDEX(API1DENST,MATCH($C87,'Vessel Gauging Data'!$B$27:$B$56,0),1)</f>
        <v>#N/A</v>
      </c>
      <c r="AC87" s="642" t="e">
        <f t="shared" si="87"/>
        <v>#N/A</v>
      </c>
      <c r="AD87" s="641"/>
      <c r="AE87" s="661" t="e">
        <f t="shared" si="88"/>
        <v>#VALUE!</v>
      </c>
      <c r="AF87" s="661" t="e">
        <f t="shared" si="89"/>
        <v>#VALUE!</v>
      </c>
      <c r="AG87" s="641"/>
      <c r="AH87" s="662" t="str">
        <f t="shared" si="90"/>
        <v/>
      </c>
      <c r="AI87" s="662" t="str">
        <f t="shared" si="91"/>
        <v/>
      </c>
      <c r="AJ87" s="663">
        <f t="shared" si="92"/>
        <v>192.4571</v>
      </c>
      <c r="AK87" s="660">
        <f t="shared" si="93"/>
        <v>0.24379999999999999</v>
      </c>
      <c r="AL87" s="660" t="e">
        <f t="shared" si="94"/>
        <v>#VALUE!</v>
      </c>
      <c r="AM87" s="664" t="e">
        <f t="shared" si="95"/>
        <v>#VALUE!</v>
      </c>
      <c r="AN87" s="664" t="e">
        <f t="shared" si="96"/>
        <v>#VALUE!</v>
      </c>
      <c r="AO87" s="665" t="e">
        <f t="shared" si="97"/>
        <v>#VALUE!</v>
      </c>
      <c r="AP87" s="666" t="e">
        <f t="shared" si="98"/>
        <v>#VALUE!</v>
      </c>
      <c r="AQ87" s="660" t="e">
        <f t="shared" si="99"/>
        <v>#VALUE!</v>
      </c>
      <c r="AR87" s="667" t="e">
        <f t="shared" si="100"/>
        <v>#VALUE!</v>
      </c>
      <c r="AS87" s="667" t="e">
        <f t="shared" si="101"/>
        <v>#VALUE!</v>
      </c>
      <c r="AT87" s="668" t="e">
        <f t="shared" si="102"/>
        <v>#VALUE!</v>
      </c>
      <c r="AU87" s="667" t="e">
        <f t="shared" si="103"/>
        <v>#VALUE!</v>
      </c>
      <c r="AV87" s="669" t="e">
        <f t="shared" si="104"/>
        <v>#VALUE!</v>
      </c>
      <c r="AW87" s="667" t="e">
        <f t="shared" si="105"/>
        <v>#VALUE!</v>
      </c>
      <c r="AX87" s="667" t="e">
        <f t="shared" si="106"/>
        <v>#VALUE!</v>
      </c>
      <c r="AY87" s="660" t="e">
        <f t="shared" si="107"/>
        <v>#VALUE!</v>
      </c>
      <c r="AZ87" s="670" t="e">
        <f t="shared" si="108"/>
        <v>#VALUE!</v>
      </c>
      <c r="BA87" s="641"/>
      <c r="BB87" s="662" t="e">
        <f>INDEX('Vessel Gauging Data'!$B$26:$V$56,MATCH($C87,'Vessel Gauging Data'!$B$26:$B$56,0),$BB$18)</f>
        <v>#N/A</v>
      </c>
      <c r="BC87" s="662" t="e">
        <f>INDEX('Vessel Gauging Data'!$B$26:$V$56,MATCH($C87,'Vessel Gauging Data'!$B$26:$B$56,0),$BC$18)</f>
        <v>#N/A</v>
      </c>
      <c r="BD87" s="662" t="e">
        <f>INDEX('Vessel Gauging Data'!$B$26:$V$56,MATCH($C87,'Vessel Gauging Data'!$B$26:$B$56,0),$BD$18)</f>
        <v>#N/A</v>
      </c>
      <c r="BE87" s="662" t="e">
        <f>INDEX('Vessel Gauging Data'!$B$26:$V$56,MATCH($C87,'Vessel Gauging Data'!$B$26:$B$56,0),$BE$18)</f>
        <v>#N/A</v>
      </c>
    </row>
    <row r="88" spans="1:57" ht="15" hidden="1">
      <c r="A88" s="641" t="str">
        <f>A67</f>
        <v>N</v>
      </c>
      <c r="B88" s="641"/>
      <c r="C88" s="671"/>
      <c r="D88" s="671"/>
      <c r="E88" s="672"/>
      <c r="F88" s="672"/>
      <c r="G88" s="672"/>
      <c r="H88" s="1501"/>
      <c r="I88" s="671"/>
      <c r="J88" s="672"/>
      <c r="K88" s="673"/>
      <c r="L88" s="672"/>
      <c r="M88" s="674"/>
      <c r="N88" s="672"/>
      <c r="O88" s="672"/>
      <c r="P88" s="1127"/>
      <c r="Q88" s="672"/>
      <c r="R88" s="675"/>
      <c r="S88" s="1137" t="s">
        <v>401</v>
      </c>
      <c r="T88" s="619">
        <f>SUM(T68:T87)</f>
        <v>0</v>
      </c>
      <c r="U88" s="641"/>
      <c r="V88" s="719"/>
      <c r="W88" s="719"/>
      <c r="X88" s="719"/>
      <c r="Y88" s="719"/>
      <c r="Z88" s="719"/>
      <c r="AA88" s="676"/>
      <c r="AB88" s="719"/>
      <c r="AC88" s="719"/>
      <c r="AD88" s="676"/>
      <c r="AE88" s="720"/>
      <c r="AF88" s="720"/>
      <c r="AG88" s="676"/>
      <c r="AH88" s="721"/>
      <c r="AI88" s="721"/>
      <c r="AJ88" s="722"/>
      <c r="AK88" s="723"/>
      <c r="AL88" s="723"/>
      <c r="AM88" s="724"/>
      <c r="AN88" s="724"/>
      <c r="AO88" s="725"/>
      <c r="AP88" s="726"/>
      <c r="AQ88" s="723"/>
      <c r="AR88" s="727"/>
      <c r="AS88" s="727"/>
      <c r="AT88" s="728"/>
      <c r="AU88" s="727"/>
      <c r="AV88" s="729"/>
      <c r="AW88" s="727"/>
      <c r="AX88" s="727"/>
      <c r="AY88" s="723"/>
      <c r="AZ88" s="730"/>
      <c r="BA88" s="676"/>
      <c r="BB88" s="721"/>
      <c r="BC88" s="721"/>
      <c r="BD88" s="721"/>
      <c r="BE88" s="721"/>
    </row>
    <row r="89" spans="1:57" s="855" customFormat="1" ht="5.25" hidden="1">
      <c r="A89" s="702" t="str">
        <f>IF(A90="N",A90,IF(COUNTIF($A$21:$A87,"Y")&gt;0,A90,"N"))</f>
        <v>N</v>
      </c>
      <c r="B89" s="702"/>
      <c r="C89" s="704"/>
      <c r="D89" s="704"/>
      <c r="E89" s="704"/>
      <c r="F89" s="704"/>
      <c r="G89" s="704"/>
      <c r="H89" s="704"/>
      <c r="I89" s="704"/>
      <c r="J89" s="705"/>
      <c r="K89" s="705"/>
      <c r="L89" s="705"/>
      <c r="M89" s="705"/>
      <c r="N89" s="705"/>
      <c r="O89" s="705"/>
      <c r="P89" s="1128"/>
      <c r="Q89" s="705"/>
      <c r="R89" s="705"/>
      <c r="S89" s="1136"/>
      <c r="T89" s="706"/>
      <c r="U89" s="702"/>
      <c r="V89" s="707"/>
      <c r="W89" s="707"/>
      <c r="X89" s="707"/>
      <c r="Y89" s="707"/>
      <c r="Z89" s="707"/>
      <c r="AA89" s="707"/>
      <c r="AB89" s="707"/>
      <c r="AC89" s="707"/>
      <c r="AD89" s="707"/>
      <c r="AE89" s="708"/>
      <c r="AF89" s="708"/>
      <c r="AG89" s="707"/>
      <c r="AH89" s="709"/>
      <c r="AI89" s="709"/>
      <c r="AJ89" s="710"/>
      <c r="AK89" s="711"/>
      <c r="AL89" s="711"/>
      <c r="AM89" s="712"/>
      <c r="AN89" s="712"/>
      <c r="AO89" s="713"/>
      <c r="AP89" s="714"/>
      <c r="AQ89" s="711"/>
      <c r="AR89" s="715"/>
      <c r="AS89" s="715"/>
      <c r="AT89" s="716"/>
      <c r="AU89" s="715"/>
      <c r="AV89" s="717"/>
      <c r="AW89" s="715"/>
      <c r="AX89" s="715"/>
      <c r="AY89" s="711"/>
      <c r="AZ89" s="718"/>
      <c r="BA89" s="707"/>
      <c r="BB89" s="709"/>
      <c r="BC89" s="709"/>
      <c r="BD89" s="709"/>
      <c r="BE89" s="709"/>
    </row>
    <row r="90" spans="1:57" ht="15.75" hidden="1">
      <c r="A90" s="641" t="str">
        <f>A91</f>
        <v>N</v>
      </c>
      <c r="B90" s="641">
        <v>4</v>
      </c>
      <c r="C90" s="2797" t="s">
        <v>499</v>
      </c>
      <c r="D90" s="2798"/>
      <c r="E90" s="2799" t="str">
        <f>'Preliminary Report'!H1</f>
        <v>LSMDO</v>
      </c>
      <c r="F90" s="2800"/>
      <c r="G90" s="2800"/>
      <c r="H90" s="2824"/>
      <c r="I90" s="2801"/>
      <c r="J90" s="698"/>
      <c r="K90" s="699"/>
      <c r="L90" s="700"/>
      <c r="M90" s="699"/>
      <c r="N90" s="699"/>
      <c r="O90" s="700"/>
      <c r="P90" s="1129"/>
      <c r="Q90" s="700"/>
      <c r="R90" s="701"/>
      <c r="S90" s="1129"/>
      <c r="T90" s="701"/>
      <c r="U90" s="641"/>
      <c r="V90" s="731"/>
      <c r="W90" s="731"/>
      <c r="X90" s="731"/>
      <c r="Y90" s="731"/>
      <c r="Z90" s="731"/>
      <c r="AA90" s="676"/>
      <c r="AB90" s="731"/>
      <c r="AC90" s="731"/>
      <c r="AD90" s="676"/>
      <c r="AE90" s="732"/>
      <c r="AF90" s="732"/>
      <c r="AG90" s="676"/>
      <c r="AH90" s="733"/>
      <c r="AI90" s="733"/>
      <c r="AJ90" s="734"/>
      <c r="AK90" s="735"/>
      <c r="AL90" s="735"/>
      <c r="AM90" s="736"/>
      <c r="AN90" s="736"/>
      <c r="AO90" s="737"/>
      <c r="AP90" s="738"/>
      <c r="AQ90" s="735"/>
      <c r="AR90" s="739"/>
      <c r="AS90" s="739"/>
      <c r="AT90" s="740"/>
      <c r="AU90" s="739"/>
      <c r="AV90" s="741"/>
      <c r="AW90" s="739"/>
      <c r="AX90" s="739"/>
      <c r="AY90" s="735"/>
      <c r="AZ90" s="742"/>
      <c r="BA90" s="676"/>
      <c r="BB90" s="733"/>
      <c r="BC90" s="733"/>
      <c r="BD90" s="733"/>
      <c r="BE90" s="733"/>
    </row>
    <row r="91" spans="1:57" ht="15" hidden="1">
      <c r="A91" s="641" t="str">
        <f t="shared" ref="A91:A110" si="114">IF(C91="","N",IF(ISERROR(MATCH($E$90,IF($Z$1=1,GRADESLIST,IF($Z$1=2,RESIDUALS,DISTILLATES)),0)),"N","Y"))</f>
        <v>N</v>
      </c>
      <c r="B91" s="641"/>
      <c r="C91" s="235" t="str">
        <f t="array" ref="C91">IF(OR($E$90="",SUMPRODUCT(('Vessel Gauging Data'!$C$27:$C$56=$E$90)*1)&lt;ROWS($C$91:$C91)),"",INDEX('Vessel Gauging Data'!$B$27:$B$56,SMALL(IF(('Vessel Gauging Data'!$C$27:$C$56=$E$90),ROW('Vessel Gauging Data'!$B$27:$B$56)-ROW('Vessel Gauging Data'!$C$26)),ROW()-ROW(C$90))))</f>
        <v/>
      </c>
      <c r="D91" s="211" t="str">
        <f>IF(OR($C91="",$C91=0),"",INDEX('Vessel Gauging Data'!$B$26:$V$56,MATCH($C91,'Vessel Gauging Data'!$B$27:$B$56,0)+1,2))</f>
        <v/>
      </c>
      <c r="E91" s="1016" t="str">
        <f t="shared" ref="E91:E110" si="115">IF(ISERROR(V91),"",IF(OR($C91="",$C91=0),"",IF(ISTEXT(V91),V91,IF($AB$1=1,V91*UNITOR,INT(V91*UNITOR)&amp;"'-"&amp;TRIM(TEXT(ROUND(MOD(V91*UNITOR,1)*12,1),"# ???/???"))&amp;""""))))</f>
        <v/>
      </c>
      <c r="F91" s="1016" t="str">
        <f t="shared" ref="F91:F110" si="116">IF(ISERROR(W91),"",IF(OR($C91="",$C91=0),"",IF($I91=UMETHOD,"ULL",IF(ISTEXT(W91),W91,IF($AB$1=1,W91*UNITOR,INT(W91*UNITOR)&amp;"'-"&amp;TRIM(TEXT(ROUND(MOD(W91*UNITOR,1)*12,1),"# ???/???"))&amp;"""")))))</f>
        <v/>
      </c>
      <c r="G91" s="1016" t="str">
        <f t="shared" ref="G91:G110" si="117">IF(ISERROR(X91),"",IF(OR($C91="",$C91=0),"",IF(ISTEXT(X91),X91,IF($AB$1=1,X91*UNITOR,INT(X91*UNITOR)&amp;"'-"&amp;TRIM(TEXT(ROUND(MOD(X91*UNITOR,1)*12,1),"# ???/???"))&amp;""""))))</f>
        <v/>
      </c>
      <c r="H91" s="1016" t="str">
        <f t="shared" ref="H91:H110" si="118">IF(ISERROR(Y91),"",IF(OR($C91="",$C91=0),"",IF(ISTEXT(Y91),Y91,IF($AB$1=1,Y91*UNITOR,INT(Y91*UNITOR)&amp;"'-"&amp;TRIM(TEXT(ROUND(MOD(Y91*UNITOR,1)*12,1),"# ???/???"))&amp;""""))))</f>
        <v/>
      </c>
      <c r="I91" s="211" t="str">
        <f t="shared" ref="I91:I110" si="119">IF(ISERROR($BB91),"",IF(OR($C91="",$C91=0,$BB91=0),"",$BB91))</f>
        <v/>
      </c>
      <c r="J91" s="1016" t="str">
        <f t="shared" ref="J91:J110" si="120">IF(ISERROR($BC91),"",IF(OR($C91="",$C91=0,$BC91=""),"",IF(ISTEXT($BC91),$BC91,$BC91*IF($AA$1=B1SEL,1,IF($AA$1=2,FBBLS,1/FBBLS)))))</f>
        <v/>
      </c>
      <c r="K91" s="213" t="str">
        <f t="shared" ref="K91:K110" si="121">IF(ISERROR($BD91),"",IF(OR($C91="",$C91=0,$BD91=""),0,IF(ISTEXT($BD91),$BD91,$BD91*IF($AB$1=W1SEL,1,IF($AB$1=2,FINCH,1/FINCH)))))</f>
        <v/>
      </c>
      <c r="L91" s="212" t="str">
        <f t="shared" ref="L91:L110" si="122">IF(ISERROR($BE91),"",IF(OR($C91="",$C91=0,$BE91=""),0,IF(ISTEXT($BE91),$BE91,$BE91*IF($AA$1=B1SEL,1,IF($AA$1=2,FBBLS,1/FBBLS)))))</f>
        <v/>
      </c>
      <c r="M91" s="1125" t="str">
        <f>IF(OR($C91="",$C91=0),"",INDEX(API1DENST,MATCH($C91,'Vessel Gauging Data'!$B$27:$B$56,0),$AA$1))</f>
        <v/>
      </c>
      <c r="N91" s="212" t="str">
        <f t="shared" ref="N91:N110" si="123">IF(ISERROR(Z91),"",IF(OR($C91="",$C91=0,Z91=""),"",IF(ISTEXT(Z91),Z91,IF($AA$1=T1SEL,Z91,IF($AA$1=2,(Z91*9/5)+32,(Z91-32)*5/9)))))</f>
        <v/>
      </c>
      <c r="O91" s="1016" t="str">
        <f>IF(OR(J91="",L91=""),"",IF(ISTEXT(J91),"N/A",IF(ISTEXT(L91),J91,J91-L91)))</f>
        <v/>
      </c>
      <c r="P91" s="1125" t="str">
        <f>IF(OR(M91="",N91=""),"",IF(OR(ISTEXT(M91),ISTEXT(N91)),"N/A",IF($AA$1=1,ROUND(EXP(-AF91*(N91-15)*(1+0.8*AF91*(N91-15))),5),AZ91)))</f>
        <v/>
      </c>
      <c r="Q91" s="1016" t="str">
        <f>IF(OR(M91="",N91=""),"",IF(OR(ISTEXT(M91),ISTEXT(N91)),"N/A",ROUND(O91*P91,3)))</f>
        <v/>
      </c>
      <c r="R91" s="214" t="str">
        <f>IF(M91="","",IF($AA$1=1,IF(ISTEXT(Q91),"N/A",ROUND(Q91*M91,3)),IF(ISTEXT(T91),"N/A",ROUND(T91*AC91,3))))</f>
        <v/>
      </c>
      <c r="S91" s="1125" t="str">
        <f t="shared" ref="S91:S110" si="124">IF(M91="","",IF($AA$1=1,ROUND(M91-0.0011,5),ROUND((1.00122697*(141.5/(M91+131.5))-1.22269727*10^-3)*8.32823*42/2204.62,5+2)))</f>
        <v/>
      </c>
      <c r="T91" s="236" t="str">
        <f>IF(OR(M91="",N91=""),"",IF(ISTEXT(Q91),"N/A",IF($AA$1=1,ROUND((Q91*(M91-0.0011)),3),ROUND(Q91*S91,3))))</f>
        <v/>
      </c>
      <c r="U91" s="641"/>
      <c r="V91" s="642" t="e">
        <f>INDEX('Vessel Gauging Data'!$B$26:$V$56,MATCH($C91,'Vessel Gauging Data'!$B$26:$B$56,0),$V$18)</f>
        <v>#N/A</v>
      </c>
      <c r="W91" s="642" t="e">
        <f>INDEX('Vessel Gauging Data'!$B$26:$V$56,MATCH($C91,'Vessel Gauging Data'!$B$26:$B$56,0),$W$18)</f>
        <v>#N/A</v>
      </c>
      <c r="X91" s="642" t="e">
        <f>INDEX('Vessel Gauging Data'!$B$26:$V$56,MATCH($C91,'Vessel Gauging Data'!$B$26:$B$56,0),$X$18)</f>
        <v>#N/A</v>
      </c>
      <c r="Y91" s="642" t="e">
        <f>INDEX('Vessel Gauging Data'!$B$26:$V$56,MATCH($C91,'Vessel Gauging Data'!$B$26:$B$56,0),$Y$18)</f>
        <v>#N/A</v>
      </c>
      <c r="Z91" s="642" t="e">
        <f>INDEX('Vessel Gauging Data'!$B$26:$V$56,MATCH($C91,'Vessel Gauging Data'!$B$26:$B$56,0),$Z$18)</f>
        <v>#N/A</v>
      </c>
      <c r="AA91" s="641"/>
      <c r="AB91" s="642" t="e">
        <f>INDEX(API1DENST,MATCH($C91,'Vessel Gauging Data'!$B$27:$B$56,0),1)</f>
        <v>#N/A</v>
      </c>
      <c r="AC91" s="642" t="e">
        <f t="shared" ref="AC91:AC110" si="125">((INT((AB91/(1.0001506*AB91-0.0012202))*10000)+0.5)/10000)</f>
        <v>#N/A</v>
      </c>
      <c r="AD91" s="641"/>
      <c r="AE91" s="661" t="e">
        <f t="shared" ref="AE91:AE110" si="126">ROUND(+M91/2*1000,0)*2</f>
        <v>#VALUE!</v>
      </c>
      <c r="AF91" s="661" t="e">
        <f t="shared" ref="AF91:AF110" si="127">ROUND(186.9696/(AE91*AE91)+(0.4862/AE91),8)</f>
        <v>#VALUE!</v>
      </c>
      <c r="AG91" s="641"/>
      <c r="AH91" s="662" t="str">
        <f t="shared" ref="AH91:AH110" si="128">N91</f>
        <v/>
      </c>
      <c r="AI91" s="662" t="str">
        <f t="shared" ref="AI91:AI110" si="129">M91</f>
        <v/>
      </c>
      <c r="AJ91" s="663">
        <f t="shared" ref="AJ91:AJ110" si="130">IF(AND(AI91&gt;=0,AI91&lt;=37),103.872,IF(AND(AI91&gt;=48,AI91&lt;=52),-0.0018684,IF(AND(AI91&gt;=37.1,AI91&lt;=47.9),330.301,IF(AND(AI91&gt;=52.1),192.4571))))</f>
        <v>192.4571</v>
      </c>
      <c r="AK91" s="660">
        <f t="shared" ref="AK91:AK110" si="131">IF(AND(AI91&gt;=0,AI91&lt;=37),0.2701,IF(AND(AI91&gt;=48,AJ91&lt;=52),1489.067,IF(AND(AI91&gt;=37.1,AI91&lt;=47.9),0,IF(AI91&gt;=52.1,0.2438))))</f>
        <v>0.24379999999999999</v>
      </c>
      <c r="AL91" s="660" t="e">
        <f t="shared" ref="AL91:AL110" si="132">ROUND(141360.198/(AI91+131.5),2)</f>
        <v>#VALUE!</v>
      </c>
      <c r="AM91" s="664" t="e">
        <f t="shared" ref="AM91:AM110" si="133">TRUNC(AJ91/AL91,8)</f>
        <v>#VALUE!</v>
      </c>
      <c r="AN91" s="664" t="e">
        <f t="shared" ref="AN91:AN110" si="134">TRUNC(AM91/AL91,10)</f>
        <v>#VALUE!</v>
      </c>
      <c r="AO91" s="665" t="e">
        <f t="shared" ref="AO91:AO110" si="135">TRUNC(AK91/AL91,10)</f>
        <v>#VALUE!</v>
      </c>
      <c r="AP91" s="666" t="e">
        <f t="shared" ref="AP91:AP110" si="136">IF(AND(AI91&gt;=48,AI91&lt;=52),ROUND(AW91+AJ91,7),ROUND(AN91+AO91,7))</f>
        <v>#VALUE!</v>
      </c>
      <c r="AQ91" s="660" t="e">
        <f t="shared" ref="AQ91:AQ110" si="137">AH91-60</f>
        <v>#VALUE!</v>
      </c>
      <c r="AR91" s="667" t="e">
        <f t="shared" ref="AR91:AR110" si="138">TRUNC(AP91*AQ91,8)</f>
        <v>#VALUE!</v>
      </c>
      <c r="AS91" s="667" t="e">
        <f t="shared" ref="AS91:AS110" si="139">TRUNC(0.8*AR91,8)</f>
        <v>#VALUE!</v>
      </c>
      <c r="AT91" s="668" t="e">
        <f t="shared" ref="AT91:AT110" si="140">TRUNC(0.8*AP91^2*AQ91^2,8)</f>
        <v>#VALUE!</v>
      </c>
      <c r="AU91" s="667" t="e">
        <f t="shared" ref="AU91:AU110" si="141">-AR91-AT91</f>
        <v>#VALUE!</v>
      </c>
      <c r="AV91" s="669" t="e">
        <f t="shared" ref="AV91:AV110" si="142">TRUNC(AK91/AL91,5)</f>
        <v>#VALUE!</v>
      </c>
      <c r="AW91" s="667" t="e">
        <f t="shared" ref="AW91:AW110" si="143">ROUND(AV91/AL91,8)</f>
        <v>#VALUE!</v>
      </c>
      <c r="AX91" s="667" t="e">
        <f t="shared" ref="AX91:AX110" si="144">ROUND(AW91+AJ91,8)</f>
        <v>#VALUE!</v>
      </c>
      <c r="AY91" s="660" t="e">
        <f t="shared" ref="AY91:AY110" si="145">IF(AND(AI91&gt;=48,AI91&lt;=52),AX91,AP91)</f>
        <v>#VALUE!</v>
      </c>
      <c r="AZ91" s="670" t="e">
        <f t="shared" ref="AZ91:AZ110" si="146">ROUND(EXP(AU91),5)</f>
        <v>#VALUE!</v>
      </c>
      <c r="BA91" s="641"/>
      <c r="BB91" s="662" t="e">
        <f>INDEX('Vessel Gauging Data'!$B$26:$V$56,MATCH($C91,'Vessel Gauging Data'!$B$26:$B$56,0),$BB$18)</f>
        <v>#N/A</v>
      </c>
      <c r="BC91" s="662" t="e">
        <f>INDEX('Vessel Gauging Data'!$B$26:$V$56,MATCH($C91,'Vessel Gauging Data'!$B$26:$B$56,0),$BC$18)</f>
        <v>#N/A</v>
      </c>
      <c r="BD91" s="662" t="e">
        <f>INDEX('Vessel Gauging Data'!$B$26:$V$56,MATCH($C91,'Vessel Gauging Data'!$B$26:$B$56,0),$BD$18)</f>
        <v>#N/A</v>
      </c>
      <c r="BE91" s="662" t="e">
        <f>INDEX('Vessel Gauging Data'!$B$26:$V$56,MATCH($C91,'Vessel Gauging Data'!$B$26:$B$56,0),$BE$18)</f>
        <v>#N/A</v>
      </c>
    </row>
    <row r="92" spans="1:57" ht="15" hidden="1">
      <c r="A92" s="641" t="str">
        <f t="shared" si="114"/>
        <v>N</v>
      </c>
      <c r="B92" s="641"/>
      <c r="C92" s="235" t="str">
        <f t="array" ref="C92">IF(OR($E$90="",SUMPRODUCT(('Vessel Gauging Data'!$C$27:$C$56=$E$90)*1)&lt;ROWS($C$91:$C92)),"",INDEX('Vessel Gauging Data'!$B$27:$B$56,SMALL(IF(('Vessel Gauging Data'!$C$27:$C$56=$E$90),ROW('Vessel Gauging Data'!$B$27:$B$56)-ROW('Vessel Gauging Data'!$C$26)),ROW()-ROW(C$90))))</f>
        <v/>
      </c>
      <c r="D92" s="211" t="str">
        <f>IF(OR($C92="",$C92=0),"",INDEX('Vessel Gauging Data'!$B$26:$V$56,MATCH($C92,'Vessel Gauging Data'!$B$27:$B$56,0)+1,2))</f>
        <v/>
      </c>
      <c r="E92" s="1016" t="str">
        <f t="shared" si="115"/>
        <v/>
      </c>
      <c r="F92" s="1016" t="str">
        <f t="shared" si="116"/>
        <v/>
      </c>
      <c r="G92" s="1016" t="str">
        <f t="shared" si="117"/>
        <v/>
      </c>
      <c r="H92" s="1016" t="str">
        <f t="shared" si="118"/>
        <v/>
      </c>
      <c r="I92" s="211" t="str">
        <f t="shared" si="119"/>
        <v/>
      </c>
      <c r="J92" s="1016" t="str">
        <f t="shared" si="120"/>
        <v/>
      </c>
      <c r="K92" s="213" t="str">
        <f t="shared" si="121"/>
        <v/>
      </c>
      <c r="L92" s="212" t="str">
        <f t="shared" si="122"/>
        <v/>
      </c>
      <c r="M92" s="1125" t="str">
        <f>IF(OR($C92="",$C92=0),"",INDEX(API1DENST,MATCH($C92,'Vessel Gauging Data'!$B$27:$B$56,0),$AA$1))</f>
        <v/>
      </c>
      <c r="N92" s="212" t="str">
        <f t="shared" si="123"/>
        <v/>
      </c>
      <c r="O92" s="1016" t="str">
        <f t="shared" ref="O92:O110" si="147">IF(OR(J92="",L92=""),"",IF(ISTEXT(J92),"N/A",IF(ISTEXT(L92),J92,J92-L92)))</f>
        <v/>
      </c>
      <c r="P92" s="1125" t="str">
        <f t="shared" ref="P92:P110" si="148">IF(OR(M92="",N92=""),"",IF(OR(ISTEXT(M92),ISTEXT(N92)),"N/A",IF($AA$1=1,ROUND(EXP(-AF92*(N92-15)*(1+0.8*AF92*(N92-15))),5),AZ92)))</f>
        <v/>
      </c>
      <c r="Q92" s="1016" t="str">
        <f t="shared" ref="Q92:Q110" si="149">IF(OR(M92="",N92=""),"",IF(OR(ISTEXT(M92),ISTEXT(N92)),"N/A",ROUND(O92*P92,3)))</f>
        <v/>
      </c>
      <c r="R92" s="214" t="str">
        <f t="shared" ref="R92:R110" si="150">IF(M92="","",IF($AA$1=1,IF(ISTEXT(Q92),"N/A",ROUND(Q92*M92,3)),IF(ISTEXT(T92),"N/A",ROUND(T92*AC92,3))))</f>
        <v/>
      </c>
      <c r="S92" s="1125" t="str">
        <f t="shared" si="124"/>
        <v/>
      </c>
      <c r="T92" s="236" t="str">
        <f t="shared" ref="T92:T110" si="151">IF(OR(M92="",N92=""),"",IF(ISTEXT(Q92),"N/A",IF($AA$1=1,ROUND((Q92*(M92-0.0011)),3),ROUND(Q92*S92,3))))</f>
        <v/>
      </c>
      <c r="U92" s="641"/>
      <c r="V92" s="642" t="e">
        <f>INDEX('Vessel Gauging Data'!$B$26:$V$56,MATCH($C92,'Vessel Gauging Data'!$B$26:$B$56,0),$V$18)</f>
        <v>#N/A</v>
      </c>
      <c r="W92" s="642" t="e">
        <f>INDEX('Vessel Gauging Data'!$B$26:$V$56,MATCH($C92,'Vessel Gauging Data'!$B$26:$B$56,0),$W$18)</f>
        <v>#N/A</v>
      </c>
      <c r="X92" s="642" t="e">
        <f>INDEX('Vessel Gauging Data'!$B$26:$V$56,MATCH($C92,'Vessel Gauging Data'!$B$26:$B$56,0),$X$18)</f>
        <v>#N/A</v>
      </c>
      <c r="Y92" s="642" t="e">
        <f>INDEX('Vessel Gauging Data'!$B$26:$V$56,MATCH($C92,'Vessel Gauging Data'!$B$26:$B$56,0),$Y$18)</f>
        <v>#N/A</v>
      </c>
      <c r="Z92" s="642" t="e">
        <f>INDEX('Vessel Gauging Data'!$B$26:$V$56,MATCH($C92,'Vessel Gauging Data'!$B$26:$B$56,0),$Z$18)</f>
        <v>#N/A</v>
      </c>
      <c r="AA92" s="641"/>
      <c r="AB92" s="642" t="e">
        <f>INDEX(API1DENST,MATCH($C92,'Vessel Gauging Data'!$B$27:$B$56,0),1)</f>
        <v>#N/A</v>
      </c>
      <c r="AC92" s="642" t="e">
        <f t="shared" si="125"/>
        <v>#N/A</v>
      </c>
      <c r="AD92" s="641"/>
      <c r="AE92" s="661" t="e">
        <f t="shared" si="126"/>
        <v>#VALUE!</v>
      </c>
      <c r="AF92" s="661" t="e">
        <f t="shared" si="127"/>
        <v>#VALUE!</v>
      </c>
      <c r="AG92" s="641"/>
      <c r="AH92" s="662" t="str">
        <f t="shared" si="128"/>
        <v/>
      </c>
      <c r="AI92" s="662" t="str">
        <f t="shared" si="129"/>
        <v/>
      </c>
      <c r="AJ92" s="663">
        <f t="shared" si="130"/>
        <v>192.4571</v>
      </c>
      <c r="AK92" s="660">
        <f t="shared" si="131"/>
        <v>0.24379999999999999</v>
      </c>
      <c r="AL92" s="660" t="e">
        <f t="shared" si="132"/>
        <v>#VALUE!</v>
      </c>
      <c r="AM92" s="664" t="e">
        <f t="shared" si="133"/>
        <v>#VALUE!</v>
      </c>
      <c r="AN92" s="664" t="e">
        <f t="shared" si="134"/>
        <v>#VALUE!</v>
      </c>
      <c r="AO92" s="665" t="e">
        <f t="shared" si="135"/>
        <v>#VALUE!</v>
      </c>
      <c r="AP92" s="666" t="e">
        <f t="shared" si="136"/>
        <v>#VALUE!</v>
      </c>
      <c r="AQ92" s="660" t="e">
        <f t="shared" si="137"/>
        <v>#VALUE!</v>
      </c>
      <c r="AR92" s="667" t="e">
        <f t="shared" si="138"/>
        <v>#VALUE!</v>
      </c>
      <c r="AS92" s="667" t="e">
        <f t="shared" si="139"/>
        <v>#VALUE!</v>
      </c>
      <c r="AT92" s="668" t="e">
        <f t="shared" si="140"/>
        <v>#VALUE!</v>
      </c>
      <c r="AU92" s="667" t="e">
        <f t="shared" si="141"/>
        <v>#VALUE!</v>
      </c>
      <c r="AV92" s="669" t="e">
        <f t="shared" si="142"/>
        <v>#VALUE!</v>
      </c>
      <c r="AW92" s="667" t="e">
        <f t="shared" si="143"/>
        <v>#VALUE!</v>
      </c>
      <c r="AX92" s="667" t="e">
        <f t="shared" si="144"/>
        <v>#VALUE!</v>
      </c>
      <c r="AY92" s="660" t="e">
        <f t="shared" si="145"/>
        <v>#VALUE!</v>
      </c>
      <c r="AZ92" s="670" t="e">
        <f t="shared" si="146"/>
        <v>#VALUE!</v>
      </c>
      <c r="BA92" s="641"/>
      <c r="BB92" s="662" t="e">
        <f>INDEX('Vessel Gauging Data'!$B$26:$V$56,MATCH($C92,'Vessel Gauging Data'!$B$26:$B$56,0),$BB$18)</f>
        <v>#N/A</v>
      </c>
      <c r="BC92" s="662" t="e">
        <f>INDEX('Vessel Gauging Data'!$B$26:$V$56,MATCH($C92,'Vessel Gauging Data'!$B$26:$B$56,0),$BC$18)</f>
        <v>#N/A</v>
      </c>
      <c r="BD92" s="662" t="e">
        <f>INDEX('Vessel Gauging Data'!$B$26:$V$56,MATCH($C92,'Vessel Gauging Data'!$B$26:$B$56,0),$BD$18)</f>
        <v>#N/A</v>
      </c>
      <c r="BE92" s="662" t="e">
        <f>INDEX('Vessel Gauging Data'!$B$26:$V$56,MATCH($C92,'Vessel Gauging Data'!$B$26:$B$56,0),$BE$18)</f>
        <v>#N/A</v>
      </c>
    </row>
    <row r="93" spans="1:57" ht="15" hidden="1">
      <c r="A93" s="641" t="str">
        <f t="shared" si="114"/>
        <v>N</v>
      </c>
      <c r="B93" s="641"/>
      <c r="C93" s="235" t="str">
        <f t="array" ref="C93">IF(OR($E$90="",SUMPRODUCT(('Vessel Gauging Data'!$C$27:$C$56=$E$90)*1)&lt;ROWS($C$91:$C93)),"",INDEX('Vessel Gauging Data'!$B$27:$B$56,SMALL(IF(('Vessel Gauging Data'!$C$27:$C$56=$E$90),ROW('Vessel Gauging Data'!$B$27:$B$56)-ROW('Vessel Gauging Data'!$C$26)),ROW()-ROW(C$90))))</f>
        <v/>
      </c>
      <c r="D93" s="211" t="str">
        <f>IF(OR($C93="",$C93=0),"",INDEX('Vessel Gauging Data'!$B$26:$V$56,MATCH($C93,'Vessel Gauging Data'!$B$27:$B$56,0)+1,2))</f>
        <v/>
      </c>
      <c r="E93" s="1016" t="str">
        <f t="shared" si="115"/>
        <v/>
      </c>
      <c r="F93" s="1016" t="str">
        <f t="shared" si="116"/>
        <v/>
      </c>
      <c r="G93" s="1016" t="str">
        <f t="shared" si="117"/>
        <v/>
      </c>
      <c r="H93" s="1016" t="str">
        <f t="shared" si="118"/>
        <v/>
      </c>
      <c r="I93" s="211" t="str">
        <f t="shared" si="119"/>
        <v/>
      </c>
      <c r="J93" s="1016" t="str">
        <f t="shared" si="120"/>
        <v/>
      </c>
      <c r="K93" s="213" t="str">
        <f t="shared" si="121"/>
        <v/>
      </c>
      <c r="L93" s="212" t="str">
        <f t="shared" si="122"/>
        <v/>
      </c>
      <c r="M93" s="1125" t="str">
        <f>IF(OR($C93="",$C93=0),"",INDEX(API1DENST,MATCH($C93,'Vessel Gauging Data'!$B$27:$B$56,0),$AA$1))</f>
        <v/>
      </c>
      <c r="N93" s="212" t="str">
        <f t="shared" si="123"/>
        <v/>
      </c>
      <c r="O93" s="1016" t="str">
        <f t="shared" si="147"/>
        <v/>
      </c>
      <c r="P93" s="1125" t="str">
        <f t="shared" si="148"/>
        <v/>
      </c>
      <c r="Q93" s="1016" t="str">
        <f t="shared" si="149"/>
        <v/>
      </c>
      <c r="R93" s="214" t="str">
        <f t="shared" si="150"/>
        <v/>
      </c>
      <c r="S93" s="1125" t="str">
        <f t="shared" si="124"/>
        <v/>
      </c>
      <c r="T93" s="236" t="str">
        <f t="shared" si="151"/>
        <v/>
      </c>
      <c r="U93" s="641"/>
      <c r="V93" s="642" t="e">
        <f>INDEX('Vessel Gauging Data'!$B$26:$V$56,MATCH($C93,'Vessel Gauging Data'!$B$26:$B$56,0),$V$18)</f>
        <v>#N/A</v>
      </c>
      <c r="W93" s="642" t="e">
        <f>INDEX('Vessel Gauging Data'!$B$26:$V$56,MATCH($C93,'Vessel Gauging Data'!$B$26:$B$56,0),$W$18)</f>
        <v>#N/A</v>
      </c>
      <c r="X93" s="642" t="e">
        <f>INDEX('Vessel Gauging Data'!$B$26:$V$56,MATCH($C93,'Vessel Gauging Data'!$B$26:$B$56,0),$X$18)</f>
        <v>#N/A</v>
      </c>
      <c r="Y93" s="642" t="e">
        <f>INDEX('Vessel Gauging Data'!$B$26:$V$56,MATCH($C93,'Vessel Gauging Data'!$B$26:$B$56,0),$Y$18)</f>
        <v>#N/A</v>
      </c>
      <c r="Z93" s="642" t="e">
        <f>INDEX('Vessel Gauging Data'!$B$26:$V$56,MATCH($C93,'Vessel Gauging Data'!$B$26:$B$56,0),$Z$18)</f>
        <v>#N/A</v>
      </c>
      <c r="AA93" s="641"/>
      <c r="AB93" s="642" t="e">
        <f>INDEX(API1DENST,MATCH($C93,'Vessel Gauging Data'!$B$27:$B$56,0),1)</f>
        <v>#N/A</v>
      </c>
      <c r="AC93" s="642" t="e">
        <f t="shared" si="125"/>
        <v>#N/A</v>
      </c>
      <c r="AD93" s="641"/>
      <c r="AE93" s="661" t="e">
        <f t="shared" si="126"/>
        <v>#VALUE!</v>
      </c>
      <c r="AF93" s="661" t="e">
        <f t="shared" si="127"/>
        <v>#VALUE!</v>
      </c>
      <c r="AG93" s="641"/>
      <c r="AH93" s="662" t="str">
        <f t="shared" si="128"/>
        <v/>
      </c>
      <c r="AI93" s="662" t="str">
        <f t="shared" si="129"/>
        <v/>
      </c>
      <c r="AJ93" s="663">
        <f t="shared" si="130"/>
        <v>192.4571</v>
      </c>
      <c r="AK93" s="660">
        <f t="shared" si="131"/>
        <v>0.24379999999999999</v>
      </c>
      <c r="AL93" s="660" t="e">
        <f t="shared" si="132"/>
        <v>#VALUE!</v>
      </c>
      <c r="AM93" s="664" t="e">
        <f t="shared" si="133"/>
        <v>#VALUE!</v>
      </c>
      <c r="AN93" s="664" t="e">
        <f t="shared" si="134"/>
        <v>#VALUE!</v>
      </c>
      <c r="AO93" s="665" t="e">
        <f t="shared" si="135"/>
        <v>#VALUE!</v>
      </c>
      <c r="AP93" s="666" t="e">
        <f t="shared" si="136"/>
        <v>#VALUE!</v>
      </c>
      <c r="AQ93" s="660" t="e">
        <f t="shared" si="137"/>
        <v>#VALUE!</v>
      </c>
      <c r="AR93" s="667" t="e">
        <f t="shared" si="138"/>
        <v>#VALUE!</v>
      </c>
      <c r="AS93" s="667" t="e">
        <f t="shared" si="139"/>
        <v>#VALUE!</v>
      </c>
      <c r="AT93" s="668" t="e">
        <f t="shared" si="140"/>
        <v>#VALUE!</v>
      </c>
      <c r="AU93" s="667" t="e">
        <f t="shared" si="141"/>
        <v>#VALUE!</v>
      </c>
      <c r="AV93" s="669" t="e">
        <f t="shared" si="142"/>
        <v>#VALUE!</v>
      </c>
      <c r="AW93" s="667" t="e">
        <f t="shared" si="143"/>
        <v>#VALUE!</v>
      </c>
      <c r="AX93" s="667" t="e">
        <f t="shared" si="144"/>
        <v>#VALUE!</v>
      </c>
      <c r="AY93" s="660" t="e">
        <f t="shared" si="145"/>
        <v>#VALUE!</v>
      </c>
      <c r="AZ93" s="670" t="e">
        <f t="shared" si="146"/>
        <v>#VALUE!</v>
      </c>
      <c r="BA93" s="641"/>
      <c r="BB93" s="662" t="e">
        <f>INDEX('Vessel Gauging Data'!$B$26:$V$56,MATCH($C93,'Vessel Gauging Data'!$B$26:$B$56,0),$BB$18)</f>
        <v>#N/A</v>
      </c>
      <c r="BC93" s="662" t="e">
        <f>INDEX('Vessel Gauging Data'!$B$26:$V$56,MATCH($C93,'Vessel Gauging Data'!$B$26:$B$56,0),$BC$18)</f>
        <v>#N/A</v>
      </c>
      <c r="BD93" s="662" t="e">
        <f>INDEX('Vessel Gauging Data'!$B$26:$V$56,MATCH($C93,'Vessel Gauging Data'!$B$26:$B$56,0),$BD$18)</f>
        <v>#N/A</v>
      </c>
      <c r="BE93" s="662" t="e">
        <f>INDEX('Vessel Gauging Data'!$B$26:$V$56,MATCH($C93,'Vessel Gauging Data'!$B$26:$B$56,0),$BE$18)</f>
        <v>#N/A</v>
      </c>
    </row>
    <row r="94" spans="1:57" ht="15" hidden="1">
      <c r="A94" s="641" t="str">
        <f t="shared" si="114"/>
        <v>N</v>
      </c>
      <c r="B94" s="641"/>
      <c r="C94" s="235" t="str">
        <f t="array" ref="C94">IF(OR($E$90="",SUMPRODUCT(('Vessel Gauging Data'!$C$27:$C$56=$E$90)*1)&lt;ROWS($C$91:$C94)),"",INDEX('Vessel Gauging Data'!$B$27:$B$56,SMALL(IF(('Vessel Gauging Data'!$C$27:$C$56=$E$90),ROW('Vessel Gauging Data'!$B$27:$B$56)-ROW('Vessel Gauging Data'!$C$26)),ROW()-ROW(C$90))))</f>
        <v/>
      </c>
      <c r="D94" s="211" t="str">
        <f>IF(OR($C94="",$C94=0),"",INDEX('Vessel Gauging Data'!$B$26:$V$56,MATCH($C94,'Vessel Gauging Data'!$B$27:$B$56,0)+1,2))</f>
        <v/>
      </c>
      <c r="E94" s="1016" t="str">
        <f t="shared" si="115"/>
        <v/>
      </c>
      <c r="F94" s="1016" t="str">
        <f t="shared" si="116"/>
        <v/>
      </c>
      <c r="G94" s="1016" t="str">
        <f t="shared" si="117"/>
        <v/>
      </c>
      <c r="H94" s="1016" t="str">
        <f t="shared" si="118"/>
        <v/>
      </c>
      <c r="I94" s="211" t="str">
        <f t="shared" si="119"/>
        <v/>
      </c>
      <c r="J94" s="1016" t="str">
        <f t="shared" si="120"/>
        <v/>
      </c>
      <c r="K94" s="213" t="str">
        <f t="shared" si="121"/>
        <v/>
      </c>
      <c r="L94" s="212" t="str">
        <f t="shared" si="122"/>
        <v/>
      </c>
      <c r="M94" s="1125" t="str">
        <f>IF(OR($C94="",$C94=0),"",INDEX(API1DENST,MATCH($C94,'Vessel Gauging Data'!$B$27:$B$56,0),$AA$1))</f>
        <v/>
      </c>
      <c r="N94" s="212" t="str">
        <f t="shared" si="123"/>
        <v/>
      </c>
      <c r="O94" s="1016" t="str">
        <f t="shared" si="147"/>
        <v/>
      </c>
      <c r="P94" s="1125" t="str">
        <f t="shared" si="148"/>
        <v/>
      </c>
      <c r="Q94" s="1016" t="str">
        <f t="shared" si="149"/>
        <v/>
      </c>
      <c r="R94" s="214" t="str">
        <f t="shared" si="150"/>
        <v/>
      </c>
      <c r="S94" s="1125" t="str">
        <f t="shared" si="124"/>
        <v/>
      </c>
      <c r="T94" s="236" t="str">
        <f t="shared" si="151"/>
        <v/>
      </c>
      <c r="U94" s="641"/>
      <c r="V94" s="642" t="e">
        <f>INDEX('Vessel Gauging Data'!$B$26:$V$56,MATCH($C94,'Vessel Gauging Data'!$B$26:$B$56,0),$V$18)</f>
        <v>#N/A</v>
      </c>
      <c r="W94" s="642" t="e">
        <f>INDEX('Vessel Gauging Data'!$B$26:$V$56,MATCH($C94,'Vessel Gauging Data'!$B$26:$B$56,0),$W$18)</f>
        <v>#N/A</v>
      </c>
      <c r="X94" s="642" t="e">
        <f>INDEX('Vessel Gauging Data'!$B$26:$V$56,MATCH($C94,'Vessel Gauging Data'!$B$26:$B$56,0),$X$18)</f>
        <v>#N/A</v>
      </c>
      <c r="Y94" s="642" t="e">
        <f>INDEX('Vessel Gauging Data'!$B$26:$V$56,MATCH($C94,'Vessel Gauging Data'!$B$26:$B$56,0),$Y$18)</f>
        <v>#N/A</v>
      </c>
      <c r="Z94" s="642" t="e">
        <f>INDEX('Vessel Gauging Data'!$B$26:$V$56,MATCH($C94,'Vessel Gauging Data'!$B$26:$B$56,0),$Z$18)</f>
        <v>#N/A</v>
      </c>
      <c r="AA94" s="641"/>
      <c r="AB94" s="642" t="e">
        <f>INDEX(API1DENST,MATCH($C94,'Vessel Gauging Data'!$B$27:$B$56,0),1)</f>
        <v>#N/A</v>
      </c>
      <c r="AC94" s="642" t="e">
        <f t="shared" si="125"/>
        <v>#N/A</v>
      </c>
      <c r="AD94" s="641"/>
      <c r="AE94" s="661" t="e">
        <f t="shared" si="126"/>
        <v>#VALUE!</v>
      </c>
      <c r="AF94" s="661" t="e">
        <f t="shared" si="127"/>
        <v>#VALUE!</v>
      </c>
      <c r="AG94" s="641"/>
      <c r="AH94" s="662" t="str">
        <f t="shared" si="128"/>
        <v/>
      </c>
      <c r="AI94" s="662" t="str">
        <f t="shared" si="129"/>
        <v/>
      </c>
      <c r="AJ94" s="663">
        <f t="shared" si="130"/>
        <v>192.4571</v>
      </c>
      <c r="AK94" s="660">
        <f t="shared" si="131"/>
        <v>0.24379999999999999</v>
      </c>
      <c r="AL94" s="660" t="e">
        <f t="shared" si="132"/>
        <v>#VALUE!</v>
      </c>
      <c r="AM94" s="664" t="e">
        <f t="shared" si="133"/>
        <v>#VALUE!</v>
      </c>
      <c r="AN94" s="664" t="e">
        <f t="shared" si="134"/>
        <v>#VALUE!</v>
      </c>
      <c r="AO94" s="665" t="e">
        <f t="shared" si="135"/>
        <v>#VALUE!</v>
      </c>
      <c r="AP94" s="666" t="e">
        <f t="shared" si="136"/>
        <v>#VALUE!</v>
      </c>
      <c r="AQ94" s="660" t="e">
        <f t="shared" si="137"/>
        <v>#VALUE!</v>
      </c>
      <c r="AR94" s="667" t="e">
        <f t="shared" si="138"/>
        <v>#VALUE!</v>
      </c>
      <c r="AS94" s="667" t="e">
        <f t="shared" si="139"/>
        <v>#VALUE!</v>
      </c>
      <c r="AT94" s="668" t="e">
        <f t="shared" si="140"/>
        <v>#VALUE!</v>
      </c>
      <c r="AU94" s="667" t="e">
        <f t="shared" si="141"/>
        <v>#VALUE!</v>
      </c>
      <c r="AV94" s="669" t="e">
        <f t="shared" si="142"/>
        <v>#VALUE!</v>
      </c>
      <c r="AW94" s="667" t="e">
        <f t="shared" si="143"/>
        <v>#VALUE!</v>
      </c>
      <c r="AX94" s="667" t="e">
        <f t="shared" si="144"/>
        <v>#VALUE!</v>
      </c>
      <c r="AY94" s="660" t="e">
        <f t="shared" si="145"/>
        <v>#VALUE!</v>
      </c>
      <c r="AZ94" s="670" t="e">
        <f t="shared" si="146"/>
        <v>#VALUE!</v>
      </c>
      <c r="BA94" s="641"/>
      <c r="BB94" s="662" t="e">
        <f>INDEX('Vessel Gauging Data'!$B$26:$V$56,MATCH($C94,'Vessel Gauging Data'!$B$26:$B$56,0),$BB$18)</f>
        <v>#N/A</v>
      </c>
      <c r="BC94" s="662" t="e">
        <f>INDEX('Vessel Gauging Data'!$B$26:$V$56,MATCH($C94,'Vessel Gauging Data'!$B$26:$B$56,0),$BC$18)</f>
        <v>#N/A</v>
      </c>
      <c r="BD94" s="662" t="e">
        <f>INDEX('Vessel Gauging Data'!$B$26:$V$56,MATCH($C94,'Vessel Gauging Data'!$B$26:$B$56,0),$BD$18)</f>
        <v>#N/A</v>
      </c>
      <c r="BE94" s="662" t="e">
        <f>INDEX('Vessel Gauging Data'!$B$26:$V$56,MATCH($C94,'Vessel Gauging Data'!$B$26:$B$56,0),$BE$18)</f>
        <v>#N/A</v>
      </c>
    </row>
    <row r="95" spans="1:57" ht="15" hidden="1">
      <c r="A95" s="641" t="str">
        <f t="shared" si="114"/>
        <v>N</v>
      </c>
      <c r="B95" s="641"/>
      <c r="C95" s="235" t="str">
        <f t="array" ref="C95">IF(OR($E$90="",SUMPRODUCT(('Vessel Gauging Data'!$C$27:$C$56=$E$90)*1)&lt;ROWS($C$91:$C95)),"",INDEX('Vessel Gauging Data'!$B$27:$B$56,SMALL(IF(('Vessel Gauging Data'!$C$27:$C$56=$E$90),ROW('Vessel Gauging Data'!$B$27:$B$56)-ROW('Vessel Gauging Data'!$C$26)),ROW()-ROW(C$90))))</f>
        <v/>
      </c>
      <c r="D95" s="211" t="str">
        <f>IF(OR($C95="",$C95=0),"",INDEX('Vessel Gauging Data'!$B$26:$V$56,MATCH($C95,'Vessel Gauging Data'!$B$27:$B$56,0)+1,2))</f>
        <v/>
      </c>
      <c r="E95" s="1016" t="str">
        <f t="shared" si="115"/>
        <v/>
      </c>
      <c r="F95" s="1016" t="str">
        <f t="shared" si="116"/>
        <v/>
      </c>
      <c r="G95" s="1016" t="str">
        <f t="shared" si="117"/>
        <v/>
      </c>
      <c r="H95" s="1016" t="str">
        <f t="shared" si="118"/>
        <v/>
      </c>
      <c r="I95" s="211" t="str">
        <f t="shared" si="119"/>
        <v/>
      </c>
      <c r="J95" s="1016" t="str">
        <f t="shared" si="120"/>
        <v/>
      </c>
      <c r="K95" s="213" t="str">
        <f t="shared" si="121"/>
        <v/>
      </c>
      <c r="L95" s="212" t="str">
        <f t="shared" si="122"/>
        <v/>
      </c>
      <c r="M95" s="1125" t="str">
        <f>IF(OR($C95="",$C95=0),"",INDEX(API1DENST,MATCH($C95,'Vessel Gauging Data'!$B$27:$B$56,0),$AA$1))</f>
        <v/>
      </c>
      <c r="N95" s="212" t="str">
        <f t="shared" si="123"/>
        <v/>
      </c>
      <c r="O95" s="1016" t="str">
        <f t="shared" si="147"/>
        <v/>
      </c>
      <c r="P95" s="1125" t="str">
        <f t="shared" si="148"/>
        <v/>
      </c>
      <c r="Q95" s="1016" t="str">
        <f t="shared" si="149"/>
        <v/>
      </c>
      <c r="R95" s="214" t="str">
        <f t="shared" si="150"/>
        <v/>
      </c>
      <c r="S95" s="1125" t="str">
        <f t="shared" si="124"/>
        <v/>
      </c>
      <c r="T95" s="236" t="str">
        <f t="shared" si="151"/>
        <v/>
      </c>
      <c r="U95" s="641"/>
      <c r="V95" s="642" t="e">
        <f>INDEX('Vessel Gauging Data'!$B$26:$V$56,MATCH($C95,'Vessel Gauging Data'!$B$26:$B$56,0),$V$18)</f>
        <v>#N/A</v>
      </c>
      <c r="W95" s="642" t="e">
        <f>INDEX('Vessel Gauging Data'!$B$26:$V$56,MATCH($C95,'Vessel Gauging Data'!$B$26:$B$56,0),$W$18)</f>
        <v>#N/A</v>
      </c>
      <c r="X95" s="642" t="e">
        <f>INDEX('Vessel Gauging Data'!$B$26:$V$56,MATCH($C95,'Vessel Gauging Data'!$B$26:$B$56,0),$X$18)</f>
        <v>#N/A</v>
      </c>
      <c r="Y95" s="642" t="e">
        <f>INDEX('Vessel Gauging Data'!$B$26:$V$56,MATCH($C95,'Vessel Gauging Data'!$B$26:$B$56,0),$Y$18)</f>
        <v>#N/A</v>
      </c>
      <c r="Z95" s="642" t="e">
        <f>INDEX('Vessel Gauging Data'!$B$26:$V$56,MATCH($C95,'Vessel Gauging Data'!$B$26:$B$56,0),$Z$18)</f>
        <v>#N/A</v>
      </c>
      <c r="AA95" s="641"/>
      <c r="AB95" s="642" t="e">
        <f>INDEX(API1DENST,MATCH($C95,'Vessel Gauging Data'!$B$27:$B$56,0),1)</f>
        <v>#N/A</v>
      </c>
      <c r="AC95" s="642" t="e">
        <f t="shared" si="125"/>
        <v>#N/A</v>
      </c>
      <c r="AD95" s="641"/>
      <c r="AE95" s="661" t="e">
        <f t="shared" si="126"/>
        <v>#VALUE!</v>
      </c>
      <c r="AF95" s="661" t="e">
        <f t="shared" si="127"/>
        <v>#VALUE!</v>
      </c>
      <c r="AG95" s="641"/>
      <c r="AH95" s="662" t="str">
        <f t="shared" si="128"/>
        <v/>
      </c>
      <c r="AI95" s="662" t="str">
        <f t="shared" si="129"/>
        <v/>
      </c>
      <c r="AJ95" s="663">
        <f t="shared" si="130"/>
        <v>192.4571</v>
      </c>
      <c r="AK95" s="660">
        <f t="shared" si="131"/>
        <v>0.24379999999999999</v>
      </c>
      <c r="AL95" s="660" t="e">
        <f t="shared" si="132"/>
        <v>#VALUE!</v>
      </c>
      <c r="AM95" s="664" t="e">
        <f t="shared" si="133"/>
        <v>#VALUE!</v>
      </c>
      <c r="AN95" s="664" t="e">
        <f t="shared" si="134"/>
        <v>#VALUE!</v>
      </c>
      <c r="AO95" s="665" t="e">
        <f t="shared" si="135"/>
        <v>#VALUE!</v>
      </c>
      <c r="AP95" s="666" t="e">
        <f t="shared" si="136"/>
        <v>#VALUE!</v>
      </c>
      <c r="AQ95" s="660" t="e">
        <f t="shared" si="137"/>
        <v>#VALUE!</v>
      </c>
      <c r="AR95" s="667" t="e">
        <f t="shared" si="138"/>
        <v>#VALUE!</v>
      </c>
      <c r="AS95" s="667" t="e">
        <f t="shared" si="139"/>
        <v>#VALUE!</v>
      </c>
      <c r="AT95" s="668" t="e">
        <f t="shared" si="140"/>
        <v>#VALUE!</v>
      </c>
      <c r="AU95" s="667" t="e">
        <f t="shared" si="141"/>
        <v>#VALUE!</v>
      </c>
      <c r="AV95" s="669" t="e">
        <f t="shared" si="142"/>
        <v>#VALUE!</v>
      </c>
      <c r="AW95" s="667" t="e">
        <f t="shared" si="143"/>
        <v>#VALUE!</v>
      </c>
      <c r="AX95" s="667" t="e">
        <f t="shared" si="144"/>
        <v>#VALUE!</v>
      </c>
      <c r="AY95" s="660" t="e">
        <f t="shared" si="145"/>
        <v>#VALUE!</v>
      </c>
      <c r="AZ95" s="670" t="e">
        <f t="shared" si="146"/>
        <v>#VALUE!</v>
      </c>
      <c r="BA95" s="641"/>
      <c r="BB95" s="662" t="e">
        <f>INDEX('Vessel Gauging Data'!$B$26:$V$56,MATCH($C95,'Vessel Gauging Data'!$B$26:$B$56,0),$BB$18)</f>
        <v>#N/A</v>
      </c>
      <c r="BC95" s="662" t="e">
        <f>INDEX('Vessel Gauging Data'!$B$26:$V$56,MATCH($C95,'Vessel Gauging Data'!$B$26:$B$56,0),$BC$18)</f>
        <v>#N/A</v>
      </c>
      <c r="BD95" s="662" t="e">
        <f>INDEX('Vessel Gauging Data'!$B$26:$V$56,MATCH($C95,'Vessel Gauging Data'!$B$26:$B$56,0),$BD$18)</f>
        <v>#N/A</v>
      </c>
      <c r="BE95" s="662" t="e">
        <f>INDEX('Vessel Gauging Data'!$B$26:$V$56,MATCH($C95,'Vessel Gauging Data'!$B$26:$B$56,0),$BE$18)</f>
        <v>#N/A</v>
      </c>
    </row>
    <row r="96" spans="1:57" ht="15" hidden="1">
      <c r="A96" s="641" t="str">
        <f t="shared" si="114"/>
        <v>N</v>
      </c>
      <c r="B96" s="641"/>
      <c r="C96" s="235" t="str">
        <f t="array" ref="C96">IF(OR($E$90="",SUMPRODUCT(('Vessel Gauging Data'!$C$27:$C$56=$E$90)*1)&lt;ROWS($C$91:$C96)),"",INDEX('Vessel Gauging Data'!$B$27:$B$56,SMALL(IF(('Vessel Gauging Data'!$C$27:$C$56=$E$90),ROW('Vessel Gauging Data'!$B$27:$B$56)-ROW('Vessel Gauging Data'!$C$26)),ROW()-ROW(C$90))))</f>
        <v/>
      </c>
      <c r="D96" s="211" t="str">
        <f>IF(OR($C96="",$C96=0),"",INDEX('Vessel Gauging Data'!$B$26:$V$56,MATCH($C96,'Vessel Gauging Data'!$B$27:$B$56,0)+1,2))</f>
        <v/>
      </c>
      <c r="E96" s="1016" t="str">
        <f t="shared" si="115"/>
        <v/>
      </c>
      <c r="F96" s="1016" t="str">
        <f t="shared" si="116"/>
        <v/>
      </c>
      <c r="G96" s="1016" t="str">
        <f t="shared" si="117"/>
        <v/>
      </c>
      <c r="H96" s="1016" t="str">
        <f t="shared" si="118"/>
        <v/>
      </c>
      <c r="I96" s="211" t="str">
        <f t="shared" si="119"/>
        <v/>
      </c>
      <c r="J96" s="1016" t="str">
        <f t="shared" si="120"/>
        <v/>
      </c>
      <c r="K96" s="213" t="str">
        <f t="shared" si="121"/>
        <v/>
      </c>
      <c r="L96" s="212" t="str">
        <f t="shared" si="122"/>
        <v/>
      </c>
      <c r="M96" s="1125" t="str">
        <f>IF(OR($C96="",$C96=0),"",INDEX(API1DENST,MATCH($C96,'Vessel Gauging Data'!$B$27:$B$56,0),$AA$1))</f>
        <v/>
      </c>
      <c r="N96" s="212" t="str">
        <f t="shared" si="123"/>
        <v/>
      </c>
      <c r="O96" s="1016" t="str">
        <f t="shared" si="147"/>
        <v/>
      </c>
      <c r="P96" s="1125" t="str">
        <f t="shared" si="148"/>
        <v/>
      </c>
      <c r="Q96" s="1016" t="str">
        <f t="shared" si="149"/>
        <v/>
      </c>
      <c r="R96" s="214" t="str">
        <f t="shared" si="150"/>
        <v/>
      </c>
      <c r="S96" s="1125" t="str">
        <f t="shared" si="124"/>
        <v/>
      </c>
      <c r="T96" s="236" t="str">
        <f t="shared" si="151"/>
        <v/>
      </c>
      <c r="U96" s="641"/>
      <c r="V96" s="642" t="e">
        <f>INDEX('Vessel Gauging Data'!$B$26:$V$56,MATCH($C96,'Vessel Gauging Data'!$B$26:$B$56,0),$V$18)</f>
        <v>#N/A</v>
      </c>
      <c r="W96" s="642" t="e">
        <f>INDEX('Vessel Gauging Data'!$B$26:$V$56,MATCH($C96,'Vessel Gauging Data'!$B$26:$B$56,0),$W$18)</f>
        <v>#N/A</v>
      </c>
      <c r="X96" s="642" t="e">
        <f>INDEX('Vessel Gauging Data'!$B$26:$V$56,MATCH($C96,'Vessel Gauging Data'!$B$26:$B$56,0),$X$18)</f>
        <v>#N/A</v>
      </c>
      <c r="Y96" s="642" t="e">
        <f>INDEX('Vessel Gauging Data'!$B$26:$V$56,MATCH($C96,'Vessel Gauging Data'!$B$26:$B$56,0),$Y$18)</f>
        <v>#N/A</v>
      </c>
      <c r="Z96" s="642" t="e">
        <f>INDEX('Vessel Gauging Data'!$B$26:$V$56,MATCH($C96,'Vessel Gauging Data'!$B$26:$B$56,0),$Z$18)</f>
        <v>#N/A</v>
      </c>
      <c r="AA96" s="641"/>
      <c r="AB96" s="642" t="e">
        <f>INDEX(API1DENST,MATCH($C96,'Vessel Gauging Data'!$B$27:$B$56,0),1)</f>
        <v>#N/A</v>
      </c>
      <c r="AC96" s="642" t="e">
        <f t="shared" si="125"/>
        <v>#N/A</v>
      </c>
      <c r="AD96" s="641"/>
      <c r="AE96" s="661" t="e">
        <f t="shared" si="126"/>
        <v>#VALUE!</v>
      </c>
      <c r="AF96" s="661" t="e">
        <f t="shared" si="127"/>
        <v>#VALUE!</v>
      </c>
      <c r="AG96" s="641"/>
      <c r="AH96" s="662" t="str">
        <f t="shared" si="128"/>
        <v/>
      </c>
      <c r="AI96" s="662" t="str">
        <f t="shared" si="129"/>
        <v/>
      </c>
      <c r="AJ96" s="663">
        <f t="shared" si="130"/>
        <v>192.4571</v>
      </c>
      <c r="AK96" s="660">
        <f t="shared" si="131"/>
        <v>0.24379999999999999</v>
      </c>
      <c r="AL96" s="660" t="e">
        <f t="shared" si="132"/>
        <v>#VALUE!</v>
      </c>
      <c r="AM96" s="664" t="e">
        <f t="shared" si="133"/>
        <v>#VALUE!</v>
      </c>
      <c r="AN96" s="664" t="e">
        <f t="shared" si="134"/>
        <v>#VALUE!</v>
      </c>
      <c r="AO96" s="665" t="e">
        <f t="shared" si="135"/>
        <v>#VALUE!</v>
      </c>
      <c r="AP96" s="666" t="e">
        <f t="shared" si="136"/>
        <v>#VALUE!</v>
      </c>
      <c r="AQ96" s="660" t="e">
        <f t="shared" si="137"/>
        <v>#VALUE!</v>
      </c>
      <c r="AR96" s="667" t="e">
        <f t="shared" si="138"/>
        <v>#VALUE!</v>
      </c>
      <c r="AS96" s="667" t="e">
        <f t="shared" si="139"/>
        <v>#VALUE!</v>
      </c>
      <c r="AT96" s="668" t="e">
        <f t="shared" si="140"/>
        <v>#VALUE!</v>
      </c>
      <c r="AU96" s="667" t="e">
        <f t="shared" si="141"/>
        <v>#VALUE!</v>
      </c>
      <c r="AV96" s="669" t="e">
        <f t="shared" si="142"/>
        <v>#VALUE!</v>
      </c>
      <c r="AW96" s="667" t="e">
        <f t="shared" si="143"/>
        <v>#VALUE!</v>
      </c>
      <c r="AX96" s="667" t="e">
        <f t="shared" si="144"/>
        <v>#VALUE!</v>
      </c>
      <c r="AY96" s="660" t="e">
        <f t="shared" si="145"/>
        <v>#VALUE!</v>
      </c>
      <c r="AZ96" s="670" t="e">
        <f t="shared" si="146"/>
        <v>#VALUE!</v>
      </c>
      <c r="BA96" s="641"/>
      <c r="BB96" s="662" t="e">
        <f>INDEX('Vessel Gauging Data'!$B$26:$V$56,MATCH($C96,'Vessel Gauging Data'!$B$26:$B$56,0),$BB$18)</f>
        <v>#N/A</v>
      </c>
      <c r="BC96" s="662" t="e">
        <f>INDEX('Vessel Gauging Data'!$B$26:$V$56,MATCH($C96,'Vessel Gauging Data'!$B$26:$B$56,0),$BC$18)</f>
        <v>#N/A</v>
      </c>
      <c r="BD96" s="662" t="e">
        <f>INDEX('Vessel Gauging Data'!$B$26:$V$56,MATCH($C96,'Vessel Gauging Data'!$B$26:$B$56,0),$BD$18)</f>
        <v>#N/A</v>
      </c>
      <c r="BE96" s="662" t="e">
        <f>INDEX('Vessel Gauging Data'!$B$26:$V$56,MATCH($C96,'Vessel Gauging Data'!$B$26:$B$56,0),$BE$18)</f>
        <v>#N/A</v>
      </c>
    </row>
    <row r="97" spans="1:57" ht="15" hidden="1">
      <c r="A97" s="641" t="str">
        <f t="shared" si="114"/>
        <v>N</v>
      </c>
      <c r="B97" s="641"/>
      <c r="C97" s="235" t="str">
        <f t="array" ref="C97">IF(OR($E$90="",SUMPRODUCT(('Vessel Gauging Data'!$C$27:$C$56=$E$90)*1)&lt;ROWS($C$91:$C97)),"",INDEX('Vessel Gauging Data'!$B$27:$B$56,SMALL(IF(('Vessel Gauging Data'!$C$27:$C$56=$E$90),ROW('Vessel Gauging Data'!$B$27:$B$56)-ROW('Vessel Gauging Data'!$C$26)),ROW()-ROW(C$90))))</f>
        <v/>
      </c>
      <c r="D97" s="211" t="str">
        <f>IF(OR($C97="",$C97=0),"",INDEX('Vessel Gauging Data'!$B$26:$V$56,MATCH($C97,'Vessel Gauging Data'!$B$27:$B$56,0)+1,2))</f>
        <v/>
      </c>
      <c r="E97" s="1016" t="str">
        <f t="shared" si="115"/>
        <v/>
      </c>
      <c r="F97" s="1016" t="str">
        <f t="shared" si="116"/>
        <v/>
      </c>
      <c r="G97" s="1016" t="str">
        <f t="shared" si="117"/>
        <v/>
      </c>
      <c r="H97" s="1016" t="str">
        <f t="shared" si="118"/>
        <v/>
      </c>
      <c r="I97" s="211" t="str">
        <f t="shared" si="119"/>
        <v/>
      </c>
      <c r="J97" s="1016" t="str">
        <f t="shared" si="120"/>
        <v/>
      </c>
      <c r="K97" s="213" t="str">
        <f t="shared" si="121"/>
        <v/>
      </c>
      <c r="L97" s="212" t="str">
        <f t="shared" si="122"/>
        <v/>
      </c>
      <c r="M97" s="1125" t="str">
        <f>IF(OR($C97="",$C97=0),"",INDEX(API1DENST,MATCH($C97,'Vessel Gauging Data'!$B$27:$B$56,0),$AA$1))</f>
        <v/>
      </c>
      <c r="N97" s="212" t="str">
        <f t="shared" si="123"/>
        <v/>
      </c>
      <c r="O97" s="1016" t="str">
        <f t="shared" si="147"/>
        <v/>
      </c>
      <c r="P97" s="1125" t="str">
        <f t="shared" si="148"/>
        <v/>
      </c>
      <c r="Q97" s="1016" t="str">
        <f t="shared" si="149"/>
        <v/>
      </c>
      <c r="R97" s="214" t="str">
        <f t="shared" si="150"/>
        <v/>
      </c>
      <c r="S97" s="1125" t="str">
        <f t="shared" si="124"/>
        <v/>
      </c>
      <c r="T97" s="236" t="str">
        <f t="shared" si="151"/>
        <v/>
      </c>
      <c r="U97" s="641"/>
      <c r="V97" s="642" t="e">
        <f>INDEX('Vessel Gauging Data'!$B$26:$V$56,MATCH($C97,'Vessel Gauging Data'!$B$26:$B$56,0),$V$18)</f>
        <v>#N/A</v>
      </c>
      <c r="W97" s="642" t="e">
        <f>INDEX('Vessel Gauging Data'!$B$26:$V$56,MATCH($C97,'Vessel Gauging Data'!$B$26:$B$56,0),$W$18)</f>
        <v>#N/A</v>
      </c>
      <c r="X97" s="642" t="e">
        <f>INDEX('Vessel Gauging Data'!$B$26:$V$56,MATCH($C97,'Vessel Gauging Data'!$B$26:$B$56,0),$X$18)</f>
        <v>#N/A</v>
      </c>
      <c r="Y97" s="642" t="e">
        <f>INDEX('Vessel Gauging Data'!$B$26:$V$56,MATCH($C97,'Vessel Gauging Data'!$B$26:$B$56,0),$Y$18)</f>
        <v>#N/A</v>
      </c>
      <c r="Z97" s="642" t="e">
        <f>INDEX('Vessel Gauging Data'!$B$26:$V$56,MATCH($C97,'Vessel Gauging Data'!$B$26:$B$56,0),$Z$18)</f>
        <v>#N/A</v>
      </c>
      <c r="AA97" s="641"/>
      <c r="AB97" s="642" t="e">
        <f>INDEX(API1DENST,MATCH($C97,'Vessel Gauging Data'!$B$27:$B$56,0),1)</f>
        <v>#N/A</v>
      </c>
      <c r="AC97" s="642" t="e">
        <f t="shared" si="125"/>
        <v>#N/A</v>
      </c>
      <c r="AD97" s="641"/>
      <c r="AE97" s="661" t="e">
        <f t="shared" si="126"/>
        <v>#VALUE!</v>
      </c>
      <c r="AF97" s="661" t="e">
        <f t="shared" si="127"/>
        <v>#VALUE!</v>
      </c>
      <c r="AG97" s="641"/>
      <c r="AH97" s="662" t="str">
        <f t="shared" si="128"/>
        <v/>
      </c>
      <c r="AI97" s="662" t="str">
        <f t="shared" si="129"/>
        <v/>
      </c>
      <c r="AJ97" s="663">
        <f t="shared" si="130"/>
        <v>192.4571</v>
      </c>
      <c r="AK97" s="660">
        <f t="shared" si="131"/>
        <v>0.24379999999999999</v>
      </c>
      <c r="AL97" s="660" t="e">
        <f t="shared" si="132"/>
        <v>#VALUE!</v>
      </c>
      <c r="AM97" s="664" t="e">
        <f t="shared" si="133"/>
        <v>#VALUE!</v>
      </c>
      <c r="AN97" s="664" t="e">
        <f t="shared" si="134"/>
        <v>#VALUE!</v>
      </c>
      <c r="AO97" s="665" t="e">
        <f t="shared" si="135"/>
        <v>#VALUE!</v>
      </c>
      <c r="AP97" s="666" t="e">
        <f t="shared" si="136"/>
        <v>#VALUE!</v>
      </c>
      <c r="AQ97" s="660" t="e">
        <f t="shared" si="137"/>
        <v>#VALUE!</v>
      </c>
      <c r="AR97" s="667" t="e">
        <f t="shared" si="138"/>
        <v>#VALUE!</v>
      </c>
      <c r="AS97" s="667" t="e">
        <f t="shared" si="139"/>
        <v>#VALUE!</v>
      </c>
      <c r="AT97" s="668" t="e">
        <f t="shared" si="140"/>
        <v>#VALUE!</v>
      </c>
      <c r="AU97" s="667" t="e">
        <f t="shared" si="141"/>
        <v>#VALUE!</v>
      </c>
      <c r="AV97" s="669" t="e">
        <f t="shared" si="142"/>
        <v>#VALUE!</v>
      </c>
      <c r="AW97" s="667" t="e">
        <f t="shared" si="143"/>
        <v>#VALUE!</v>
      </c>
      <c r="AX97" s="667" t="e">
        <f t="shared" si="144"/>
        <v>#VALUE!</v>
      </c>
      <c r="AY97" s="660" t="e">
        <f t="shared" si="145"/>
        <v>#VALUE!</v>
      </c>
      <c r="AZ97" s="670" t="e">
        <f t="shared" si="146"/>
        <v>#VALUE!</v>
      </c>
      <c r="BA97" s="641"/>
      <c r="BB97" s="662" t="e">
        <f>INDEX('Vessel Gauging Data'!$B$26:$V$56,MATCH($C97,'Vessel Gauging Data'!$B$26:$B$56,0),$BB$18)</f>
        <v>#N/A</v>
      </c>
      <c r="BC97" s="662" t="e">
        <f>INDEX('Vessel Gauging Data'!$B$26:$V$56,MATCH($C97,'Vessel Gauging Data'!$B$26:$B$56,0),$BC$18)</f>
        <v>#N/A</v>
      </c>
      <c r="BD97" s="662" t="e">
        <f>INDEX('Vessel Gauging Data'!$B$26:$V$56,MATCH($C97,'Vessel Gauging Data'!$B$26:$B$56,0),$BD$18)</f>
        <v>#N/A</v>
      </c>
      <c r="BE97" s="662" t="e">
        <f>INDEX('Vessel Gauging Data'!$B$26:$V$56,MATCH($C97,'Vessel Gauging Data'!$B$26:$B$56,0),$BE$18)</f>
        <v>#N/A</v>
      </c>
    </row>
    <row r="98" spans="1:57" ht="15" hidden="1">
      <c r="A98" s="641" t="str">
        <f t="shared" si="114"/>
        <v>N</v>
      </c>
      <c r="B98" s="641"/>
      <c r="C98" s="235" t="str">
        <f t="array" ref="C98">IF(OR($E$90="",SUMPRODUCT(('Vessel Gauging Data'!$C$27:$C$56=$E$90)*1)&lt;ROWS($C$91:$C98)),"",INDEX('Vessel Gauging Data'!$B$27:$B$56,SMALL(IF(('Vessel Gauging Data'!$C$27:$C$56=$E$90),ROW('Vessel Gauging Data'!$B$27:$B$56)-ROW('Vessel Gauging Data'!$C$26)),ROW()-ROW(C$90))))</f>
        <v/>
      </c>
      <c r="D98" s="211" t="str">
        <f>IF(OR($C98="",$C98=0),"",INDEX('Vessel Gauging Data'!$B$26:$V$56,MATCH($C98,'Vessel Gauging Data'!$B$27:$B$56,0)+1,2))</f>
        <v/>
      </c>
      <c r="E98" s="1016" t="str">
        <f t="shared" si="115"/>
        <v/>
      </c>
      <c r="F98" s="1016" t="str">
        <f t="shared" si="116"/>
        <v/>
      </c>
      <c r="G98" s="1016" t="str">
        <f t="shared" si="117"/>
        <v/>
      </c>
      <c r="H98" s="1016" t="str">
        <f t="shared" si="118"/>
        <v/>
      </c>
      <c r="I98" s="211" t="str">
        <f t="shared" si="119"/>
        <v/>
      </c>
      <c r="J98" s="1016" t="str">
        <f t="shared" si="120"/>
        <v/>
      </c>
      <c r="K98" s="213" t="str">
        <f t="shared" si="121"/>
        <v/>
      </c>
      <c r="L98" s="212" t="str">
        <f t="shared" si="122"/>
        <v/>
      </c>
      <c r="M98" s="1125" t="str">
        <f>IF(OR($C98="",$C98=0),"",INDEX(API1DENST,MATCH($C98,'Vessel Gauging Data'!$B$27:$B$56,0),$AA$1))</f>
        <v/>
      </c>
      <c r="N98" s="212" t="str">
        <f t="shared" si="123"/>
        <v/>
      </c>
      <c r="O98" s="1016" t="str">
        <f t="shared" si="147"/>
        <v/>
      </c>
      <c r="P98" s="1125" t="str">
        <f t="shared" si="148"/>
        <v/>
      </c>
      <c r="Q98" s="1016" t="str">
        <f t="shared" si="149"/>
        <v/>
      </c>
      <c r="R98" s="214" t="str">
        <f t="shared" si="150"/>
        <v/>
      </c>
      <c r="S98" s="1125" t="str">
        <f t="shared" si="124"/>
        <v/>
      </c>
      <c r="T98" s="236" t="str">
        <f t="shared" si="151"/>
        <v/>
      </c>
      <c r="U98" s="641"/>
      <c r="V98" s="642" t="e">
        <f>INDEX('Vessel Gauging Data'!$B$26:$V$56,MATCH($C98,'Vessel Gauging Data'!$B$26:$B$56,0),$V$18)</f>
        <v>#N/A</v>
      </c>
      <c r="W98" s="642" t="e">
        <f>INDEX('Vessel Gauging Data'!$B$26:$V$56,MATCH($C98,'Vessel Gauging Data'!$B$26:$B$56,0),$W$18)</f>
        <v>#N/A</v>
      </c>
      <c r="X98" s="642" t="e">
        <f>INDEX('Vessel Gauging Data'!$B$26:$V$56,MATCH($C98,'Vessel Gauging Data'!$B$26:$B$56,0),$X$18)</f>
        <v>#N/A</v>
      </c>
      <c r="Y98" s="642" t="e">
        <f>INDEX('Vessel Gauging Data'!$B$26:$V$56,MATCH($C98,'Vessel Gauging Data'!$B$26:$B$56,0),$Y$18)</f>
        <v>#N/A</v>
      </c>
      <c r="Z98" s="642" t="e">
        <f>INDEX('Vessel Gauging Data'!$B$26:$V$56,MATCH($C98,'Vessel Gauging Data'!$B$26:$B$56,0),$Z$18)</f>
        <v>#N/A</v>
      </c>
      <c r="AA98" s="641"/>
      <c r="AB98" s="642" t="e">
        <f>INDEX(API1DENST,MATCH($C98,'Vessel Gauging Data'!$B$27:$B$56,0),1)</f>
        <v>#N/A</v>
      </c>
      <c r="AC98" s="642" t="e">
        <f t="shared" si="125"/>
        <v>#N/A</v>
      </c>
      <c r="AD98" s="641"/>
      <c r="AE98" s="661" t="e">
        <f t="shared" si="126"/>
        <v>#VALUE!</v>
      </c>
      <c r="AF98" s="661" t="e">
        <f t="shared" si="127"/>
        <v>#VALUE!</v>
      </c>
      <c r="AG98" s="641"/>
      <c r="AH98" s="662" t="str">
        <f t="shared" si="128"/>
        <v/>
      </c>
      <c r="AI98" s="662" t="str">
        <f t="shared" si="129"/>
        <v/>
      </c>
      <c r="AJ98" s="663">
        <f t="shared" si="130"/>
        <v>192.4571</v>
      </c>
      <c r="AK98" s="660">
        <f t="shared" si="131"/>
        <v>0.24379999999999999</v>
      </c>
      <c r="AL98" s="660" t="e">
        <f t="shared" si="132"/>
        <v>#VALUE!</v>
      </c>
      <c r="AM98" s="664" t="e">
        <f t="shared" si="133"/>
        <v>#VALUE!</v>
      </c>
      <c r="AN98" s="664" t="e">
        <f t="shared" si="134"/>
        <v>#VALUE!</v>
      </c>
      <c r="AO98" s="665" t="e">
        <f t="shared" si="135"/>
        <v>#VALUE!</v>
      </c>
      <c r="AP98" s="666" t="e">
        <f t="shared" si="136"/>
        <v>#VALUE!</v>
      </c>
      <c r="AQ98" s="660" t="e">
        <f t="shared" si="137"/>
        <v>#VALUE!</v>
      </c>
      <c r="AR98" s="667" t="e">
        <f t="shared" si="138"/>
        <v>#VALUE!</v>
      </c>
      <c r="AS98" s="667" t="e">
        <f t="shared" si="139"/>
        <v>#VALUE!</v>
      </c>
      <c r="AT98" s="668" t="e">
        <f t="shared" si="140"/>
        <v>#VALUE!</v>
      </c>
      <c r="AU98" s="667" t="e">
        <f t="shared" si="141"/>
        <v>#VALUE!</v>
      </c>
      <c r="AV98" s="669" t="e">
        <f t="shared" si="142"/>
        <v>#VALUE!</v>
      </c>
      <c r="AW98" s="667" t="e">
        <f t="shared" si="143"/>
        <v>#VALUE!</v>
      </c>
      <c r="AX98" s="667" t="e">
        <f t="shared" si="144"/>
        <v>#VALUE!</v>
      </c>
      <c r="AY98" s="660" t="e">
        <f t="shared" si="145"/>
        <v>#VALUE!</v>
      </c>
      <c r="AZ98" s="670" t="e">
        <f t="shared" si="146"/>
        <v>#VALUE!</v>
      </c>
      <c r="BA98" s="641"/>
      <c r="BB98" s="662" t="e">
        <f>INDEX('Vessel Gauging Data'!$B$26:$V$56,MATCH($C98,'Vessel Gauging Data'!$B$26:$B$56,0),$BB$18)</f>
        <v>#N/A</v>
      </c>
      <c r="BC98" s="662" t="e">
        <f>INDEX('Vessel Gauging Data'!$B$26:$V$56,MATCH($C98,'Vessel Gauging Data'!$B$26:$B$56,0),$BC$18)</f>
        <v>#N/A</v>
      </c>
      <c r="BD98" s="662" t="e">
        <f>INDEX('Vessel Gauging Data'!$B$26:$V$56,MATCH($C98,'Vessel Gauging Data'!$B$26:$B$56,0),$BD$18)</f>
        <v>#N/A</v>
      </c>
      <c r="BE98" s="662" t="e">
        <f>INDEX('Vessel Gauging Data'!$B$26:$V$56,MATCH($C98,'Vessel Gauging Data'!$B$26:$B$56,0),$BE$18)</f>
        <v>#N/A</v>
      </c>
    </row>
    <row r="99" spans="1:57" ht="15" hidden="1">
      <c r="A99" s="641" t="str">
        <f t="shared" si="114"/>
        <v>N</v>
      </c>
      <c r="B99" s="641"/>
      <c r="C99" s="235" t="str">
        <f t="array" ref="C99">IF(OR($E$90="",SUMPRODUCT(('Vessel Gauging Data'!$C$27:$C$56=$E$90)*1)&lt;ROWS($C$91:$C99)),"",INDEX('Vessel Gauging Data'!$B$27:$B$56,SMALL(IF(('Vessel Gauging Data'!$C$27:$C$56=$E$90),ROW('Vessel Gauging Data'!$B$27:$B$56)-ROW('Vessel Gauging Data'!$C$26)),ROW()-ROW(C$90))))</f>
        <v/>
      </c>
      <c r="D99" s="211" t="str">
        <f>IF(OR($C99="",$C99=0),"",INDEX('Vessel Gauging Data'!$B$26:$V$56,MATCH($C99,'Vessel Gauging Data'!$B$27:$B$56,0)+1,2))</f>
        <v/>
      </c>
      <c r="E99" s="1016" t="str">
        <f t="shared" si="115"/>
        <v/>
      </c>
      <c r="F99" s="1016" t="str">
        <f t="shared" si="116"/>
        <v/>
      </c>
      <c r="G99" s="1016" t="str">
        <f t="shared" si="117"/>
        <v/>
      </c>
      <c r="H99" s="1016" t="str">
        <f t="shared" si="118"/>
        <v/>
      </c>
      <c r="I99" s="211" t="str">
        <f t="shared" si="119"/>
        <v/>
      </c>
      <c r="J99" s="1016" t="str">
        <f t="shared" si="120"/>
        <v/>
      </c>
      <c r="K99" s="213" t="str">
        <f t="shared" si="121"/>
        <v/>
      </c>
      <c r="L99" s="212" t="str">
        <f t="shared" si="122"/>
        <v/>
      </c>
      <c r="M99" s="1125" t="str">
        <f>IF(OR($C99="",$C99=0),"",INDEX(API1DENST,MATCH($C99,'Vessel Gauging Data'!$B$27:$B$56,0),$AA$1))</f>
        <v/>
      </c>
      <c r="N99" s="212" t="str">
        <f t="shared" si="123"/>
        <v/>
      </c>
      <c r="O99" s="1016" t="str">
        <f t="shared" si="147"/>
        <v/>
      </c>
      <c r="P99" s="1125" t="str">
        <f t="shared" si="148"/>
        <v/>
      </c>
      <c r="Q99" s="1016" t="str">
        <f t="shared" si="149"/>
        <v/>
      </c>
      <c r="R99" s="214" t="str">
        <f t="shared" si="150"/>
        <v/>
      </c>
      <c r="S99" s="1125" t="str">
        <f t="shared" si="124"/>
        <v/>
      </c>
      <c r="T99" s="236" t="str">
        <f t="shared" si="151"/>
        <v/>
      </c>
      <c r="U99" s="641"/>
      <c r="V99" s="642" t="e">
        <f>INDEX('Vessel Gauging Data'!$B$26:$V$56,MATCH($C99,'Vessel Gauging Data'!$B$26:$B$56,0),$V$18)</f>
        <v>#N/A</v>
      </c>
      <c r="W99" s="642" t="e">
        <f>INDEX('Vessel Gauging Data'!$B$26:$V$56,MATCH($C99,'Vessel Gauging Data'!$B$26:$B$56,0),$W$18)</f>
        <v>#N/A</v>
      </c>
      <c r="X99" s="642" t="e">
        <f>INDEX('Vessel Gauging Data'!$B$26:$V$56,MATCH($C99,'Vessel Gauging Data'!$B$26:$B$56,0),$X$18)</f>
        <v>#N/A</v>
      </c>
      <c r="Y99" s="642" t="e">
        <f>INDEX('Vessel Gauging Data'!$B$26:$V$56,MATCH($C99,'Vessel Gauging Data'!$B$26:$B$56,0),$Y$18)</f>
        <v>#N/A</v>
      </c>
      <c r="Z99" s="642" t="e">
        <f>INDEX('Vessel Gauging Data'!$B$26:$V$56,MATCH($C99,'Vessel Gauging Data'!$B$26:$B$56,0),$Z$18)</f>
        <v>#N/A</v>
      </c>
      <c r="AA99" s="641"/>
      <c r="AB99" s="642" t="e">
        <f>INDEX(API1DENST,MATCH($C99,'Vessel Gauging Data'!$B$27:$B$56,0),1)</f>
        <v>#N/A</v>
      </c>
      <c r="AC99" s="642" t="e">
        <f t="shared" si="125"/>
        <v>#N/A</v>
      </c>
      <c r="AD99" s="641"/>
      <c r="AE99" s="661" t="e">
        <f t="shared" si="126"/>
        <v>#VALUE!</v>
      </c>
      <c r="AF99" s="661" t="e">
        <f t="shared" si="127"/>
        <v>#VALUE!</v>
      </c>
      <c r="AG99" s="641"/>
      <c r="AH99" s="662" t="str">
        <f t="shared" si="128"/>
        <v/>
      </c>
      <c r="AI99" s="662" t="str">
        <f t="shared" si="129"/>
        <v/>
      </c>
      <c r="AJ99" s="663">
        <f t="shared" si="130"/>
        <v>192.4571</v>
      </c>
      <c r="AK99" s="660">
        <f t="shared" si="131"/>
        <v>0.24379999999999999</v>
      </c>
      <c r="AL99" s="660" t="e">
        <f t="shared" si="132"/>
        <v>#VALUE!</v>
      </c>
      <c r="AM99" s="664" t="e">
        <f t="shared" si="133"/>
        <v>#VALUE!</v>
      </c>
      <c r="AN99" s="664" t="e">
        <f t="shared" si="134"/>
        <v>#VALUE!</v>
      </c>
      <c r="AO99" s="665" t="e">
        <f t="shared" si="135"/>
        <v>#VALUE!</v>
      </c>
      <c r="AP99" s="666" t="e">
        <f t="shared" si="136"/>
        <v>#VALUE!</v>
      </c>
      <c r="AQ99" s="660" t="e">
        <f t="shared" si="137"/>
        <v>#VALUE!</v>
      </c>
      <c r="AR99" s="667" t="e">
        <f t="shared" si="138"/>
        <v>#VALUE!</v>
      </c>
      <c r="AS99" s="667" t="e">
        <f t="shared" si="139"/>
        <v>#VALUE!</v>
      </c>
      <c r="AT99" s="668" t="e">
        <f t="shared" si="140"/>
        <v>#VALUE!</v>
      </c>
      <c r="AU99" s="667" t="e">
        <f t="shared" si="141"/>
        <v>#VALUE!</v>
      </c>
      <c r="AV99" s="669" t="e">
        <f t="shared" si="142"/>
        <v>#VALUE!</v>
      </c>
      <c r="AW99" s="667" t="e">
        <f t="shared" si="143"/>
        <v>#VALUE!</v>
      </c>
      <c r="AX99" s="667" t="e">
        <f t="shared" si="144"/>
        <v>#VALUE!</v>
      </c>
      <c r="AY99" s="660" t="e">
        <f t="shared" si="145"/>
        <v>#VALUE!</v>
      </c>
      <c r="AZ99" s="670" t="e">
        <f t="shared" si="146"/>
        <v>#VALUE!</v>
      </c>
      <c r="BA99" s="641"/>
      <c r="BB99" s="662" t="e">
        <f>INDEX('Vessel Gauging Data'!$B$26:$V$56,MATCH($C99,'Vessel Gauging Data'!$B$26:$B$56,0),$BB$18)</f>
        <v>#N/A</v>
      </c>
      <c r="BC99" s="662" t="e">
        <f>INDEX('Vessel Gauging Data'!$B$26:$V$56,MATCH($C99,'Vessel Gauging Data'!$B$26:$B$56,0),$BC$18)</f>
        <v>#N/A</v>
      </c>
      <c r="BD99" s="662" t="e">
        <f>INDEX('Vessel Gauging Data'!$B$26:$V$56,MATCH($C99,'Vessel Gauging Data'!$B$26:$B$56,0),$BD$18)</f>
        <v>#N/A</v>
      </c>
      <c r="BE99" s="662" t="e">
        <f>INDEX('Vessel Gauging Data'!$B$26:$V$56,MATCH($C99,'Vessel Gauging Data'!$B$26:$B$56,0),$BE$18)</f>
        <v>#N/A</v>
      </c>
    </row>
    <row r="100" spans="1:57" ht="15" hidden="1">
      <c r="A100" s="641" t="str">
        <f t="shared" si="114"/>
        <v>N</v>
      </c>
      <c r="B100" s="641"/>
      <c r="C100" s="235" t="str">
        <f t="array" ref="C100">IF(OR($E$90="",SUMPRODUCT(('Vessel Gauging Data'!$C$27:$C$56=$E$90)*1)&lt;ROWS($C$91:$C100)),"",INDEX('Vessel Gauging Data'!$B$27:$B$56,SMALL(IF(('Vessel Gauging Data'!$C$27:$C$56=$E$90),ROW('Vessel Gauging Data'!$B$27:$B$56)-ROW('Vessel Gauging Data'!$C$26)),ROW()-ROW(C$90))))</f>
        <v/>
      </c>
      <c r="D100" s="211" t="str">
        <f>IF(OR($C100="",$C100=0),"",INDEX('Vessel Gauging Data'!$B$26:$V$56,MATCH($C100,'Vessel Gauging Data'!$B$27:$B$56,0)+1,2))</f>
        <v/>
      </c>
      <c r="E100" s="1016" t="str">
        <f t="shared" si="115"/>
        <v/>
      </c>
      <c r="F100" s="1016" t="str">
        <f t="shared" si="116"/>
        <v/>
      </c>
      <c r="G100" s="1016" t="str">
        <f t="shared" si="117"/>
        <v/>
      </c>
      <c r="H100" s="1016" t="str">
        <f t="shared" si="118"/>
        <v/>
      </c>
      <c r="I100" s="211" t="str">
        <f t="shared" si="119"/>
        <v/>
      </c>
      <c r="J100" s="1016" t="str">
        <f t="shared" si="120"/>
        <v/>
      </c>
      <c r="K100" s="213" t="str">
        <f t="shared" si="121"/>
        <v/>
      </c>
      <c r="L100" s="212" t="str">
        <f t="shared" si="122"/>
        <v/>
      </c>
      <c r="M100" s="1125" t="str">
        <f>IF(OR($C100="",$C100=0),"",INDEX(API1DENST,MATCH($C100,'Vessel Gauging Data'!$B$27:$B$56,0),$AA$1))</f>
        <v/>
      </c>
      <c r="N100" s="212" t="str">
        <f t="shared" si="123"/>
        <v/>
      </c>
      <c r="O100" s="1016" t="str">
        <f t="shared" si="147"/>
        <v/>
      </c>
      <c r="P100" s="1125" t="str">
        <f t="shared" si="148"/>
        <v/>
      </c>
      <c r="Q100" s="1016" t="str">
        <f t="shared" si="149"/>
        <v/>
      </c>
      <c r="R100" s="214" t="str">
        <f t="shared" si="150"/>
        <v/>
      </c>
      <c r="S100" s="1125" t="str">
        <f t="shared" si="124"/>
        <v/>
      </c>
      <c r="T100" s="236" t="str">
        <f t="shared" si="151"/>
        <v/>
      </c>
      <c r="U100" s="641"/>
      <c r="V100" s="642" t="e">
        <f>INDEX('Vessel Gauging Data'!$B$26:$V$56,MATCH($C100,'Vessel Gauging Data'!$B$26:$B$56,0),$V$18)</f>
        <v>#N/A</v>
      </c>
      <c r="W100" s="642" t="e">
        <f>INDEX('Vessel Gauging Data'!$B$26:$V$56,MATCH($C100,'Vessel Gauging Data'!$B$26:$B$56,0),$W$18)</f>
        <v>#N/A</v>
      </c>
      <c r="X100" s="642" t="e">
        <f>INDEX('Vessel Gauging Data'!$B$26:$V$56,MATCH($C100,'Vessel Gauging Data'!$B$26:$B$56,0),$X$18)</f>
        <v>#N/A</v>
      </c>
      <c r="Y100" s="642" t="e">
        <f>INDEX('Vessel Gauging Data'!$B$26:$V$56,MATCH($C100,'Vessel Gauging Data'!$B$26:$B$56,0),$Y$18)</f>
        <v>#N/A</v>
      </c>
      <c r="Z100" s="642" t="e">
        <f>INDEX('Vessel Gauging Data'!$B$26:$V$56,MATCH($C100,'Vessel Gauging Data'!$B$26:$B$56,0),$Z$18)</f>
        <v>#N/A</v>
      </c>
      <c r="AA100" s="641"/>
      <c r="AB100" s="642" t="e">
        <f>INDEX(API1DENST,MATCH($C100,'Vessel Gauging Data'!$B$27:$B$56,0),1)</f>
        <v>#N/A</v>
      </c>
      <c r="AC100" s="642" t="e">
        <f t="shared" si="125"/>
        <v>#N/A</v>
      </c>
      <c r="AD100" s="641"/>
      <c r="AE100" s="661" t="e">
        <f t="shared" si="126"/>
        <v>#VALUE!</v>
      </c>
      <c r="AF100" s="661" t="e">
        <f t="shared" si="127"/>
        <v>#VALUE!</v>
      </c>
      <c r="AG100" s="641"/>
      <c r="AH100" s="662" t="str">
        <f t="shared" si="128"/>
        <v/>
      </c>
      <c r="AI100" s="662" t="str">
        <f t="shared" si="129"/>
        <v/>
      </c>
      <c r="AJ100" s="663">
        <f t="shared" si="130"/>
        <v>192.4571</v>
      </c>
      <c r="AK100" s="660">
        <f t="shared" si="131"/>
        <v>0.24379999999999999</v>
      </c>
      <c r="AL100" s="660" t="e">
        <f t="shared" si="132"/>
        <v>#VALUE!</v>
      </c>
      <c r="AM100" s="664" t="e">
        <f t="shared" si="133"/>
        <v>#VALUE!</v>
      </c>
      <c r="AN100" s="664" t="e">
        <f t="shared" si="134"/>
        <v>#VALUE!</v>
      </c>
      <c r="AO100" s="665" t="e">
        <f t="shared" si="135"/>
        <v>#VALUE!</v>
      </c>
      <c r="AP100" s="666" t="e">
        <f t="shared" si="136"/>
        <v>#VALUE!</v>
      </c>
      <c r="AQ100" s="660" t="e">
        <f t="shared" si="137"/>
        <v>#VALUE!</v>
      </c>
      <c r="AR100" s="667" t="e">
        <f t="shared" si="138"/>
        <v>#VALUE!</v>
      </c>
      <c r="AS100" s="667" t="e">
        <f t="shared" si="139"/>
        <v>#VALUE!</v>
      </c>
      <c r="AT100" s="668" t="e">
        <f t="shared" si="140"/>
        <v>#VALUE!</v>
      </c>
      <c r="AU100" s="667" t="e">
        <f t="shared" si="141"/>
        <v>#VALUE!</v>
      </c>
      <c r="AV100" s="669" t="e">
        <f t="shared" si="142"/>
        <v>#VALUE!</v>
      </c>
      <c r="AW100" s="667" t="e">
        <f t="shared" si="143"/>
        <v>#VALUE!</v>
      </c>
      <c r="AX100" s="667" t="e">
        <f t="shared" si="144"/>
        <v>#VALUE!</v>
      </c>
      <c r="AY100" s="660" t="e">
        <f t="shared" si="145"/>
        <v>#VALUE!</v>
      </c>
      <c r="AZ100" s="670" t="e">
        <f t="shared" si="146"/>
        <v>#VALUE!</v>
      </c>
      <c r="BA100" s="641"/>
      <c r="BB100" s="662" t="e">
        <f>INDEX('Vessel Gauging Data'!$B$26:$V$56,MATCH($C100,'Vessel Gauging Data'!$B$26:$B$56,0),$BB$18)</f>
        <v>#N/A</v>
      </c>
      <c r="BC100" s="662" t="e">
        <f>INDEX('Vessel Gauging Data'!$B$26:$V$56,MATCH($C100,'Vessel Gauging Data'!$B$26:$B$56,0),$BC$18)</f>
        <v>#N/A</v>
      </c>
      <c r="BD100" s="662" t="e">
        <f>INDEX('Vessel Gauging Data'!$B$26:$V$56,MATCH($C100,'Vessel Gauging Data'!$B$26:$B$56,0),$BD$18)</f>
        <v>#N/A</v>
      </c>
      <c r="BE100" s="662" t="e">
        <f>INDEX('Vessel Gauging Data'!$B$26:$V$56,MATCH($C100,'Vessel Gauging Data'!$B$26:$B$56,0),$BE$18)</f>
        <v>#N/A</v>
      </c>
    </row>
    <row r="101" spans="1:57" ht="15" hidden="1">
      <c r="A101" s="641" t="str">
        <f t="shared" si="114"/>
        <v>N</v>
      </c>
      <c r="B101" s="641"/>
      <c r="C101" s="235" t="str">
        <f t="array" ref="C101">IF(OR($E$90="",SUMPRODUCT(('Vessel Gauging Data'!$C$27:$C$56=$E$90)*1)&lt;ROWS($C$91:$C101)),"",INDEX('Vessel Gauging Data'!$B$27:$B$56,SMALL(IF(('Vessel Gauging Data'!$C$27:$C$56=$E$90),ROW('Vessel Gauging Data'!$B$27:$B$56)-ROW('Vessel Gauging Data'!$C$26)),ROW()-ROW(C$90))))</f>
        <v/>
      </c>
      <c r="D101" s="211" t="str">
        <f>IF(OR($C101="",$C101=0),"",INDEX('Vessel Gauging Data'!$B$26:$V$56,MATCH($C101,'Vessel Gauging Data'!$B$27:$B$56,0)+1,2))</f>
        <v/>
      </c>
      <c r="E101" s="1016" t="str">
        <f t="shared" si="115"/>
        <v/>
      </c>
      <c r="F101" s="1016" t="str">
        <f t="shared" si="116"/>
        <v/>
      </c>
      <c r="G101" s="1016" t="str">
        <f t="shared" si="117"/>
        <v/>
      </c>
      <c r="H101" s="1016" t="str">
        <f t="shared" si="118"/>
        <v/>
      </c>
      <c r="I101" s="211" t="str">
        <f t="shared" si="119"/>
        <v/>
      </c>
      <c r="J101" s="1016" t="str">
        <f t="shared" si="120"/>
        <v/>
      </c>
      <c r="K101" s="213" t="str">
        <f t="shared" si="121"/>
        <v/>
      </c>
      <c r="L101" s="212" t="str">
        <f t="shared" si="122"/>
        <v/>
      </c>
      <c r="M101" s="1125" t="str">
        <f>IF(OR($C101="",$C101=0),"",INDEX(API1DENST,MATCH($C101,'Vessel Gauging Data'!$B$27:$B$56,0),$AA$1))</f>
        <v/>
      </c>
      <c r="N101" s="212" t="str">
        <f t="shared" si="123"/>
        <v/>
      </c>
      <c r="O101" s="1016" t="str">
        <f t="shared" si="147"/>
        <v/>
      </c>
      <c r="P101" s="1125" t="str">
        <f t="shared" si="148"/>
        <v/>
      </c>
      <c r="Q101" s="1016" t="str">
        <f t="shared" si="149"/>
        <v/>
      </c>
      <c r="R101" s="214" t="str">
        <f t="shared" si="150"/>
        <v/>
      </c>
      <c r="S101" s="1125" t="str">
        <f t="shared" si="124"/>
        <v/>
      </c>
      <c r="T101" s="236" t="str">
        <f t="shared" si="151"/>
        <v/>
      </c>
      <c r="U101" s="641"/>
      <c r="V101" s="642" t="e">
        <f>INDEX('Vessel Gauging Data'!$B$26:$V$56,MATCH($C101,'Vessel Gauging Data'!$B$26:$B$56,0),$V$18)</f>
        <v>#N/A</v>
      </c>
      <c r="W101" s="642" t="e">
        <f>INDEX('Vessel Gauging Data'!$B$26:$V$56,MATCH($C101,'Vessel Gauging Data'!$B$26:$B$56,0),$W$18)</f>
        <v>#N/A</v>
      </c>
      <c r="X101" s="642" t="e">
        <f>INDEX('Vessel Gauging Data'!$B$26:$V$56,MATCH($C101,'Vessel Gauging Data'!$B$26:$B$56,0),$X$18)</f>
        <v>#N/A</v>
      </c>
      <c r="Y101" s="642" t="e">
        <f>INDEX('Vessel Gauging Data'!$B$26:$V$56,MATCH($C101,'Vessel Gauging Data'!$B$26:$B$56,0),$Y$18)</f>
        <v>#N/A</v>
      </c>
      <c r="Z101" s="642" t="e">
        <f>INDEX('Vessel Gauging Data'!$B$26:$V$56,MATCH($C101,'Vessel Gauging Data'!$B$26:$B$56,0),$Z$18)</f>
        <v>#N/A</v>
      </c>
      <c r="AA101" s="641"/>
      <c r="AB101" s="642" t="e">
        <f>INDEX(API1DENST,MATCH($C101,'Vessel Gauging Data'!$B$27:$B$56,0),1)</f>
        <v>#N/A</v>
      </c>
      <c r="AC101" s="642" t="e">
        <f t="shared" si="125"/>
        <v>#N/A</v>
      </c>
      <c r="AD101" s="641"/>
      <c r="AE101" s="661" t="e">
        <f t="shared" si="126"/>
        <v>#VALUE!</v>
      </c>
      <c r="AF101" s="661" t="e">
        <f t="shared" si="127"/>
        <v>#VALUE!</v>
      </c>
      <c r="AG101" s="641"/>
      <c r="AH101" s="662" t="str">
        <f t="shared" si="128"/>
        <v/>
      </c>
      <c r="AI101" s="662" t="str">
        <f t="shared" si="129"/>
        <v/>
      </c>
      <c r="AJ101" s="663">
        <f t="shared" si="130"/>
        <v>192.4571</v>
      </c>
      <c r="AK101" s="660">
        <f t="shared" si="131"/>
        <v>0.24379999999999999</v>
      </c>
      <c r="AL101" s="660" t="e">
        <f t="shared" si="132"/>
        <v>#VALUE!</v>
      </c>
      <c r="AM101" s="664" t="e">
        <f t="shared" si="133"/>
        <v>#VALUE!</v>
      </c>
      <c r="AN101" s="664" t="e">
        <f t="shared" si="134"/>
        <v>#VALUE!</v>
      </c>
      <c r="AO101" s="665" t="e">
        <f t="shared" si="135"/>
        <v>#VALUE!</v>
      </c>
      <c r="AP101" s="666" t="e">
        <f t="shared" si="136"/>
        <v>#VALUE!</v>
      </c>
      <c r="AQ101" s="660" t="e">
        <f t="shared" si="137"/>
        <v>#VALUE!</v>
      </c>
      <c r="AR101" s="667" t="e">
        <f t="shared" si="138"/>
        <v>#VALUE!</v>
      </c>
      <c r="AS101" s="667" t="e">
        <f t="shared" si="139"/>
        <v>#VALUE!</v>
      </c>
      <c r="AT101" s="668" t="e">
        <f t="shared" si="140"/>
        <v>#VALUE!</v>
      </c>
      <c r="AU101" s="667" t="e">
        <f t="shared" si="141"/>
        <v>#VALUE!</v>
      </c>
      <c r="AV101" s="669" t="e">
        <f t="shared" si="142"/>
        <v>#VALUE!</v>
      </c>
      <c r="AW101" s="667" t="e">
        <f t="shared" si="143"/>
        <v>#VALUE!</v>
      </c>
      <c r="AX101" s="667" t="e">
        <f t="shared" si="144"/>
        <v>#VALUE!</v>
      </c>
      <c r="AY101" s="660" t="e">
        <f t="shared" si="145"/>
        <v>#VALUE!</v>
      </c>
      <c r="AZ101" s="670" t="e">
        <f t="shared" si="146"/>
        <v>#VALUE!</v>
      </c>
      <c r="BA101" s="641"/>
      <c r="BB101" s="662" t="e">
        <f>INDEX('Vessel Gauging Data'!$B$26:$V$56,MATCH($C101,'Vessel Gauging Data'!$B$26:$B$56,0),$BB$18)</f>
        <v>#N/A</v>
      </c>
      <c r="BC101" s="662" t="e">
        <f>INDEX('Vessel Gauging Data'!$B$26:$V$56,MATCH($C101,'Vessel Gauging Data'!$B$26:$B$56,0),$BC$18)</f>
        <v>#N/A</v>
      </c>
      <c r="BD101" s="662" t="e">
        <f>INDEX('Vessel Gauging Data'!$B$26:$V$56,MATCH($C101,'Vessel Gauging Data'!$B$26:$B$56,0),$BD$18)</f>
        <v>#N/A</v>
      </c>
      <c r="BE101" s="662" t="e">
        <f>INDEX('Vessel Gauging Data'!$B$26:$V$56,MATCH($C101,'Vessel Gauging Data'!$B$26:$B$56,0),$BE$18)</f>
        <v>#N/A</v>
      </c>
    </row>
    <row r="102" spans="1:57" ht="15" hidden="1">
      <c r="A102" s="641" t="str">
        <f t="shared" si="114"/>
        <v>N</v>
      </c>
      <c r="B102" s="641"/>
      <c r="C102" s="235" t="str">
        <f t="array" ref="C102">IF(OR($E$90="",SUMPRODUCT(('Vessel Gauging Data'!$C$27:$C$56=$E$90)*1)&lt;ROWS($C$91:$C102)),"",INDEX('Vessel Gauging Data'!$B$27:$B$56,SMALL(IF(('Vessel Gauging Data'!$C$27:$C$56=$E$90),ROW('Vessel Gauging Data'!$B$27:$B$56)-ROW('Vessel Gauging Data'!$C$26)),ROW()-ROW(C$90))))</f>
        <v/>
      </c>
      <c r="D102" s="211" t="str">
        <f>IF(OR($C102="",$C102=0),"",INDEX('Vessel Gauging Data'!$B$26:$V$56,MATCH($C102,'Vessel Gauging Data'!$B$27:$B$56,0)+1,2))</f>
        <v/>
      </c>
      <c r="E102" s="1016" t="str">
        <f t="shared" si="115"/>
        <v/>
      </c>
      <c r="F102" s="1016" t="str">
        <f t="shared" si="116"/>
        <v/>
      </c>
      <c r="G102" s="1016" t="str">
        <f t="shared" si="117"/>
        <v/>
      </c>
      <c r="H102" s="1016" t="str">
        <f t="shared" si="118"/>
        <v/>
      </c>
      <c r="I102" s="211" t="str">
        <f t="shared" si="119"/>
        <v/>
      </c>
      <c r="J102" s="1016" t="str">
        <f t="shared" si="120"/>
        <v/>
      </c>
      <c r="K102" s="213" t="str">
        <f t="shared" si="121"/>
        <v/>
      </c>
      <c r="L102" s="212" t="str">
        <f t="shared" si="122"/>
        <v/>
      </c>
      <c r="M102" s="1125" t="str">
        <f>IF(OR($C102="",$C102=0),"",INDEX(API1DENST,MATCH($C102,'Vessel Gauging Data'!$B$27:$B$56,0),$AA$1))</f>
        <v/>
      </c>
      <c r="N102" s="212" t="str">
        <f t="shared" si="123"/>
        <v/>
      </c>
      <c r="O102" s="1016" t="str">
        <f t="shared" si="147"/>
        <v/>
      </c>
      <c r="P102" s="1125" t="str">
        <f t="shared" si="148"/>
        <v/>
      </c>
      <c r="Q102" s="1016" t="str">
        <f t="shared" si="149"/>
        <v/>
      </c>
      <c r="R102" s="214" t="str">
        <f t="shared" si="150"/>
        <v/>
      </c>
      <c r="S102" s="1125" t="str">
        <f t="shared" si="124"/>
        <v/>
      </c>
      <c r="T102" s="236" t="str">
        <f t="shared" si="151"/>
        <v/>
      </c>
      <c r="U102" s="641"/>
      <c r="V102" s="642" t="e">
        <f>INDEX('Vessel Gauging Data'!$B$26:$V$56,MATCH($C102,'Vessel Gauging Data'!$B$26:$B$56,0),$V$18)</f>
        <v>#N/A</v>
      </c>
      <c r="W102" s="642" t="e">
        <f>INDEX('Vessel Gauging Data'!$B$26:$V$56,MATCH($C102,'Vessel Gauging Data'!$B$26:$B$56,0),$W$18)</f>
        <v>#N/A</v>
      </c>
      <c r="X102" s="642" t="e">
        <f>INDEX('Vessel Gauging Data'!$B$26:$V$56,MATCH($C102,'Vessel Gauging Data'!$B$26:$B$56,0),$X$18)</f>
        <v>#N/A</v>
      </c>
      <c r="Y102" s="642" t="e">
        <f>INDEX('Vessel Gauging Data'!$B$26:$V$56,MATCH($C102,'Vessel Gauging Data'!$B$26:$B$56,0),$Y$18)</f>
        <v>#N/A</v>
      </c>
      <c r="Z102" s="642" t="e">
        <f>INDEX('Vessel Gauging Data'!$B$26:$V$56,MATCH($C102,'Vessel Gauging Data'!$B$26:$B$56,0),$Z$18)</f>
        <v>#N/A</v>
      </c>
      <c r="AA102" s="641"/>
      <c r="AB102" s="642" t="e">
        <f>INDEX(API1DENST,MATCH($C102,'Vessel Gauging Data'!$B$27:$B$56,0),1)</f>
        <v>#N/A</v>
      </c>
      <c r="AC102" s="642" t="e">
        <f t="shared" si="125"/>
        <v>#N/A</v>
      </c>
      <c r="AD102" s="641"/>
      <c r="AE102" s="661" t="e">
        <f t="shared" si="126"/>
        <v>#VALUE!</v>
      </c>
      <c r="AF102" s="661" t="e">
        <f t="shared" si="127"/>
        <v>#VALUE!</v>
      </c>
      <c r="AG102" s="641"/>
      <c r="AH102" s="662" t="str">
        <f t="shared" si="128"/>
        <v/>
      </c>
      <c r="AI102" s="662" t="str">
        <f t="shared" si="129"/>
        <v/>
      </c>
      <c r="AJ102" s="663">
        <f t="shared" si="130"/>
        <v>192.4571</v>
      </c>
      <c r="AK102" s="660">
        <f t="shared" si="131"/>
        <v>0.24379999999999999</v>
      </c>
      <c r="AL102" s="660" t="e">
        <f t="shared" si="132"/>
        <v>#VALUE!</v>
      </c>
      <c r="AM102" s="664" t="e">
        <f t="shared" si="133"/>
        <v>#VALUE!</v>
      </c>
      <c r="AN102" s="664" t="e">
        <f t="shared" si="134"/>
        <v>#VALUE!</v>
      </c>
      <c r="AO102" s="665" t="e">
        <f t="shared" si="135"/>
        <v>#VALUE!</v>
      </c>
      <c r="AP102" s="666" t="e">
        <f t="shared" si="136"/>
        <v>#VALUE!</v>
      </c>
      <c r="AQ102" s="660" t="e">
        <f t="shared" si="137"/>
        <v>#VALUE!</v>
      </c>
      <c r="AR102" s="667" t="e">
        <f t="shared" si="138"/>
        <v>#VALUE!</v>
      </c>
      <c r="AS102" s="667" t="e">
        <f t="shared" si="139"/>
        <v>#VALUE!</v>
      </c>
      <c r="AT102" s="668" t="e">
        <f t="shared" si="140"/>
        <v>#VALUE!</v>
      </c>
      <c r="AU102" s="667" t="e">
        <f t="shared" si="141"/>
        <v>#VALUE!</v>
      </c>
      <c r="AV102" s="669" t="e">
        <f t="shared" si="142"/>
        <v>#VALUE!</v>
      </c>
      <c r="AW102" s="667" t="e">
        <f t="shared" si="143"/>
        <v>#VALUE!</v>
      </c>
      <c r="AX102" s="667" t="e">
        <f t="shared" si="144"/>
        <v>#VALUE!</v>
      </c>
      <c r="AY102" s="660" t="e">
        <f t="shared" si="145"/>
        <v>#VALUE!</v>
      </c>
      <c r="AZ102" s="670" t="e">
        <f t="shared" si="146"/>
        <v>#VALUE!</v>
      </c>
      <c r="BA102" s="641"/>
      <c r="BB102" s="662" t="e">
        <f>INDEX('Vessel Gauging Data'!$B$26:$V$56,MATCH($C102,'Vessel Gauging Data'!$B$26:$B$56,0),$BB$18)</f>
        <v>#N/A</v>
      </c>
      <c r="BC102" s="662" t="e">
        <f>INDEX('Vessel Gauging Data'!$B$26:$V$56,MATCH($C102,'Vessel Gauging Data'!$B$26:$B$56,0),$BC$18)</f>
        <v>#N/A</v>
      </c>
      <c r="BD102" s="662" t="e">
        <f>INDEX('Vessel Gauging Data'!$B$26:$V$56,MATCH($C102,'Vessel Gauging Data'!$B$26:$B$56,0),$BD$18)</f>
        <v>#N/A</v>
      </c>
      <c r="BE102" s="662" t="e">
        <f>INDEX('Vessel Gauging Data'!$B$26:$V$56,MATCH($C102,'Vessel Gauging Data'!$B$26:$B$56,0),$BE$18)</f>
        <v>#N/A</v>
      </c>
    </row>
    <row r="103" spans="1:57" ht="15" hidden="1">
      <c r="A103" s="641" t="str">
        <f t="shared" si="114"/>
        <v>N</v>
      </c>
      <c r="B103" s="641"/>
      <c r="C103" s="235" t="str">
        <f t="array" ref="C103">IF(OR($E$90="",SUMPRODUCT(('Vessel Gauging Data'!$C$27:$C$56=$E$90)*1)&lt;ROWS($C$91:$C103)),"",INDEX('Vessel Gauging Data'!$B$27:$B$56,SMALL(IF(('Vessel Gauging Data'!$C$27:$C$56=$E$90),ROW('Vessel Gauging Data'!$B$27:$B$56)-ROW('Vessel Gauging Data'!$C$26)),ROW()-ROW(C$90))))</f>
        <v/>
      </c>
      <c r="D103" s="211" t="str">
        <f>IF(OR($C103="",$C103=0),"",INDEX('Vessel Gauging Data'!$B$26:$V$56,MATCH($C103,'Vessel Gauging Data'!$B$27:$B$56,0)+1,2))</f>
        <v/>
      </c>
      <c r="E103" s="1016" t="str">
        <f t="shared" si="115"/>
        <v/>
      </c>
      <c r="F103" s="1016" t="str">
        <f t="shared" si="116"/>
        <v/>
      </c>
      <c r="G103" s="1016" t="str">
        <f t="shared" si="117"/>
        <v/>
      </c>
      <c r="H103" s="1016" t="str">
        <f t="shared" si="118"/>
        <v/>
      </c>
      <c r="I103" s="211" t="str">
        <f t="shared" si="119"/>
        <v/>
      </c>
      <c r="J103" s="1016" t="str">
        <f t="shared" si="120"/>
        <v/>
      </c>
      <c r="K103" s="213" t="str">
        <f t="shared" si="121"/>
        <v/>
      </c>
      <c r="L103" s="212" t="str">
        <f t="shared" si="122"/>
        <v/>
      </c>
      <c r="M103" s="1125" t="str">
        <f>IF(OR($C103="",$C103=0),"",INDEX(API1DENST,MATCH($C103,'Vessel Gauging Data'!$B$27:$B$56,0),$AA$1))</f>
        <v/>
      </c>
      <c r="N103" s="212" t="str">
        <f t="shared" si="123"/>
        <v/>
      </c>
      <c r="O103" s="1016" t="str">
        <f t="shared" si="147"/>
        <v/>
      </c>
      <c r="P103" s="1125" t="str">
        <f t="shared" si="148"/>
        <v/>
      </c>
      <c r="Q103" s="1016" t="str">
        <f t="shared" si="149"/>
        <v/>
      </c>
      <c r="R103" s="214" t="str">
        <f t="shared" si="150"/>
        <v/>
      </c>
      <c r="S103" s="1125" t="str">
        <f t="shared" si="124"/>
        <v/>
      </c>
      <c r="T103" s="236" t="str">
        <f t="shared" si="151"/>
        <v/>
      </c>
      <c r="U103" s="641"/>
      <c r="V103" s="642" t="e">
        <f>INDEX('Vessel Gauging Data'!$B$26:$V$56,MATCH($C103,'Vessel Gauging Data'!$B$26:$B$56,0),$V$18)</f>
        <v>#N/A</v>
      </c>
      <c r="W103" s="642" t="e">
        <f>INDEX('Vessel Gauging Data'!$B$26:$V$56,MATCH($C103,'Vessel Gauging Data'!$B$26:$B$56,0),$W$18)</f>
        <v>#N/A</v>
      </c>
      <c r="X103" s="642" t="e">
        <f>INDEX('Vessel Gauging Data'!$B$26:$V$56,MATCH($C103,'Vessel Gauging Data'!$B$26:$B$56,0),$X$18)</f>
        <v>#N/A</v>
      </c>
      <c r="Y103" s="642" t="e">
        <f>INDEX('Vessel Gauging Data'!$B$26:$V$56,MATCH($C103,'Vessel Gauging Data'!$B$26:$B$56,0),$Y$18)</f>
        <v>#N/A</v>
      </c>
      <c r="Z103" s="642" t="e">
        <f>INDEX('Vessel Gauging Data'!$B$26:$V$56,MATCH($C103,'Vessel Gauging Data'!$B$26:$B$56,0),$Z$18)</f>
        <v>#N/A</v>
      </c>
      <c r="AA103" s="641"/>
      <c r="AB103" s="642" t="e">
        <f>INDEX(API1DENST,MATCH($C103,'Vessel Gauging Data'!$B$27:$B$56,0),1)</f>
        <v>#N/A</v>
      </c>
      <c r="AC103" s="642" t="e">
        <f t="shared" si="125"/>
        <v>#N/A</v>
      </c>
      <c r="AD103" s="641"/>
      <c r="AE103" s="661" t="e">
        <f t="shared" si="126"/>
        <v>#VALUE!</v>
      </c>
      <c r="AF103" s="661" t="e">
        <f t="shared" si="127"/>
        <v>#VALUE!</v>
      </c>
      <c r="AG103" s="641"/>
      <c r="AH103" s="662" t="str">
        <f t="shared" si="128"/>
        <v/>
      </c>
      <c r="AI103" s="662" t="str">
        <f t="shared" si="129"/>
        <v/>
      </c>
      <c r="AJ103" s="663">
        <f t="shared" si="130"/>
        <v>192.4571</v>
      </c>
      <c r="AK103" s="660">
        <f t="shared" si="131"/>
        <v>0.24379999999999999</v>
      </c>
      <c r="AL103" s="660" t="e">
        <f t="shared" si="132"/>
        <v>#VALUE!</v>
      </c>
      <c r="AM103" s="664" t="e">
        <f t="shared" si="133"/>
        <v>#VALUE!</v>
      </c>
      <c r="AN103" s="664" t="e">
        <f t="shared" si="134"/>
        <v>#VALUE!</v>
      </c>
      <c r="AO103" s="665" t="e">
        <f t="shared" si="135"/>
        <v>#VALUE!</v>
      </c>
      <c r="AP103" s="666" t="e">
        <f t="shared" si="136"/>
        <v>#VALUE!</v>
      </c>
      <c r="AQ103" s="660" t="e">
        <f t="shared" si="137"/>
        <v>#VALUE!</v>
      </c>
      <c r="AR103" s="667" t="e">
        <f t="shared" si="138"/>
        <v>#VALUE!</v>
      </c>
      <c r="AS103" s="667" t="e">
        <f t="shared" si="139"/>
        <v>#VALUE!</v>
      </c>
      <c r="AT103" s="668" t="e">
        <f t="shared" si="140"/>
        <v>#VALUE!</v>
      </c>
      <c r="AU103" s="667" t="e">
        <f t="shared" si="141"/>
        <v>#VALUE!</v>
      </c>
      <c r="AV103" s="669" t="e">
        <f t="shared" si="142"/>
        <v>#VALUE!</v>
      </c>
      <c r="AW103" s="667" t="e">
        <f t="shared" si="143"/>
        <v>#VALUE!</v>
      </c>
      <c r="AX103" s="667" t="e">
        <f t="shared" si="144"/>
        <v>#VALUE!</v>
      </c>
      <c r="AY103" s="660" t="e">
        <f t="shared" si="145"/>
        <v>#VALUE!</v>
      </c>
      <c r="AZ103" s="670" t="e">
        <f t="shared" si="146"/>
        <v>#VALUE!</v>
      </c>
      <c r="BA103" s="641"/>
      <c r="BB103" s="662" t="e">
        <f>INDEX('Vessel Gauging Data'!$B$26:$V$56,MATCH($C103,'Vessel Gauging Data'!$B$26:$B$56,0),$BB$18)</f>
        <v>#N/A</v>
      </c>
      <c r="BC103" s="662" t="e">
        <f>INDEX('Vessel Gauging Data'!$B$26:$V$56,MATCH($C103,'Vessel Gauging Data'!$B$26:$B$56,0),$BC$18)</f>
        <v>#N/A</v>
      </c>
      <c r="BD103" s="662" t="e">
        <f>INDEX('Vessel Gauging Data'!$B$26:$V$56,MATCH($C103,'Vessel Gauging Data'!$B$26:$B$56,0),$BD$18)</f>
        <v>#N/A</v>
      </c>
      <c r="BE103" s="662" t="e">
        <f>INDEX('Vessel Gauging Data'!$B$26:$V$56,MATCH($C103,'Vessel Gauging Data'!$B$26:$B$56,0),$BE$18)</f>
        <v>#N/A</v>
      </c>
    </row>
    <row r="104" spans="1:57" ht="15" hidden="1">
      <c r="A104" s="641" t="str">
        <f t="shared" si="114"/>
        <v>N</v>
      </c>
      <c r="B104" s="641"/>
      <c r="C104" s="235" t="str">
        <f t="array" ref="C104">IF(OR($E$90="",SUMPRODUCT(('Vessel Gauging Data'!$C$27:$C$56=$E$90)*1)&lt;ROWS($C$91:$C104)),"",INDEX('Vessel Gauging Data'!$B$27:$B$56,SMALL(IF(('Vessel Gauging Data'!$C$27:$C$56=$E$90),ROW('Vessel Gauging Data'!$B$27:$B$56)-ROW('Vessel Gauging Data'!$C$26)),ROW()-ROW(C$90))))</f>
        <v/>
      </c>
      <c r="D104" s="211" t="str">
        <f>IF(OR($C104="",$C104=0),"",INDEX('Vessel Gauging Data'!$B$26:$V$56,MATCH($C104,'Vessel Gauging Data'!$B$27:$B$56,0)+1,2))</f>
        <v/>
      </c>
      <c r="E104" s="1016" t="str">
        <f t="shared" si="115"/>
        <v/>
      </c>
      <c r="F104" s="1016" t="str">
        <f t="shared" si="116"/>
        <v/>
      </c>
      <c r="G104" s="1016" t="str">
        <f t="shared" si="117"/>
        <v/>
      </c>
      <c r="H104" s="1016" t="str">
        <f t="shared" si="118"/>
        <v/>
      </c>
      <c r="I104" s="211" t="str">
        <f t="shared" si="119"/>
        <v/>
      </c>
      <c r="J104" s="1016" t="str">
        <f t="shared" si="120"/>
        <v/>
      </c>
      <c r="K104" s="213" t="str">
        <f t="shared" si="121"/>
        <v/>
      </c>
      <c r="L104" s="212" t="str">
        <f t="shared" si="122"/>
        <v/>
      </c>
      <c r="M104" s="1125" t="str">
        <f>IF(OR($C104="",$C104=0),"",INDEX(API1DENST,MATCH($C104,'Vessel Gauging Data'!$B$27:$B$56,0),$AA$1))</f>
        <v/>
      </c>
      <c r="N104" s="212" t="str">
        <f t="shared" si="123"/>
        <v/>
      </c>
      <c r="O104" s="1016" t="str">
        <f t="shared" si="147"/>
        <v/>
      </c>
      <c r="P104" s="1125" t="str">
        <f t="shared" si="148"/>
        <v/>
      </c>
      <c r="Q104" s="1016" t="str">
        <f t="shared" si="149"/>
        <v/>
      </c>
      <c r="R104" s="214" t="str">
        <f t="shared" si="150"/>
        <v/>
      </c>
      <c r="S104" s="1125" t="str">
        <f t="shared" si="124"/>
        <v/>
      </c>
      <c r="T104" s="236" t="str">
        <f t="shared" si="151"/>
        <v/>
      </c>
      <c r="U104" s="641"/>
      <c r="V104" s="642" t="e">
        <f>INDEX('Vessel Gauging Data'!$B$26:$V$56,MATCH($C104,'Vessel Gauging Data'!$B$26:$B$56,0),$V$18)</f>
        <v>#N/A</v>
      </c>
      <c r="W104" s="642" t="e">
        <f>INDEX('Vessel Gauging Data'!$B$26:$V$56,MATCH($C104,'Vessel Gauging Data'!$B$26:$B$56,0),$W$18)</f>
        <v>#N/A</v>
      </c>
      <c r="X104" s="642" t="e">
        <f>INDEX('Vessel Gauging Data'!$B$26:$V$56,MATCH($C104,'Vessel Gauging Data'!$B$26:$B$56,0),$X$18)</f>
        <v>#N/A</v>
      </c>
      <c r="Y104" s="642" t="e">
        <f>INDEX('Vessel Gauging Data'!$B$26:$V$56,MATCH($C104,'Vessel Gauging Data'!$B$26:$B$56,0),$Y$18)</f>
        <v>#N/A</v>
      </c>
      <c r="Z104" s="642" t="e">
        <f>INDEX('Vessel Gauging Data'!$B$26:$V$56,MATCH($C104,'Vessel Gauging Data'!$B$26:$B$56,0),$Z$18)</f>
        <v>#N/A</v>
      </c>
      <c r="AA104" s="641"/>
      <c r="AB104" s="642" t="e">
        <f>INDEX(API1DENST,MATCH($C104,'Vessel Gauging Data'!$B$27:$B$56,0),1)</f>
        <v>#N/A</v>
      </c>
      <c r="AC104" s="642" t="e">
        <f t="shared" si="125"/>
        <v>#N/A</v>
      </c>
      <c r="AD104" s="641"/>
      <c r="AE104" s="661" t="e">
        <f t="shared" si="126"/>
        <v>#VALUE!</v>
      </c>
      <c r="AF104" s="661" t="e">
        <f t="shared" si="127"/>
        <v>#VALUE!</v>
      </c>
      <c r="AG104" s="641"/>
      <c r="AH104" s="662" t="str">
        <f t="shared" si="128"/>
        <v/>
      </c>
      <c r="AI104" s="662" t="str">
        <f t="shared" si="129"/>
        <v/>
      </c>
      <c r="AJ104" s="663">
        <f t="shared" si="130"/>
        <v>192.4571</v>
      </c>
      <c r="AK104" s="660">
        <f t="shared" si="131"/>
        <v>0.24379999999999999</v>
      </c>
      <c r="AL104" s="660" t="e">
        <f t="shared" si="132"/>
        <v>#VALUE!</v>
      </c>
      <c r="AM104" s="664" t="e">
        <f t="shared" si="133"/>
        <v>#VALUE!</v>
      </c>
      <c r="AN104" s="664" t="e">
        <f t="shared" si="134"/>
        <v>#VALUE!</v>
      </c>
      <c r="AO104" s="665" t="e">
        <f t="shared" si="135"/>
        <v>#VALUE!</v>
      </c>
      <c r="AP104" s="666" t="e">
        <f t="shared" si="136"/>
        <v>#VALUE!</v>
      </c>
      <c r="AQ104" s="660" t="e">
        <f t="shared" si="137"/>
        <v>#VALUE!</v>
      </c>
      <c r="AR104" s="667" t="e">
        <f t="shared" si="138"/>
        <v>#VALUE!</v>
      </c>
      <c r="AS104" s="667" t="e">
        <f t="shared" si="139"/>
        <v>#VALUE!</v>
      </c>
      <c r="AT104" s="668" t="e">
        <f t="shared" si="140"/>
        <v>#VALUE!</v>
      </c>
      <c r="AU104" s="667" t="e">
        <f t="shared" si="141"/>
        <v>#VALUE!</v>
      </c>
      <c r="AV104" s="669" t="e">
        <f t="shared" si="142"/>
        <v>#VALUE!</v>
      </c>
      <c r="AW104" s="667" t="e">
        <f t="shared" si="143"/>
        <v>#VALUE!</v>
      </c>
      <c r="AX104" s="667" t="e">
        <f t="shared" si="144"/>
        <v>#VALUE!</v>
      </c>
      <c r="AY104" s="660" t="e">
        <f t="shared" si="145"/>
        <v>#VALUE!</v>
      </c>
      <c r="AZ104" s="670" t="e">
        <f t="shared" si="146"/>
        <v>#VALUE!</v>
      </c>
      <c r="BA104" s="641"/>
      <c r="BB104" s="662" t="e">
        <f>INDEX('Vessel Gauging Data'!$B$26:$V$56,MATCH($C104,'Vessel Gauging Data'!$B$26:$B$56,0),$BB$18)</f>
        <v>#N/A</v>
      </c>
      <c r="BC104" s="662" t="e">
        <f>INDEX('Vessel Gauging Data'!$B$26:$V$56,MATCH($C104,'Vessel Gauging Data'!$B$26:$B$56,0),$BC$18)</f>
        <v>#N/A</v>
      </c>
      <c r="BD104" s="662" t="e">
        <f>INDEX('Vessel Gauging Data'!$B$26:$V$56,MATCH($C104,'Vessel Gauging Data'!$B$26:$B$56,0),$BD$18)</f>
        <v>#N/A</v>
      </c>
      <c r="BE104" s="662" t="e">
        <f>INDEX('Vessel Gauging Data'!$B$26:$V$56,MATCH($C104,'Vessel Gauging Data'!$B$26:$B$56,0),$BE$18)</f>
        <v>#N/A</v>
      </c>
    </row>
    <row r="105" spans="1:57" ht="15" hidden="1">
      <c r="A105" s="641" t="str">
        <f t="shared" si="114"/>
        <v>N</v>
      </c>
      <c r="B105" s="641"/>
      <c r="C105" s="235" t="str">
        <f t="array" ref="C105">IF(OR($E$90="",SUMPRODUCT(('Vessel Gauging Data'!$C$27:$C$56=$E$90)*1)&lt;ROWS($C$91:$C105)),"",INDEX('Vessel Gauging Data'!$B$27:$B$56,SMALL(IF(('Vessel Gauging Data'!$C$27:$C$56=$E$90),ROW('Vessel Gauging Data'!$B$27:$B$56)-ROW('Vessel Gauging Data'!$C$26)),ROW()-ROW(C$90))))</f>
        <v/>
      </c>
      <c r="D105" s="211" t="str">
        <f>IF(OR($C105="",$C105=0),"",INDEX('Vessel Gauging Data'!$B$26:$V$56,MATCH($C105,'Vessel Gauging Data'!$B$27:$B$56,0)+1,2))</f>
        <v/>
      </c>
      <c r="E105" s="1016" t="str">
        <f t="shared" si="115"/>
        <v/>
      </c>
      <c r="F105" s="1016" t="str">
        <f t="shared" si="116"/>
        <v/>
      </c>
      <c r="G105" s="1016" t="str">
        <f t="shared" si="117"/>
        <v/>
      </c>
      <c r="H105" s="1016" t="str">
        <f t="shared" si="118"/>
        <v/>
      </c>
      <c r="I105" s="211" t="str">
        <f t="shared" si="119"/>
        <v/>
      </c>
      <c r="J105" s="1016" t="str">
        <f t="shared" si="120"/>
        <v/>
      </c>
      <c r="K105" s="213" t="str">
        <f t="shared" si="121"/>
        <v/>
      </c>
      <c r="L105" s="212" t="str">
        <f t="shared" si="122"/>
        <v/>
      </c>
      <c r="M105" s="1125" t="str">
        <f>IF(OR($C105="",$C105=0),"",INDEX(API1DENST,MATCH($C105,'Vessel Gauging Data'!$B$27:$B$56,0),$AA$1))</f>
        <v/>
      </c>
      <c r="N105" s="212" t="str">
        <f t="shared" si="123"/>
        <v/>
      </c>
      <c r="O105" s="1016" t="str">
        <f t="shared" si="147"/>
        <v/>
      </c>
      <c r="P105" s="1125" t="str">
        <f t="shared" si="148"/>
        <v/>
      </c>
      <c r="Q105" s="1016" t="str">
        <f t="shared" si="149"/>
        <v/>
      </c>
      <c r="R105" s="214" t="str">
        <f t="shared" si="150"/>
        <v/>
      </c>
      <c r="S105" s="1125" t="str">
        <f t="shared" si="124"/>
        <v/>
      </c>
      <c r="T105" s="236" t="str">
        <f t="shared" si="151"/>
        <v/>
      </c>
      <c r="U105" s="641"/>
      <c r="V105" s="642" t="e">
        <f>INDEX('Vessel Gauging Data'!$B$26:$V$56,MATCH($C105,'Vessel Gauging Data'!$B$26:$B$56,0),$V$18)</f>
        <v>#N/A</v>
      </c>
      <c r="W105" s="642" t="e">
        <f>INDEX('Vessel Gauging Data'!$B$26:$V$56,MATCH($C105,'Vessel Gauging Data'!$B$26:$B$56,0),$W$18)</f>
        <v>#N/A</v>
      </c>
      <c r="X105" s="642" t="e">
        <f>INDEX('Vessel Gauging Data'!$B$26:$V$56,MATCH($C105,'Vessel Gauging Data'!$B$26:$B$56,0),$X$18)</f>
        <v>#N/A</v>
      </c>
      <c r="Y105" s="642" t="e">
        <f>INDEX('Vessel Gauging Data'!$B$26:$V$56,MATCH($C105,'Vessel Gauging Data'!$B$26:$B$56,0),$Y$18)</f>
        <v>#N/A</v>
      </c>
      <c r="Z105" s="642" t="e">
        <f>INDEX('Vessel Gauging Data'!$B$26:$V$56,MATCH($C105,'Vessel Gauging Data'!$B$26:$B$56,0),$Z$18)</f>
        <v>#N/A</v>
      </c>
      <c r="AA105" s="641"/>
      <c r="AB105" s="642" t="e">
        <f>INDEX(API1DENST,MATCH($C105,'Vessel Gauging Data'!$B$27:$B$56,0),1)</f>
        <v>#N/A</v>
      </c>
      <c r="AC105" s="642" t="e">
        <f t="shared" si="125"/>
        <v>#N/A</v>
      </c>
      <c r="AD105" s="641"/>
      <c r="AE105" s="661" t="e">
        <f t="shared" si="126"/>
        <v>#VALUE!</v>
      </c>
      <c r="AF105" s="661" t="e">
        <f t="shared" si="127"/>
        <v>#VALUE!</v>
      </c>
      <c r="AG105" s="641"/>
      <c r="AH105" s="662" t="str">
        <f t="shared" si="128"/>
        <v/>
      </c>
      <c r="AI105" s="662" t="str">
        <f t="shared" si="129"/>
        <v/>
      </c>
      <c r="AJ105" s="663">
        <f t="shared" si="130"/>
        <v>192.4571</v>
      </c>
      <c r="AK105" s="660">
        <f t="shared" si="131"/>
        <v>0.24379999999999999</v>
      </c>
      <c r="AL105" s="660" t="e">
        <f t="shared" si="132"/>
        <v>#VALUE!</v>
      </c>
      <c r="AM105" s="664" t="e">
        <f t="shared" si="133"/>
        <v>#VALUE!</v>
      </c>
      <c r="AN105" s="664" t="e">
        <f t="shared" si="134"/>
        <v>#VALUE!</v>
      </c>
      <c r="AO105" s="665" t="e">
        <f t="shared" si="135"/>
        <v>#VALUE!</v>
      </c>
      <c r="AP105" s="666" t="e">
        <f t="shared" si="136"/>
        <v>#VALUE!</v>
      </c>
      <c r="AQ105" s="660" t="e">
        <f t="shared" si="137"/>
        <v>#VALUE!</v>
      </c>
      <c r="AR105" s="667" t="e">
        <f t="shared" si="138"/>
        <v>#VALUE!</v>
      </c>
      <c r="AS105" s="667" t="e">
        <f t="shared" si="139"/>
        <v>#VALUE!</v>
      </c>
      <c r="AT105" s="668" t="e">
        <f t="shared" si="140"/>
        <v>#VALUE!</v>
      </c>
      <c r="AU105" s="667" t="e">
        <f t="shared" si="141"/>
        <v>#VALUE!</v>
      </c>
      <c r="AV105" s="669" t="e">
        <f t="shared" si="142"/>
        <v>#VALUE!</v>
      </c>
      <c r="AW105" s="667" t="e">
        <f t="shared" si="143"/>
        <v>#VALUE!</v>
      </c>
      <c r="AX105" s="667" t="e">
        <f t="shared" si="144"/>
        <v>#VALUE!</v>
      </c>
      <c r="AY105" s="660" t="e">
        <f t="shared" si="145"/>
        <v>#VALUE!</v>
      </c>
      <c r="AZ105" s="670" t="e">
        <f t="shared" si="146"/>
        <v>#VALUE!</v>
      </c>
      <c r="BA105" s="641"/>
      <c r="BB105" s="662" t="e">
        <f>INDEX('Vessel Gauging Data'!$B$26:$V$56,MATCH($C105,'Vessel Gauging Data'!$B$26:$B$56,0),$BB$18)</f>
        <v>#N/A</v>
      </c>
      <c r="BC105" s="662" t="e">
        <f>INDEX('Vessel Gauging Data'!$B$26:$V$56,MATCH($C105,'Vessel Gauging Data'!$B$26:$B$56,0),$BC$18)</f>
        <v>#N/A</v>
      </c>
      <c r="BD105" s="662" t="e">
        <f>INDEX('Vessel Gauging Data'!$B$26:$V$56,MATCH($C105,'Vessel Gauging Data'!$B$26:$B$56,0),$BD$18)</f>
        <v>#N/A</v>
      </c>
      <c r="BE105" s="662" t="e">
        <f>INDEX('Vessel Gauging Data'!$B$26:$V$56,MATCH($C105,'Vessel Gauging Data'!$B$26:$B$56,0),$BE$18)</f>
        <v>#N/A</v>
      </c>
    </row>
    <row r="106" spans="1:57" ht="15" hidden="1">
      <c r="A106" s="641" t="str">
        <f t="shared" si="114"/>
        <v>N</v>
      </c>
      <c r="B106" s="641"/>
      <c r="C106" s="235" t="str">
        <f t="array" ref="C106">IF(OR($E$90="",SUMPRODUCT(('Vessel Gauging Data'!$C$27:$C$56=$E$90)*1)&lt;ROWS($C$91:$C106)),"",INDEX('Vessel Gauging Data'!$B$27:$B$56,SMALL(IF(('Vessel Gauging Data'!$C$27:$C$56=$E$90),ROW('Vessel Gauging Data'!$B$27:$B$56)-ROW('Vessel Gauging Data'!$C$26)),ROW()-ROW(C$90))))</f>
        <v/>
      </c>
      <c r="D106" s="211" t="str">
        <f>IF(OR($C106="",$C106=0),"",INDEX('Vessel Gauging Data'!$B$26:$V$56,MATCH($C106,'Vessel Gauging Data'!$B$27:$B$56,0)+1,2))</f>
        <v/>
      </c>
      <c r="E106" s="1016" t="str">
        <f t="shared" si="115"/>
        <v/>
      </c>
      <c r="F106" s="1016" t="str">
        <f t="shared" si="116"/>
        <v/>
      </c>
      <c r="G106" s="1016" t="str">
        <f t="shared" si="117"/>
        <v/>
      </c>
      <c r="H106" s="1016" t="str">
        <f t="shared" si="118"/>
        <v/>
      </c>
      <c r="I106" s="211" t="str">
        <f t="shared" si="119"/>
        <v/>
      </c>
      <c r="J106" s="1016" t="str">
        <f t="shared" si="120"/>
        <v/>
      </c>
      <c r="K106" s="213" t="str">
        <f t="shared" si="121"/>
        <v/>
      </c>
      <c r="L106" s="212" t="str">
        <f t="shared" si="122"/>
        <v/>
      </c>
      <c r="M106" s="1125" t="str">
        <f>IF(OR($C106="",$C106=0),"",INDEX(API1DENST,MATCH($C106,'Vessel Gauging Data'!$B$27:$B$56,0),$AA$1))</f>
        <v/>
      </c>
      <c r="N106" s="212" t="str">
        <f t="shared" si="123"/>
        <v/>
      </c>
      <c r="O106" s="1016" t="str">
        <f t="shared" si="147"/>
        <v/>
      </c>
      <c r="P106" s="1125" t="str">
        <f t="shared" si="148"/>
        <v/>
      </c>
      <c r="Q106" s="1016" t="str">
        <f t="shared" si="149"/>
        <v/>
      </c>
      <c r="R106" s="214" t="str">
        <f t="shared" si="150"/>
        <v/>
      </c>
      <c r="S106" s="1125" t="str">
        <f t="shared" si="124"/>
        <v/>
      </c>
      <c r="T106" s="236" t="str">
        <f t="shared" si="151"/>
        <v/>
      </c>
      <c r="U106" s="641"/>
      <c r="V106" s="642" t="e">
        <f>INDEX('Vessel Gauging Data'!$B$26:$V$56,MATCH($C106,'Vessel Gauging Data'!$B$26:$B$56,0),$V$18)</f>
        <v>#N/A</v>
      </c>
      <c r="W106" s="642" t="e">
        <f>INDEX('Vessel Gauging Data'!$B$26:$V$56,MATCH($C106,'Vessel Gauging Data'!$B$26:$B$56,0),$W$18)</f>
        <v>#N/A</v>
      </c>
      <c r="X106" s="642" t="e">
        <f>INDEX('Vessel Gauging Data'!$B$26:$V$56,MATCH($C106,'Vessel Gauging Data'!$B$26:$B$56,0),$X$18)</f>
        <v>#N/A</v>
      </c>
      <c r="Y106" s="642" t="e">
        <f>INDEX('Vessel Gauging Data'!$B$26:$V$56,MATCH($C106,'Vessel Gauging Data'!$B$26:$B$56,0),$Y$18)</f>
        <v>#N/A</v>
      </c>
      <c r="Z106" s="642" t="e">
        <f>INDEX('Vessel Gauging Data'!$B$26:$V$56,MATCH($C106,'Vessel Gauging Data'!$B$26:$B$56,0),$Z$18)</f>
        <v>#N/A</v>
      </c>
      <c r="AA106" s="641"/>
      <c r="AB106" s="642" t="e">
        <f>INDEX(API1DENST,MATCH($C106,'Vessel Gauging Data'!$B$27:$B$56,0),1)</f>
        <v>#N/A</v>
      </c>
      <c r="AC106" s="642" t="e">
        <f t="shared" si="125"/>
        <v>#N/A</v>
      </c>
      <c r="AD106" s="641"/>
      <c r="AE106" s="661" t="e">
        <f t="shared" si="126"/>
        <v>#VALUE!</v>
      </c>
      <c r="AF106" s="661" t="e">
        <f t="shared" si="127"/>
        <v>#VALUE!</v>
      </c>
      <c r="AG106" s="641"/>
      <c r="AH106" s="662" t="str">
        <f t="shared" si="128"/>
        <v/>
      </c>
      <c r="AI106" s="662" t="str">
        <f t="shared" si="129"/>
        <v/>
      </c>
      <c r="AJ106" s="663">
        <f t="shared" si="130"/>
        <v>192.4571</v>
      </c>
      <c r="AK106" s="660">
        <f t="shared" si="131"/>
        <v>0.24379999999999999</v>
      </c>
      <c r="AL106" s="660" t="e">
        <f t="shared" si="132"/>
        <v>#VALUE!</v>
      </c>
      <c r="AM106" s="664" t="e">
        <f t="shared" si="133"/>
        <v>#VALUE!</v>
      </c>
      <c r="AN106" s="664" t="e">
        <f t="shared" si="134"/>
        <v>#VALUE!</v>
      </c>
      <c r="AO106" s="665" t="e">
        <f t="shared" si="135"/>
        <v>#VALUE!</v>
      </c>
      <c r="AP106" s="666" t="e">
        <f t="shared" si="136"/>
        <v>#VALUE!</v>
      </c>
      <c r="AQ106" s="660" t="e">
        <f t="shared" si="137"/>
        <v>#VALUE!</v>
      </c>
      <c r="AR106" s="667" t="e">
        <f t="shared" si="138"/>
        <v>#VALUE!</v>
      </c>
      <c r="AS106" s="667" t="e">
        <f t="shared" si="139"/>
        <v>#VALUE!</v>
      </c>
      <c r="AT106" s="668" t="e">
        <f t="shared" si="140"/>
        <v>#VALUE!</v>
      </c>
      <c r="AU106" s="667" t="e">
        <f t="shared" si="141"/>
        <v>#VALUE!</v>
      </c>
      <c r="AV106" s="669" t="e">
        <f t="shared" si="142"/>
        <v>#VALUE!</v>
      </c>
      <c r="AW106" s="667" t="e">
        <f t="shared" si="143"/>
        <v>#VALUE!</v>
      </c>
      <c r="AX106" s="667" t="e">
        <f t="shared" si="144"/>
        <v>#VALUE!</v>
      </c>
      <c r="AY106" s="660" t="e">
        <f t="shared" si="145"/>
        <v>#VALUE!</v>
      </c>
      <c r="AZ106" s="670" t="e">
        <f t="shared" si="146"/>
        <v>#VALUE!</v>
      </c>
      <c r="BA106" s="641"/>
      <c r="BB106" s="662" t="e">
        <f>INDEX('Vessel Gauging Data'!$B$26:$V$56,MATCH($C106,'Vessel Gauging Data'!$B$26:$B$56,0),$BB$18)</f>
        <v>#N/A</v>
      </c>
      <c r="BC106" s="662" t="e">
        <f>INDEX('Vessel Gauging Data'!$B$26:$V$56,MATCH($C106,'Vessel Gauging Data'!$B$26:$B$56,0),$BC$18)</f>
        <v>#N/A</v>
      </c>
      <c r="BD106" s="662" t="e">
        <f>INDEX('Vessel Gauging Data'!$B$26:$V$56,MATCH($C106,'Vessel Gauging Data'!$B$26:$B$56,0),$BD$18)</f>
        <v>#N/A</v>
      </c>
      <c r="BE106" s="662" t="e">
        <f>INDEX('Vessel Gauging Data'!$B$26:$V$56,MATCH($C106,'Vessel Gauging Data'!$B$26:$B$56,0),$BE$18)</f>
        <v>#N/A</v>
      </c>
    </row>
    <row r="107" spans="1:57" ht="15" hidden="1">
      <c r="A107" s="641" t="str">
        <f t="shared" si="114"/>
        <v>N</v>
      </c>
      <c r="B107" s="641"/>
      <c r="C107" s="235" t="str">
        <f t="array" ref="C107">IF(OR($E$90="",SUMPRODUCT(('Vessel Gauging Data'!$C$27:$C$56=$E$90)*1)&lt;ROWS($C$91:$C107)),"",INDEX('Vessel Gauging Data'!$B$27:$B$56,SMALL(IF(('Vessel Gauging Data'!$C$27:$C$56=$E$90),ROW('Vessel Gauging Data'!$B$27:$B$56)-ROW('Vessel Gauging Data'!$C$26)),ROW()-ROW(C$90))))</f>
        <v/>
      </c>
      <c r="D107" s="211" t="str">
        <f>IF(OR($C107="",$C107=0),"",INDEX('Vessel Gauging Data'!$B$26:$V$56,MATCH($C107,'Vessel Gauging Data'!$B$27:$B$56,0)+1,2))</f>
        <v/>
      </c>
      <c r="E107" s="1016" t="str">
        <f t="shared" si="115"/>
        <v/>
      </c>
      <c r="F107" s="1016" t="str">
        <f t="shared" si="116"/>
        <v/>
      </c>
      <c r="G107" s="1016" t="str">
        <f t="shared" si="117"/>
        <v/>
      </c>
      <c r="H107" s="1016" t="str">
        <f t="shared" si="118"/>
        <v/>
      </c>
      <c r="I107" s="211" t="str">
        <f t="shared" si="119"/>
        <v/>
      </c>
      <c r="J107" s="1016" t="str">
        <f t="shared" si="120"/>
        <v/>
      </c>
      <c r="K107" s="213" t="str">
        <f t="shared" si="121"/>
        <v/>
      </c>
      <c r="L107" s="212" t="str">
        <f t="shared" si="122"/>
        <v/>
      </c>
      <c r="M107" s="1125" t="str">
        <f>IF(OR($C107="",$C107=0),"",INDEX(API1DENST,MATCH($C107,'Vessel Gauging Data'!$B$27:$B$56,0),$AA$1))</f>
        <v/>
      </c>
      <c r="N107" s="212" t="str">
        <f t="shared" si="123"/>
        <v/>
      </c>
      <c r="O107" s="1016" t="str">
        <f t="shared" si="147"/>
        <v/>
      </c>
      <c r="P107" s="1125" t="str">
        <f t="shared" si="148"/>
        <v/>
      </c>
      <c r="Q107" s="1016" t="str">
        <f t="shared" si="149"/>
        <v/>
      </c>
      <c r="R107" s="214" t="str">
        <f t="shared" si="150"/>
        <v/>
      </c>
      <c r="S107" s="1125" t="str">
        <f t="shared" si="124"/>
        <v/>
      </c>
      <c r="T107" s="236" t="str">
        <f t="shared" si="151"/>
        <v/>
      </c>
      <c r="U107" s="641"/>
      <c r="V107" s="642" t="e">
        <f>INDEX('Vessel Gauging Data'!$B$26:$V$56,MATCH($C107,'Vessel Gauging Data'!$B$26:$B$56,0),$V$18)</f>
        <v>#N/A</v>
      </c>
      <c r="W107" s="642" t="e">
        <f>INDEX('Vessel Gauging Data'!$B$26:$V$56,MATCH($C107,'Vessel Gauging Data'!$B$26:$B$56,0),$W$18)</f>
        <v>#N/A</v>
      </c>
      <c r="X107" s="642" t="e">
        <f>INDEX('Vessel Gauging Data'!$B$26:$V$56,MATCH($C107,'Vessel Gauging Data'!$B$26:$B$56,0),$X$18)</f>
        <v>#N/A</v>
      </c>
      <c r="Y107" s="642" t="e">
        <f>INDEX('Vessel Gauging Data'!$B$26:$V$56,MATCH($C107,'Vessel Gauging Data'!$B$26:$B$56,0),$Y$18)</f>
        <v>#N/A</v>
      </c>
      <c r="Z107" s="642" t="e">
        <f>INDEX('Vessel Gauging Data'!$B$26:$V$56,MATCH($C107,'Vessel Gauging Data'!$B$26:$B$56,0),$Z$18)</f>
        <v>#N/A</v>
      </c>
      <c r="AA107" s="641"/>
      <c r="AB107" s="642" t="e">
        <f>INDEX(API1DENST,MATCH($C107,'Vessel Gauging Data'!$B$27:$B$56,0),1)</f>
        <v>#N/A</v>
      </c>
      <c r="AC107" s="642" t="e">
        <f t="shared" si="125"/>
        <v>#N/A</v>
      </c>
      <c r="AD107" s="641"/>
      <c r="AE107" s="661" t="e">
        <f t="shared" si="126"/>
        <v>#VALUE!</v>
      </c>
      <c r="AF107" s="661" t="e">
        <f t="shared" si="127"/>
        <v>#VALUE!</v>
      </c>
      <c r="AG107" s="641"/>
      <c r="AH107" s="662" t="str">
        <f t="shared" si="128"/>
        <v/>
      </c>
      <c r="AI107" s="662" t="str">
        <f t="shared" si="129"/>
        <v/>
      </c>
      <c r="AJ107" s="663">
        <f t="shared" si="130"/>
        <v>192.4571</v>
      </c>
      <c r="AK107" s="660">
        <f t="shared" si="131"/>
        <v>0.24379999999999999</v>
      </c>
      <c r="AL107" s="660" t="e">
        <f t="shared" si="132"/>
        <v>#VALUE!</v>
      </c>
      <c r="AM107" s="664" t="e">
        <f t="shared" si="133"/>
        <v>#VALUE!</v>
      </c>
      <c r="AN107" s="664" t="e">
        <f t="shared" si="134"/>
        <v>#VALUE!</v>
      </c>
      <c r="AO107" s="665" t="e">
        <f t="shared" si="135"/>
        <v>#VALUE!</v>
      </c>
      <c r="AP107" s="666" t="e">
        <f t="shared" si="136"/>
        <v>#VALUE!</v>
      </c>
      <c r="AQ107" s="660" t="e">
        <f t="shared" si="137"/>
        <v>#VALUE!</v>
      </c>
      <c r="AR107" s="667" t="e">
        <f t="shared" si="138"/>
        <v>#VALUE!</v>
      </c>
      <c r="AS107" s="667" t="e">
        <f t="shared" si="139"/>
        <v>#VALUE!</v>
      </c>
      <c r="AT107" s="668" t="e">
        <f t="shared" si="140"/>
        <v>#VALUE!</v>
      </c>
      <c r="AU107" s="667" t="e">
        <f t="shared" si="141"/>
        <v>#VALUE!</v>
      </c>
      <c r="AV107" s="669" t="e">
        <f t="shared" si="142"/>
        <v>#VALUE!</v>
      </c>
      <c r="AW107" s="667" t="e">
        <f t="shared" si="143"/>
        <v>#VALUE!</v>
      </c>
      <c r="AX107" s="667" t="e">
        <f t="shared" si="144"/>
        <v>#VALUE!</v>
      </c>
      <c r="AY107" s="660" t="e">
        <f t="shared" si="145"/>
        <v>#VALUE!</v>
      </c>
      <c r="AZ107" s="670" t="e">
        <f t="shared" si="146"/>
        <v>#VALUE!</v>
      </c>
      <c r="BA107" s="641"/>
      <c r="BB107" s="662" t="e">
        <f>INDEX('Vessel Gauging Data'!$B$26:$V$56,MATCH($C107,'Vessel Gauging Data'!$B$26:$B$56,0),$BB$18)</f>
        <v>#N/A</v>
      </c>
      <c r="BC107" s="662" t="e">
        <f>INDEX('Vessel Gauging Data'!$B$26:$V$56,MATCH($C107,'Vessel Gauging Data'!$B$26:$B$56,0),$BC$18)</f>
        <v>#N/A</v>
      </c>
      <c r="BD107" s="662" t="e">
        <f>INDEX('Vessel Gauging Data'!$B$26:$V$56,MATCH($C107,'Vessel Gauging Data'!$B$26:$B$56,0),$BD$18)</f>
        <v>#N/A</v>
      </c>
      <c r="BE107" s="662" t="e">
        <f>INDEX('Vessel Gauging Data'!$B$26:$V$56,MATCH($C107,'Vessel Gauging Data'!$B$26:$B$56,0),$BE$18)</f>
        <v>#N/A</v>
      </c>
    </row>
    <row r="108" spans="1:57" ht="15" hidden="1">
      <c r="A108" s="641" t="str">
        <f t="shared" si="114"/>
        <v>N</v>
      </c>
      <c r="B108" s="641"/>
      <c r="C108" s="235" t="str">
        <f t="array" ref="C108">IF(OR($E$90="",SUMPRODUCT(('Vessel Gauging Data'!$C$27:$C$56=$E$90)*1)&lt;ROWS($C$91:$C108)),"",INDEX('Vessel Gauging Data'!$B$27:$B$56,SMALL(IF(('Vessel Gauging Data'!$C$27:$C$56=$E$90),ROW('Vessel Gauging Data'!$B$27:$B$56)-ROW('Vessel Gauging Data'!$C$26)),ROW()-ROW(C$90))))</f>
        <v/>
      </c>
      <c r="D108" s="211" t="str">
        <f>IF(OR($C108="",$C108=0),"",INDEX('Vessel Gauging Data'!$B$26:$V$56,MATCH($C108,'Vessel Gauging Data'!$B$27:$B$56,0)+1,2))</f>
        <v/>
      </c>
      <c r="E108" s="1016" t="str">
        <f t="shared" si="115"/>
        <v/>
      </c>
      <c r="F108" s="1016" t="str">
        <f t="shared" si="116"/>
        <v/>
      </c>
      <c r="G108" s="1016" t="str">
        <f t="shared" si="117"/>
        <v/>
      </c>
      <c r="H108" s="1016" t="str">
        <f t="shared" si="118"/>
        <v/>
      </c>
      <c r="I108" s="211" t="str">
        <f t="shared" si="119"/>
        <v/>
      </c>
      <c r="J108" s="1016" t="str">
        <f t="shared" si="120"/>
        <v/>
      </c>
      <c r="K108" s="213" t="str">
        <f t="shared" si="121"/>
        <v/>
      </c>
      <c r="L108" s="212" t="str">
        <f t="shared" si="122"/>
        <v/>
      </c>
      <c r="M108" s="1125" t="str">
        <f>IF(OR($C108="",$C108=0),"",INDEX(API1DENST,MATCH($C108,'Vessel Gauging Data'!$B$27:$B$56,0),$AA$1))</f>
        <v/>
      </c>
      <c r="N108" s="212" t="str">
        <f t="shared" si="123"/>
        <v/>
      </c>
      <c r="O108" s="1016" t="str">
        <f t="shared" si="147"/>
        <v/>
      </c>
      <c r="P108" s="1125" t="str">
        <f t="shared" si="148"/>
        <v/>
      </c>
      <c r="Q108" s="1016" t="str">
        <f t="shared" si="149"/>
        <v/>
      </c>
      <c r="R108" s="214" t="str">
        <f t="shared" si="150"/>
        <v/>
      </c>
      <c r="S108" s="1125" t="str">
        <f t="shared" si="124"/>
        <v/>
      </c>
      <c r="T108" s="236" t="str">
        <f t="shared" si="151"/>
        <v/>
      </c>
      <c r="U108" s="641"/>
      <c r="V108" s="642" t="e">
        <f>INDEX('Vessel Gauging Data'!$B$26:$V$56,MATCH($C108,'Vessel Gauging Data'!$B$26:$B$56,0),$V$18)</f>
        <v>#N/A</v>
      </c>
      <c r="W108" s="642" t="e">
        <f>INDEX('Vessel Gauging Data'!$B$26:$V$56,MATCH($C108,'Vessel Gauging Data'!$B$26:$B$56,0),$W$18)</f>
        <v>#N/A</v>
      </c>
      <c r="X108" s="642" t="e">
        <f>INDEX('Vessel Gauging Data'!$B$26:$V$56,MATCH($C108,'Vessel Gauging Data'!$B$26:$B$56,0),$X$18)</f>
        <v>#N/A</v>
      </c>
      <c r="Y108" s="642" t="e">
        <f>INDEX('Vessel Gauging Data'!$B$26:$V$56,MATCH($C108,'Vessel Gauging Data'!$B$26:$B$56,0),$Y$18)</f>
        <v>#N/A</v>
      </c>
      <c r="Z108" s="642" t="e">
        <f>INDEX('Vessel Gauging Data'!$B$26:$V$56,MATCH($C108,'Vessel Gauging Data'!$B$26:$B$56,0),$Z$18)</f>
        <v>#N/A</v>
      </c>
      <c r="AA108" s="641"/>
      <c r="AB108" s="642" t="e">
        <f>INDEX(API1DENST,MATCH($C108,'Vessel Gauging Data'!$B$27:$B$56,0),1)</f>
        <v>#N/A</v>
      </c>
      <c r="AC108" s="642" t="e">
        <f t="shared" si="125"/>
        <v>#N/A</v>
      </c>
      <c r="AD108" s="641"/>
      <c r="AE108" s="661" t="e">
        <f t="shared" si="126"/>
        <v>#VALUE!</v>
      </c>
      <c r="AF108" s="661" t="e">
        <f t="shared" si="127"/>
        <v>#VALUE!</v>
      </c>
      <c r="AG108" s="641"/>
      <c r="AH108" s="662" t="str">
        <f t="shared" si="128"/>
        <v/>
      </c>
      <c r="AI108" s="662" t="str">
        <f t="shared" si="129"/>
        <v/>
      </c>
      <c r="AJ108" s="663">
        <f t="shared" si="130"/>
        <v>192.4571</v>
      </c>
      <c r="AK108" s="660">
        <f t="shared" si="131"/>
        <v>0.24379999999999999</v>
      </c>
      <c r="AL108" s="660" t="e">
        <f t="shared" si="132"/>
        <v>#VALUE!</v>
      </c>
      <c r="AM108" s="664" t="e">
        <f t="shared" si="133"/>
        <v>#VALUE!</v>
      </c>
      <c r="AN108" s="664" t="e">
        <f t="shared" si="134"/>
        <v>#VALUE!</v>
      </c>
      <c r="AO108" s="665" t="e">
        <f t="shared" si="135"/>
        <v>#VALUE!</v>
      </c>
      <c r="AP108" s="666" t="e">
        <f t="shared" si="136"/>
        <v>#VALUE!</v>
      </c>
      <c r="AQ108" s="660" t="e">
        <f t="shared" si="137"/>
        <v>#VALUE!</v>
      </c>
      <c r="AR108" s="667" t="e">
        <f t="shared" si="138"/>
        <v>#VALUE!</v>
      </c>
      <c r="AS108" s="667" t="e">
        <f t="shared" si="139"/>
        <v>#VALUE!</v>
      </c>
      <c r="AT108" s="668" t="e">
        <f t="shared" si="140"/>
        <v>#VALUE!</v>
      </c>
      <c r="AU108" s="667" t="e">
        <f t="shared" si="141"/>
        <v>#VALUE!</v>
      </c>
      <c r="AV108" s="669" t="e">
        <f t="shared" si="142"/>
        <v>#VALUE!</v>
      </c>
      <c r="AW108" s="667" t="e">
        <f t="shared" si="143"/>
        <v>#VALUE!</v>
      </c>
      <c r="AX108" s="667" t="e">
        <f t="shared" si="144"/>
        <v>#VALUE!</v>
      </c>
      <c r="AY108" s="660" t="e">
        <f t="shared" si="145"/>
        <v>#VALUE!</v>
      </c>
      <c r="AZ108" s="670" t="e">
        <f t="shared" si="146"/>
        <v>#VALUE!</v>
      </c>
      <c r="BA108" s="641"/>
      <c r="BB108" s="662" t="e">
        <f>INDEX('Vessel Gauging Data'!$B$26:$V$56,MATCH($C108,'Vessel Gauging Data'!$B$26:$B$56,0),$BB$18)</f>
        <v>#N/A</v>
      </c>
      <c r="BC108" s="662" t="e">
        <f>INDEX('Vessel Gauging Data'!$B$26:$V$56,MATCH($C108,'Vessel Gauging Data'!$B$26:$B$56,0),$BC$18)</f>
        <v>#N/A</v>
      </c>
      <c r="BD108" s="662" t="e">
        <f>INDEX('Vessel Gauging Data'!$B$26:$V$56,MATCH($C108,'Vessel Gauging Data'!$B$26:$B$56,0),$BD$18)</f>
        <v>#N/A</v>
      </c>
      <c r="BE108" s="662" t="e">
        <f>INDEX('Vessel Gauging Data'!$B$26:$V$56,MATCH($C108,'Vessel Gauging Data'!$B$26:$B$56,0),$BE$18)</f>
        <v>#N/A</v>
      </c>
    </row>
    <row r="109" spans="1:57" ht="15" hidden="1">
      <c r="A109" s="641" t="str">
        <f t="shared" si="114"/>
        <v>N</v>
      </c>
      <c r="B109" s="641"/>
      <c r="C109" s="235" t="str">
        <f t="array" ref="C109">IF(OR($E$90="",SUMPRODUCT(('Vessel Gauging Data'!$C$27:$C$56=$E$90)*1)&lt;ROWS($C$91:$C109)),"",INDEX('Vessel Gauging Data'!$B$27:$B$56,SMALL(IF(('Vessel Gauging Data'!$C$27:$C$56=$E$90),ROW('Vessel Gauging Data'!$B$27:$B$56)-ROW('Vessel Gauging Data'!$C$26)),ROW()-ROW(C$90))))</f>
        <v/>
      </c>
      <c r="D109" s="211" t="str">
        <f>IF(OR($C109="",$C109=0),"",INDEX('Vessel Gauging Data'!$B$26:$V$56,MATCH($C109,'Vessel Gauging Data'!$B$27:$B$56,0)+1,2))</f>
        <v/>
      </c>
      <c r="E109" s="1016" t="str">
        <f t="shared" si="115"/>
        <v/>
      </c>
      <c r="F109" s="1016" t="str">
        <f t="shared" si="116"/>
        <v/>
      </c>
      <c r="G109" s="1016" t="str">
        <f t="shared" si="117"/>
        <v/>
      </c>
      <c r="H109" s="1016" t="str">
        <f t="shared" si="118"/>
        <v/>
      </c>
      <c r="I109" s="211" t="str">
        <f t="shared" si="119"/>
        <v/>
      </c>
      <c r="J109" s="1016" t="str">
        <f t="shared" si="120"/>
        <v/>
      </c>
      <c r="K109" s="213" t="str">
        <f t="shared" si="121"/>
        <v/>
      </c>
      <c r="L109" s="212" t="str">
        <f t="shared" si="122"/>
        <v/>
      </c>
      <c r="M109" s="1125" t="str">
        <f>IF(OR($C109="",$C109=0),"",INDEX(API1DENST,MATCH($C109,'Vessel Gauging Data'!$B$27:$B$56,0),$AA$1))</f>
        <v/>
      </c>
      <c r="N109" s="212" t="str">
        <f t="shared" si="123"/>
        <v/>
      </c>
      <c r="O109" s="1016" t="str">
        <f t="shared" si="147"/>
        <v/>
      </c>
      <c r="P109" s="1125" t="str">
        <f t="shared" si="148"/>
        <v/>
      </c>
      <c r="Q109" s="1016" t="str">
        <f t="shared" si="149"/>
        <v/>
      </c>
      <c r="R109" s="214" t="str">
        <f t="shared" si="150"/>
        <v/>
      </c>
      <c r="S109" s="1125" t="str">
        <f t="shared" si="124"/>
        <v/>
      </c>
      <c r="T109" s="236" t="str">
        <f t="shared" si="151"/>
        <v/>
      </c>
      <c r="U109" s="641"/>
      <c r="V109" s="642" t="e">
        <f>INDEX('Vessel Gauging Data'!$B$26:$V$56,MATCH($C109,'Vessel Gauging Data'!$B$26:$B$56,0),$V$18)</f>
        <v>#N/A</v>
      </c>
      <c r="W109" s="642" t="e">
        <f>INDEX('Vessel Gauging Data'!$B$26:$V$56,MATCH($C109,'Vessel Gauging Data'!$B$26:$B$56,0),$W$18)</f>
        <v>#N/A</v>
      </c>
      <c r="X109" s="642" t="e">
        <f>INDEX('Vessel Gauging Data'!$B$26:$V$56,MATCH($C109,'Vessel Gauging Data'!$B$26:$B$56,0),$X$18)</f>
        <v>#N/A</v>
      </c>
      <c r="Y109" s="642" t="e">
        <f>INDEX('Vessel Gauging Data'!$B$26:$V$56,MATCH($C109,'Vessel Gauging Data'!$B$26:$B$56,0),$Y$18)</f>
        <v>#N/A</v>
      </c>
      <c r="Z109" s="642" t="e">
        <f>INDEX('Vessel Gauging Data'!$B$26:$V$56,MATCH($C109,'Vessel Gauging Data'!$B$26:$B$56,0),$Z$18)</f>
        <v>#N/A</v>
      </c>
      <c r="AA109" s="641"/>
      <c r="AB109" s="642" t="e">
        <f>INDEX(API1DENST,MATCH($C109,'Vessel Gauging Data'!$B$27:$B$56,0),1)</f>
        <v>#N/A</v>
      </c>
      <c r="AC109" s="642" t="e">
        <f t="shared" si="125"/>
        <v>#N/A</v>
      </c>
      <c r="AD109" s="641"/>
      <c r="AE109" s="661" t="e">
        <f t="shared" si="126"/>
        <v>#VALUE!</v>
      </c>
      <c r="AF109" s="661" t="e">
        <f t="shared" si="127"/>
        <v>#VALUE!</v>
      </c>
      <c r="AG109" s="641"/>
      <c r="AH109" s="662" t="str">
        <f t="shared" si="128"/>
        <v/>
      </c>
      <c r="AI109" s="662" t="str">
        <f t="shared" si="129"/>
        <v/>
      </c>
      <c r="AJ109" s="663">
        <f t="shared" si="130"/>
        <v>192.4571</v>
      </c>
      <c r="AK109" s="660">
        <f t="shared" si="131"/>
        <v>0.24379999999999999</v>
      </c>
      <c r="AL109" s="660" t="e">
        <f t="shared" si="132"/>
        <v>#VALUE!</v>
      </c>
      <c r="AM109" s="664" t="e">
        <f t="shared" si="133"/>
        <v>#VALUE!</v>
      </c>
      <c r="AN109" s="664" t="e">
        <f t="shared" si="134"/>
        <v>#VALUE!</v>
      </c>
      <c r="AO109" s="665" t="e">
        <f t="shared" si="135"/>
        <v>#VALUE!</v>
      </c>
      <c r="AP109" s="666" t="e">
        <f t="shared" si="136"/>
        <v>#VALUE!</v>
      </c>
      <c r="AQ109" s="660" t="e">
        <f t="shared" si="137"/>
        <v>#VALUE!</v>
      </c>
      <c r="AR109" s="667" t="e">
        <f t="shared" si="138"/>
        <v>#VALUE!</v>
      </c>
      <c r="AS109" s="667" t="e">
        <f t="shared" si="139"/>
        <v>#VALUE!</v>
      </c>
      <c r="AT109" s="668" t="e">
        <f t="shared" si="140"/>
        <v>#VALUE!</v>
      </c>
      <c r="AU109" s="667" t="e">
        <f t="shared" si="141"/>
        <v>#VALUE!</v>
      </c>
      <c r="AV109" s="669" t="e">
        <f t="shared" si="142"/>
        <v>#VALUE!</v>
      </c>
      <c r="AW109" s="667" t="e">
        <f t="shared" si="143"/>
        <v>#VALUE!</v>
      </c>
      <c r="AX109" s="667" t="e">
        <f t="shared" si="144"/>
        <v>#VALUE!</v>
      </c>
      <c r="AY109" s="660" t="e">
        <f t="shared" si="145"/>
        <v>#VALUE!</v>
      </c>
      <c r="AZ109" s="670" t="e">
        <f t="shared" si="146"/>
        <v>#VALUE!</v>
      </c>
      <c r="BA109" s="641"/>
      <c r="BB109" s="662" t="e">
        <f>INDEX('Vessel Gauging Data'!$B$26:$V$56,MATCH($C109,'Vessel Gauging Data'!$B$26:$B$56,0),$BB$18)</f>
        <v>#N/A</v>
      </c>
      <c r="BC109" s="662" t="e">
        <f>INDEX('Vessel Gauging Data'!$B$26:$V$56,MATCH($C109,'Vessel Gauging Data'!$B$26:$B$56,0),$BC$18)</f>
        <v>#N/A</v>
      </c>
      <c r="BD109" s="662" t="e">
        <f>INDEX('Vessel Gauging Data'!$B$26:$V$56,MATCH($C109,'Vessel Gauging Data'!$B$26:$B$56,0),$BD$18)</f>
        <v>#N/A</v>
      </c>
      <c r="BE109" s="662" t="e">
        <f>INDEX('Vessel Gauging Data'!$B$26:$V$56,MATCH($C109,'Vessel Gauging Data'!$B$26:$B$56,0),$BE$18)</f>
        <v>#N/A</v>
      </c>
    </row>
    <row r="110" spans="1:57" ht="15" hidden="1">
      <c r="A110" s="641" t="str">
        <f t="shared" si="114"/>
        <v>N</v>
      </c>
      <c r="B110" s="641"/>
      <c r="C110" s="235" t="str">
        <f t="array" ref="C110">IF(OR($E$90="",SUMPRODUCT(('Vessel Gauging Data'!$C$27:$C$56=$E$90)*1)&lt;ROWS($C$91:$C110)),"",INDEX('Vessel Gauging Data'!$B$27:$B$56,SMALL(IF(('Vessel Gauging Data'!$C$27:$C$56=$E$90),ROW('Vessel Gauging Data'!$B$27:$B$56)-ROW('Vessel Gauging Data'!$C$26)),ROW()-ROW(C$90))))</f>
        <v/>
      </c>
      <c r="D110" s="238" t="str">
        <f>IF(OR($C110="",$C110=0),"",INDEX('Vessel Gauging Data'!$B$26:$V$56,MATCH($C110,'Vessel Gauging Data'!$B$27:$B$56,0)+1,2))</f>
        <v/>
      </c>
      <c r="E110" s="1017" t="str">
        <f t="shared" si="115"/>
        <v/>
      </c>
      <c r="F110" s="1017" t="str">
        <f t="shared" si="116"/>
        <v/>
      </c>
      <c r="G110" s="1017" t="str">
        <f t="shared" si="117"/>
        <v/>
      </c>
      <c r="H110" s="1017" t="str">
        <f t="shared" si="118"/>
        <v/>
      </c>
      <c r="I110" s="238" t="str">
        <f t="shared" si="119"/>
        <v/>
      </c>
      <c r="J110" s="1017" t="str">
        <f t="shared" si="120"/>
        <v/>
      </c>
      <c r="K110" s="240" t="str">
        <f t="shared" si="121"/>
        <v/>
      </c>
      <c r="L110" s="239" t="str">
        <f t="shared" si="122"/>
        <v/>
      </c>
      <c r="M110" s="1126" t="str">
        <f>IF(OR($C110="",$C110=0),"",INDEX(API1DENST,MATCH($C110,'Vessel Gauging Data'!$B$27:$B$56,0),$AA$1))</f>
        <v/>
      </c>
      <c r="N110" s="239" t="str">
        <f t="shared" si="123"/>
        <v/>
      </c>
      <c r="O110" s="1017" t="str">
        <f t="shared" si="147"/>
        <v/>
      </c>
      <c r="P110" s="1126" t="str">
        <f t="shared" si="148"/>
        <v/>
      </c>
      <c r="Q110" s="1017" t="str">
        <f t="shared" si="149"/>
        <v/>
      </c>
      <c r="R110" s="241" t="str">
        <f t="shared" si="150"/>
        <v/>
      </c>
      <c r="S110" s="1126" t="str">
        <f t="shared" si="124"/>
        <v/>
      </c>
      <c r="T110" s="242" t="str">
        <f t="shared" si="151"/>
        <v/>
      </c>
      <c r="U110" s="641"/>
      <c r="V110" s="642" t="e">
        <f>INDEX('Vessel Gauging Data'!$B$26:$V$56,MATCH($C110,'Vessel Gauging Data'!$B$26:$B$56,0),$V$18)</f>
        <v>#N/A</v>
      </c>
      <c r="W110" s="642" t="e">
        <f>INDEX('Vessel Gauging Data'!$B$26:$V$56,MATCH($C110,'Vessel Gauging Data'!$B$26:$B$56,0),$W$18)</f>
        <v>#N/A</v>
      </c>
      <c r="X110" s="642" t="e">
        <f>INDEX('Vessel Gauging Data'!$B$26:$V$56,MATCH($C110,'Vessel Gauging Data'!$B$26:$B$56,0),$X$18)</f>
        <v>#N/A</v>
      </c>
      <c r="Y110" s="642" t="e">
        <f>INDEX('Vessel Gauging Data'!$B$26:$V$56,MATCH($C110,'Vessel Gauging Data'!$B$26:$B$56,0),$Y$18)</f>
        <v>#N/A</v>
      </c>
      <c r="Z110" s="642" t="e">
        <f>INDEX('Vessel Gauging Data'!$B$26:$V$56,MATCH($C110,'Vessel Gauging Data'!$B$26:$B$56,0),$Z$18)</f>
        <v>#N/A</v>
      </c>
      <c r="AA110" s="641"/>
      <c r="AB110" s="642" t="e">
        <f>INDEX(API1DENST,MATCH($C110,'Vessel Gauging Data'!$B$27:$B$56,0),1)</f>
        <v>#N/A</v>
      </c>
      <c r="AC110" s="642" t="e">
        <f t="shared" si="125"/>
        <v>#N/A</v>
      </c>
      <c r="AD110" s="641"/>
      <c r="AE110" s="661" t="e">
        <f t="shared" si="126"/>
        <v>#VALUE!</v>
      </c>
      <c r="AF110" s="661" t="e">
        <f t="shared" si="127"/>
        <v>#VALUE!</v>
      </c>
      <c r="AG110" s="641"/>
      <c r="AH110" s="662" t="str">
        <f t="shared" si="128"/>
        <v/>
      </c>
      <c r="AI110" s="662" t="str">
        <f t="shared" si="129"/>
        <v/>
      </c>
      <c r="AJ110" s="663">
        <f t="shared" si="130"/>
        <v>192.4571</v>
      </c>
      <c r="AK110" s="660">
        <f t="shared" si="131"/>
        <v>0.24379999999999999</v>
      </c>
      <c r="AL110" s="660" t="e">
        <f t="shared" si="132"/>
        <v>#VALUE!</v>
      </c>
      <c r="AM110" s="664" t="e">
        <f t="shared" si="133"/>
        <v>#VALUE!</v>
      </c>
      <c r="AN110" s="664" t="e">
        <f t="shared" si="134"/>
        <v>#VALUE!</v>
      </c>
      <c r="AO110" s="665" t="e">
        <f t="shared" si="135"/>
        <v>#VALUE!</v>
      </c>
      <c r="AP110" s="666" t="e">
        <f t="shared" si="136"/>
        <v>#VALUE!</v>
      </c>
      <c r="AQ110" s="660" t="e">
        <f t="shared" si="137"/>
        <v>#VALUE!</v>
      </c>
      <c r="AR110" s="667" t="e">
        <f t="shared" si="138"/>
        <v>#VALUE!</v>
      </c>
      <c r="AS110" s="667" t="e">
        <f t="shared" si="139"/>
        <v>#VALUE!</v>
      </c>
      <c r="AT110" s="668" t="e">
        <f t="shared" si="140"/>
        <v>#VALUE!</v>
      </c>
      <c r="AU110" s="667" t="e">
        <f t="shared" si="141"/>
        <v>#VALUE!</v>
      </c>
      <c r="AV110" s="669" t="e">
        <f t="shared" si="142"/>
        <v>#VALUE!</v>
      </c>
      <c r="AW110" s="667" t="e">
        <f t="shared" si="143"/>
        <v>#VALUE!</v>
      </c>
      <c r="AX110" s="667" t="e">
        <f t="shared" si="144"/>
        <v>#VALUE!</v>
      </c>
      <c r="AY110" s="660" t="e">
        <f t="shared" si="145"/>
        <v>#VALUE!</v>
      </c>
      <c r="AZ110" s="670" t="e">
        <f t="shared" si="146"/>
        <v>#VALUE!</v>
      </c>
      <c r="BA110" s="641"/>
      <c r="BB110" s="662" t="e">
        <f>INDEX('Vessel Gauging Data'!$B$26:$V$56,MATCH($C110,'Vessel Gauging Data'!$B$26:$B$56,0),$BB$18)</f>
        <v>#N/A</v>
      </c>
      <c r="BC110" s="662" t="e">
        <f>INDEX('Vessel Gauging Data'!$B$26:$V$56,MATCH($C110,'Vessel Gauging Data'!$B$26:$B$56,0),$BC$18)</f>
        <v>#N/A</v>
      </c>
      <c r="BD110" s="662" t="e">
        <f>INDEX('Vessel Gauging Data'!$B$26:$V$56,MATCH($C110,'Vessel Gauging Data'!$B$26:$B$56,0),$BD$18)</f>
        <v>#N/A</v>
      </c>
      <c r="BE110" s="662" t="e">
        <f>INDEX('Vessel Gauging Data'!$B$26:$V$56,MATCH($C110,'Vessel Gauging Data'!$B$26:$B$56,0),$BE$18)</f>
        <v>#N/A</v>
      </c>
    </row>
    <row r="111" spans="1:57" ht="15" hidden="1">
      <c r="A111" s="641" t="str">
        <f>A90</f>
        <v>N</v>
      </c>
      <c r="B111" s="641"/>
      <c r="C111" s="671"/>
      <c r="D111" s="671"/>
      <c r="E111" s="672"/>
      <c r="F111" s="672"/>
      <c r="G111" s="672"/>
      <c r="H111" s="1501"/>
      <c r="I111" s="671"/>
      <c r="J111" s="672"/>
      <c r="K111" s="673"/>
      <c r="L111" s="672"/>
      <c r="M111" s="674"/>
      <c r="N111" s="672"/>
      <c r="O111" s="672"/>
      <c r="P111" s="1127"/>
      <c r="Q111" s="672"/>
      <c r="R111" s="675"/>
      <c r="S111" s="1137" t="s">
        <v>401</v>
      </c>
      <c r="T111" s="619">
        <f>SUM(T91:T110)</f>
        <v>0</v>
      </c>
      <c r="U111" s="641"/>
      <c r="V111" s="719"/>
      <c r="W111" s="719"/>
      <c r="X111" s="719"/>
      <c r="Y111" s="719"/>
      <c r="Z111" s="719"/>
      <c r="AA111" s="676"/>
      <c r="AB111" s="719"/>
      <c r="AC111" s="719"/>
      <c r="AD111" s="676"/>
      <c r="AE111" s="720"/>
      <c r="AF111" s="720"/>
      <c r="AG111" s="676"/>
      <c r="AH111" s="721"/>
      <c r="AI111" s="721"/>
      <c r="AJ111" s="722"/>
      <c r="AK111" s="723"/>
      <c r="AL111" s="723"/>
      <c r="AM111" s="724"/>
      <c r="AN111" s="724"/>
      <c r="AO111" s="725"/>
      <c r="AP111" s="726"/>
      <c r="AQ111" s="723"/>
      <c r="AR111" s="727"/>
      <c r="AS111" s="727"/>
      <c r="AT111" s="728"/>
      <c r="AU111" s="727"/>
      <c r="AV111" s="729"/>
      <c r="AW111" s="727"/>
      <c r="AX111" s="727"/>
      <c r="AY111" s="723"/>
      <c r="AZ111" s="730"/>
      <c r="BA111" s="676"/>
      <c r="BB111" s="721"/>
      <c r="BC111" s="721"/>
      <c r="BD111" s="721"/>
      <c r="BE111" s="721"/>
    </row>
    <row r="112" spans="1:57" s="855" customFormat="1" ht="5.25" hidden="1">
      <c r="A112" s="702" t="str">
        <f>IF(A113="N",A113,IF(COUNTIF($A$21:$A110,"Y")&gt;0,A113,"N"))</f>
        <v>N</v>
      </c>
      <c r="B112" s="702"/>
      <c r="C112" s="704"/>
      <c r="D112" s="704"/>
      <c r="E112" s="704"/>
      <c r="F112" s="704"/>
      <c r="G112" s="704"/>
      <c r="H112" s="704"/>
      <c r="I112" s="704"/>
      <c r="J112" s="705"/>
      <c r="K112" s="705"/>
      <c r="L112" s="705"/>
      <c r="M112" s="705"/>
      <c r="N112" s="705"/>
      <c r="O112" s="705"/>
      <c r="P112" s="1128"/>
      <c r="Q112" s="705"/>
      <c r="R112" s="705"/>
      <c r="S112" s="1136"/>
      <c r="T112" s="706"/>
      <c r="U112" s="702"/>
      <c r="V112" s="707"/>
      <c r="W112" s="707"/>
      <c r="X112" s="707"/>
      <c r="Y112" s="707"/>
      <c r="Z112" s="707"/>
      <c r="AA112" s="707"/>
      <c r="AB112" s="707"/>
      <c r="AC112" s="707"/>
      <c r="AD112" s="707"/>
      <c r="AE112" s="708"/>
      <c r="AF112" s="708"/>
      <c r="AG112" s="707"/>
      <c r="AH112" s="709"/>
      <c r="AI112" s="709"/>
      <c r="AJ112" s="710"/>
      <c r="AK112" s="711"/>
      <c r="AL112" s="711"/>
      <c r="AM112" s="712"/>
      <c r="AN112" s="712"/>
      <c r="AO112" s="713"/>
      <c r="AP112" s="714"/>
      <c r="AQ112" s="711"/>
      <c r="AR112" s="715"/>
      <c r="AS112" s="715"/>
      <c r="AT112" s="716"/>
      <c r="AU112" s="715"/>
      <c r="AV112" s="717"/>
      <c r="AW112" s="715"/>
      <c r="AX112" s="715"/>
      <c r="AY112" s="711"/>
      <c r="AZ112" s="718"/>
      <c r="BA112" s="707"/>
      <c r="BB112" s="709"/>
      <c r="BC112" s="709"/>
      <c r="BD112" s="709"/>
      <c r="BE112" s="709"/>
    </row>
    <row r="113" spans="1:57" ht="15.75" hidden="1">
      <c r="A113" s="641" t="str">
        <f>A114</f>
        <v>N</v>
      </c>
      <c r="B113" s="641">
        <v>5</v>
      </c>
      <c r="C113" s="2797" t="s">
        <v>499</v>
      </c>
      <c r="D113" s="2798"/>
      <c r="E113" s="2799" t="str">
        <f>'Preliminary Report'!I1</f>
        <v>MGO</v>
      </c>
      <c r="F113" s="2800"/>
      <c r="G113" s="2800"/>
      <c r="H113" s="2824"/>
      <c r="I113" s="2801"/>
      <c r="J113" s="698"/>
      <c r="K113" s="699"/>
      <c r="L113" s="700"/>
      <c r="M113" s="699"/>
      <c r="N113" s="699"/>
      <c r="O113" s="700"/>
      <c r="P113" s="1129"/>
      <c r="Q113" s="700"/>
      <c r="R113" s="701"/>
      <c r="S113" s="1129"/>
      <c r="T113" s="701"/>
      <c r="U113" s="641"/>
      <c r="V113" s="1400"/>
      <c r="W113" s="731"/>
      <c r="X113" s="731"/>
      <c r="Y113" s="731"/>
      <c r="Z113" s="731"/>
      <c r="AA113" s="676"/>
      <c r="AB113" s="731"/>
      <c r="AC113" s="731"/>
      <c r="AD113" s="676"/>
      <c r="AE113" s="732"/>
      <c r="AF113" s="732"/>
      <c r="AG113" s="676"/>
      <c r="AH113" s="733"/>
      <c r="AI113" s="733"/>
      <c r="AJ113" s="734"/>
      <c r="AK113" s="735"/>
      <c r="AL113" s="735"/>
      <c r="AM113" s="736"/>
      <c r="AN113" s="736"/>
      <c r="AO113" s="737"/>
      <c r="AP113" s="738"/>
      <c r="AQ113" s="735"/>
      <c r="AR113" s="739"/>
      <c r="AS113" s="739"/>
      <c r="AT113" s="740"/>
      <c r="AU113" s="739"/>
      <c r="AV113" s="741"/>
      <c r="AW113" s="739"/>
      <c r="AX113" s="739"/>
      <c r="AY113" s="735"/>
      <c r="AZ113" s="742"/>
      <c r="BA113" s="676"/>
      <c r="BB113" s="733"/>
      <c r="BC113" s="733"/>
      <c r="BD113" s="733"/>
      <c r="BE113" s="733"/>
    </row>
    <row r="114" spans="1:57" ht="15" hidden="1">
      <c r="A114" s="641" t="str">
        <f t="shared" ref="A114:A133" si="152">IF(C114="","N",IF(ISERROR(MATCH($E$113,IF($Z$1=1,GRADESLIST,IF($Z$1=2,RESIDUALS,DISTILLATES)),0)),"N","Y"))</f>
        <v>N</v>
      </c>
      <c r="B114" s="655"/>
      <c r="C114" s="235" t="str">
        <f t="array" ref="C114">IF(OR($E$113="",SUMPRODUCT(('Vessel Gauging Data'!$C$27:$C$56=$E$113)*1)&lt;ROWS($C$114:$C114)),"",INDEX('Vessel Gauging Data'!$B$27:$B$56,SMALL(IF(('Vessel Gauging Data'!$C$27:$C$56=$E$113),ROW('Vessel Gauging Data'!$B$27:$B$56)-ROW('Vessel Gauging Data'!$C$26)),ROW()-ROW(C$113))))</f>
        <v/>
      </c>
      <c r="D114" s="211" t="str">
        <f>IF(OR($C114="",$C114=0),"",INDEX('Vessel Gauging Data'!$B$26:$V$56,MATCH($C114,'Vessel Gauging Data'!$B$27:$B$56,0)+1,2))</f>
        <v/>
      </c>
      <c r="E114" s="1016" t="str">
        <f t="shared" ref="E114:E133" si="153">IF(ISERROR(V114),"",IF(OR($C114="",$C114=0),"",IF(ISTEXT(V114),V114,IF($AB$1=1,V114*UNITOR,INT(V114*UNITOR)&amp;"'-"&amp;TRIM(TEXT(ROUND(MOD(V114*UNITOR,1)*12,1),"# ???/???"))&amp;""""))))</f>
        <v/>
      </c>
      <c r="F114" s="1016" t="str">
        <f t="shared" ref="F114:F133" si="154">IF(ISERROR(W114),"",IF(OR($C114="",$C114=0),"",IF($I114=UMETHOD,"ULL",IF(ISTEXT(W114),W114,IF($AB$1=1,W114*UNITOR,INT(W114*UNITOR)&amp;"'-"&amp;TRIM(TEXT(ROUND(MOD(W114*UNITOR,1)*12,1),"# ???/???"))&amp;"""")))))</f>
        <v/>
      </c>
      <c r="G114" s="1016" t="str">
        <f t="shared" ref="G114:G133" si="155">IF(ISERROR(X114),"",IF(OR($C114="",$C114=0),"",IF(ISTEXT(X114),X114,IF($AB$1=1,X114*UNITOR,INT(X114*UNITOR)&amp;"'-"&amp;TRIM(TEXT(ROUND(MOD(X114*UNITOR,1)*12,1),"# ???/???"))&amp;""""))))</f>
        <v/>
      </c>
      <c r="H114" s="1016" t="str">
        <f t="shared" ref="H114:H133" si="156">IF(ISERROR(Y114),"",IF(OR($C114="",$C114=0),"",IF(ISTEXT(Y114),Y114,IF($AB$1=1,Y114*UNITOR,INT(Y114*UNITOR)&amp;"'-"&amp;TRIM(TEXT(ROUND(MOD(Y114*UNITOR,1)*12,1),"# ???/???"))&amp;""""))))</f>
        <v/>
      </c>
      <c r="I114" s="211" t="str">
        <f t="shared" ref="I114:I133" si="157">IF(ISERROR($BB114),"",IF(OR($C114="",$C114=0,$BB114=0),"",$BB114))</f>
        <v/>
      </c>
      <c r="J114" s="1016" t="str">
        <f t="shared" ref="J114:J133" si="158">IF(ISERROR($BC114),"",IF(OR($C114="",$C114=0,$BC114=""),"",IF(ISTEXT($BC114),$BC114,$BC114*IF($AA$1=B1SEL,1,IF($AA$1=2,FBBLS,1/FBBLS)))))</f>
        <v/>
      </c>
      <c r="K114" s="213" t="str">
        <f t="shared" ref="K114:K133" si="159">IF(ISERROR($BD114),"",IF(OR($C114="",$C114=0,$BD114=""),0,IF(ISTEXT($BD114),$BD114,$BD114*IF($AB$1=W1SEL,1,IF($AB$1=2,FINCH,1/FINCH)))))</f>
        <v/>
      </c>
      <c r="L114" s="212" t="str">
        <f t="shared" ref="L114:L133" si="160">IF(ISERROR($BE114),"",IF(OR($C114="",$C114=0,$BE114=""),0,IF(ISTEXT($BE114),$BE114,$BE114*IF($AA$1=B1SEL,1,IF($AA$1=2,FBBLS,1/FBBLS)))))</f>
        <v/>
      </c>
      <c r="M114" s="1125" t="str">
        <f>IF(OR($C114="",$C114=0),"",INDEX(API1DENST,MATCH($C114,'Vessel Gauging Data'!$B$27:$B$56,0),$AA$1))</f>
        <v/>
      </c>
      <c r="N114" s="212" t="str">
        <f t="shared" ref="N114:N133" si="161">IF(ISERROR(Z114),"",IF(OR($C114="",$C114=0,Z114=""),"",IF(ISTEXT(Z114),Z114,IF($AA$1=T1SEL,Z114,IF($AA$1=2,(Z114*9/5)+32,(Z114-32)*5/9)))))</f>
        <v/>
      </c>
      <c r="O114" s="1016" t="str">
        <f>IF(OR(J114="",L114=""),"",IF(ISTEXT(J114),"N/A",IF(ISTEXT(L114),J114,J114-L114)))</f>
        <v/>
      </c>
      <c r="P114" s="1125" t="str">
        <f>IF(OR(M114="",N114=""),"",IF(OR(ISTEXT(M114),ISTEXT(N114)),"N/A",IF($AA$1=1,ROUND(EXP(-AF114*(N114-15)*(1+0.8*AF114*(N114-15))),5),AZ114)))</f>
        <v/>
      </c>
      <c r="Q114" s="1016" t="str">
        <f>IF(OR(M114="",N114=""),"",IF(OR(ISTEXT(M114),ISTEXT(N114)),"N/A",ROUND(O114*P114,3)))</f>
        <v/>
      </c>
      <c r="R114" s="214" t="str">
        <f>IF(M114="","",IF($AA$1=1,IF(ISTEXT(Q114),"N/A",ROUND(Q114*M114,3)),IF(ISTEXT(T114),"N/A",ROUND(T114*AC114,3))))</f>
        <v/>
      </c>
      <c r="S114" s="1125" t="str">
        <f t="shared" ref="S114:S133" si="162">IF(M114="","",IF($AA$1=1,ROUND(M114-0.0011,5),ROUND((1.00122697*(141.5/(M114+131.5))-1.22269727*10^-3)*8.32823*42/2204.62,5+2)))</f>
        <v/>
      </c>
      <c r="T114" s="236" t="str">
        <f>IF(OR(M114="",N114=""),"",IF(ISTEXT(Q114),"N/A",IF($AA$1=1,ROUND((Q114*(M114-0.0011)),3),ROUND(Q114*S114,3))))</f>
        <v/>
      </c>
      <c r="U114" s="641"/>
      <c r="V114" s="642" t="e">
        <f>INDEX('Vessel Gauging Data'!$B$26:$V$56,MATCH($C114,'Vessel Gauging Data'!$B$26:$B$56,0),$V$18)</f>
        <v>#N/A</v>
      </c>
      <c r="W114" s="642" t="e">
        <f>INDEX('Vessel Gauging Data'!$B$26:$V$56,MATCH($C114,'Vessel Gauging Data'!$B$26:$B$56,0),$W$18)</f>
        <v>#N/A</v>
      </c>
      <c r="X114" s="642" t="e">
        <f>INDEX('Vessel Gauging Data'!$B$26:$V$56,MATCH($C114,'Vessel Gauging Data'!$B$26:$B$56,0),$X$18)</f>
        <v>#N/A</v>
      </c>
      <c r="Y114" s="642" t="e">
        <f>INDEX('Vessel Gauging Data'!$B$26:$V$56,MATCH($C114,'Vessel Gauging Data'!$B$26:$B$56,0),$Y$18)</f>
        <v>#N/A</v>
      </c>
      <c r="Z114" s="642" t="e">
        <f>INDEX('Vessel Gauging Data'!$B$26:$V$56,MATCH($C114,'Vessel Gauging Data'!$B$26:$B$56,0),$Z$18)</f>
        <v>#N/A</v>
      </c>
      <c r="AA114" s="641"/>
      <c r="AB114" s="642" t="e">
        <f>INDEX(API1DENST,MATCH($C114,'Vessel Gauging Data'!$B$27:$B$56,0),1)</f>
        <v>#N/A</v>
      </c>
      <c r="AC114" s="642" t="e">
        <f t="shared" ref="AC114:AC133" si="163">((INT((AB114/(1.0001506*AB114-0.0012202))*10000)+0.5)/10000)</f>
        <v>#N/A</v>
      </c>
      <c r="AD114" s="641"/>
      <c r="AE114" s="661" t="e">
        <f t="shared" ref="AE114:AE133" si="164">ROUND(+M114/2*1000,0)*2</f>
        <v>#VALUE!</v>
      </c>
      <c r="AF114" s="661" t="e">
        <f t="shared" ref="AF114:AF133" si="165">ROUND(186.9696/(AE114*AE114)+(0.4862/AE114),8)</f>
        <v>#VALUE!</v>
      </c>
      <c r="AG114" s="641"/>
      <c r="AH114" s="662" t="str">
        <f t="shared" ref="AH114:AH133" si="166">N114</f>
        <v/>
      </c>
      <c r="AI114" s="662" t="str">
        <f t="shared" ref="AI114:AI133" si="167">M114</f>
        <v/>
      </c>
      <c r="AJ114" s="663">
        <f t="shared" ref="AJ114:AJ133" si="168">IF(AND(AI114&gt;=0,AI114&lt;=37),103.872,IF(AND(AI114&gt;=48,AI114&lt;=52),-0.0018684,IF(AND(AI114&gt;=37.1,AI114&lt;=47.9),330.301,IF(AND(AI114&gt;=52.1),192.4571))))</f>
        <v>192.4571</v>
      </c>
      <c r="AK114" s="660">
        <f t="shared" ref="AK114:AK133" si="169">IF(AND(AI114&gt;=0,AI114&lt;=37),0.2701,IF(AND(AI114&gt;=48,AJ114&lt;=52),1489.067,IF(AND(AI114&gt;=37.1,AI114&lt;=47.9),0,IF(AI114&gt;=52.1,0.2438))))</f>
        <v>0.24379999999999999</v>
      </c>
      <c r="AL114" s="660" t="e">
        <f t="shared" ref="AL114:AL133" si="170">ROUND(141360.198/(AI114+131.5),2)</f>
        <v>#VALUE!</v>
      </c>
      <c r="AM114" s="664" t="e">
        <f t="shared" ref="AM114:AM133" si="171">TRUNC(AJ114/AL114,8)</f>
        <v>#VALUE!</v>
      </c>
      <c r="AN114" s="664" t="e">
        <f t="shared" ref="AN114:AN133" si="172">TRUNC(AM114/AL114,10)</f>
        <v>#VALUE!</v>
      </c>
      <c r="AO114" s="665" t="e">
        <f t="shared" ref="AO114:AO133" si="173">TRUNC(AK114/AL114,10)</f>
        <v>#VALUE!</v>
      </c>
      <c r="AP114" s="666" t="e">
        <f t="shared" ref="AP114:AP133" si="174">IF(AND(AI114&gt;=48,AI114&lt;=52),ROUND(AW114+AJ114,7),ROUND(AN114+AO114,7))</f>
        <v>#VALUE!</v>
      </c>
      <c r="AQ114" s="660" t="e">
        <f t="shared" ref="AQ114:AQ133" si="175">AH114-60</f>
        <v>#VALUE!</v>
      </c>
      <c r="AR114" s="667" t="e">
        <f t="shared" ref="AR114:AR133" si="176">TRUNC(AP114*AQ114,8)</f>
        <v>#VALUE!</v>
      </c>
      <c r="AS114" s="667" t="e">
        <f t="shared" ref="AS114:AS133" si="177">TRUNC(0.8*AR114,8)</f>
        <v>#VALUE!</v>
      </c>
      <c r="AT114" s="668" t="e">
        <f t="shared" ref="AT114:AT133" si="178">TRUNC(0.8*AP114^2*AQ114^2,8)</f>
        <v>#VALUE!</v>
      </c>
      <c r="AU114" s="667" t="e">
        <f t="shared" ref="AU114:AU133" si="179">-AR114-AT114</f>
        <v>#VALUE!</v>
      </c>
      <c r="AV114" s="669" t="e">
        <f t="shared" ref="AV114:AV133" si="180">TRUNC(AK114/AL114,5)</f>
        <v>#VALUE!</v>
      </c>
      <c r="AW114" s="667" t="e">
        <f t="shared" ref="AW114:AW133" si="181">ROUND(AV114/AL114,8)</f>
        <v>#VALUE!</v>
      </c>
      <c r="AX114" s="667" t="e">
        <f t="shared" ref="AX114:AX133" si="182">ROUND(AW114+AJ114,8)</f>
        <v>#VALUE!</v>
      </c>
      <c r="AY114" s="660" t="e">
        <f t="shared" ref="AY114:AY133" si="183">IF(AND(AI114&gt;=48,AI114&lt;=52),AX114,AP114)</f>
        <v>#VALUE!</v>
      </c>
      <c r="AZ114" s="670" t="e">
        <f t="shared" ref="AZ114:AZ133" si="184">ROUND(EXP(AU114),5)</f>
        <v>#VALUE!</v>
      </c>
      <c r="BA114" s="641"/>
      <c r="BB114" s="662" t="e">
        <f>INDEX('Vessel Gauging Data'!$B$26:$V$56,MATCH($C114,'Vessel Gauging Data'!$B$26:$B$56,0),$BB$18)</f>
        <v>#N/A</v>
      </c>
      <c r="BC114" s="662" t="e">
        <f>INDEX('Vessel Gauging Data'!$B$26:$V$56,MATCH($C114,'Vessel Gauging Data'!$B$26:$B$56,0),$BC$18)</f>
        <v>#N/A</v>
      </c>
      <c r="BD114" s="662" t="e">
        <f>INDEX('Vessel Gauging Data'!$B$26:$V$56,MATCH($C114,'Vessel Gauging Data'!$B$26:$B$56,0),$BD$18)</f>
        <v>#N/A</v>
      </c>
      <c r="BE114" s="662" t="e">
        <f>INDEX('Vessel Gauging Data'!$B$26:$V$56,MATCH($C114,'Vessel Gauging Data'!$B$26:$B$56,0),$BE$18)</f>
        <v>#N/A</v>
      </c>
    </row>
    <row r="115" spans="1:57" ht="15" hidden="1">
      <c r="A115" s="641" t="str">
        <f t="shared" si="152"/>
        <v>N</v>
      </c>
      <c r="B115" s="641"/>
      <c r="C115" s="235" t="str">
        <f t="array" ref="C115">IF(OR($E$113="",SUMPRODUCT(('Vessel Gauging Data'!$C$27:$C$56=$E$113)*1)&lt;ROWS($C$114:$C115)),"",INDEX('Vessel Gauging Data'!$B$27:$B$56,SMALL(IF(('Vessel Gauging Data'!$C$27:$C$56=$E$113),ROW('Vessel Gauging Data'!$B$27:$B$56)-ROW('Vessel Gauging Data'!$C$26)),ROW()-ROW(C$113))))</f>
        <v/>
      </c>
      <c r="D115" s="211" t="str">
        <f>IF(OR($C115="",$C115=0),"",INDEX('Vessel Gauging Data'!$B$26:$V$56,MATCH($C115,'Vessel Gauging Data'!$B$27:$B$56,0)+1,2))</f>
        <v/>
      </c>
      <c r="E115" s="1016" t="str">
        <f t="shared" si="153"/>
        <v/>
      </c>
      <c r="F115" s="1016" t="str">
        <f t="shared" si="154"/>
        <v/>
      </c>
      <c r="G115" s="1016" t="str">
        <f t="shared" si="155"/>
        <v/>
      </c>
      <c r="H115" s="1016" t="str">
        <f t="shared" si="156"/>
        <v/>
      </c>
      <c r="I115" s="211" t="str">
        <f t="shared" si="157"/>
        <v/>
      </c>
      <c r="J115" s="1016" t="str">
        <f t="shared" si="158"/>
        <v/>
      </c>
      <c r="K115" s="213" t="str">
        <f t="shared" si="159"/>
        <v/>
      </c>
      <c r="L115" s="212" t="str">
        <f t="shared" si="160"/>
        <v/>
      </c>
      <c r="M115" s="1125" t="str">
        <f>IF(OR($C115="",$C115=0),"",INDEX(API1DENST,MATCH($C115,'Vessel Gauging Data'!$B$27:$B$56,0),$AA$1))</f>
        <v/>
      </c>
      <c r="N115" s="212" t="str">
        <f t="shared" si="161"/>
        <v/>
      </c>
      <c r="O115" s="1016" t="str">
        <f t="shared" ref="O115:O133" si="185">IF(OR(J115="",L115=""),"",IF(ISTEXT(J115),"N/A",IF(ISTEXT(L115),J115,J115-L115)))</f>
        <v/>
      </c>
      <c r="P115" s="1125" t="str">
        <f t="shared" ref="P115:P133" si="186">IF(OR(M115="",N115=""),"",IF(OR(ISTEXT(M115),ISTEXT(N115)),"N/A",IF($AA$1=1,ROUND(EXP(-AF115*(N115-15)*(1+0.8*AF115*(N115-15))),5),AZ115)))</f>
        <v/>
      </c>
      <c r="Q115" s="1016" t="str">
        <f t="shared" ref="Q115:Q133" si="187">IF(OR(M115="",N115=""),"",IF(OR(ISTEXT(M115),ISTEXT(N115)),"N/A",ROUND(O115*P115,3)))</f>
        <v/>
      </c>
      <c r="R115" s="214" t="str">
        <f t="shared" ref="R115:R133" si="188">IF(M115="","",IF($AA$1=1,IF(ISTEXT(Q115),"N/A",ROUND(Q115*M115,3)),IF(ISTEXT(T115),"N/A",ROUND(T115*AC115,3))))</f>
        <v/>
      </c>
      <c r="S115" s="1125" t="str">
        <f t="shared" si="162"/>
        <v/>
      </c>
      <c r="T115" s="236" t="str">
        <f t="shared" ref="T115:T133" si="189">IF(OR(M115="",N115=""),"",IF(ISTEXT(Q115),"N/A",IF($AA$1=1,ROUND((Q115*(M115-0.0011)),3),ROUND(Q115*S115,3))))</f>
        <v/>
      </c>
      <c r="U115" s="641"/>
      <c r="V115" s="642" t="e">
        <f>INDEX('Vessel Gauging Data'!$B$26:$V$56,MATCH($C115,'Vessel Gauging Data'!$B$26:$B$56,0),$V$18)</f>
        <v>#N/A</v>
      </c>
      <c r="W115" s="642" t="e">
        <f>INDEX('Vessel Gauging Data'!$B$26:$V$56,MATCH($C115,'Vessel Gauging Data'!$B$26:$B$56,0),$W$18)</f>
        <v>#N/A</v>
      </c>
      <c r="X115" s="642" t="e">
        <f>INDEX('Vessel Gauging Data'!$B$26:$V$56,MATCH($C115,'Vessel Gauging Data'!$B$26:$B$56,0),$X$18)</f>
        <v>#N/A</v>
      </c>
      <c r="Y115" s="642" t="e">
        <f>INDEX('Vessel Gauging Data'!$B$26:$V$56,MATCH($C115,'Vessel Gauging Data'!$B$26:$B$56,0),$Y$18)</f>
        <v>#N/A</v>
      </c>
      <c r="Z115" s="642" t="e">
        <f>INDEX('Vessel Gauging Data'!$B$26:$V$56,MATCH($C115,'Vessel Gauging Data'!$B$26:$B$56,0),$Z$18)</f>
        <v>#N/A</v>
      </c>
      <c r="AA115" s="641"/>
      <c r="AB115" s="642" t="e">
        <f>INDEX(API1DENST,MATCH($C115,'Vessel Gauging Data'!$B$27:$B$56,0),1)</f>
        <v>#N/A</v>
      </c>
      <c r="AC115" s="642" t="e">
        <f t="shared" si="163"/>
        <v>#N/A</v>
      </c>
      <c r="AD115" s="641"/>
      <c r="AE115" s="661" t="e">
        <f t="shared" si="164"/>
        <v>#VALUE!</v>
      </c>
      <c r="AF115" s="661" t="e">
        <f t="shared" si="165"/>
        <v>#VALUE!</v>
      </c>
      <c r="AG115" s="641"/>
      <c r="AH115" s="662" t="str">
        <f t="shared" si="166"/>
        <v/>
      </c>
      <c r="AI115" s="662" t="str">
        <f t="shared" si="167"/>
        <v/>
      </c>
      <c r="AJ115" s="663">
        <f t="shared" si="168"/>
        <v>192.4571</v>
      </c>
      <c r="AK115" s="660">
        <f t="shared" si="169"/>
        <v>0.24379999999999999</v>
      </c>
      <c r="AL115" s="660" t="e">
        <f t="shared" si="170"/>
        <v>#VALUE!</v>
      </c>
      <c r="AM115" s="664" t="e">
        <f t="shared" si="171"/>
        <v>#VALUE!</v>
      </c>
      <c r="AN115" s="664" t="e">
        <f t="shared" si="172"/>
        <v>#VALUE!</v>
      </c>
      <c r="AO115" s="665" t="e">
        <f t="shared" si="173"/>
        <v>#VALUE!</v>
      </c>
      <c r="AP115" s="666" t="e">
        <f t="shared" si="174"/>
        <v>#VALUE!</v>
      </c>
      <c r="AQ115" s="660" t="e">
        <f t="shared" si="175"/>
        <v>#VALUE!</v>
      </c>
      <c r="AR115" s="667" t="e">
        <f t="shared" si="176"/>
        <v>#VALUE!</v>
      </c>
      <c r="AS115" s="667" t="e">
        <f t="shared" si="177"/>
        <v>#VALUE!</v>
      </c>
      <c r="AT115" s="668" t="e">
        <f t="shared" si="178"/>
        <v>#VALUE!</v>
      </c>
      <c r="AU115" s="667" t="e">
        <f t="shared" si="179"/>
        <v>#VALUE!</v>
      </c>
      <c r="AV115" s="669" t="e">
        <f t="shared" si="180"/>
        <v>#VALUE!</v>
      </c>
      <c r="AW115" s="667" t="e">
        <f t="shared" si="181"/>
        <v>#VALUE!</v>
      </c>
      <c r="AX115" s="667" t="e">
        <f t="shared" si="182"/>
        <v>#VALUE!</v>
      </c>
      <c r="AY115" s="660" t="e">
        <f t="shared" si="183"/>
        <v>#VALUE!</v>
      </c>
      <c r="AZ115" s="670" t="e">
        <f t="shared" si="184"/>
        <v>#VALUE!</v>
      </c>
      <c r="BA115" s="641"/>
      <c r="BB115" s="662" t="e">
        <f>INDEX('Vessel Gauging Data'!$B$26:$V$56,MATCH($C115,'Vessel Gauging Data'!$B$26:$B$56,0),$BB$18)</f>
        <v>#N/A</v>
      </c>
      <c r="BC115" s="662" t="e">
        <f>INDEX('Vessel Gauging Data'!$B$26:$V$56,MATCH($C115,'Vessel Gauging Data'!$B$26:$B$56,0),$BC$18)</f>
        <v>#N/A</v>
      </c>
      <c r="BD115" s="662" t="e">
        <f>INDEX('Vessel Gauging Data'!$B$26:$V$56,MATCH($C115,'Vessel Gauging Data'!$B$26:$B$56,0),$BD$18)</f>
        <v>#N/A</v>
      </c>
      <c r="BE115" s="662" t="e">
        <f>INDEX('Vessel Gauging Data'!$B$26:$V$56,MATCH($C115,'Vessel Gauging Data'!$B$26:$B$56,0),$BE$18)</f>
        <v>#N/A</v>
      </c>
    </row>
    <row r="116" spans="1:57" ht="15" hidden="1">
      <c r="A116" s="641" t="str">
        <f t="shared" si="152"/>
        <v>N</v>
      </c>
      <c r="B116" s="641"/>
      <c r="C116" s="235" t="str">
        <f t="array" ref="C116">IF(OR($E$113="",SUMPRODUCT(('Vessel Gauging Data'!$C$27:$C$56=$E$113)*1)&lt;ROWS($C$114:$C116)),"",INDEX('Vessel Gauging Data'!$B$27:$B$56,SMALL(IF(('Vessel Gauging Data'!$C$27:$C$56=$E$113),ROW('Vessel Gauging Data'!$B$27:$B$56)-ROW('Vessel Gauging Data'!$C$26)),ROW()-ROW(C$113))))</f>
        <v/>
      </c>
      <c r="D116" s="211" t="str">
        <f>IF(OR($C116="",$C116=0),"",INDEX('Vessel Gauging Data'!$B$26:$V$56,MATCH($C116,'Vessel Gauging Data'!$B$27:$B$56,0)+1,2))</f>
        <v/>
      </c>
      <c r="E116" s="1016" t="str">
        <f t="shared" si="153"/>
        <v/>
      </c>
      <c r="F116" s="1016" t="str">
        <f t="shared" si="154"/>
        <v/>
      </c>
      <c r="G116" s="1016" t="str">
        <f t="shared" si="155"/>
        <v/>
      </c>
      <c r="H116" s="1016" t="str">
        <f t="shared" si="156"/>
        <v/>
      </c>
      <c r="I116" s="211" t="str">
        <f t="shared" si="157"/>
        <v/>
      </c>
      <c r="J116" s="1016" t="str">
        <f t="shared" si="158"/>
        <v/>
      </c>
      <c r="K116" s="213" t="str">
        <f t="shared" si="159"/>
        <v/>
      </c>
      <c r="L116" s="212" t="str">
        <f t="shared" si="160"/>
        <v/>
      </c>
      <c r="M116" s="1125" t="str">
        <f>IF(OR($C116="",$C116=0),"",INDEX(API1DENST,MATCH($C116,'Vessel Gauging Data'!$B$27:$B$56,0),$AA$1))</f>
        <v/>
      </c>
      <c r="N116" s="212" t="str">
        <f t="shared" si="161"/>
        <v/>
      </c>
      <c r="O116" s="1016" t="str">
        <f t="shared" si="185"/>
        <v/>
      </c>
      <c r="P116" s="1125" t="str">
        <f t="shared" si="186"/>
        <v/>
      </c>
      <c r="Q116" s="1016" t="str">
        <f t="shared" si="187"/>
        <v/>
      </c>
      <c r="R116" s="214" t="str">
        <f t="shared" si="188"/>
        <v/>
      </c>
      <c r="S116" s="1125" t="str">
        <f t="shared" si="162"/>
        <v/>
      </c>
      <c r="T116" s="236" t="str">
        <f t="shared" si="189"/>
        <v/>
      </c>
      <c r="U116" s="641"/>
      <c r="V116" s="642" t="e">
        <f>INDEX('Vessel Gauging Data'!$B$26:$V$56,MATCH($C116,'Vessel Gauging Data'!$B$26:$B$56,0),$V$18)</f>
        <v>#N/A</v>
      </c>
      <c r="W116" s="642" t="e">
        <f>INDEX('Vessel Gauging Data'!$B$26:$V$56,MATCH($C116,'Vessel Gauging Data'!$B$26:$B$56,0),$W$18)</f>
        <v>#N/A</v>
      </c>
      <c r="X116" s="642" t="e">
        <f>INDEX('Vessel Gauging Data'!$B$26:$V$56,MATCH($C116,'Vessel Gauging Data'!$B$26:$B$56,0),$X$18)</f>
        <v>#N/A</v>
      </c>
      <c r="Y116" s="642" t="e">
        <f>INDEX('Vessel Gauging Data'!$B$26:$V$56,MATCH($C116,'Vessel Gauging Data'!$B$26:$B$56,0),$Y$18)</f>
        <v>#N/A</v>
      </c>
      <c r="Z116" s="642" t="e">
        <f>INDEX('Vessel Gauging Data'!$B$26:$V$56,MATCH($C116,'Vessel Gauging Data'!$B$26:$B$56,0),$Z$18)</f>
        <v>#N/A</v>
      </c>
      <c r="AA116" s="641"/>
      <c r="AB116" s="642" t="e">
        <f>INDEX(API1DENST,MATCH($C116,'Vessel Gauging Data'!$B$27:$B$56,0),1)</f>
        <v>#N/A</v>
      </c>
      <c r="AC116" s="642" t="e">
        <f t="shared" si="163"/>
        <v>#N/A</v>
      </c>
      <c r="AD116" s="641"/>
      <c r="AE116" s="661" t="e">
        <f t="shared" si="164"/>
        <v>#VALUE!</v>
      </c>
      <c r="AF116" s="661" t="e">
        <f t="shared" si="165"/>
        <v>#VALUE!</v>
      </c>
      <c r="AG116" s="641"/>
      <c r="AH116" s="662" t="str">
        <f t="shared" si="166"/>
        <v/>
      </c>
      <c r="AI116" s="662" t="str">
        <f t="shared" si="167"/>
        <v/>
      </c>
      <c r="AJ116" s="663">
        <f t="shared" si="168"/>
        <v>192.4571</v>
      </c>
      <c r="AK116" s="660">
        <f t="shared" si="169"/>
        <v>0.24379999999999999</v>
      </c>
      <c r="AL116" s="660" t="e">
        <f t="shared" si="170"/>
        <v>#VALUE!</v>
      </c>
      <c r="AM116" s="664" t="e">
        <f t="shared" si="171"/>
        <v>#VALUE!</v>
      </c>
      <c r="AN116" s="664" t="e">
        <f t="shared" si="172"/>
        <v>#VALUE!</v>
      </c>
      <c r="AO116" s="665" t="e">
        <f t="shared" si="173"/>
        <v>#VALUE!</v>
      </c>
      <c r="AP116" s="666" t="e">
        <f t="shared" si="174"/>
        <v>#VALUE!</v>
      </c>
      <c r="AQ116" s="660" t="e">
        <f t="shared" si="175"/>
        <v>#VALUE!</v>
      </c>
      <c r="AR116" s="667" t="e">
        <f t="shared" si="176"/>
        <v>#VALUE!</v>
      </c>
      <c r="AS116" s="667" t="e">
        <f t="shared" si="177"/>
        <v>#VALUE!</v>
      </c>
      <c r="AT116" s="668" t="e">
        <f t="shared" si="178"/>
        <v>#VALUE!</v>
      </c>
      <c r="AU116" s="667" t="e">
        <f t="shared" si="179"/>
        <v>#VALUE!</v>
      </c>
      <c r="AV116" s="669" t="e">
        <f t="shared" si="180"/>
        <v>#VALUE!</v>
      </c>
      <c r="AW116" s="667" t="e">
        <f t="shared" si="181"/>
        <v>#VALUE!</v>
      </c>
      <c r="AX116" s="667" t="e">
        <f t="shared" si="182"/>
        <v>#VALUE!</v>
      </c>
      <c r="AY116" s="660" t="e">
        <f t="shared" si="183"/>
        <v>#VALUE!</v>
      </c>
      <c r="AZ116" s="670" t="e">
        <f t="shared" si="184"/>
        <v>#VALUE!</v>
      </c>
      <c r="BA116" s="641"/>
      <c r="BB116" s="662" t="e">
        <f>INDEX('Vessel Gauging Data'!$B$26:$V$56,MATCH($C116,'Vessel Gauging Data'!$B$26:$B$56,0),$BB$18)</f>
        <v>#N/A</v>
      </c>
      <c r="BC116" s="662" t="e">
        <f>INDEX('Vessel Gauging Data'!$B$26:$V$56,MATCH($C116,'Vessel Gauging Data'!$B$26:$B$56,0),$BC$18)</f>
        <v>#N/A</v>
      </c>
      <c r="BD116" s="662" t="e">
        <f>INDEX('Vessel Gauging Data'!$B$26:$V$56,MATCH($C116,'Vessel Gauging Data'!$B$26:$B$56,0),$BD$18)</f>
        <v>#N/A</v>
      </c>
      <c r="BE116" s="662" t="e">
        <f>INDEX('Vessel Gauging Data'!$B$26:$V$56,MATCH($C116,'Vessel Gauging Data'!$B$26:$B$56,0),$BE$18)</f>
        <v>#N/A</v>
      </c>
    </row>
    <row r="117" spans="1:57" ht="15" hidden="1">
      <c r="A117" s="641" t="str">
        <f t="shared" si="152"/>
        <v>N</v>
      </c>
      <c r="B117" s="641"/>
      <c r="C117" s="235" t="str">
        <f t="array" ref="C117">IF(OR($E$113="",SUMPRODUCT(('Vessel Gauging Data'!$C$27:$C$56=$E$113)*1)&lt;ROWS($C$114:$C117)),"",INDEX('Vessel Gauging Data'!$B$27:$B$56,SMALL(IF(('Vessel Gauging Data'!$C$27:$C$56=$E$113),ROW('Vessel Gauging Data'!$B$27:$B$56)-ROW('Vessel Gauging Data'!$C$26)),ROW()-ROW(C$113))))</f>
        <v/>
      </c>
      <c r="D117" s="211" t="str">
        <f>IF(OR($C117="",$C117=0),"",INDEX('Vessel Gauging Data'!$B$26:$V$56,MATCH($C117,'Vessel Gauging Data'!$B$27:$B$56,0)+1,2))</f>
        <v/>
      </c>
      <c r="E117" s="1016" t="str">
        <f t="shared" si="153"/>
        <v/>
      </c>
      <c r="F117" s="1016" t="str">
        <f t="shared" si="154"/>
        <v/>
      </c>
      <c r="G117" s="1016" t="str">
        <f t="shared" si="155"/>
        <v/>
      </c>
      <c r="H117" s="1016" t="str">
        <f t="shared" si="156"/>
        <v/>
      </c>
      <c r="I117" s="211" t="str">
        <f t="shared" si="157"/>
        <v/>
      </c>
      <c r="J117" s="1016" t="str">
        <f t="shared" si="158"/>
        <v/>
      </c>
      <c r="K117" s="213" t="str">
        <f t="shared" si="159"/>
        <v/>
      </c>
      <c r="L117" s="212" t="str">
        <f t="shared" si="160"/>
        <v/>
      </c>
      <c r="M117" s="1125" t="str">
        <f>IF(OR($C117="",$C117=0),"",INDEX(API1DENST,MATCH($C117,'Vessel Gauging Data'!$B$27:$B$56,0),$AA$1))</f>
        <v/>
      </c>
      <c r="N117" s="212" t="str">
        <f t="shared" si="161"/>
        <v/>
      </c>
      <c r="O117" s="1016" t="str">
        <f t="shared" si="185"/>
        <v/>
      </c>
      <c r="P117" s="1125" t="str">
        <f t="shared" si="186"/>
        <v/>
      </c>
      <c r="Q117" s="1016" t="str">
        <f t="shared" si="187"/>
        <v/>
      </c>
      <c r="R117" s="214" t="str">
        <f t="shared" si="188"/>
        <v/>
      </c>
      <c r="S117" s="1125" t="str">
        <f t="shared" si="162"/>
        <v/>
      </c>
      <c r="T117" s="236" t="str">
        <f t="shared" si="189"/>
        <v/>
      </c>
      <c r="U117" s="641"/>
      <c r="V117" s="642" t="e">
        <f>INDEX('Vessel Gauging Data'!$B$26:$V$56,MATCH($C117,'Vessel Gauging Data'!$B$26:$B$56,0),$V$18)</f>
        <v>#N/A</v>
      </c>
      <c r="W117" s="642" t="e">
        <f>INDEX('Vessel Gauging Data'!$B$26:$V$56,MATCH($C117,'Vessel Gauging Data'!$B$26:$B$56,0),$W$18)</f>
        <v>#N/A</v>
      </c>
      <c r="X117" s="642" t="e">
        <f>INDEX('Vessel Gauging Data'!$B$26:$V$56,MATCH($C117,'Vessel Gauging Data'!$B$26:$B$56,0),$X$18)</f>
        <v>#N/A</v>
      </c>
      <c r="Y117" s="642" t="e">
        <f>INDEX('Vessel Gauging Data'!$B$26:$V$56,MATCH($C117,'Vessel Gauging Data'!$B$26:$B$56,0),$Y$18)</f>
        <v>#N/A</v>
      </c>
      <c r="Z117" s="642" t="e">
        <f>INDEX('Vessel Gauging Data'!$B$26:$V$56,MATCH($C117,'Vessel Gauging Data'!$B$26:$B$56,0),$Z$18)</f>
        <v>#N/A</v>
      </c>
      <c r="AA117" s="641"/>
      <c r="AB117" s="642" t="e">
        <f>INDEX(API1DENST,MATCH($C117,'Vessel Gauging Data'!$B$27:$B$56,0),1)</f>
        <v>#N/A</v>
      </c>
      <c r="AC117" s="642" t="e">
        <f t="shared" si="163"/>
        <v>#N/A</v>
      </c>
      <c r="AD117" s="641"/>
      <c r="AE117" s="661" t="e">
        <f t="shared" si="164"/>
        <v>#VALUE!</v>
      </c>
      <c r="AF117" s="661" t="e">
        <f t="shared" si="165"/>
        <v>#VALUE!</v>
      </c>
      <c r="AG117" s="641"/>
      <c r="AH117" s="662" t="str">
        <f t="shared" si="166"/>
        <v/>
      </c>
      <c r="AI117" s="662" t="str">
        <f t="shared" si="167"/>
        <v/>
      </c>
      <c r="AJ117" s="663">
        <f t="shared" si="168"/>
        <v>192.4571</v>
      </c>
      <c r="AK117" s="660">
        <f t="shared" si="169"/>
        <v>0.24379999999999999</v>
      </c>
      <c r="AL117" s="660" t="e">
        <f t="shared" si="170"/>
        <v>#VALUE!</v>
      </c>
      <c r="AM117" s="664" t="e">
        <f t="shared" si="171"/>
        <v>#VALUE!</v>
      </c>
      <c r="AN117" s="664" t="e">
        <f t="shared" si="172"/>
        <v>#VALUE!</v>
      </c>
      <c r="AO117" s="665" t="e">
        <f t="shared" si="173"/>
        <v>#VALUE!</v>
      </c>
      <c r="AP117" s="666" t="e">
        <f t="shared" si="174"/>
        <v>#VALUE!</v>
      </c>
      <c r="AQ117" s="660" t="e">
        <f t="shared" si="175"/>
        <v>#VALUE!</v>
      </c>
      <c r="AR117" s="667" t="e">
        <f t="shared" si="176"/>
        <v>#VALUE!</v>
      </c>
      <c r="AS117" s="667" t="e">
        <f t="shared" si="177"/>
        <v>#VALUE!</v>
      </c>
      <c r="AT117" s="668" t="e">
        <f t="shared" si="178"/>
        <v>#VALUE!</v>
      </c>
      <c r="AU117" s="667" t="e">
        <f t="shared" si="179"/>
        <v>#VALUE!</v>
      </c>
      <c r="AV117" s="669" t="e">
        <f t="shared" si="180"/>
        <v>#VALUE!</v>
      </c>
      <c r="AW117" s="667" t="e">
        <f t="shared" si="181"/>
        <v>#VALUE!</v>
      </c>
      <c r="AX117" s="667" t="e">
        <f t="shared" si="182"/>
        <v>#VALUE!</v>
      </c>
      <c r="AY117" s="660" t="e">
        <f t="shared" si="183"/>
        <v>#VALUE!</v>
      </c>
      <c r="AZ117" s="670" t="e">
        <f t="shared" si="184"/>
        <v>#VALUE!</v>
      </c>
      <c r="BA117" s="641"/>
      <c r="BB117" s="662" t="e">
        <f>INDEX('Vessel Gauging Data'!$B$26:$V$56,MATCH($C117,'Vessel Gauging Data'!$B$26:$B$56,0),$BB$18)</f>
        <v>#N/A</v>
      </c>
      <c r="BC117" s="662" t="e">
        <f>INDEX('Vessel Gauging Data'!$B$26:$V$56,MATCH($C117,'Vessel Gauging Data'!$B$26:$B$56,0),$BC$18)</f>
        <v>#N/A</v>
      </c>
      <c r="BD117" s="662" t="e">
        <f>INDEX('Vessel Gauging Data'!$B$26:$V$56,MATCH($C117,'Vessel Gauging Data'!$B$26:$B$56,0),$BD$18)</f>
        <v>#N/A</v>
      </c>
      <c r="BE117" s="662" t="e">
        <f>INDEX('Vessel Gauging Data'!$B$26:$V$56,MATCH($C117,'Vessel Gauging Data'!$B$26:$B$56,0),$BE$18)</f>
        <v>#N/A</v>
      </c>
    </row>
    <row r="118" spans="1:57" ht="15" hidden="1">
      <c r="A118" s="641" t="str">
        <f t="shared" si="152"/>
        <v>N</v>
      </c>
      <c r="B118" s="641"/>
      <c r="C118" s="235" t="str">
        <f t="array" ref="C118">IF(OR($E$113="",SUMPRODUCT(('Vessel Gauging Data'!$C$27:$C$56=$E$113)*1)&lt;ROWS($C$114:$C118)),"",INDEX('Vessel Gauging Data'!$B$27:$B$56,SMALL(IF(('Vessel Gauging Data'!$C$27:$C$56=$E$113),ROW('Vessel Gauging Data'!$B$27:$B$56)-ROW('Vessel Gauging Data'!$C$26)),ROW()-ROW(C$113))))</f>
        <v/>
      </c>
      <c r="D118" s="211" t="str">
        <f>IF(OR($C118="",$C118=0),"",INDEX('Vessel Gauging Data'!$B$26:$V$56,MATCH($C118,'Vessel Gauging Data'!$B$27:$B$56,0)+1,2))</f>
        <v/>
      </c>
      <c r="E118" s="1016" t="str">
        <f t="shared" si="153"/>
        <v/>
      </c>
      <c r="F118" s="1016" t="str">
        <f t="shared" si="154"/>
        <v/>
      </c>
      <c r="G118" s="1016" t="str">
        <f t="shared" si="155"/>
        <v/>
      </c>
      <c r="H118" s="1016" t="str">
        <f t="shared" si="156"/>
        <v/>
      </c>
      <c r="I118" s="211" t="str">
        <f t="shared" si="157"/>
        <v/>
      </c>
      <c r="J118" s="1016" t="str">
        <f t="shared" si="158"/>
        <v/>
      </c>
      <c r="K118" s="213" t="str">
        <f t="shared" si="159"/>
        <v/>
      </c>
      <c r="L118" s="212" t="str">
        <f t="shared" si="160"/>
        <v/>
      </c>
      <c r="M118" s="1125" t="str">
        <f>IF(OR($C118="",$C118=0),"",INDEX(API1DENST,MATCH($C118,'Vessel Gauging Data'!$B$27:$B$56,0),$AA$1))</f>
        <v/>
      </c>
      <c r="N118" s="212" t="str">
        <f t="shared" si="161"/>
        <v/>
      </c>
      <c r="O118" s="1016" t="str">
        <f t="shared" si="185"/>
        <v/>
      </c>
      <c r="P118" s="1125" t="str">
        <f t="shared" si="186"/>
        <v/>
      </c>
      <c r="Q118" s="1016" t="str">
        <f t="shared" si="187"/>
        <v/>
      </c>
      <c r="R118" s="214" t="str">
        <f t="shared" si="188"/>
        <v/>
      </c>
      <c r="S118" s="1125" t="str">
        <f t="shared" si="162"/>
        <v/>
      </c>
      <c r="T118" s="236" t="str">
        <f t="shared" si="189"/>
        <v/>
      </c>
      <c r="U118" s="641"/>
      <c r="V118" s="642" t="e">
        <f>INDEX('Vessel Gauging Data'!$B$26:$V$56,MATCH($C118,'Vessel Gauging Data'!$B$26:$B$56,0),$V$18)</f>
        <v>#N/A</v>
      </c>
      <c r="W118" s="642" t="e">
        <f>INDEX('Vessel Gauging Data'!$B$26:$V$56,MATCH($C118,'Vessel Gauging Data'!$B$26:$B$56,0),$W$18)</f>
        <v>#N/A</v>
      </c>
      <c r="X118" s="642" t="e">
        <f>INDEX('Vessel Gauging Data'!$B$26:$V$56,MATCH($C118,'Vessel Gauging Data'!$B$26:$B$56,0),$X$18)</f>
        <v>#N/A</v>
      </c>
      <c r="Y118" s="642" t="e">
        <f>INDEX('Vessel Gauging Data'!$B$26:$V$56,MATCH($C118,'Vessel Gauging Data'!$B$26:$B$56,0),$Y$18)</f>
        <v>#N/A</v>
      </c>
      <c r="Z118" s="642" t="e">
        <f>INDEX('Vessel Gauging Data'!$B$26:$V$56,MATCH($C118,'Vessel Gauging Data'!$B$26:$B$56,0),$Z$18)</f>
        <v>#N/A</v>
      </c>
      <c r="AA118" s="641"/>
      <c r="AB118" s="642" t="e">
        <f>INDEX(API1DENST,MATCH($C118,'Vessel Gauging Data'!$B$27:$B$56,0),1)</f>
        <v>#N/A</v>
      </c>
      <c r="AC118" s="642" t="e">
        <f t="shared" si="163"/>
        <v>#N/A</v>
      </c>
      <c r="AD118" s="641"/>
      <c r="AE118" s="661" t="e">
        <f t="shared" si="164"/>
        <v>#VALUE!</v>
      </c>
      <c r="AF118" s="661" t="e">
        <f t="shared" si="165"/>
        <v>#VALUE!</v>
      </c>
      <c r="AG118" s="641"/>
      <c r="AH118" s="662" t="str">
        <f t="shared" si="166"/>
        <v/>
      </c>
      <c r="AI118" s="662" t="str">
        <f t="shared" si="167"/>
        <v/>
      </c>
      <c r="AJ118" s="663">
        <f t="shared" si="168"/>
        <v>192.4571</v>
      </c>
      <c r="AK118" s="660">
        <f t="shared" si="169"/>
        <v>0.24379999999999999</v>
      </c>
      <c r="AL118" s="660" t="e">
        <f t="shared" si="170"/>
        <v>#VALUE!</v>
      </c>
      <c r="AM118" s="664" t="e">
        <f t="shared" si="171"/>
        <v>#VALUE!</v>
      </c>
      <c r="AN118" s="664" t="e">
        <f t="shared" si="172"/>
        <v>#VALUE!</v>
      </c>
      <c r="AO118" s="665" t="e">
        <f t="shared" si="173"/>
        <v>#VALUE!</v>
      </c>
      <c r="AP118" s="666" t="e">
        <f t="shared" si="174"/>
        <v>#VALUE!</v>
      </c>
      <c r="AQ118" s="660" t="e">
        <f t="shared" si="175"/>
        <v>#VALUE!</v>
      </c>
      <c r="AR118" s="667" t="e">
        <f t="shared" si="176"/>
        <v>#VALUE!</v>
      </c>
      <c r="AS118" s="667" t="e">
        <f t="shared" si="177"/>
        <v>#VALUE!</v>
      </c>
      <c r="AT118" s="668" t="e">
        <f t="shared" si="178"/>
        <v>#VALUE!</v>
      </c>
      <c r="AU118" s="667" t="e">
        <f t="shared" si="179"/>
        <v>#VALUE!</v>
      </c>
      <c r="AV118" s="669" t="e">
        <f t="shared" si="180"/>
        <v>#VALUE!</v>
      </c>
      <c r="AW118" s="667" t="e">
        <f t="shared" si="181"/>
        <v>#VALUE!</v>
      </c>
      <c r="AX118" s="667" t="e">
        <f t="shared" si="182"/>
        <v>#VALUE!</v>
      </c>
      <c r="AY118" s="660" t="e">
        <f t="shared" si="183"/>
        <v>#VALUE!</v>
      </c>
      <c r="AZ118" s="670" t="e">
        <f t="shared" si="184"/>
        <v>#VALUE!</v>
      </c>
      <c r="BA118" s="641"/>
      <c r="BB118" s="662" t="e">
        <f>INDEX('Vessel Gauging Data'!$B$26:$V$56,MATCH($C118,'Vessel Gauging Data'!$B$26:$B$56,0),$BB$18)</f>
        <v>#N/A</v>
      </c>
      <c r="BC118" s="662" t="e">
        <f>INDEX('Vessel Gauging Data'!$B$26:$V$56,MATCH($C118,'Vessel Gauging Data'!$B$26:$B$56,0),$BC$18)</f>
        <v>#N/A</v>
      </c>
      <c r="BD118" s="662" t="e">
        <f>INDEX('Vessel Gauging Data'!$B$26:$V$56,MATCH($C118,'Vessel Gauging Data'!$B$26:$B$56,0),$BD$18)</f>
        <v>#N/A</v>
      </c>
      <c r="BE118" s="662" t="e">
        <f>INDEX('Vessel Gauging Data'!$B$26:$V$56,MATCH($C118,'Vessel Gauging Data'!$B$26:$B$56,0),$BE$18)</f>
        <v>#N/A</v>
      </c>
    </row>
    <row r="119" spans="1:57" ht="15" hidden="1">
      <c r="A119" s="641" t="str">
        <f t="shared" si="152"/>
        <v>N</v>
      </c>
      <c r="B119" s="641"/>
      <c r="C119" s="235" t="str">
        <f t="array" ref="C119">IF(OR($E$113="",SUMPRODUCT(('Vessel Gauging Data'!$C$27:$C$56=$E$113)*1)&lt;ROWS($C$114:$C119)),"",INDEX('Vessel Gauging Data'!$B$27:$B$56,SMALL(IF(('Vessel Gauging Data'!$C$27:$C$56=$E$113),ROW('Vessel Gauging Data'!$B$27:$B$56)-ROW('Vessel Gauging Data'!$C$26)),ROW()-ROW(C$113))))</f>
        <v/>
      </c>
      <c r="D119" s="211" t="str">
        <f>IF(OR($C119="",$C119=0),"",INDEX('Vessel Gauging Data'!$B$26:$V$56,MATCH($C119,'Vessel Gauging Data'!$B$27:$B$56,0)+1,2))</f>
        <v/>
      </c>
      <c r="E119" s="1016" t="str">
        <f t="shared" si="153"/>
        <v/>
      </c>
      <c r="F119" s="1016" t="str">
        <f t="shared" si="154"/>
        <v/>
      </c>
      <c r="G119" s="1016" t="str">
        <f t="shared" si="155"/>
        <v/>
      </c>
      <c r="H119" s="1016" t="str">
        <f t="shared" si="156"/>
        <v/>
      </c>
      <c r="I119" s="211" t="str">
        <f t="shared" si="157"/>
        <v/>
      </c>
      <c r="J119" s="1016" t="str">
        <f t="shared" si="158"/>
        <v/>
      </c>
      <c r="K119" s="213" t="str">
        <f t="shared" si="159"/>
        <v/>
      </c>
      <c r="L119" s="212" t="str">
        <f t="shared" si="160"/>
        <v/>
      </c>
      <c r="M119" s="1125" t="str">
        <f>IF(OR($C119="",$C119=0),"",INDEX(API1DENST,MATCH($C119,'Vessel Gauging Data'!$B$27:$B$56,0),$AA$1))</f>
        <v/>
      </c>
      <c r="N119" s="212" t="str">
        <f t="shared" si="161"/>
        <v/>
      </c>
      <c r="O119" s="1016" t="str">
        <f t="shared" si="185"/>
        <v/>
      </c>
      <c r="P119" s="1125" t="str">
        <f t="shared" si="186"/>
        <v/>
      </c>
      <c r="Q119" s="1016" t="str">
        <f t="shared" si="187"/>
        <v/>
      </c>
      <c r="R119" s="214" t="str">
        <f t="shared" si="188"/>
        <v/>
      </c>
      <c r="S119" s="1125" t="str">
        <f t="shared" si="162"/>
        <v/>
      </c>
      <c r="T119" s="236" t="str">
        <f t="shared" si="189"/>
        <v/>
      </c>
      <c r="U119" s="641"/>
      <c r="V119" s="642" t="e">
        <f>INDEX('Vessel Gauging Data'!$B$26:$V$56,MATCH($C119,'Vessel Gauging Data'!$B$26:$B$56,0),$V$18)</f>
        <v>#N/A</v>
      </c>
      <c r="W119" s="642" t="e">
        <f>INDEX('Vessel Gauging Data'!$B$26:$V$56,MATCH($C119,'Vessel Gauging Data'!$B$26:$B$56,0),$W$18)</f>
        <v>#N/A</v>
      </c>
      <c r="X119" s="642" t="e">
        <f>INDEX('Vessel Gauging Data'!$B$26:$V$56,MATCH($C119,'Vessel Gauging Data'!$B$26:$B$56,0),$X$18)</f>
        <v>#N/A</v>
      </c>
      <c r="Y119" s="642" t="e">
        <f>INDEX('Vessel Gauging Data'!$B$26:$V$56,MATCH($C119,'Vessel Gauging Data'!$B$26:$B$56,0),$Y$18)</f>
        <v>#N/A</v>
      </c>
      <c r="Z119" s="642" t="e">
        <f>INDEX('Vessel Gauging Data'!$B$26:$V$56,MATCH($C119,'Vessel Gauging Data'!$B$26:$B$56,0),$Z$18)</f>
        <v>#N/A</v>
      </c>
      <c r="AA119" s="641"/>
      <c r="AB119" s="642" t="e">
        <f>INDEX(API1DENST,MATCH($C119,'Vessel Gauging Data'!$B$27:$B$56,0),1)</f>
        <v>#N/A</v>
      </c>
      <c r="AC119" s="642" t="e">
        <f t="shared" si="163"/>
        <v>#N/A</v>
      </c>
      <c r="AD119" s="641"/>
      <c r="AE119" s="661" t="e">
        <f t="shared" si="164"/>
        <v>#VALUE!</v>
      </c>
      <c r="AF119" s="661" t="e">
        <f t="shared" si="165"/>
        <v>#VALUE!</v>
      </c>
      <c r="AG119" s="641"/>
      <c r="AH119" s="662" t="str">
        <f t="shared" si="166"/>
        <v/>
      </c>
      <c r="AI119" s="662" t="str">
        <f t="shared" si="167"/>
        <v/>
      </c>
      <c r="AJ119" s="663">
        <f t="shared" si="168"/>
        <v>192.4571</v>
      </c>
      <c r="AK119" s="660">
        <f t="shared" si="169"/>
        <v>0.24379999999999999</v>
      </c>
      <c r="AL119" s="660" t="e">
        <f t="shared" si="170"/>
        <v>#VALUE!</v>
      </c>
      <c r="AM119" s="664" t="e">
        <f t="shared" si="171"/>
        <v>#VALUE!</v>
      </c>
      <c r="AN119" s="664" t="e">
        <f t="shared" si="172"/>
        <v>#VALUE!</v>
      </c>
      <c r="AO119" s="665" t="e">
        <f t="shared" si="173"/>
        <v>#VALUE!</v>
      </c>
      <c r="AP119" s="666" t="e">
        <f t="shared" si="174"/>
        <v>#VALUE!</v>
      </c>
      <c r="AQ119" s="660" t="e">
        <f t="shared" si="175"/>
        <v>#VALUE!</v>
      </c>
      <c r="AR119" s="667" t="e">
        <f t="shared" si="176"/>
        <v>#VALUE!</v>
      </c>
      <c r="AS119" s="667" t="e">
        <f t="shared" si="177"/>
        <v>#VALUE!</v>
      </c>
      <c r="AT119" s="668" t="e">
        <f t="shared" si="178"/>
        <v>#VALUE!</v>
      </c>
      <c r="AU119" s="667" t="e">
        <f t="shared" si="179"/>
        <v>#VALUE!</v>
      </c>
      <c r="AV119" s="669" t="e">
        <f t="shared" si="180"/>
        <v>#VALUE!</v>
      </c>
      <c r="AW119" s="667" t="e">
        <f t="shared" si="181"/>
        <v>#VALUE!</v>
      </c>
      <c r="AX119" s="667" t="e">
        <f t="shared" si="182"/>
        <v>#VALUE!</v>
      </c>
      <c r="AY119" s="660" t="e">
        <f t="shared" si="183"/>
        <v>#VALUE!</v>
      </c>
      <c r="AZ119" s="670" t="e">
        <f t="shared" si="184"/>
        <v>#VALUE!</v>
      </c>
      <c r="BA119" s="641"/>
      <c r="BB119" s="662" t="e">
        <f>INDEX('Vessel Gauging Data'!$B$26:$V$56,MATCH($C119,'Vessel Gauging Data'!$B$26:$B$56,0),$BB$18)</f>
        <v>#N/A</v>
      </c>
      <c r="BC119" s="662" t="e">
        <f>INDEX('Vessel Gauging Data'!$B$26:$V$56,MATCH($C119,'Vessel Gauging Data'!$B$26:$B$56,0),$BC$18)</f>
        <v>#N/A</v>
      </c>
      <c r="BD119" s="662" t="e">
        <f>INDEX('Vessel Gauging Data'!$B$26:$V$56,MATCH($C119,'Vessel Gauging Data'!$B$26:$B$56,0),$BD$18)</f>
        <v>#N/A</v>
      </c>
      <c r="BE119" s="662" t="e">
        <f>INDEX('Vessel Gauging Data'!$B$26:$V$56,MATCH($C119,'Vessel Gauging Data'!$B$26:$B$56,0),$BE$18)</f>
        <v>#N/A</v>
      </c>
    </row>
    <row r="120" spans="1:57" ht="15" hidden="1">
      <c r="A120" s="641" t="str">
        <f t="shared" si="152"/>
        <v>N</v>
      </c>
      <c r="B120" s="641"/>
      <c r="C120" s="235" t="str">
        <f t="array" ref="C120">IF(OR($E$113="",SUMPRODUCT(('Vessel Gauging Data'!$C$27:$C$56=$E$113)*1)&lt;ROWS($C$114:$C120)),"",INDEX('Vessel Gauging Data'!$B$27:$B$56,SMALL(IF(('Vessel Gauging Data'!$C$27:$C$56=$E$113),ROW('Vessel Gauging Data'!$B$27:$B$56)-ROW('Vessel Gauging Data'!$C$26)),ROW()-ROW(C$113))))</f>
        <v/>
      </c>
      <c r="D120" s="211" t="str">
        <f>IF(OR($C120="",$C120=0),"",INDEX('Vessel Gauging Data'!$B$26:$V$56,MATCH($C120,'Vessel Gauging Data'!$B$27:$B$56,0)+1,2))</f>
        <v/>
      </c>
      <c r="E120" s="1016" t="str">
        <f t="shared" si="153"/>
        <v/>
      </c>
      <c r="F120" s="1016" t="str">
        <f t="shared" si="154"/>
        <v/>
      </c>
      <c r="G120" s="1016" t="str">
        <f t="shared" si="155"/>
        <v/>
      </c>
      <c r="H120" s="1016" t="str">
        <f t="shared" si="156"/>
        <v/>
      </c>
      <c r="I120" s="211" t="str">
        <f t="shared" si="157"/>
        <v/>
      </c>
      <c r="J120" s="1016" t="str">
        <f t="shared" si="158"/>
        <v/>
      </c>
      <c r="K120" s="213" t="str">
        <f t="shared" si="159"/>
        <v/>
      </c>
      <c r="L120" s="212" t="str">
        <f t="shared" si="160"/>
        <v/>
      </c>
      <c r="M120" s="1125" t="str">
        <f>IF(OR($C120="",$C120=0),"",INDEX(API1DENST,MATCH($C120,'Vessel Gauging Data'!$B$27:$B$56,0),$AA$1))</f>
        <v/>
      </c>
      <c r="N120" s="212" t="str">
        <f t="shared" si="161"/>
        <v/>
      </c>
      <c r="O120" s="1016" t="str">
        <f t="shared" si="185"/>
        <v/>
      </c>
      <c r="P120" s="1125" t="str">
        <f t="shared" si="186"/>
        <v/>
      </c>
      <c r="Q120" s="1016" t="str">
        <f t="shared" si="187"/>
        <v/>
      </c>
      <c r="R120" s="214" t="str">
        <f t="shared" si="188"/>
        <v/>
      </c>
      <c r="S120" s="1125" t="str">
        <f t="shared" si="162"/>
        <v/>
      </c>
      <c r="T120" s="236" t="str">
        <f t="shared" si="189"/>
        <v/>
      </c>
      <c r="U120" s="641"/>
      <c r="V120" s="642" t="e">
        <f>INDEX('Vessel Gauging Data'!$B$26:$V$56,MATCH($C120,'Vessel Gauging Data'!$B$26:$B$56,0),$V$18)</f>
        <v>#N/A</v>
      </c>
      <c r="W120" s="642" t="e">
        <f>INDEX('Vessel Gauging Data'!$B$26:$V$56,MATCH($C120,'Vessel Gauging Data'!$B$26:$B$56,0),$W$18)</f>
        <v>#N/A</v>
      </c>
      <c r="X120" s="642" t="e">
        <f>INDEX('Vessel Gauging Data'!$B$26:$V$56,MATCH($C120,'Vessel Gauging Data'!$B$26:$B$56,0),$X$18)</f>
        <v>#N/A</v>
      </c>
      <c r="Y120" s="642" t="e">
        <f>INDEX('Vessel Gauging Data'!$B$26:$V$56,MATCH($C120,'Vessel Gauging Data'!$B$26:$B$56,0),$Y$18)</f>
        <v>#N/A</v>
      </c>
      <c r="Z120" s="642" t="e">
        <f>INDEX('Vessel Gauging Data'!$B$26:$V$56,MATCH($C120,'Vessel Gauging Data'!$B$26:$B$56,0),$Z$18)</f>
        <v>#N/A</v>
      </c>
      <c r="AA120" s="641"/>
      <c r="AB120" s="642" t="e">
        <f>INDEX(API1DENST,MATCH($C120,'Vessel Gauging Data'!$B$27:$B$56,0),1)</f>
        <v>#N/A</v>
      </c>
      <c r="AC120" s="642" t="e">
        <f t="shared" si="163"/>
        <v>#N/A</v>
      </c>
      <c r="AD120" s="641"/>
      <c r="AE120" s="661" t="e">
        <f t="shared" si="164"/>
        <v>#VALUE!</v>
      </c>
      <c r="AF120" s="661" t="e">
        <f t="shared" si="165"/>
        <v>#VALUE!</v>
      </c>
      <c r="AG120" s="641"/>
      <c r="AH120" s="662" t="str">
        <f t="shared" si="166"/>
        <v/>
      </c>
      <c r="AI120" s="662" t="str">
        <f t="shared" si="167"/>
        <v/>
      </c>
      <c r="AJ120" s="663">
        <f t="shared" si="168"/>
        <v>192.4571</v>
      </c>
      <c r="AK120" s="660">
        <f t="shared" si="169"/>
        <v>0.24379999999999999</v>
      </c>
      <c r="AL120" s="660" t="e">
        <f t="shared" si="170"/>
        <v>#VALUE!</v>
      </c>
      <c r="AM120" s="664" t="e">
        <f t="shared" si="171"/>
        <v>#VALUE!</v>
      </c>
      <c r="AN120" s="664" t="e">
        <f t="shared" si="172"/>
        <v>#VALUE!</v>
      </c>
      <c r="AO120" s="665" t="e">
        <f t="shared" si="173"/>
        <v>#VALUE!</v>
      </c>
      <c r="AP120" s="666" t="e">
        <f t="shared" si="174"/>
        <v>#VALUE!</v>
      </c>
      <c r="AQ120" s="660" t="e">
        <f t="shared" si="175"/>
        <v>#VALUE!</v>
      </c>
      <c r="AR120" s="667" t="e">
        <f t="shared" si="176"/>
        <v>#VALUE!</v>
      </c>
      <c r="AS120" s="667" t="e">
        <f t="shared" si="177"/>
        <v>#VALUE!</v>
      </c>
      <c r="AT120" s="668" t="e">
        <f t="shared" si="178"/>
        <v>#VALUE!</v>
      </c>
      <c r="AU120" s="667" t="e">
        <f t="shared" si="179"/>
        <v>#VALUE!</v>
      </c>
      <c r="AV120" s="669" t="e">
        <f t="shared" si="180"/>
        <v>#VALUE!</v>
      </c>
      <c r="AW120" s="667" t="e">
        <f t="shared" si="181"/>
        <v>#VALUE!</v>
      </c>
      <c r="AX120" s="667" t="e">
        <f t="shared" si="182"/>
        <v>#VALUE!</v>
      </c>
      <c r="AY120" s="660" t="e">
        <f t="shared" si="183"/>
        <v>#VALUE!</v>
      </c>
      <c r="AZ120" s="670" t="e">
        <f t="shared" si="184"/>
        <v>#VALUE!</v>
      </c>
      <c r="BA120" s="641"/>
      <c r="BB120" s="662" t="e">
        <f>INDEX('Vessel Gauging Data'!$B$26:$V$56,MATCH($C120,'Vessel Gauging Data'!$B$26:$B$56,0),$BB$18)</f>
        <v>#N/A</v>
      </c>
      <c r="BC120" s="662" t="e">
        <f>INDEX('Vessel Gauging Data'!$B$26:$V$56,MATCH($C120,'Vessel Gauging Data'!$B$26:$B$56,0),$BC$18)</f>
        <v>#N/A</v>
      </c>
      <c r="BD120" s="662" t="e">
        <f>INDEX('Vessel Gauging Data'!$B$26:$V$56,MATCH($C120,'Vessel Gauging Data'!$B$26:$B$56,0),$BD$18)</f>
        <v>#N/A</v>
      </c>
      <c r="BE120" s="662" t="e">
        <f>INDEX('Vessel Gauging Data'!$B$26:$V$56,MATCH($C120,'Vessel Gauging Data'!$B$26:$B$56,0),$BE$18)</f>
        <v>#N/A</v>
      </c>
    </row>
    <row r="121" spans="1:57" ht="15" hidden="1">
      <c r="A121" s="641" t="str">
        <f t="shared" si="152"/>
        <v>N</v>
      </c>
      <c r="B121" s="641"/>
      <c r="C121" s="235" t="str">
        <f t="array" ref="C121">IF(OR($E$113="",SUMPRODUCT(('Vessel Gauging Data'!$C$27:$C$56=$E$113)*1)&lt;ROWS($C$114:$C121)),"",INDEX('Vessel Gauging Data'!$B$27:$B$56,SMALL(IF(('Vessel Gauging Data'!$C$27:$C$56=$E$113),ROW('Vessel Gauging Data'!$B$27:$B$56)-ROW('Vessel Gauging Data'!$C$26)),ROW()-ROW(C$113))))</f>
        <v/>
      </c>
      <c r="D121" s="211" t="str">
        <f>IF(OR($C121="",$C121=0),"",INDEX('Vessel Gauging Data'!$B$26:$V$56,MATCH($C121,'Vessel Gauging Data'!$B$27:$B$56,0)+1,2))</f>
        <v/>
      </c>
      <c r="E121" s="1016" t="str">
        <f t="shared" si="153"/>
        <v/>
      </c>
      <c r="F121" s="1016" t="str">
        <f t="shared" si="154"/>
        <v/>
      </c>
      <c r="G121" s="1016" t="str">
        <f t="shared" si="155"/>
        <v/>
      </c>
      <c r="H121" s="1016" t="str">
        <f t="shared" si="156"/>
        <v/>
      </c>
      <c r="I121" s="211" t="str">
        <f t="shared" si="157"/>
        <v/>
      </c>
      <c r="J121" s="1016" t="str">
        <f t="shared" si="158"/>
        <v/>
      </c>
      <c r="K121" s="213" t="str">
        <f t="shared" si="159"/>
        <v/>
      </c>
      <c r="L121" s="212" t="str">
        <f t="shared" si="160"/>
        <v/>
      </c>
      <c r="M121" s="1125" t="str">
        <f>IF(OR($C121="",$C121=0),"",INDEX(API1DENST,MATCH($C121,'Vessel Gauging Data'!$B$27:$B$56,0),$AA$1))</f>
        <v/>
      </c>
      <c r="N121" s="212" t="str">
        <f t="shared" si="161"/>
        <v/>
      </c>
      <c r="O121" s="1016" t="str">
        <f t="shared" si="185"/>
        <v/>
      </c>
      <c r="P121" s="1125" t="str">
        <f t="shared" si="186"/>
        <v/>
      </c>
      <c r="Q121" s="1016" t="str">
        <f t="shared" si="187"/>
        <v/>
      </c>
      <c r="R121" s="214" t="str">
        <f t="shared" si="188"/>
        <v/>
      </c>
      <c r="S121" s="1125" t="str">
        <f t="shared" si="162"/>
        <v/>
      </c>
      <c r="T121" s="236" t="str">
        <f t="shared" si="189"/>
        <v/>
      </c>
      <c r="U121" s="641"/>
      <c r="V121" s="642" t="e">
        <f>INDEX('Vessel Gauging Data'!$B$26:$V$56,MATCH($C121,'Vessel Gauging Data'!$B$26:$B$56,0),$V$18)</f>
        <v>#N/A</v>
      </c>
      <c r="W121" s="642" t="e">
        <f>INDEX('Vessel Gauging Data'!$B$26:$V$56,MATCH($C121,'Vessel Gauging Data'!$B$26:$B$56,0),$W$18)</f>
        <v>#N/A</v>
      </c>
      <c r="X121" s="642" t="e">
        <f>INDEX('Vessel Gauging Data'!$B$26:$V$56,MATCH($C121,'Vessel Gauging Data'!$B$26:$B$56,0),$X$18)</f>
        <v>#N/A</v>
      </c>
      <c r="Y121" s="642" t="e">
        <f>INDEX('Vessel Gauging Data'!$B$26:$V$56,MATCH($C121,'Vessel Gauging Data'!$B$26:$B$56,0),$Y$18)</f>
        <v>#N/A</v>
      </c>
      <c r="Z121" s="642" t="e">
        <f>INDEX('Vessel Gauging Data'!$B$26:$V$56,MATCH($C121,'Vessel Gauging Data'!$B$26:$B$56,0),$Z$18)</f>
        <v>#N/A</v>
      </c>
      <c r="AA121" s="641"/>
      <c r="AB121" s="642" t="e">
        <f>INDEX(API1DENST,MATCH($C121,'Vessel Gauging Data'!$B$27:$B$56,0),1)</f>
        <v>#N/A</v>
      </c>
      <c r="AC121" s="642" t="e">
        <f t="shared" si="163"/>
        <v>#N/A</v>
      </c>
      <c r="AD121" s="641"/>
      <c r="AE121" s="661" t="e">
        <f t="shared" si="164"/>
        <v>#VALUE!</v>
      </c>
      <c r="AF121" s="661" t="e">
        <f t="shared" si="165"/>
        <v>#VALUE!</v>
      </c>
      <c r="AG121" s="641"/>
      <c r="AH121" s="662" t="str">
        <f t="shared" si="166"/>
        <v/>
      </c>
      <c r="AI121" s="662" t="str">
        <f t="shared" si="167"/>
        <v/>
      </c>
      <c r="AJ121" s="663">
        <f t="shared" si="168"/>
        <v>192.4571</v>
      </c>
      <c r="AK121" s="660">
        <f t="shared" si="169"/>
        <v>0.24379999999999999</v>
      </c>
      <c r="AL121" s="660" t="e">
        <f t="shared" si="170"/>
        <v>#VALUE!</v>
      </c>
      <c r="AM121" s="664" t="e">
        <f t="shared" si="171"/>
        <v>#VALUE!</v>
      </c>
      <c r="AN121" s="664" t="e">
        <f t="shared" si="172"/>
        <v>#VALUE!</v>
      </c>
      <c r="AO121" s="665" t="e">
        <f t="shared" si="173"/>
        <v>#VALUE!</v>
      </c>
      <c r="AP121" s="666" t="e">
        <f t="shared" si="174"/>
        <v>#VALUE!</v>
      </c>
      <c r="AQ121" s="660" t="e">
        <f t="shared" si="175"/>
        <v>#VALUE!</v>
      </c>
      <c r="AR121" s="667" t="e">
        <f t="shared" si="176"/>
        <v>#VALUE!</v>
      </c>
      <c r="AS121" s="667" t="e">
        <f t="shared" si="177"/>
        <v>#VALUE!</v>
      </c>
      <c r="AT121" s="668" t="e">
        <f t="shared" si="178"/>
        <v>#VALUE!</v>
      </c>
      <c r="AU121" s="667" t="e">
        <f t="shared" si="179"/>
        <v>#VALUE!</v>
      </c>
      <c r="AV121" s="669" t="e">
        <f t="shared" si="180"/>
        <v>#VALUE!</v>
      </c>
      <c r="AW121" s="667" t="e">
        <f t="shared" si="181"/>
        <v>#VALUE!</v>
      </c>
      <c r="AX121" s="667" t="e">
        <f t="shared" si="182"/>
        <v>#VALUE!</v>
      </c>
      <c r="AY121" s="660" t="e">
        <f t="shared" si="183"/>
        <v>#VALUE!</v>
      </c>
      <c r="AZ121" s="670" t="e">
        <f t="shared" si="184"/>
        <v>#VALUE!</v>
      </c>
      <c r="BA121" s="641"/>
      <c r="BB121" s="662" t="e">
        <f>INDEX('Vessel Gauging Data'!$B$26:$V$56,MATCH($C121,'Vessel Gauging Data'!$B$26:$B$56,0),$BB$18)</f>
        <v>#N/A</v>
      </c>
      <c r="BC121" s="662" t="e">
        <f>INDEX('Vessel Gauging Data'!$B$26:$V$56,MATCH($C121,'Vessel Gauging Data'!$B$26:$B$56,0),$BC$18)</f>
        <v>#N/A</v>
      </c>
      <c r="BD121" s="662" t="e">
        <f>INDEX('Vessel Gauging Data'!$B$26:$V$56,MATCH($C121,'Vessel Gauging Data'!$B$26:$B$56,0),$BD$18)</f>
        <v>#N/A</v>
      </c>
      <c r="BE121" s="662" t="e">
        <f>INDEX('Vessel Gauging Data'!$B$26:$V$56,MATCH($C121,'Vessel Gauging Data'!$B$26:$B$56,0),$BE$18)</f>
        <v>#N/A</v>
      </c>
    </row>
    <row r="122" spans="1:57" ht="15" hidden="1">
      <c r="A122" s="641" t="str">
        <f t="shared" si="152"/>
        <v>N</v>
      </c>
      <c r="B122" s="641"/>
      <c r="C122" s="235" t="str">
        <f t="array" ref="C122">IF(OR($E$113="",SUMPRODUCT(('Vessel Gauging Data'!$C$27:$C$56=$E$113)*1)&lt;ROWS($C$114:$C122)),"",INDEX('Vessel Gauging Data'!$B$27:$B$56,SMALL(IF(('Vessel Gauging Data'!$C$27:$C$56=$E$113),ROW('Vessel Gauging Data'!$B$27:$B$56)-ROW('Vessel Gauging Data'!$C$26)),ROW()-ROW(C$113))))</f>
        <v/>
      </c>
      <c r="D122" s="211" t="str">
        <f>IF(OR($C122="",$C122=0),"",INDEX('Vessel Gauging Data'!$B$26:$V$56,MATCH($C122,'Vessel Gauging Data'!$B$27:$B$56,0)+1,2))</f>
        <v/>
      </c>
      <c r="E122" s="1016" t="str">
        <f t="shared" si="153"/>
        <v/>
      </c>
      <c r="F122" s="1016" t="str">
        <f t="shared" si="154"/>
        <v/>
      </c>
      <c r="G122" s="1016" t="str">
        <f t="shared" si="155"/>
        <v/>
      </c>
      <c r="H122" s="1016" t="str">
        <f t="shared" si="156"/>
        <v/>
      </c>
      <c r="I122" s="211" t="str">
        <f t="shared" si="157"/>
        <v/>
      </c>
      <c r="J122" s="1016" t="str">
        <f t="shared" si="158"/>
        <v/>
      </c>
      <c r="K122" s="213" t="str">
        <f t="shared" si="159"/>
        <v/>
      </c>
      <c r="L122" s="212" t="str">
        <f t="shared" si="160"/>
        <v/>
      </c>
      <c r="M122" s="1125" t="str">
        <f>IF(OR($C122="",$C122=0),"",INDEX(API1DENST,MATCH($C122,'Vessel Gauging Data'!$B$27:$B$56,0),$AA$1))</f>
        <v/>
      </c>
      <c r="N122" s="212" t="str">
        <f t="shared" si="161"/>
        <v/>
      </c>
      <c r="O122" s="1016" t="str">
        <f t="shared" si="185"/>
        <v/>
      </c>
      <c r="P122" s="1125" t="str">
        <f t="shared" si="186"/>
        <v/>
      </c>
      <c r="Q122" s="1016" t="str">
        <f t="shared" si="187"/>
        <v/>
      </c>
      <c r="R122" s="214" t="str">
        <f t="shared" si="188"/>
        <v/>
      </c>
      <c r="S122" s="1125" t="str">
        <f t="shared" si="162"/>
        <v/>
      </c>
      <c r="T122" s="236" t="str">
        <f t="shared" si="189"/>
        <v/>
      </c>
      <c r="U122" s="641"/>
      <c r="V122" s="642" t="e">
        <f>INDEX('Vessel Gauging Data'!$B$26:$V$56,MATCH($C122,'Vessel Gauging Data'!$B$26:$B$56,0),$V$18)</f>
        <v>#N/A</v>
      </c>
      <c r="W122" s="642" t="e">
        <f>INDEX('Vessel Gauging Data'!$B$26:$V$56,MATCH($C122,'Vessel Gauging Data'!$B$26:$B$56,0),$W$18)</f>
        <v>#N/A</v>
      </c>
      <c r="X122" s="642" t="e">
        <f>INDEX('Vessel Gauging Data'!$B$26:$V$56,MATCH($C122,'Vessel Gauging Data'!$B$26:$B$56,0),$X$18)</f>
        <v>#N/A</v>
      </c>
      <c r="Y122" s="642" t="e">
        <f>INDEX('Vessel Gauging Data'!$B$26:$V$56,MATCH($C122,'Vessel Gauging Data'!$B$26:$B$56,0),$Y$18)</f>
        <v>#N/A</v>
      </c>
      <c r="Z122" s="642" t="e">
        <f>INDEX('Vessel Gauging Data'!$B$26:$V$56,MATCH($C122,'Vessel Gauging Data'!$B$26:$B$56,0),$Z$18)</f>
        <v>#N/A</v>
      </c>
      <c r="AA122" s="641"/>
      <c r="AB122" s="642" t="e">
        <f>INDEX(API1DENST,MATCH($C122,'Vessel Gauging Data'!$B$27:$B$56,0),1)</f>
        <v>#N/A</v>
      </c>
      <c r="AC122" s="642" t="e">
        <f t="shared" si="163"/>
        <v>#N/A</v>
      </c>
      <c r="AD122" s="641"/>
      <c r="AE122" s="661" t="e">
        <f t="shared" si="164"/>
        <v>#VALUE!</v>
      </c>
      <c r="AF122" s="661" t="e">
        <f t="shared" si="165"/>
        <v>#VALUE!</v>
      </c>
      <c r="AG122" s="641"/>
      <c r="AH122" s="662" t="str">
        <f t="shared" si="166"/>
        <v/>
      </c>
      <c r="AI122" s="662" t="str">
        <f t="shared" si="167"/>
        <v/>
      </c>
      <c r="AJ122" s="663">
        <f t="shared" si="168"/>
        <v>192.4571</v>
      </c>
      <c r="AK122" s="660">
        <f t="shared" si="169"/>
        <v>0.24379999999999999</v>
      </c>
      <c r="AL122" s="660" t="e">
        <f t="shared" si="170"/>
        <v>#VALUE!</v>
      </c>
      <c r="AM122" s="664" t="e">
        <f t="shared" si="171"/>
        <v>#VALUE!</v>
      </c>
      <c r="AN122" s="664" t="e">
        <f t="shared" si="172"/>
        <v>#VALUE!</v>
      </c>
      <c r="AO122" s="665" t="e">
        <f t="shared" si="173"/>
        <v>#VALUE!</v>
      </c>
      <c r="AP122" s="666" t="e">
        <f t="shared" si="174"/>
        <v>#VALUE!</v>
      </c>
      <c r="AQ122" s="660" t="e">
        <f t="shared" si="175"/>
        <v>#VALUE!</v>
      </c>
      <c r="AR122" s="667" t="e">
        <f t="shared" si="176"/>
        <v>#VALUE!</v>
      </c>
      <c r="AS122" s="667" t="e">
        <f t="shared" si="177"/>
        <v>#VALUE!</v>
      </c>
      <c r="AT122" s="668" t="e">
        <f t="shared" si="178"/>
        <v>#VALUE!</v>
      </c>
      <c r="AU122" s="667" t="e">
        <f t="shared" si="179"/>
        <v>#VALUE!</v>
      </c>
      <c r="AV122" s="669" t="e">
        <f t="shared" si="180"/>
        <v>#VALUE!</v>
      </c>
      <c r="AW122" s="667" t="e">
        <f t="shared" si="181"/>
        <v>#VALUE!</v>
      </c>
      <c r="AX122" s="667" t="e">
        <f t="shared" si="182"/>
        <v>#VALUE!</v>
      </c>
      <c r="AY122" s="660" t="e">
        <f t="shared" si="183"/>
        <v>#VALUE!</v>
      </c>
      <c r="AZ122" s="670" t="e">
        <f t="shared" si="184"/>
        <v>#VALUE!</v>
      </c>
      <c r="BA122" s="641"/>
      <c r="BB122" s="662" t="e">
        <f>INDEX('Vessel Gauging Data'!$B$26:$V$56,MATCH($C122,'Vessel Gauging Data'!$B$26:$B$56,0),$BB$18)</f>
        <v>#N/A</v>
      </c>
      <c r="BC122" s="662" t="e">
        <f>INDEX('Vessel Gauging Data'!$B$26:$V$56,MATCH($C122,'Vessel Gauging Data'!$B$26:$B$56,0),$BC$18)</f>
        <v>#N/A</v>
      </c>
      <c r="BD122" s="662" t="e">
        <f>INDEX('Vessel Gauging Data'!$B$26:$V$56,MATCH($C122,'Vessel Gauging Data'!$B$26:$B$56,0),$BD$18)</f>
        <v>#N/A</v>
      </c>
      <c r="BE122" s="662" t="e">
        <f>INDEX('Vessel Gauging Data'!$B$26:$V$56,MATCH($C122,'Vessel Gauging Data'!$B$26:$B$56,0),$BE$18)</f>
        <v>#N/A</v>
      </c>
    </row>
    <row r="123" spans="1:57" ht="15" hidden="1">
      <c r="A123" s="641" t="str">
        <f t="shared" si="152"/>
        <v>N</v>
      </c>
      <c r="B123" s="641"/>
      <c r="C123" s="235" t="str">
        <f t="array" ref="C123">IF(OR($E$113="",SUMPRODUCT(('Vessel Gauging Data'!$C$27:$C$56=$E$113)*1)&lt;ROWS($C$114:$C123)),"",INDEX('Vessel Gauging Data'!$B$27:$B$56,SMALL(IF(('Vessel Gauging Data'!$C$27:$C$56=$E$113),ROW('Vessel Gauging Data'!$B$27:$B$56)-ROW('Vessel Gauging Data'!$C$26)),ROW()-ROW(C$113))))</f>
        <v/>
      </c>
      <c r="D123" s="211" t="str">
        <f>IF(OR($C123="",$C123=0),"",INDEX('Vessel Gauging Data'!$B$26:$V$56,MATCH($C123,'Vessel Gauging Data'!$B$27:$B$56,0)+1,2))</f>
        <v/>
      </c>
      <c r="E123" s="1016" t="str">
        <f t="shared" si="153"/>
        <v/>
      </c>
      <c r="F123" s="1016" t="str">
        <f t="shared" si="154"/>
        <v/>
      </c>
      <c r="G123" s="1016" t="str">
        <f t="shared" si="155"/>
        <v/>
      </c>
      <c r="H123" s="1016" t="str">
        <f t="shared" si="156"/>
        <v/>
      </c>
      <c r="I123" s="211" t="str">
        <f t="shared" si="157"/>
        <v/>
      </c>
      <c r="J123" s="1016" t="str">
        <f t="shared" si="158"/>
        <v/>
      </c>
      <c r="K123" s="213" t="str">
        <f t="shared" si="159"/>
        <v/>
      </c>
      <c r="L123" s="212" t="str">
        <f t="shared" si="160"/>
        <v/>
      </c>
      <c r="M123" s="1125" t="str">
        <f>IF(OR($C123="",$C123=0),"",INDEX(API1DENST,MATCH($C123,'Vessel Gauging Data'!$B$27:$B$56,0),$AA$1))</f>
        <v/>
      </c>
      <c r="N123" s="212" t="str">
        <f t="shared" si="161"/>
        <v/>
      </c>
      <c r="O123" s="1016" t="str">
        <f t="shared" si="185"/>
        <v/>
      </c>
      <c r="P123" s="1125" t="str">
        <f t="shared" si="186"/>
        <v/>
      </c>
      <c r="Q123" s="1016" t="str">
        <f t="shared" si="187"/>
        <v/>
      </c>
      <c r="R123" s="214" t="str">
        <f t="shared" si="188"/>
        <v/>
      </c>
      <c r="S123" s="1125" t="str">
        <f t="shared" si="162"/>
        <v/>
      </c>
      <c r="T123" s="236" t="str">
        <f t="shared" si="189"/>
        <v/>
      </c>
      <c r="U123" s="641"/>
      <c r="V123" s="642" t="e">
        <f>INDEX('Vessel Gauging Data'!$B$26:$V$56,MATCH($C123,'Vessel Gauging Data'!$B$26:$B$56,0),$V$18)</f>
        <v>#N/A</v>
      </c>
      <c r="W123" s="642" t="e">
        <f>INDEX('Vessel Gauging Data'!$B$26:$V$56,MATCH($C123,'Vessel Gauging Data'!$B$26:$B$56,0),$W$18)</f>
        <v>#N/A</v>
      </c>
      <c r="X123" s="642" t="e">
        <f>INDEX('Vessel Gauging Data'!$B$26:$V$56,MATCH($C123,'Vessel Gauging Data'!$B$26:$B$56,0),$X$18)</f>
        <v>#N/A</v>
      </c>
      <c r="Y123" s="642" t="e">
        <f>INDEX('Vessel Gauging Data'!$B$26:$V$56,MATCH($C123,'Vessel Gauging Data'!$B$26:$B$56,0),$Y$18)</f>
        <v>#N/A</v>
      </c>
      <c r="Z123" s="642" t="e">
        <f>INDEX('Vessel Gauging Data'!$B$26:$V$56,MATCH($C123,'Vessel Gauging Data'!$B$26:$B$56,0),$Z$18)</f>
        <v>#N/A</v>
      </c>
      <c r="AA123" s="641"/>
      <c r="AB123" s="642" t="e">
        <f>INDEX(API1DENST,MATCH($C123,'Vessel Gauging Data'!$B$27:$B$56,0),1)</f>
        <v>#N/A</v>
      </c>
      <c r="AC123" s="642" t="e">
        <f t="shared" si="163"/>
        <v>#N/A</v>
      </c>
      <c r="AD123" s="641"/>
      <c r="AE123" s="661" t="e">
        <f t="shared" si="164"/>
        <v>#VALUE!</v>
      </c>
      <c r="AF123" s="661" t="e">
        <f t="shared" si="165"/>
        <v>#VALUE!</v>
      </c>
      <c r="AG123" s="641"/>
      <c r="AH123" s="662" t="str">
        <f t="shared" si="166"/>
        <v/>
      </c>
      <c r="AI123" s="662" t="str">
        <f t="shared" si="167"/>
        <v/>
      </c>
      <c r="AJ123" s="663">
        <f t="shared" si="168"/>
        <v>192.4571</v>
      </c>
      <c r="AK123" s="660">
        <f t="shared" si="169"/>
        <v>0.24379999999999999</v>
      </c>
      <c r="AL123" s="660" t="e">
        <f t="shared" si="170"/>
        <v>#VALUE!</v>
      </c>
      <c r="AM123" s="664" t="e">
        <f t="shared" si="171"/>
        <v>#VALUE!</v>
      </c>
      <c r="AN123" s="664" t="e">
        <f t="shared" si="172"/>
        <v>#VALUE!</v>
      </c>
      <c r="AO123" s="665" t="e">
        <f t="shared" si="173"/>
        <v>#VALUE!</v>
      </c>
      <c r="AP123" s="666" t="e">
        <f t="shared" si="174"/>
        <v>#VALUE!</v>
      </c>
      <c r="AQ123" s="660" t="e">
        <f t="shared" si="175"/>
        <v>#VALUE!</v>
      </c>
      <c r="AR123" s="667" t="e">
        <f t="shared" si="176"/>
        <v>#VALUE!</v>
      </c>
      <c r="AS123" s="667" t="e">
        <f t="shared" si="177"/>
        <v>#VALUE!</v>
      </c>
      <c r="AT123" s="668" t="e">
        <f t="shared" si="178"/>
        <v>#VALUE!</v>
      </c>
      <c r="AU123" s="667" t="e">
        <f t="shared" si="179"/>
        <v>#VALUE!</v>
      </c>
      <c r="AV123" s="669" t="e">
        <f t="shared" si="180"/>
        <v>#VALUE!</v>
      </c>
      <c r="AW123" s="667" t="e">
        <f t="shared" si="181"/>
        <v>#VALUE!</v>
      </c>
      <c r="AX123" s="667" t="e">
        <f t="shared" si="182"/>
        <v>#VALUE!</v>
      </c>
      <c r="AY123" s="660" t="e">
        <f t="shared" si="183"/>
        <v>#VALUE!</v>
      </c>
      <c r="AZ123" s="670" t="e">
        <f t="shared" si="184"/>
        <v>#VALUE!</v>
      </c>
      <c r="BA123" s="641"/>
      <c r="BB123" s="662" t="e">
        <f>INDEX('Vessel Gauging Data'!$B$26:$V$56,MATCH($C123,'Vessel Gauging Data'!$B$26:$B$56,0),$BB$18)</f>
        <v>#N/A</v>
      </c>
      <c r="BC123" s="662" t="e">
        <f>INDEX('Vessel Gauging Data'!$B$26:$V$56,MATCH($C123,'Vessel Gauging Data'!$B$26:$B$56,0),$BC$18)</f>
        <v>#N/A</v>
      </c>
      <c r="BD123" s="662" t="e">
        <f>INDEX('Vessel Gauging Data'!$B$26:$V$56,MATCH($C123,'Vessel Gauging Data'!$B$26:$B$56,0),$BD$18)</f>
        <v>#N/A</v>
      </c>
      <c r="BE123" s="662" t="e">
        <f>INDEX('Vessel Gauging Data'!$B$26:$V$56,MATCH($C123,'Vessel Gauging Data'!$B$26:$B$56,0),$BE$18)</f>
        <v>#N/A</v>
      </c>
    </row>
    <row r="124" spans="1:57" ht="15" hidden="1">
      <c r="A124" s="641" t="str">
        <f t="shared" si="152"/>
        <v>N</v>
      </c>
      <c r="B124" s="641"/>
      <c r="C124" s="235" t="str">
        <f t="array" ref="C124">IF(OR($E$113="",SUMPRODUCT(('Vessel Gauging Data'!$C$27:$C$56=$E$113)*1)&lt;ROWS($C$114:$C124)),"",INDEX('Vessel Gauging Data'!$B$27:$B$56,SMALL(IF(('Vessel Gauging Data'!$C$27:$C$56=$E$113),ROW('Vessel Gauging Data'!$B$27:$B$56)-ROW('Vessel Gauging Data'!$C$26)),ROW()-ROW(C$113))))</f>
        <v/>
      </c>
      <c r="D124" s="211" t="str">
        <f>IF(OR($C124="",$C124=0),"",INDEX('Vessel Gauging Data'!$B$26:$V$56,MATCH($C124,'Vessel Gauging Data'!$B$27:$B$56,0)+1,2))</f>
        <v/>
      </c>
      <c r="E124" s="1016" t="str">
        <f t="shared" si="153"/>
        <v/>
      </c>
      <c r="F124" s="1016" t="str">
        <f t="shared" si="154"/>
        <v/>
      </c>
      <c r="G124" s="1016" t="str">
        <f t="shared" si="155"/>
        <v/>
      </c>
      <c r="H124" s="1016" t="str">
        <f t="shared" si="156"/>
        <v/>
      </c>
      <c r="I124" s="211" t="str">
        <f t="shared" si="157"/>
        <v/>
      </c>
      <c r="J124" s="1016" t="str">
        <f t="shared" si="158"/>
        <v/>
      </c>
      <c r="K124" s="213" t="str">
        <f t="shared" si="159"/>
        <v/>
      </c>
      <c r="L124" s="212" t="str">
        <f t="shared" si="160"/>
        <v/>
      </c>
      <c r="M124" s="1125" t="str">
        <f>IF(OR($C124="",$C124=0),"",INDEX(API1DENST,MATCH($C124,'Vessel Gauging Data'!$B$27:$B$56,0),$AA$1))</f>
        <v/>
      </c>
      <c r="N124" s="212" t="str">
        <f t="shared" si="161"/>
        <v/>
      </c>
      <c r="O124" s="1016" t="str">
        <f t="shared" si="185"/>
        <v/>
      </c>
      <c r="P124" s="1125" t="str">
        <f t="shared" si="186"/>
        <v/>
      </c>
      <c r="Q124" s="1016" t="str">
        <f t="shared" si="187"/>
        <v/>
      </c>
      <c r="R124" s="214" t="str">
        <f t="shared" si="188"/>
        <v/>
      </c>
      <c r="S124" s="1125" t="str">
        <f t="shared" si="162"/>
        <v/>
      </c>
      <c r="T124" s="236" t="str">
        <f t="shared" si="189"/>
        <v/>
      </c>
      <c r="U124" s="641"/>
      <c r="V124" s="642" t="e">
        <f>INDEX('Vessel Gauging Data'!$B$26:$V$56,MATCH($C124,'Vessel Gauging Data'!$B$26:$B$56,0),$V$18)</f>
        <v>#N/A</v>
      </c>
      <c r="W124" s="642" t="e">
        <f>INDEX('Vessel Gauging Data'!$B$26:$V$56,MATCH($C124,'Vessel Gauging Data'!$B$26:$B$56,0),$W$18)</f>
        <v>#N/A</v>
      </c>
      <c r="X124" s="642" t="e">
        <f>INDEX('Vessel Gauging Data'!$B$26:$V$56,MATCH($C124,'Vessel Gauging Data'!$B$26:$B$56,0),$X$18)</f>
        <v>#N/A</v>
      </c>
      <c r="Y124" s="642" t="e">
        <f>INDEX('Vessel Gauging Data'!$B$26:$V$56,MATCH($C124,'Vessel Gauging Data'!$B$26:$B$56,0),$Y$18)</f>
        <v>#N/A</v>
      </c>
      <c r="Z124" s="642" t="e">
        <f>INDEX('Vessel Gauging Data'!$B$26:$V$56,MATCH($C124,'Vessel Gauging Data'!$B$26:$B$56,0),$Z$18)</f>
        <v>#N/A</v>
      </c>
      <c r="AA124" s="641"/>
      <c r="AB124" s="642" t="e">
        <f>INDEX(API1DENST,MATCH($C124,'Vessel Gauging Data'!$B$27:$B$56,0),1)</f>
        <v>#N/A</v>
      </c>
      <c r="AC124" s="642" t="e">
        <f t="shared" si="163"/>
        <v>#N/A</v>
      </c>
      <c r="AD124" s="641"/>
      <c r="AE124" s="661" t="e">
        <f t="shared" si="164"/>
        <v>#VALUE!</v>
      </c>
      <c r="AF124" s="661" t="e">
        <f t="shared" si="165"/>
        <v>#VALUE!</v>
      </c>
      <c r="AG124" s="641"/>
      <c r="AH124" s="662" t="str">
        <f t="shared" si="166"/>
        <v/>
      </c>
      <c r="AI124" s="662" t="str">
        <f t="shared" si="167"/>
        <v/>
      </c>
      <c r="AJ124" s="663">
        <f t="shared" si="168"/>
        <v>192.4571</v>
      </c>
      <c r="AK124" s="660">
        <f t="shared" si="169"/>
        <v>0.24379999999999999</v>
      </c>
      <c r="AL124" s="660" t="e">
        <f t="shared" si="170"/>
        <v>#VALUE!</v>
      </c>
      <c r="AM124" s="664" t="e">
        <f t="shared" si="171"/>
        <v>#VALUE!</v>
      </c>
      <c r="AN124" s="664" t="e">
        <f t="shared" si="172"/>
        <v>#VALUE!</v>
      </c>
      <c r="AO124" s="665" t="e">
        <f t="shared" si="173"/>
        <v>#VALUE!</v>
      </c>
      <c r="AP124" s="666" t="e">
        <f t="shared" si="174"/>
        <v>#VALUE!</v>
      </c>
      <c r="AQ124" s="660" t="e">
        <f t="shared" si="175"/>
        <v>#VALUE!</v>
      </c>
      <c r="AR124" s="667" t="e">
        <f t="shared" si="176"/>
        <v>#VALUE!</v>
      </c>
      <c r="AS124" s="667" t="e">
        <f t="shared" si="177"/>
        <v>#VALUE!</v>
      </c>
      <c r="AT124" s="668" t="e">
        <f t="shared" si="178"/>
        <v>#VALUE!</v>
      </c>
      <c r="AU124" s="667" t="e">
        <f t="shared" si="179"/>
        <v>#VALUE!</v>
      </c>
      <c r="AV124" s="669" t="e">
        <f t="shared" si="180"/>
        <v>#VALUE!</v>
      </c>
      <c r="AW124" s="667" t="e">
        <f t="shared" si="181"/>
        <v>#VALUE!</v>
      </c>
      <c r="AX124" s="667" t="e">
        <f t="shared" si="182"/>
        <v>#VALUE!</v>
      </c>
      <c r="AY124" s="660" t="e">
        <f t="shared" si="183"/>
        <v>#VALUE!</v>
      </c>
      <c r="AZ124" s="670" t="e">
        <f t="shared" si="184"/>
        <v>#VALUE!</v>
      </c>
      <c r="BA124" s="641"/>
      <c r="BB124" s="662" t="e">
        <f>INDEX('Vessel Gauging Data'!$B$26:$V$56,MATCH($C124,'Vessel Gauging Data'!$B$26:$B$56,0),$BB$18)</f>
        <v>#N/A</v>
      </c>
      <c r="BC124" s="662" t="e">
        <f>INDEX('Vessel Gauging Data'!$B$26:$V$56,MATCH($C124,'Vessel Gauging Data'!$B$26:$B$56,0),$BC$18)</f>
        <v>#N/A</v>
      </c>
      <c r="BD124" s="662" t="e">
        <f>INDEX('Vessel Gauging Data'!$B$26:$V$56,MATCH($C124,'Vessel Gauging Data'!$B$26:$B$56,0),$BD$18)</f>
        <v>#N/A</v>
      </c>
      <c r="BE124" s="662" t="e">
        <f>INDEX('Vessel Gauging Data'!$B$26:$V$56,MATCH($C124,'Vessel Gauging Data'!$B$26:$B$56,0),$BE$18)</f>
        <v>#N/A</v>
      </c>
    </row>
    <row r="125" spans="1:57" ht="15" hidden="1">
      <c r="A125" s="641" t="str">
        <f t="shared" si="152"/>
        <v>N</v>
      </c>
      <c r="B125" s="641"/>
      <c r="C125" s="235" t="str">
        <f t="array" ref="C125">IF(OR($E$113="",SUMPRODUCT(('Vessel Gauging Data'!$C$27:$C$56=$E$113)*1)&lt;ROWS($C$114:$C125)),"",INDEX('Vessel Gauging Data'!$B$27:$B$56,SMALL(IF(('Vessel Gauging Data'!$C$27:$C$56=$E$113),ROW('Vessel Gauging Data'!$B$27:$B$56)-ROW('Vessel Gauging Data'!$C$26)),ROW()-ROW(C$113))))</f>
        <v/>
      </c>
      <c r="D125" s="211" t="str">
        <f>IF(OR($C125="",$C125=0),"",INDEX('Vessel Gauging Data'!$B$26:$V$56,MATCH($C125,'Vessel Gauging Data'!$B$27:$B$56,0)+1,2))</f>
        <v/>
      </c>
      <c r="E125" s="1016" t="str">
        <f t="shared" si="153"/>
        <v/>
      </c>
      <c r="F125" s="1016" t="str">
        <f t="shared" si="154"/>
        <v/>
      </c>
      <c r="G125" s="1016" t="str">
        <f t="shared" si="155"/>
        <v/>
      </c>
      <c r="H125" s="1016" t="str">
        <f t="shared" si="156"/>
        <v/>
      </c>
      <c r="I125" s="211" t="str">
        <f t="shared" si="157"/>
        <v/>
      </c>
      <c r="J125" s="1016" t="str">
        <f t="shared" si="158"/>
        <v/>
      </c>
      <c r="K125" s="213" t="str">
        <f t="shared" si="159"/>
        <v/>
      </c>
      <c r="L125" s="212" t="str">
        <f t="shared" si="160"/>
        <v/>
      </c>
      <c r="M125" s="1125" t="str">
        <f>IF(OR($C125="",$C125=0),"",INDEX(API1DENST,MATCH($C125,'Vessel Gauging Data'!$B$27:$B$56,0),$AA$1))</f>
        <v/>
      </c>
      <c r="N125" s="212" t="str">
        <f t="shared" si="161"/>
        <v/>
      </c>
      <c r="O125" s="1016" t="str">
        <f t="shared" si="185"/>
        <v/>
      </c>
      <c r="P125" s="1125" t="str">
        <f t="shared" si="186"/>
        <v/>
      </c>
      <c r="Q125" s="1016" t="str">
        <f t="shared" si="187"/>
        <v/>
      </c>
      <c r="R125" s="214" t="str">
        <f t="shared" si="188"/>
        <v/>
      </c>
      <c r="S125" s="1125" t="str">
        <f t="shared" si="162"/>
        <v/>
      </c>
      <c r="T125" s="236" t="str">
        <f t="shared" si="189"/>
        <v/>
      </c>
      <c r="U125" s="641"/>
      <c r="V125" s="642" t="e">
        <f>INDEX('Vessel Gauging Data'!$B$26:$V$56,MATCH($C125,'Vessel Gauging Data'!$B$26:$B$56,0),$V$18)</f>
        <v>#N/A</v>
      </c>
      <c r="W125" s="642" t="e">
        <f>INDEX('Vessel Gauging Data'!$B$26:$V$56,MATCH($C125,'Vessel Gauging Data'!$B$26:$B$56,0),$W$18)</f>
        <v>#N/A</v>
      </c>
      <c r="X125" s="642" t="e">
        <f>INDEX('Vessel Gauging Data'!$B$26:$V$56,MATCH($C125,'Vessel Gauging Data'!$B$26:$B$56,0),$X$18)</f>
        <v>#N/A</v>
      </c>
      <c r="Y125" s="642" t="e">
        <f>INDEX('Vessel Gauging Data'!$B$26:$V$56,MATCH($C125,'Vessel Gauging Data'!$B$26:$B$56,0),$Y$18)</f>
        <v>#N/A</v>
      </c>
      <c r="Z125" s="642" t="e">
        <f>INDEX('Vessel Gauging Data'!$B$26:$V$56,MATCH($C125,'Vessel Gauging Data'!$B$26:$B$56,0),$Z$18)</f>
        <v>#N/A</v>
      </c>
      <c r="AA125" s="641"/>
      <c r="AB125" s="642" t="e">
        <f>INDEX(API1DENST,MATCH($C125,'Vessel Gauging Data'!$B$27:$B$56,0),1)</f>
        <v>#N/A</v>
      </c>
      <c r="AC125" s="642" t="e">
        <f t="shared" si="163"/>
        <v>#N/A</v>
      </c>
      <c r="AD125" s="641"/>
      <c r="AE125" s="661" t="e">
        <f t="shared" si="164"/>
        <v>#VALUE!</v>
      </c>
      <c r="AF125" s="661" t="e">
        <f t="shared" si="165"/>
        <v>#VALUE!</v>
      </c>
      <c r="AG125" s="641"/>
      <c r="AH125" s="662" t="str">
        <f t="shared" si="166"/>
        <v/>
      </c>
      <c r="AI125" s="662" t="str">
        <f t="shared" si="167"/>
        <v/>
      </c>
      <c r="AJ125" s="663">
        <f t="shared" si="168"/>
        <v>192.4571</v>
      </c>
      <c r="AK125" s="660">
        <f t="shared" si="169"/>
        <v>0.24379999999999999</v>
      </c>
      <c r="AL125" s="660" t="e">
        <f t="shared" si="170"/>
        <v>#VALUE!</v>
      </c>
      <c r="AM125" s="664" t="e">
        <f t="shared" si="171"/>
        <v>#VALUE!</v>
      </c>
      <c r="AN125" s="664" t="e">
        <f t="shared" si="172"/>
        <v>#VALUE!</v>
      </c>
      <c r="AO125" s="665" t="e">
        <f t="shared" si="173"/>
        <v>#VALUE!</v>
      </c>
      <c r="AP125" s="666" t="e">
        <f t="shared" si="174"/>
        <v>#VALUE!</v>
      </c>
      <c r="AQ125" s="660" t="e">
        <f t="shared" si="175"/>
        <v>#VALUE!</v>
      </c>
      <c r="AR125" s="667" t="e">
        <f t="shared" si="176"/>
        <v>#VALUE!</v>
      </c>
      <c r="AS125" s="667" t="e">
        <f t="shared" si="177"/>
        <v>#VALUE!</v>
      </c>
      <c r="AT125" s="668" t="e">
        <f t="shared" si="178"/>
        <v>#VALUE!</v>
      </c>
      <c r="AU125" s="667" t="e">
        <f t="shared" si="179"/>
        <v>#VALUE!</v>
      </c>
      <c r="AV125" s="669" t="e">
        <f t="shared" si="180"/>
        <v>#VALUE!</v>
      </c>
      <c r="AW125" s="667" t="e">
        <f t="shared" si="181"/>
        <v>#VALUE!</v>
      </c>
      <c r="AX125" s="667" t="e">
        <f t="shared" si="182"/>
        <v>#VALUE!</v>
      </c>
      <c r="AY125" s="660" t="e">
        <f t="shared" si="183"/>
        <v>#VALUE!</v>
      </c>
      <c r="AZ125" s="670" t="e">
        <f t="shared" si="184"/>
        <v>#VALUE!</v>
      </c>
      <c r="BA125" s="641"/>
      <c r="BB125" s="662" t="e">
        <f>INDEX('Vessel Gauging Data'!$B$26:$V$56,MATCH($C125,'Vessel Gauging Data'!$B$26:$B$56,0),$BB$18)</f>
        <v>#N/A</v>
      </c>
      <c r="BC125" s="662" t="e">
        <f>INDEX('Vessel Gauging Data'!$B$26:$V$56,MATCH($C125,'Vessel Gauging Data'!$B$26:$B$56,0),$BC$18)</f>
        <v>#N/A</v>
      </c>
      <c r="BD125" s="662" t="e">
        <f>INDEX('Vessel Gauging Data'!$B$26:$V$56,MATCH($C125,'Vessel Gauging Data'!$B$26:$B$56,0),$BD$18)</f>
        <v>#N/A</v>
      </c>
      <c r="BE125" s="662" t="e">
        <f>INDEX('Vessel Gauging Data'!$B$26:$V$56,MATCH($C125,'Vessel Gauging Data'!$B$26:$B$56,0),$BE$18)</f>
        <v>#N/A</v>
      </c>
    </row>
    <row r="126" spans="1:57" ht="15" hidden="1">
      <c r="A126" s="641" t="str">
        <f t="shared" si="152"/>
        <v>N</v>
      </c>
      <c r="B126" s="641"/>
      <c r="C126" s="235" t="str">
        <f t="array" ref="C126">IF(OR($E$113="",SUMPRODUCT(('Vessel Gauging Data'!$C$27:$C$56=$E$113)*1)&lt;ROWS($C$114:$C126)),"",INDEX('Vessel Gauging Data'!$B$27:$B$56,SMALL(IF(('Vessel Gauging Data'!$C$27:$C$56=$E$113),ROW('Vessel Gauging Data'!$B$27:$B$56)-ROW('Vessel Gauging Data'!$C$26)),ROW()-ROW(C$113))))</f>
        <v/>
      </c>
      <c r="D126" s="211" t="str">
        <f>IF(OR($C126="",$C126=0),"",INDEX('Vessel Gauging Data'!$B$26:$V$56,MATCH($C126,'Vessel Gauging Data'!$B$27:$B$56,0)+1,2))</f>
        <v/>
      </c>
      <c r="E126" s="1016" t="str">
        <f t="shared" si="153"/>
        <v/>
      </c>
      <c r="F126" s="1016" t="str">
        <f t="shared" si="154"/>
        <v/>
      </c>
      <c r="G126" s="1016" t="str">
        <f t="shared" si="155"/>
        <v/>
      </c>
      <c r="H126" s="1016" t="str">
        <f t="shared" si="156"/>
        <v/>
      </c>
      <c r="I126" s="211" t="str">
        <f t="shared" si="157"/>
        <v/>
      </c>
      <c r="J126" s="1016" t="str">
        <f t="shared" si="158"/>
        <v/>
      </c>
      <c r="K126" s="213" t="str">
        <f t="shared" si="159"/>
        <v/>
      </c>
      <c r="L126" s="212" t="str">
        <f t="shared" si="160"/>
        <v/>
      </c>
      <c r="M126" s="1125" t="str">
        <f>IF(OR($C126="",$C126=0),"",INDEX(API1DENST,MATCH($C126,'Vessel Gauging Data'!$B$27:$B$56,0),$AA$1))</f>
        <v/>
      </c>
      <c r="N126" s="212" t="str">
        <f t="shared" si="161"/>
        <v/>
      </c>
      <c r="O126" s="1016" t="str">
        <f t="shared" si="185"/>
        <v/>
      </c>
      <c r="P126" s="1125" t="str">
        <f t="shared" si="186"/>
        <v/>
      </c>
      <c r="Q126" s="1016" t="str">
        <f t="shared" si="187"/>
        <v/>
      </c>
      <c r="R126" s="214" t="str">
        <f t="shared" si="188"/>
        <v/>
      </c>
      <c r="S126" s="1125" t="str">
        <f t="shared" si="162"/>
        <v/>
      </c>
      <c r="T126" s="236" t="str">
        <f t="shared" si="189"/>
        <v/>
      </c>
      <c r="U126" s="641"/>
      <c r="V126" s="642" t="e">
        <f>INDEX('Vessel Gauging Data'!$B$26:$V$56,MATCH($C126,'Vessel Gauging Data'!$B$26:$B$56,0),$V$18)</f>
        <v>#N/A</v>
      </c>
      <c r="W126" s="642" t="e">
        <f>INDEX('Vessel Gauging Data'!$B$26:$V$56,MATCH($C126,'Vessel Gauging Data'!$B$26:$B$56,0),$W$18)</f>
        <v>#N/A</v>
      </c>
      <c r="X126" s="642" t="e">
        <f>INDEX('Vessel Gauging Data'!$B$26:$V$56,MATCH($C126,'Vessel Gauging Data'!$B$26:$B$56,0),$X$18)</f>
        <v>#N/A</v>
      </c>
      <c r="Y126" s="642" t="e">
        <f>INDEX('Vessel Gauging Data'!$B$26:$V$56,MATCH($C126,'Vessel Gauging Data'!$B$26:$B$56,0),$Y$18)</f>
        <v>#N/A</v>
      </c>
      <c r="Z126" s="642" t="e">
        <f>INDEX('Vessel Gauging Data'!$B$26:$V$56,MATCH($C126,'Vessel Gauging Data'!$B$26:$B$56,0),$Z$18)</f>
        <v>#N/A</v>
      </c>
      <c r="AA126" s="641"/>
      <c r="AB126" s="642" t="e">
        <f>INDEX(API1DENST,MATCH($C126,'Vessel Gauging Data'!$B$27:$B$56,0),1)</f>
        <v>#N/A</v>
      </c>
      <c r="AC126" s="642" t="e">
        <f t="shared" si="163"/>
        <v>#N/A</v>
      </c>
      <c r="AD126" s="641"/>
      <c r="AE126" s="661" t="e">
        <f t="shared" si="164"/>
        <v>#VALUE!</v>
      </c>
      <c r="AF126" s="661" t="e">
        <f t="shared" si="165"/>
        <v>#VALUE!</v>
      </c>
      <c r="AG126" s="641"/>
      <c r="AH126" s="662" t="str">
        <f t="shared" si="166"/>
        <v/>
      </c>
      <c r="AI126" s="662" t="str">
        <f t="shared" si="167"/>
        <v/>
      </c>
      <c r="AJ126" s="663">
        <f t="shared" si="168"/>
        <v>192.4571</v>
      </c>
      <c r="AK126" s="660">
        <f t="shared" si="169"/>
        <v>0.24379999999999999</v>
      </c>
      <c r="AL126" s="660" t="e">
        <f t="shared" si="170"/>
        <v>#VALUE!</v>
      </c>
      <c r="AM126" s="664" t="e">
        <f t="shared" si="171"/>
        <v>#VALUE!</v>
      </c>
      <c r="AN126" s="664" t="e">
        <f t="shared" si="172"/>
        <v>#VALUE!</v>
      </c>
      <c r="AO126" s="665" t="e">
        <f t="shared" si="173"/>
        <v>#VALUE!</v>
      </c>
      <c r="AP126" s="666" t="e">
        <f t="shared" si="174"/>
        <v>#VALUE!</v>
      </c>
      <c r="AQ126" s="660" t="e">
        <f t="shared" si="175"/>
        <v>#VALUE!</v>
      </c>
      <c r="AR126" s="667" t="e">
        <f t="shared" si="176"/>
        <v>#VALUE!</v>
      </c>
      <c r="AS126" s="667" t="e">
        <f t="shared" si="177"/>
        <v>#VALUE!</v>
      </c>
      <c r="AT126" s="668" t="e">
        <f t="shared" si="178"/>
        <v>#VALUE!</v>
      </c>
      <c r="AU126" s="667" t="e">
        <f t="shared" si="179"/>
        <v>#VALUE!</v>
      </c>
      <c r="AV126" s="669" t="e">
        <f t="shared" si="180"/>
        <v>#VALUE!</v>
      </c>
      <c r="AW126" s="667" t="e">
        <f t="shared" si="181"/>
        <v>#VALUE!</v>
      </c>
      <c r="AX126" s="667" t="e">
        <f t="shared" si="182"/>
        <v>#VALUE!</v>
      </c>
      <c r="AY126" s="660" t="e">
        <f t="shared" si="183"/>
        <v>#VALUE!</v>
      </c>
      <c r="AZ126" s="670" t="e">
        <f t="shared" si="184"/>
        <v>#VALUE!</v>
      </c>
      <c r="BA126" s="641"/>
      <c r="BB126" s="662" t="e">
        <f>INDEX('Vessel Gauging Data'!$B$26:$V$56,MATCH($C126,'Vessel Gauging Data'!$B$26:$B$56,0),$BB$18)</f>
        <v>#N/A</v>
      </c>
      <c r="BC126" s="662" t="e">
        <f>INDEX('Vessel Gauging Data'!$B$26:$V$56,MATCH($C126,'Vessel Gauging Data'!$B$26:$B$56,0),$BC$18)</f>
        <v>#N/A</v>
      </c>
      <c r="BD126" s="662" t="e">
        <f>INDEX('Vessel Gauging Data'!$B$26:$V$56,MATCH($C126,'Vessel Gauging Data'!$B$26:$B$56,0),$BD$18)</f>
        <v>#N/A</v>
      </c>
      <c r="BE126" s="662" t="e">
        <f>INDEX('Vessel Gauging Data'!$B$26:$V$56,MATCH($C126,'Vessel Gauging Data'!$B$26:$B$56,0),$BE$18)</f>
        <v>#N/A</v>
      </c>
    </row>
    <row r="127" spans="1:57" ht="15" hidden="1">
      <c r="A127" s="641" t="str">
        <f t="shared" si="152"/>
        <v>N</v>
      </c>
      <c r="B127" s="641"/>
      <c r="C127" s="235" t="str">
        <f t="array" ref="C127">IF(OR($E$113="",SUMPRODUCT(('Vessel Gauging Data'!$C$27:$C$56=$E$113)*1)&lt;ROWS($C$114:$C127)),"",INDEX('Vessel Gauging Data'!$B$27:$B$56,SMALL(IF(('Vessel Gauging Data'!$C$27:$C$56=$E$113),ROW('Vessel Gauging Data'!$B$27:$B$56)-ROW('Vessel Gauging Data'!$C$26)),ROW()-ROW(C$113))))</f>
        <v/>
      </c>
      <c r="D127" s="211" t="str">
        <f>IF(OR($C127="",$C127=0),"",INDEX('Vessel Gauging Data'!$B$26:$V$56,MATCH($C127,'Vessel Gauging Data'!$B$27:$B$56,0)+1,2))</f>
        <v/>
      </c>
      <c r="E127" s="1016" t="str">
        <f t="shared" si="153"/>
        <v/>
      </c>
      <c r="F127" s="1016" t="str">
        <f t="shared" si="154"/>
        <v/>
      </c>
      <c r="G127" s="1016" t="str">
        <f t="shared" si="155"/>
        <v/>
      </c>
      <c r="H127" s="1016" t="str">
        <f t="shared" si="156"/>
        <v/>
      </c>
      <c r="I127" s="211" t="str">
        <f t="shared" si="157"/>
        <v/>
      </c>
      <c r="J127" s="1016" t="str">
        <f t="shared" si="158"/>
        <v/>
      </c>
      <c r="K127" s="213" t="str">
        <f t="shared" si="159"/>
        <v/>
      </c>
      <c r="L127" s="212" t="str">
        <f t="shared" si="160"/>
        <v/>
      </c>
      <c r="M127" s="1125" t="str">
        <f>IF(OR($C127="",$C127=0),"",INDEX(API1DENST,MATCH($C127,'Vessel Gauging Data'!$B$27:$B$56,0),$AA$1))</f>
        <v/>
      </c>
      <c r="N127" s="212" t="str">
        <f t="shared" si="161"/>
        <v/>
      </c>
      <c r="O127" s="1016" t="str">
        <f t="shared" si="185"/>
        <v/>
      </c>
      <c r="P127" s="1125" t="str">
        <f t="shared" si="186"/>
        <v/>
      </c>
      <c r="Q127" s="1016" t="str">
        <f t="shared" si="187"/>
        <v/>
      </c>
      <c r="R127" s="214" t="str">
        <f t="shared" si="188"/>
        <v/>
      </c>
      <c r="S127" s="1125" t="str">
        <f t="shared" si="162"/>
        <v/>
      </c>
      <c r="T127" s="236" t="str">
        <f t="shared" si="189"/>
        <v/>
      </c>
      <c r="U127" s="641"/>
      <c r="V127" s="642" t="e">
        <f>INDEX('Vessel Gauging Data'!$B$26:$V$56,MATCH($C127,'Vessel Gauging Data'!$B$26:$B$56,0),$V$18)</f>
        <v>#N/A</v>
      </c>
      <c r="W127" s="642" t="e">
        <f>INDEX('Vessel Gauging Data'!$B$26:$V$56,MATCH($C127,'Vessel Gauging Data'!$B$26:$B$56,0),$W$18)</f>
        <v>#N/A</v>
      </c>
      <c r="X127" s="642" t="e">
        <f>INDEX('Vessel Gauging Data'!$B$26:$V$56,MATCH($C127,'Vessel Gauging Data'!$B$26:$B$56,0),$X$18)</f>
        <v>#N/A</v>
      </c>
      <c r="Y127" s="642" t="e">
        <f>INDEX('Vessel Gauging Data'!$B$26:$V$56,MATCH($C127,'Vessel Gauging Data'!$B$26:$B$56,0),$Y$18)</f>
        <v>#N/A</v>
      </c>
      <c r="Z127" s="642" t="e">
        <f>INDEX('Vessel Gauging Data'!$B$26:$V$56,MATCH($C127,'Vessel Gauging Data'!$B$26:$B$56,0),$Z$18)</f>
        <v>#N/A</v>
      </c>
      <c r="AA127" s="641"/>
      <c r="AB127" s="642" t="e">
        <f>INDEX(API1DENST,MATCH($C127,'Vessel Gauging Data'!$B$27:$B$56,0),1)</f>
        <v>#N/A</v>
      </c>
      <c r="AC127" s="642" t="e">
        <f t="shared" si="163"/>
        <v>#N/A</v>
      </c>
      <c r="AD127" s="641"/>
      <c r="AE127" s="661" t="e">
        <f t="shared" si="164"/>
        <v>#VALUE!</v>
      </c>
      <c r="AF127" s="661" t="e">
        <f t="shared" si="165"/>
        <v>#VALUE!</v>
      </c>
      <c r="AG127" s="641"/>
      <c r="AH127" s="662" t="str">
        <f t="shared" si="166"/>
        <v/>
      </c>
      <c r="AI127" s="662" t="str">
        <f t="shared" si="167"/>
        <v/>
      </c>
      <c r="AJ127" s="663">
        <f t="shared" si="168"/>
        <v>192.4571</v>
      </c>
      <c r="AK127" s="660">
        <f t="shared" si="169"/>
        <v>0.24379999999999999</v>
      </c>
      <c r="AL127" s="660" t="e">
        <f t="shared" si="170"/>
        <v>#VALUE!</v>
      </c>
      <c r="AM127" s="664" t="e">
        <f t="shared" si="171"/>
        <v>#VALUE!</v>
      </c>
      <c r="AN127" s="664" t="e">
        <f t="shared" si="172"/>
        <v>#VALUE!</v>
      </c>
      <c r="AO127" s="665" t="e">
        <f t="shared" si="173"/>
        <v>#VALUE!</v>
      </c>
      <c r="AP127" s="666" t="e">
        <f t="shared" si="174"/>
        <v>#VALUE!</v>
      </c>
      <c r="AQ127" s="660" t="e">
        <f t="shared" si="175"/>
        <v>#VALUE!</v>
      </c>
      <c r="AR127" s="667" t="e">
        <f t="shared" si="176"/>
        <v>#VALUE!</v>
      </c>
      <c r="AS127" s="667" t="e">
        <f t="shared" si="177"/>
        <v>#VALUE!</v>
      </c>
      <c r="AT127" s="668" t="e">
        <f t="shared" si="178"/>
        <v>#VALUE!</v>
      </c>
      <c r="AU127" s="667" t="e">
        <f t="shared" si="179"/>
        <v>#VALUE!</v>
      </c>
      <c r="AV127" s="669" t="e">
        <f t="shared" si="180"/>
        <v>#VALUE!</v>
      </c>
      <c r="AW127" s="667" t="e">
        <f t="shared" si="181"/>
        <v>#VALUE!</v>
      </c>
      <c r="AX127" s="667" t="e">
        <f t="shared" si="182"/>
        <v>#VALUE!</v>
      </c>
      <c r="AY127" s="660" t="e">
        <f t="shared" si="183"/>
        <v>#VALUE!</v>
      </c>
      <c r="AZ127" s="670" t="e">
        <f t="shared" si="184"/>
        <v>#VALUE!</v>
      </c>
      <c r="BA127" s="641"/>
      <c r="BB127" s="662" t="e">
        <f>INDEX('Vessel Gauging Data'!$B$26:$V$56,MATCH($C127,'Vessel Gauging Data'!$B$26:$B$56,0),$BB$18)</f>
        <v>#N/A</v>
      </c>
      <c r="BC127" s="662" t="e">
        <f>INDEX('Vessel Gauging Data'!$B$26:$V$56,MATCH($C127,'Vessel Gauging Data'!$B$26:$B$56,0),$BC$18)</f>
        <v>#N/A</v>
      </c>
      <c r="BD127" s="662" t="e">
        <f>INDEX('Vessel Gauging Data'!$B$26:$V$56,MATCH($C127,'Vessel Gauging Data'!$B$26:$B$56,0),$BD$18)</f>
        <v>#N/A</v>
      </c>
      <c r="BE127" s="662" t="e">
        <f>INDEX('Vessel Gauging Data'!$B$26:$V$56,MATCH($C127,'Vessel Gauging Data'!$B$26:$B$56,0),$BE$18)</f>
        <v>#N/A</v>
      </c>
    </row>
    <row r="128" spans="1:57" ht="15" hidden="1">
      <c r="A128" s="641" t="str">
        <f t="shared" si="152"/>
        <v>N</v>
      </c>
      <c r="B128" s="641"/>
      <c r="C128" s="235" t="str">
        <f t="array" ref="C128">IF(OR($E$113="",SUMPRODUCT(('Vessel Gauging Data'!$C$27:$C$56=$E$113)*1)&lt;ROWS($C$114:$C128)),"",INDEX('Vessel Gauging Data'!$B$27:$B$56,SMALL(IF(('Vessel Gauging Data'!$C$27:$C$56=$E$113),ROW('Vessel Gauging Data'!$B$27:$B$56)-ROW('Vessel Gauging Data'!$C$26)),ROW()-ROW(C$113))))</f>
        <v/>
      </c>
      <c r="D128" s="211" t="str">
        <f>IF(OR($C128="",$C128=0),"",INDEX('Vessel Gauging Data'!$B$26:$V$56,MATCH($C128,'Vessel Gauging Data'!$B$27:$B$56,0)+1,2))</f>
        <v/>
      </c>
      <c r="E128" s="1016" t="str">
        <f t="shared" si="153"/>
        <v/>
      </c>
      <c r="F128" s="1016" t="str">
        <f t="shared" si="154"/>
        <v/>
      </c>
      <c r="G128" s="1016" t="str">
        <f t="shared" si="155"/>
        <v/>
      </c>
      <c r="H128" s="1016" t="str">
        <f t="shared" si="156"/>
        <v/>
      </c>
      <c r="I128" s="211" t="str">
        <f t="shared" si="157"/>
        <v/>
      </c>
      <c r="J128" s="1016" t="str">
        <f t="shared" si="158"/>
        <v/>
      </c>
      <c r="K128" s="213" t="str">
        <f t="shared" si="159"/>
        <v/>
      </c>
      <c r="L128" s="212" t="str">
        <f t="shared" si="160"/>
        <v/>
      </c>
      <c r="M128" s="1125" t="str">
        <f>IF(OR($C128="",$C128=0),"",INDEX(API1DENST,MATCH($C128,'Vessel Gauging Data'!$B$27:$B$56,0),$AA$1))</f>
        <v/>
      </c>
      <c r="N128" s="212" t="str">
        <f t="shared" si="161"/>
        <v/>
      </c>
      <c r="O128" s="1016" t="str">
        <f t="shared" si="185"/>
        <v/>
      </c>
      <c r="P128" s="1125" t="str">
        <f t="shared" si="186"/>
        <v/>
      </c>
      <c r="Q128" s="1016" t="str">
        <f t="shared" si="187"/>
        <v/>
      </c>
      <c r="R128" s="214" t="str">
        <f t="shared" si="188"/>
        <v/>
      </c>
      <c r="S128" s="1125" t="str">
        <f t="shared" si="162"/>
        <v/>
      </c>
      <c r="T128" s="236" t="str">
        <f t="shared" si="189"/>
        <v/>
      </c>
      <c r="U128" s="641"/>
      <c r="V128" s="642" t="e">
        <f>INDEX('Vessel Gauging Data'!$B$26:$V$56,MATCH($C128,'Vessel Gauging Data'!$B$26:$B$56,0),$V$18)</f>
        <v>#N/A</v>
      </c>
      <c r="W128" s="642" t="e">
        <f>INDEX('Vessel Gauging Data'!$B$26:$V$56,MATCH($C128,'Vessel Gauging Data'!$B$26:$B$56,0),$W$18)</f>
        <v>#N/A</v>
      </c>
      <c r="X128" s="642" t="e">
        <f>INDEX('Vessel Gauging Data'!$B$26:$V$56,MATCH($C128,'Vessel Gauging Data'!$B$26:$B$56,0),$X$18)</f>
        <v>#N/A</v>
      </c>
      <c r="Y128" s="642" t="e">
        <f>INDEX('Vessel Gauging Data'!$B$26:$V$56,MATCH($C128,'Vessel Gauging Data'!$B$26:$B$56,0),$Y$18)</f>
        <v>#N/A</v>
      </c>
      <c r="Z128" s="642" t="e">
        <f>INDEX('Vessel Gauging Data'!$B$26:$V$56,MATCH($C128,'Vessel Gauging Data'!$B$26:$B$56,0),$Z$18)</f>
        <v>#N/A</v>
      </c>
      <c r="AA128" s="641"/>
      <c r="AB128" s="642" t="e">
        <f>INDEX(API1DENST,MATCH($C128,'Vessel Gauging Data'!$B$27:$B$56,0),1)</f>
        <v>#N/A</v>
      </c>
      <c r="AC128" s="642" t="e">
        <f t="shared" si="163"/>
        <v>#N/A</v>
      </c>
      <c r="AD128" s="641"/>
      <c r="AE128" s="661" t="e">
        <f t="shared" si="164"/>
        <v>#VALUE!</v>
      </c>
      <c r="AF128" s="661" t="e">
        <f t="shared" si="165"/>
        <v>#VALUE!</v>
      </c>
      <c r="AG128" s="641"/>
      <c r="AH128" s="662" t="str">
        <f t="shared" si="166"/>
        <v/>
      </c>
      <c r="AI128" s="662" t="str">
        <f t="shared" si="167"/>
        <v/>
      </c>
      <c r="AJ128" s="663">
        <f t="shared" si="168"/>
        <v>192.4571</v>
      </c>
      <c r="AK128" s="660">
        <f t="shared" si="169"/>
        <v>0.24379999999999999</v>
      </c>
      <c r="AL128" s="660" t="e">
        <f t="shared" si="170"/>
        <v>#VALUE!</v>
      </c>
      <c r="AM128" s="664" t="e">
        <f t="shared" si="171"/>
        <v>#VALUE!</v>
      </c>
      <c r="AN128" s="664" t="e">
        <f t="shared" si="172"/>
        <v>#VALUE!</v>
      </c>
      <c r="AO128" s="665" t="e">
        <f t="shared" si="173"/>
        <v>#VALUE!</v>
      </c>
      <c r="AP128" s="666" t="e">
        <f t="shared" si="174"/>
        <v>#VALUE!</v>
      </c>
      <c r="AQ128" s="660" t="e">
        <f t="shared" si="175"/>
        <v>#VALUE!</v>
      </c>
      <c r="AR128" s="667" t="e">
        <f t="shared" si="176"/>
        <v>#VALUE!</v>
      </c>
      <c r="AS128" s="667" t="e">
        <f t="shared" si="177"/>
        <v>#VALUE!</v>
      </c>
      <c r="AT128" s="668" t="e">
        <f t="shared" si="178"/>
        <v>#VALUE!</v>
      </c>
      <c r="AU128" s="667" t="e">
        <f t="shared" si="179"/>
        <v>#VALUE!</v>
      </c>
      <c r="AV128" s="669" t="e">
        <f t="shared" si="180"/>
        <v>#VALUE!</v>
      </c>
      <c r="AW128" s="667" t="e">
        <f t="shared" si="181"/>
        <v>#VALUE!</v>
      </c>
      <c r="AX128" s="667" t="e">
        <f t="shared" si="182"/>
        <v>#VALUE!</v>
      </c>
      <c r="AY128" s="660" t="e">
        <f t="shared" si="183"/>
        <v>#VALUE!</v>
      </c>
      <c r="AZ128" s="670" t="e">
        <f t="shared" si="184"/>
        <v>#VALUE!</v>
      </c>
      <c r="BA128" s="641"/>
      <c r="BB128" s="662" t="e">
        <f>INDEX('Vessel Gauging Data'!$B$26:$V$56,MATCH($C128,'Vessel Gauging Data'!$B$26:$B$56,0),$BB$18)</f>
        <v>#N/A</v>
      </c>
      <c r="BC128" s="662" t="e">
        <f>INDEX('Vessel Gauging Data'!$B$26:$V$56,MATCH($C128,'Vessel Gauging Data'!$B$26:$B$56,0),$BC$18)</f>
        <v>#N/A</v>
      </c>
      <c r="BD128" s="662" t="e">
        <f>INDEX('Vessel Gauging Data'!$B$26:$V$56,MATCH($C128,'Vessel Gauging Data'!$B$26:$B$56,0),$BD$18)</f>
        <v>#N/A</v>
      </c>
      <c r="BE128" s="662" t="e">
        <f>INDEX('Vessel Gauging Data'!$B$26:$V$56,MATCH($C128,'Vessel Gauging Data'!$B$26:$B$56,0),$BE$18)</f>
        <v>#N/A</v>
      </c>
    </row>
    <row r="129" spans="1:57" ht="15" hidden="1">
      <c r="A129" s="641" t="str">
        <f t="shared" si="152"/>
        <v>N</v>
      </c>
      <c r="B129" s="641"/>
      <c r="C129" s="235" t="str">
        <f t="array" ref="C129">IF(OR($E$113="",SUMPRODUCT(('Vessel Gauging Data'!$C$27:$C$56=$E$113)*1)&lt;ROWS($C$114:$C129)),"",INDEX('Vessel Gauging Data'!$B$27:$B$56,SMALL(IF(('Vessel Gauging Data'!$C$27:$C$56=$E$113),ROW('Vessel Gauging Data'!$B$27:$B$56)-ROW('Vessel Gauging Data'!$C$26)),ROW()-ROW(C$113))))</f>
        <v/>
      </c>
      <c r="D129" s="211" t="str">
        <f>IF(OR($C129="",$C129=0),"",INDEX('Vessel Gauging Data'!$B$26:$V$56,MATCH($C129,'Vessel Gauging Data'!$B$27:$B$56,0)+1,2))</f>
        <v/>
      </c>
      <c r="E129" s="1016" t="str">
        <f t="shared" si="153"/>
        <v/>
      </c>
      <c r="F129" s="1016" t="str">
        <f t="shared" si="154"/>
        <v/>
      </c>
      <c r="G129" s="1016" t="str">
        <f t="shared" si="155"/>
        <v/>
      </c>
      <c r="H129" s="1016" t="str">
        <f t="shared" si="156"/>
        <v/>
      </c>
      <c r="I129" s="211" t="str">
        <f t="shared" si="157"/>
        <v/>
      </c>
      <c r="J129" s="1016" t="str">
        <f t="shared" si="158"/>
        <v/>
      </c>
      <c r="K129" s="213" t="str">
        <f t="shared" si="159"/>
        <v/>
      </c>
      <c r="L129" s="212" t="str">
        <f t="shared" si="160"/>
        <v/>
      </c>
      <c r="M129" s="1125" t="str">
        <f>IF(OR($C129="",$C129=0),"",INDEX(API1DENST,MATCH($C129,'Vessel Gauging Data'!$B$27:$B$56,0),$AA$1))</f>
        <v/>
      </c>
      <c r="N129" s="212" t="str">
        <f t="shared" si="161"/>
        <v/>
      </c>
      <c r="O129" s="1016" t="str">
        <f t="shared" si="185"/>
        <v/>
      </c>
      <c r="P129" s="1125" t="str">
        <f t="shared" si="186"/>
        <v/>
      </c>
      <c r="Q129" s="1016" t="str">
        <f t="shared" si="187"/>
        <v/>
      </c>
      <c r="R129" s="214" t="str">
        <f t="shared" si="188"/>
        <v/>
      </c>
      <c r="S129" s="1125" t="str">
        <f t="shared" si="162"/>
        <v/>
      </c>
      <c r="T129" s="236" t="str">
        <f t="shared" si="189"/>
        <v/>
      </c>
      <c r="U129" s="641"/>
      <c r="V129" s="642" t="e">
        <f>INDEX('Vessel Gauging Data'!$B$26:$V$56,MATCH($C129,'Vessel Gauging Data'!$B$26:$B$56,0),$V$18)</f>
        <v>#N/A</v>
      </c>
      <c r="W129" s="642" t="e">
        <f>INDEX('Vessel Gauging Data'!$B$26:$V$56,MATCH($C129,'Vessel Gauging Data'!$B$26:$B$56,0),$W$18)</f>
        <v>#N/A</v>
      </c>
      <c r="X129" s="642" t="e">
        <f>INDEX('Vessel Gauging Data'!$B$26:$V$56,MATCH($C129,'Vessel Gauging Data'!$B$26:$B$56,0),$X$18)</f>
        <v>#N/A</v>
      </c>
      <c r="Y129" s="642" t="e">
        <f>INDEX('Vessel Gauging Data'!$B$26:$V$56,MATCH($C129,'Vessel Gauging Data'!$B$26:$B$56,0),$Y$18)</f>
        <v>#N/A</v>
      </c>
      <c r="Z129" s="642" t="e">
        <f>INDEX('Vessel Gauging Data'!$B$26:$V$56,MATCH($C129,'Vessel Gauging Data'!$B$26:$B$56,0),$Z$18)</f>
        <v>#N/A</v>
      </c>
      <c r="AA129" s="641"/>
      <c r="AB129" s="642" t="e">
        <f>INDEX(API1DENST,MATCH($C129,'Vessel Gauging Data'!$B$27:$B$56,0),1)</f>
        <v>#N/A</v>
      </c>
      <c r="AC129" s="642" t="e">
        <f t="shared" si="163"/>
        <v>#N/A</v>
      </c>
      <c r="AD129" s="641"/>
      <c r="AE129" s="661" t="e">
        <f t="shared" si="164"/>
        <v>#VALUE!</v>
      </c>
      <c r="AF129" s="661" t="e">
        <f t="shared" si="165"/>
        <v>#VALUE!</v>
      </c>
      <c r="AG129" s="641"/>
      <c r="AH129" s="662" t="str">
        <f t="shared" si="166"/>
        <v/>
      </c>
      <c r="AI129" s="662" t="str">
        <f t="shared" si="167"/>
        <v/>
      </c>
      <c r="AJ129" s="663">
        <f t="shared" si="168"/>
        <v>192.4571</v>
      </c>
      <c r="AK129" s="660">
        <f t="shared" si="169"/>
        <v>0.24379999999999999</v>
      </c>
      <c r="AL129" s="660" t="e">
        <f t="shared" si="170"/>
        <v>#VALUE!</v>
      </c>
      <c r="AM129" s="664" t="e">
        <f t="shared" si="171"/>
        <v>#VALUE!</v>
      </c>
      <c r="AN129" s="664" t="e">
        <f t="shared" si="172"/>
        <v>#VALUE!</v>
      </c>
      <c r="AO129" s="665" t="e">
        <f t="shared" si="173"/>
        <v>#VALUE!</v>
      </c>
      <c r="AP129" s="666" t="e">
        <f t="shared" si="174"/>
        <v>#VALUE!</v>
      </c>
      <c r="AQ129" s="660" t="e">
        <f t="shared" si="175"/>
        <v>#VALUE!</v>
      </c>
      <c r="AR129" s="667" t="e">
        <f t="shared" si="176"/>
        <v>#VALUE!</v>
      </c>
      <c r="AS129" s="667" t="e">
        <f t="shared" si="177"/>
        <v>#VALUE!</v>
      </c>
      <c r="AT129" s="668" t="e">
        <f t="shared" si="178"/>
        <v>#VALUE!</v>
      </c>
      <c r="AU129" s="667" t="e">
        <f t="shared" si="179"/>
        <v>#VALUE!</v>
      </c>
      <c r="AV129" s="669" t="e">
        <f t="shared" si="180"/>
        <v>#VALUE!</v>
      </c>
      <c r="AW129" s="667" t="e">
        <f t="shared" si="181"/>
        <v>#VALUE!</v>
      </c>
      <c r="AX129" s="667" t="e">
        <f t="shared" si="182"/>
        <v>#VALUE!</v>
      </c>
      <c r="AY129" s="660" t="e">
        <f t="shared" si="183"/>
        <v>#VALUE!</v>
      </c>
      <c r="AZ129" s="670" t="e">
        <f t="shared" si="184"/>
        <v>#VALUE!</v>
      </c>
      <c r="BA129" s="641"/>
      <c r="BB129" s="662" t="e">
        <f>INDEX('Vessel Gauging Data'!$B$26:$V$56,MATCH($C129,'Vessel Gauging Data'!$B$26:$B$56,0),$BB$18)</f>
        <v>#N/A</v>
      </c>
      <c r="BC129" s="662" t="e">
        <f>INDEX('Vessel Gauging Data'!$B$26:$V$56,MATCH($C129,'Vessel Gauging Data'!$B$26:$B$56,0),$BC$18)</f>
        <v>#N/A</v>
      </c>
      <c r="BD129" s="662" t="e">
        <f>INDEX('Vessel Gauging Data'!$B$26:$V$56,MATCH($C129,'Vessel Gauging Data'!$B$26:$B$56,0),$BD$18)</f>
        <v>#N/A</v>
      </c>
      <c r="BE129" s="662" t="e">
        <f>INDEX('Vessel Gauging Data'!$B$26:$V$56,MATCH($C129,'Vessel Gauging Data'!$B$26:$B$56,0),$BE$18)</f>
        <v>#N/A</v>
      </c>
    </row>
    <row r="130" spans="1:57" ht="15" hidden="1">
      <c r="A130" s="641" t="str">
        <f t="shared" si="152"/>
        <v>N</v>
      </c>
      <c r="B130" s="641"/>
      <c r="C130" s="235" t="str">
        <f t="array" ref="C130">IF(OR($E$113="",SUMPRODUCT(('Vessel Gauging Data'!$C$27:$C$56=$E$113)*1)&lt;ROWS($C$114:$C130)),"",INDEX('Vessel Gauging Data'!$B$27:$B$56,SMALL(IF(('Vessel Gauging Data'!$C$27:$C$56=$E$113),ROW('Vessel Gauging Data'!$B$27:$B$56)-ROW('Vessel Gauging Data'!$C$26)),ROW()-ROW(C$113))))</f>
        <v/>
      </c>
      <c r="D130" s="211" t="str">
        <f>IF(OR($C130="",$C130=0),"",INDEX('Vessel Gauging Data'!$B$26:$V$56,MATCH($C130,'Vessel Gauging Data'!$B$27:$B$56,0)+1,2))</f>
        <v/>
      </c>
      <c r="E130" s="1016" t="str">
        <f t="shared" si="153"/>
        <v/>
      </c>
      <c r="F130" s="1016" t="str">
        <f t="shared" si="154"/>
        <v/>
      </c>
      <c r="G130" s="1016" t="str">
        <f t="shared" si="155"/>
        <v/>
      </c>
      <c r="H130" s="1016" t="str">
        <f t="shared" si="156"/>
        <v/>
      </c>
      <c r="I130" s="211" t="str">
        <f t="shared" si="157"/>
        <v/>
      </c>
      <c r="J130" s="1016" t="str">
        <f t="shared" si="158"/>
        <v/>
      </c>
      <c r="K130" s="213" t="str">
        <f t="shared" si="159"/>
        <v/>
      </c>
      <c r="L130" s="212" t="str">
        <f t="shared" si="160"/>
        <v/>
      </c>
      <c r="M130" s="1125" t="str">
        <f>IF(OR($C130="",$C130=0),"",INDEX(API1DENST,MATCH($C130,'Vessel Gauging Data'!$B$27:$B$56,0),$AA$1))</f>
        <v/>
      </c>
      <c r="N130" s="212" t="str">
        <f t="shared" si="161"/>
        <v/>
      </c>
      <c r="O130" s="1016" t="str">
        <f t="shared" si="185"/>
        <v/>
      </c>
      <c r="P130" s="1125" t="str">
        <f t="shared" si="186"/>
        <v/>
      </c>
      <c r="Q130" s="1016" t="str">
        <f t="shared" si="187"/>
        <v/>
      </c>
      <c r="R130" s="214" t="str">
        <f t="shared" si="188"/>
        <v/>
      </c>
      <c r="S130" s="1125" t="str">
        <f t="shared" si="162"/>
        <v/>
      </c>
      <c r="T130" s="236" t="str">
        <f t="shared" si="189"/>
        <v/>
      </c>
      <c r="U130" s="641"/>
      <c r="V130" s="642" t="e">
        <f>INDEX('Vessel Gauging Data'!$B$26:$V$56,MATCH($C130,'Vessel Gauging Data'!$B$26:$B$56,0),$V$18)</f>
        <v>#N/A</v>
      </c>
      <c r="W130" s="642" t="e">
        <f>INDEX('Vessel Gauging Data'!$B$26:$V$56,MATCH($C130,'Vessel Gauging Data'!$B$26:$B$56,0),$W$18)</f>
        <v>#N/A</v>
      </c>
      <c r="X130" s="642" t="e">
        <f>INDEX('Vessel Gauging Data'!$B$26:$V$56,MATCH($C130,'Vessel Gauging Data'!$B$26:$B$56,0),$X$18)</f>
        <v>#N/A</v>
      </c>
      <c r="Y130" s="642" t="e">
        <f>INDEX('Vessel Gauging Data'!$B$26:$V$56,MATCH($C130,'Vessel Gauging Data'!$B$26:$B$56,0),$Y$18)</f>
        <v>#N/A</v>
      </c>
      <c r="Z130" s="642" t="e">
        <f>INDEX('Vessel Gauging Data'!$B$26:$V$56,MATCH($C130,'Vessel Gauging Data'!$B$26:$B$56,0),$Z$18)</f>
        <v>#N/A</v>
      </c>
      <c r="AA130" s="641"/>
      <c r="AB130" s="642" t="e">
        <f>INDEX(API1DENST,MATCH($C130,'Vessel Gauging Data'!$B$27:$B$56,0),1)</f>
        <v>#N/A</v>
      </c>
      <c r="AC130" s="642" t="e">
        <f t="shared" si="163"/>
        <v>#N/A</v>
      </c>
      <c r="AD130" s="641"/>
      <c r="AE130" s="661" t="e">
        <f t="shared" si="164"/>
        <v>#VALUE!</v>
      </c>
      <c r="AF130" s="661" t="e">
        <f t="shared" si="165"/>
        <v>#VALUE!</v>
      </c>
      <c r="AG130" s="641"/>
      <c r="AH130" s="662" t="str">
        <f t="shared" si="166"/>
        <v/>
      </c>
      <c r="AI130" s="662" t="str">
        <f t="shared" si="167"/>
        <v/>
      </c>
      <c r="AJ130" s="663">
        <f t="shared" si="168"/>
        <v>192.4571</v>
      </c>
      <c r="AK130" s="660">
        <f t="shared" si="169"/>
        <v>0.24379999999999999</v>
      </c>
      <c r="AL130" s="660" t="e">
        <f t="shared" si="170"/>
        <v>#VALUE!</v>
      </c>
      <c r="AM130" s="664" t="e">
        <f t="shared" si="171"/>
        <v>#VALUE!</v>
      </c>
      <c r="AN130" s="664" t="e">
        <f t="shared" si="172"/>
        <v>#VALUE!</v>
      </c>
      <c r="AO130" s="665" t="e">
        <f t="shared" si="173"/>
        <v>#VALUE!</v>
      </c>
      <c r="AP130" s="666" t="e">
        <f t="shared" si="174"/>
        <v>#VALUE!</v>
      </c>
      <c r="AQ130" s="660" t="e">
        <f t="shared" si="175"/>
        <v>#VALUE!</v>
      </c>
      <c r="AR130" s="667" t="e">
        <f t="shared" si="176"/>
        <v>#VALUE!</v>
      </c>
      <c r="AS130" s="667" t="e">
        <f t="shared" si="177"/>
        <v>#VALUE!</v>
      </c>
      <c r="AT130" s="668" t="e">
        <f t="shared" si="178"/>
        <v>#VALUE!</v>
      </c>
      <c r="AU130" s="667" t="e">
        <f t="shared" si="179"/>
        <v>#VALUE!</v>
      </c>
      <c r="AV130" s="669" t="e">
        <f t="shared" si="180"/>
        <v>#VALUE!</v>
      </c>
      <c r="AW130" s="667" t="e">
        <f t="shared" si="181"/>
        <v>#VALUE!</v>
      </c>
      <c r="AX130" s="667" t="e">
        <f t="shared" si="182"/>
        <v>#VALUE!</v>
      </c>
      <c r="AY130" s="660" t="e">
        <f t="shared" si="183"/>
        <v>#VALUE!</v>
      </c>
      <c r="AZ130" s="670" t="e">
        <f t="shared" si="184"/>
        <v>#VALUE!</v>
      </c>
      <c r="BA130" s="641"/>
      <c r="BB130" s="662" t="e">
        <f>INDEX('Vessel Gauging Data'!$B$26:$V$56,MATCH($C130,'Vessel Gauging Data'!$B$26:$B$56,0),$BB$18)</f>
        <v>#N/A</v>
      </c>
      <c r="BC130" s="662" t="e">
        <f>INDEX('Vessel Gauging Data'!$B$26:$V$56,MATCH($C130,'Vessel Gauging Data'!$B$26:$B$56,0),$BC$18)</f>
        <v>#N/A</v>
      </c>
      <c r="BD130" s="662" t="e">
        <f>INDEX('Vessel Gauging Data'!$B$26:$V$56,MATCH($C130,'Vessel Gauging Data'!$B$26:$B$56,0),$BD$18)</f>
        <v>#N/A</v>
      </c>
      <c r="BE130" s="662" t="e">
        <f>INDEX('Vessel Gauging Data'!$B$26:$V$56,MATCH($C130,'Vessel Gauging Data'!$B$26:$B$56,0),$BE$18)</f>
        <v>#N/A</v>
      </c>
    </row>
    <row r="131" spans="1:57" ht="15" hidden="1">
      <c r="A131" s="641" t="str">
        <f t="shared" si="152"/>
        <v>N</v>
      </c>
      <c r="B131" s="641"/>
      <c r="C131" s="235" t="str">
        <f t="array" ref="C131">IF(OR($E$113="",SUMPRODUCT(('Vessel Gauging Data'!$C$27:$C$56=$E$113)*1)&lt;ROWS($C$114:$C131)),"",INDEX('Vessel Gauging Data'!$B$27:$B$56,SMALL(IF(('Vessel Gauging Data'!$C$27:$C$56=$E$113),ROW('Vessel Gauging Data'!$B$27:$B$56)-ROW('Vessel Gauging Data'!$C$26)),ROW()-ROW(C$113))))</f>
        <v/>
      </c>
      <c r="D131" s="211" t="str">
        <f>IF(OR($C131="",$C131=0),"",INDEX('Vessel Gauging Data'!$B$26:$V$56,MATCH($C131,'Vessel Gauging Data'!$B$27:$B$56,0)+1,2))</f>
        <v/>
      </c>
      <c r="E131" s="1016" t="str">
        <f t="shared" si="153"/>
        <v/>
      </c>
      <c r="F131" s="1016" t="str">
        <f t="shared" si="154"/>
        <v/>
      </c>
      <c r="G131" s="1016" t="str">
        <f t="shared" si="155"/>
        <v/>
      </c>
      <c r="H131" s="1016" t="str">
        <f t="shared" si="156"/>
        <v/>
      </c>
      <c r="I131" s="211" t="str">
        <f t="shared" si="157"/>
        <v/>
      </c>
      <c r="J131" s="1016" t="str">
        <f t="shared" si="158"/>
        <v/>
      </c>
      <c r="K131" s="213" t="str">
        <f t="shared" si="159"/>
        <v/>
      </c>
      <c r="L131" s="212" t="str">
        <f t="shared" si="160"/>
        <v/>
      </c>
      <c r="M131" s="1125" t="str">
        <f>IF(OR($C131="",$C131=0),"",INDEX(API1DENST,MATCH($C131,'Vessel Gauging Data'!$B$27:$B$56,0),$AA$1))</f>
        <v/>
      </c>
      <c r="N131" s="212" t="str">
        <f t="shared" si="161"/>
        <v/>
      </c>
      <c r="O131" s="1016" t="str">
        <f t="shared" si="185"/>
        <v/>
      </c>
      <c r="P131" s="1125" t="str">
        <f t="shared" si="186"/>
        <v/>
      </c>
      <c r="Q131" s="1016" t="str">
        <f t="shared" si="187"/>
        <v/>
      </c>
      <c r="R131" s="214" t="str">
        <f t="shared" si="188"/>
        <v/>
      </c>
      <c r="S131" s="1125" t="str">
        <f t="shared" si="162"/>
        <v/>
      </c>
      <c r="T131" s="236" t="str">
        <f t="shared" si="189"/>
        <v/>
      </c>
      <c r="U131" s="641"/>
      <c r="V131" s="642" t="e">
        <f>INDEX('Vessel Gauging Data'!$B$26:$V$56,MATCH($C131,'Vessel Gauging Data'!$B$26:$B$56,0),$V$18)</f>
        <v>#N/A</v>
      </c>
      <c r="W131" s="642" t="e">
        <f>INDEX('Vessel Gauging Data'!$B$26:$V$56,MATCH($C131,'Vessel Gauging Data'!$B$26:$B$56,0),$W$18)</f>
        <v>#N/A</v>
      </c>
      <c r="X131" s="642" t="e">
        <f>INDEX('Vessel Gauging Data'!$B$26:$V$56,MATCH($C131,'Vessel Gauging Data'!$B$26:$B$56,0),$X$18)</f>
        <v>#N/A</v>
      </c>
      <c r="Y131" s="642" t="e">
        <f>INDEX('Vessel Gauging Data'!$B$26:$V$56,MATCH($C131,'Vessel Gauging Data'!$B$26:$B$56,0),$Y$18)</f>
        <v>#N/A</v>
      </c>
      <c r="Z131" s="642" t="e">
        <f>INDEX('Vessel Gauging Data'!$B$26:$V$56,MATCH($C131,'Vessel Gauging Data'!$B$26:$B$56,0),$Z$18)</f>
        <v>#N/A</v>
      </c>
      <c r="AA131" s="641"/>
      <c r="AB131" s="642" t="e">
        <f>INDEX(API1DENST,MATCH($C131,'Vessel Gauging Data'!$B$27:$B$56,0),1)</f>
        <v>#N/A</v>
      </c>
      <c r="AC131" s="642" t="e">
        <f t="shared" si="163"/>
        <v>#N/A</v>
      </c>
      <c r="AD131" s="641"/>
      <c r="AE131" s="661" t="e">
        <f t="shared" si="164"/>
        <v>#VALUE!</v>
      </c>
      <c r="AF131" s="661" t="e">
        <f t="shared" si="165"/>
        <v>#VALUE!</v>
      </c>
      <c r="AG131" s="641"/>
      <c r="AH131" s="662" t="str">
        <f t="shared" si="166"/>
        <v/>
      </c>
      <c r="AI131" s="662" t="str">
        <f t="shared" si="167"/>
        <v/>
      </c>
      <c r="AJ131" s="663">
        <f t="shared" si="168"/>
        <v>192.4571</v>
      </c>
      <c r="AK131" s="660">
        <f t="shared" si="169"/>
        <v>0.24379999999999999</v>
      </c>
      <c r="AL131" s="660" t="e">
        <f t="shared" si="170"/>
        <v>#VALUE!</v>
      </c>
      <c r="AM131" s="664" t="e">
        <f t="shared" si="171"/>
        <v>#VALUE!</v>
      </c>
      <c r="AN131" s="664" t="e">
        <f t="shared" si="172"/>
        <v>#VALUE!</v>
      </c>
      <c r="AO131" s="665" t="e">
        <f t="shared" si="173"/>
        <v>#VALUE!</v>
      </c>
      <c r="AP131" s="666" t="e">
        <f t="shared" si="174"/>
        <v>#VALUE!</v>
      </c>
      <c r="AQ131" s="660" t="e">
        <f t="shared" si="175"/>
        <v>#VALUE!</v>
      </c>
      <c r="AR131" s="667" t="e">
        <f t="shared" si="176"/>
        <v>#VALUE!</v>
      </c>
      <c r="AS131" s="667" t="e">
        <f t="shared" si="177"/>
        <v>#VALUE!</v>
      </c>
      <c r="AT131" s="668" t="e">
        <f t="shared" si="178"/>
        <v>#VALUE!</v>
      </c>
      <c r="AU131" s="667" t="e">
        <f t="shared" si="179"/>
        <v>#VALUE!</v>
      </c>
      <c r="AV131" s="669" t="e">
        <f t="shared" si="180"/>
        <v>#VALUE!</v>
      </c>
      <c r="AW131" s="667" t="e">
        <f t="shared" si="181"/>
        <v>#VALUE!</v>
      </c>
      <c r="AX131" s="667" t="e">
        <f t="shared" si="182"/>
        <v>#VALUE!</v>
      </c>
      <c r="AY131" s="660" t="e">
        <f t="shared" si="183"/>
        <v>#VALUE!</v>
      </c>
      <c r="AZ131" s="670" t="e">
        <f t="shared" si="184"/>
        <v>#VALUE!</v>
      </c>
      <c r="BA131" s="641"/>
      <c r="BB131" s="662" t="e">
        <f>INDEX('Vessel Gauging Data'!$B$26:$V$56,MATCH($C131,'Vessel Gauging Data'!$B$26:$B$56,0),$BB$18)</f>
        <v>#N/A</v>
      </c>
      <c r="BC131" s="662" t="e">
        <f>INDEX('Vessel Gauging Data'!$B$26:$V$56,MATCH($C131,'Vessel Gauging Data'!$B$26:$B$56,0),$BC$18)</f>
        <v>#N/A</v>
      </c>
      <c r="BD131" s="662" t="e">
        <f>INDEX('Vessel Gauging Data'!$B$26:$V$56,MATCH($C131,'Vessel Gauging Data'!$B$26:$B$56,0),$BD$18)</f>
        <v>#N/A</v>
      </c>
      <c r="BE131" s="662" t="e">
        <f>INDEX('Vessel Gauging Data'!$B$26:$V$56,MATCH($C131,'Vessel Gauging Data'!$B$26:$B$56,0),$BE$18)</f>
        <v>#N/A</v>
      </c>
    </row>
    <row r="132" spans="1:57" ht="15" hidden="1">
      <c r="A132" s="641" t="str">
        <f t="shared" si="152"/>
        <v>N</v>
      </c>
      <c r="B132" s="641"/>
      <c r="C132" s="235" t="str">
        <f t="array" ref="C132">IF(OR($E$113="",SUMPRODUCT(('Vessel Gauging Data'!$C$27:$C$56=$E$113)*1)&lt;ROWS($C$114:$C132)),"",INDEX('Vessel Gauging Data'!$B$27:$B$56,SMALL(IF(('Vessel Gauging Data'!$C$27:$C$56=$E$113),ROW('Vessel Gauging Data'!$B$27:$B$56)-ROW('Vessel Gauging Data'!$C$26)),ROW()-ROW(C$113))))</f>
        <v/>
      </c>
      <c r="D132" s="211" t="str">
        <f>IF(OR($C132="",$C132=0),"",INDEX('Vessel Gauging Data'!$B$26:$V$56,MATCH($C132,'Vessel Gauging Data'!$B$27:$B$56,0)+1,2))</f>
        <v/>
      </c>
      <c r="E132" s="1016" t="str">
        <f t="shared" si="153"/>
        <v/>
      </c>
      <c r="F132" s="1016" t="str">
        <f t="shared" si="154"/>
        <v/>
      </c>
      <c r="G132" s="1016" t="str">
        <f t="shared" si="155"/>
        <v/>
      </c>
      <c r="H132" s="1016" t="str">
        <f t="shared" si="156"/>
        <v/>
      </c>
      <c r="I132" s="211" t="str">
        <f t="shared" si="157"/>
        <v/>
      </c>
      <c r="J132" s="1016" t="str">
        <f t="shared" si="158"/>
        <v/>
      </c>
      <c r="K132" s="213" t="str">
        <f t="shared" si="159"/>
        <v/>
      </c>
      <c r="L132" s="212" t="str">
        <f t="shared" si="160"/>
        <v/>
      </c>
      <c r="M132" s="1125" t="str">
        <f>IF(OR($C132="",$C132=0),"",INDEX(API1DENST,MATCH($C132,'Vessel Gauging Data'!$B$27:$B$56,0),$AA$1))</f>
        <v/>
      </c>
      <c r="N132" s="212" t="str">
        <f t="shared" si="161"/>
        <v/>
      </c>
      <c r="O132" s="1016" t="str">
        <f t="shared" si="185"/>
        <v/>
      </c>
      <c r="P132" s="1125" t="str">
        <f t="shared" si="186"/>
        <v/>
      </c>
      <c r="Q132" s="1016" t="str">
        <f t="shared" si="187"/>
        <v/>
      </c>
      <c r="R132" s="214" t="str">
        <f t="shared" si="188"/>
        <v/>
      </c>
      <c r="S132" s="1125" t="str">
        <f t="shared" si="162"/>
        <v/>
      </c>
      <c r="T132" s="236" t="str">
        <f t="shared" si="189"/>
        <v/>
      </c>
      <c r="U132" s="641"/>
      <c r="V132" s="642" t="e">
        <f>INDEX('Vessel Gauging Data'!$B$26:$V$56,MATCH($C132,'Vessel Gauging Data'!$B$26:$B$56,0),$V$18)</f>
        <v>#N/A</v>
      </c>
      <c r="W132" s="642" t="e">
        <f>INDEX('Vessel Gauging Data'!$B$26:$V$56,MATCH($C132,'Vessel Gauging Data'!$B$26:$B$56,0),$W$18)</f>
        <v>#N/A</v>
      </c>
      <c r="X132" s="642" t="e">
        <f>INDEX('Vessel Gauging Data'!$B$26:$V$56,MATCH($C132,'Vessel Gauging Data'!$B$26:$B$56,0),$X$18)</f>
        <v>#N/A</v>
      </c>
      <c r="Y132" s="642" t="e">
        <f>INDEX('Vessel Gauging Data'!$B$26:$V$56,MATCH($C132,'Vessel Gauging Data'!$B$26:$B$56,0),$Y$18)</f>
        <v>#N/A</v>
      </c>
      <c r="Z132" s="642" t="e">
        <f>INDEX('Vessel Gauging Data'!$B$26:$V$56,MATCH($C132,'Vessel Gauging Data'!$B$26:$B$56,0),$Z$18)</f>
        <v>#N/A</v>
      </c>
      <c r="AA132" s="641"/>
      <c r="AB132" s="642" t="e">
        <f>INDEX(API1DENST,MATCH($C132,'Vessel Gauging Data'!$B$27:$B$56,0),1)</f>
        <v>#N/A</v>
      </c>
      <c r="AC132" s="642" t="e">
        <f t="shared" si="163"/>
        <v>#N/A</v>
      </c>
      <c r="AD132" s="641"/>
      <c r="AE132" s="661" t="e">
        <f t="shared" si="164"/>
        <v>#VALUE!</v>
      </c>
      <c r="AF132" s="661" t="e">
        <f t="shared" si="165"/>
        <v>#VALUE!</v>
      </c>
      <c r="AG132" s="641"/>
      <c r="AH132" s="662" t="str">
        <f t="shared" si="166"/>
        <v/>
      </c>
      <c r="AI132" s="662" t="str">
        <f t="shared" si="167"/>
        <v/>
      </c>
      <c r="AJ132" s="663">
        <f t="shared" si="168"/>
        <v>192.4571</v>
      </c>
      <c r="AK132" s="660">
        <f t="shared" si="169"/>
        <v>0.24379999999999999</v>
      </c>
      <c r="AL132" s="660" t="e">
        <f t="shared" si="170"/>
        <v>#VALUE!</v>
      </c>
      <c r="AM132" s="664" t="e">
        <f t="shared" si="171"/>
        <v>#VALUE!</v>
      </c>
      <c r="AN132" s="664" t="e">
        <f t="shared" si="172"/>
        <v>#VALUE!</v>
      </c>
      <c r="AO132" s="665" t="e">
        <f t="shared" si="173"/>
        <v>#VALUE!</v>
      </c>
      <c r="AP132" s="666" t="e">
        <f t="shared" si="174"/>
        <v>#VALUE!</v>
      </c>
      <c r="AQ132" s="660" t="e">
        <f t="shared" si="175"/>
        <v>#VALUE!</v>
      </c>
      <c r="AR132" s="667" t="e">
        <f t="shared" si="176"/>
        <v>#VALUE!</v>
      </c>
      <c r="AS132" s="667" t="e">
        <f t="shared" si="177"/>
        <v>#VALUE!</v>
      </c>
      <c r="AT132" s="668" t="e">
        <f t="shared" si="178"/>
        <v>#VALUE!</v>
      </c>
      <c r="AU132" s="667" t="e">
        <f t="shared" si="179"/>
        <v>#VALUE!</v>
      </c>
      <c r="AV132" s="669" t="e">
        <f t="shared" si="180"/>
        <v>#VALUE!</v>
      </c>
      <c r="AW132" s="667" t="e">
        <f t="shared" si="181"/>
        <v>#VALUE!</v>
      </c>
      <c r="AX132" s="667" t="e">
        <f t="shared" si="182"/>
        <v>#VALUE!</v>
      </c>
      <c r="AY132" s="660" t="e">
        <f t="shared" si="183"/>
        <v>#VALUE!</v>
      </c>
      <c r="AZ132" s="670" t="e">
        <f t="shared" si="184"/>
        <v>#VALUE!</v>
      </c>
      <c r="BA132" s="641"/>
      <c r="BB132" s="662" t="e">
        <f>INDEX('Vessel Gauging Data'!$B$26:$V$56,MATCH($C132,'Vessel Gauging Data'!$B$26:$B$56,0),$BB$18)</f>
        <v>#N/A</v>
      </c>
      <c r="BC132" s="662" t="e">
        <f>INDEX('Vessel Gauging Data'!$B$26:$V$56,MATCH($C132,'Vessel Gauging Data'!$B$26:$B$56,0),$BC$18)</f>
        <v>#N/A</v>
      </c>
      <c r="BD132" s="662" t="e">
        <f>INDEX('Vessel Gauging Data'!$B$26:$V$56,MATCH($C132,'Vessel Gauging Data'!$B$26:$B$56,0),$BD$18)</f>
        <v>#N/A</v>
      </c>
      <c r="BE132" s="662" t="e">
        <f>INDEX('Vessel Gauging Data'!$B$26:$V$56,MATCH($C132,'Vessel Gauging Data'!$B$26:$B$56,0),$BE$18)</f>
        <v>#N/A</v>
      </c>
    </row>
    <row r="133" spans="1:57" ht="15" hidden="1">
      <c r="A133" s="641" t="str">
        <f t="shared" si="152"/>
        <v>N</v>
      </c>
      <c r="B133" s="641"/>
      <c r="C133" s="235" t="str">
        <f t="array" ref="C133">IF(OR($E$113="",SUMPRODUCT(('Vessel Gauging Data'!$C$27:$C$56=$E$113)*1)&lt;ROWS($C$114:$C133)),"",INDEX('Vessel Gauging Data'!$B$27:$B$56,SMALL(IF(('Vessel Gauging Data'!$C$27:$C$56=$E$113),ROW('Vessel Gauging Data'!$B$27:$B$56)-ROW('Vessel Gauging Data'!$C$26)),ROW()-ROW(C$113))))</f>
        <v/>
      </c>
      <c r="D133" s="238" t="str">
        <f>IF(OR($C133="",$C133=0),"",INDEX('Vessel Gauging Data'!$B$26:$V$56,MATCH($C133,'Vessel Gauging Data'!$B$27:$B$56,0)+1,2))</f>
        <v/>
      </c>
      <c r="E133" s="1017" t="str">
        <f t="shared" si="153"/>
        <v/>
      </c>
      <c r="F133" s="1017" t="str">
        <f t="shared" si="154"/>
        <v/>
      </c>
      <c r="G133" s="1017" t="str">
        <f t="shared" si="155"/>
        <v/>
      </c>
      <c r="H133" s="1017" t="str">
        <f t="shared" si="156"/>
        <v/>
      </c>
      <c r="I133" s="238" t="str">
        <f t="shared" si="157"/>
        <v/>
      </c>
      <c r="J133" s="1017" t="str">
        <f t="shared" si="158"/>
        <v/>
      </c>
      <c r="K133" s="240" t="str">
        <f t="shared" si="159"/>
        <v/>
      </c>
      <c r="L133" s="239" t="str">
        <f t="shared" si="160"/>
        <v/>
      </c>
      <c r="M133" s="1126" t="str">
        <f>IF(OR($C133="",$C133=0),"",INDEX(API1DENST,MATCH($C133,'Vessel Gauging Data'!$B$27:$B$56,0),$AA$1))</f>
        <v/>
      </c>
      <c r="N133" s="239" t="str">
        <f t="shared" si="161"/>
        <v/>
      </c>
      <c r="O133" s="1017" t="str">
        <f t="shared" si="185"/>
        <v/>
      </c>
      <c r="P133" s="1126" t="str">
        <f t="shared" si="186"/>
        <v/>
      </c>
      <c r="Q133" s="1017" t="str">
        <f t="shared" si="187"/>
        <v/>
      </c>
      <c r="R133" s="241" t="str">
        <f t="shared" si="188"/>
        <v/>
      </c>
      <c r="S133" s="1126" t="str">
        <f t="shared" si="162"/>
        <v/>
      </c>
      <c r="T133" s="242" t="str">
        <f t="shared" si="189"/>
        <v/>
      </c>
      <c r="U133" s="641"/>
      <c r="V133" s="642" t="e">
        <f>INDEX('Vessel Gauging Data'!$B$26:$V$56,MATCH($C133,'Vessel Gauging Data'!$B$26:$B$56,0),$V$18)</f>
        <v>#N/A</v>
      </c>
      <c r="W133" s="642" t="e">
        <f>INDEX('Vessel Gauging Data'!$B$26:$V$56,MATCH($C133,'Vessel Gauging Data'!$B$26:$B$56,0),$W$18)</f>
        <v>#N/A</v>
      </c>
      <c r="X133" s="642" t="e">
        <f>INDEX('Vessel Gauging Data'!$B$26:$V$56,MATCH($C133,'Vessel Gauging Data'!$B$26:$B$56,0),$X$18)</f>
        <v>#N/A</v>
      </c>
      <c r="Y133" s="642" t="e">
        <f>INDEX('Vessel Gauging Data'!$B$26:$V$56,MATCH($C133,'Vessel Gauging Data'!$B$26:$B$56,0),$Y$18)</f>
        <v>#N/A</v>
      </c>
      <c r="Z133" s="642" t="e">
        <f>INDEX('Vessel Gauging Data'!$B$26:$V$56,MATCH($C133,'Vessel Gauging Data'!$B$26:$B$56,0),$Z$18)</f>
        <v>#N/A</v>
      </c>
      <c r="AA133" s="641"/>
      <c r="AB133" s="642" t="e">
        <f>INDEX(API1DENST,MATCH($C133,'Vessel Gauging Data'!$B$27:$B$56,0),1)</f>
        <v>#N/A</v>
      </c>
      <c r="AC133" s="642" t="e">
        <f t="shared" si="163"/>
        <v>#N/A</v>
      </c>
      <c r="AD133" s="641"/>
      <c r="AE133" s="661" t="e">
        <f t="shared" si="164"/>
        <v>#VALUE!</v>
      </c>
      <c r="AF133" s="661" t="e">
        <f t="shared" si="165"/>
        <v>#VALUE!</v>
      </c>
      <c r="AG133" s="641"/>
      <c r="AH133" s="662" t="str">
        <f t="shared" si="166"/>
        <v/>
      </c>
      <c r="AI133" s="662" t="str">
        <f t="shared" si="167"/>
        <v/>
      </c>
      <c r="AJ133" s="663">
        <f t="shared" si="168"/>
        <v>192.4571</v>
      </c>
      <c r="AK133" s="660">
        <f t="shared" si="169"/>
        <v>0.24379999999999999</v>
      </c>
      <c r="AL133" s="660" t="e">
        <f t="shared" si="170"/>
        <v>#VALUE!</v>
      </c>
      <c r="AM133" s="664" t="e">
        <f t="shared" si="171"/>
        <v>#VALUE!</v>
      </c>
      <c r="AN133" s="664" t="e">
        <f t="shared" si="172"/>
        <v>#VALUE!</v>
      </c>
      <c r="AO133" s="665" t="e">
        <f t="shared" si="173"/>
        <v>#VALUE!</v>
      </c>
      <c r="AP133" s="666" t="e">
        <f t="shared" si="174"/>
        <v>#VALUE!</v>
      </c>
      <c r="AQ133" s="660" t="e">
        <f t="shared" si="175"/>
        <v>#VALUE!</v>
      </c>
      <c r="AR133" s="667" t="e">
        <f t="shared" si="176"/>
        <v>#VALUE!</v>
      </c>
      <c r="AS133" s="667" t="e">
        <f t="shared" si="177"/>
        <v>#VALUE!</v>
      </c>
      <c r="AT133" s="668" t="e">
        <f t="shared" si="178"/>
        <v>#VALUE!</v>
      </c>
      <c r="AU133" s="667" t="e">
        <f t="shared" si="179"/>
        <v>#VALUE!</v>
      </c>
      <c r="AV133" s="669" t="e">
        <f t="shared" si="180"/>
        <v>#VALUE!</v>
      </c>
      <c r="AW133" s="667" t="e">
        <f t="shared" si="181"/>
        <v>#VALUE!</v>
      </c>
      <c r="AX133" s="667" t="e">
        <f t="shared" si="182"/>
        <v>#VALUE!</v>
      </c>
      <c r="AY133" s="660" t="e">
        <f t="shared" si="183"/>
        <v>#VALUE!</v>
      </c>
      <c r="AZ133" s="670" t="e">
        <f t="shared" si="184"/>
        <v>#VALUE!</v>
      </c>
      <c r="BA133" s="641"/>
      <c r="BB133" s="662" t="e">
        <f>INDEX('Vessel Gauging Data'!$B$26:$V$56,MATCH($C133,'Vessel Gauging Data'!$B$26:$B$56,0),$BB$18)</f>
        <v>#N/A</v>
      </c>
      <c r="BC133" s="662" t="e">
        <f>INDEX('Vessel Gauging Data'!$B$26:$V$56,MATCH($C133,'Vessel Gauging Data'!$B$26:$B$56,0),$BC$18)</f>
        <v>#N/A</v>
      </c>
      <c r="BD133" s="662" t="e">
        <f>INDEX('Vessel Gauging Data'!$B$26:$V$56,MATCH($C133,'Vessel Gauging Data'!$B$26:$B$56,0),$BD$18)</f>
        <v>#N/A</v>
      </c>
      <c r="BE133" s="662" t="e">
        <f>INDEX('Vessel Gauging Data'!$B$26:$V$56,MATCH($C133,'Vessel Gauging Data'!$B$26:$B$56,0),$BE$18)</f>
        <v>#N/A</v>
      </c>
    </row>
    <row r="134" spans="1:57" ht="15" hidden="1">
      <c r="A134" s="641" t="str">
        <f>A113</f>
        <v>N</v>
      </c>
      <c r="B134" s="641"/>
      <c r="C134" s="671"/>
      <c r="D134" s="671"/>
      <c r="E134" s="672"/>
      <c r="F134" s="672"/>
      <c r="G134" s="672"/>
      <c r="H134" s="1501"/>
      <c r="I134" s="671"/>
      <c r="J134" s="672"/>
      <c r="K134" s="673"/>
      <c r="L134" s="672"/>
      <c r="M134" s="674"/>
      <c r="N134" s="672"/>
      <c r="O134" s="672"/>
      <c r="P134" s="1127"/>
      <c r="Q134" s="672"/>
      <c r="R134" s="675"/>
      <c r="S134" s="1137" t="s">
        <v>401</v>
      </c>
      <c r="T134" s="619">
        <f>SUM(T114:T133)</f>
        <v>0</v>
      </c>
      <c r="U134" s="641"/>
      <c r="V134" s="719"/>
      <c r="W134" s="719"/>
      <c r="X134" s="719"/>
      <c r="Y134" s="719"/>
      <c r="Z134" s="719"/>
      <c r="AA134" s="676"/>
      <c r="AB134" s="719"/>
      <c r="AC134" s="719"/>
      <c r="AD134" s="676"/>
      <c r="AE134" s="720"/>
      <c r="AF134" s="720"/>
      <c r="AG134" s="676"/>
      <c r="AH134" s="721"/>
      <c r="AI134" s="721"/>
      <c r="AJ134" s="722"/>
      <c r="AK134" s="723"/>
      <c r="AL134" s="723"/>
      <c r="AM134" s="724"/>
      <c r="AN134" s="724"/>
      <c r="AO134" s="725"/>
      <c r="AP134" s="726"/>
      <c r="AQ134" s="723"/>
      <c r="AR134" s="727"/>
      <c r="AS134" s="727"/>
      <c r="AT134" s="728"/>
      <c r="AU134" s="727"/>
      <c r="AV134" s="729"/>
      <c r="AW134" s="727"/>
      <c r="AX134" s="727"/>
      <c r="AY134" s="723"/>
      <c r="AZ134" s="730"/>
      <c r="BA134" s="676"/>
      <c r="BB134" s="721"/>
      <c r="BC134" s="721"/>
      <c r="BD134" s="721"/>
      <c r="BE134" s="721"/>
    </row>
    <row r="135" spans="1:57" s="855" customFormat="1" ht="5.25">
      <c r="A135" s="702" t="str">
        <f>IF(A136="N",A136,IF(COUNTIF($A$21:$A133,"Y")&gt;0,A136,"N"))</f>
        <v>Y</v>
      </c>
      <c r="B135" s="702"/>
      <c r="C135" s="704"/>
      <c r="D135" s="704"/>
      <c r="E135" s="704"/>
      <c r="F135" s="704"/>
      <c r="G135" s="704"/>
      <c r="H135" s="704"/>
      <c r="I135" s="704"/>
      <c r="J135" s="705"/>
      <c r="K135" s="705"/>
      <c r="L135" s="705"/>
      <c r="M135" s="705"/>
      <c r="N135" s="705"/>
      <c r="O135" s="705"/>
      <c r="P135" s="1128"/>
      <c r="Q135" s="705"/>
      <c r="R135" s="705"/>
      <c r="S135" s="1136"/>
      <c r="T135" s="706"/>
      <c r="U135" s="702"/>
      <c r="V135" s="707"/>
      <c r="W135" s="707"/>
      <c r="X135" s="707"/>
      <c r="Y135" s="707"/>
      <c r="Z135" s="707"/>
      <c r="AA135" s="707"/>
      <c r="AB135" s="707"/>
      <c r="AC135" s="707"/>
      <c r="AD135" s="707"/>
      <c r="AE135" s="708"/>
      <c r="AF135" s="708"/>
      <c r="AG135" s="707"/>
      <c r="AH135" s="709"/>
      <c r="AI135" s="709"/>
      <c r="AJ135" s="710"/>
      <c r="AK135" s="711"/>
      <c r="AL135" s="711"/>
      <c r="AM135" s="712"/>
      <c r="AN135" s="712"/>
      <c r="AO135" s="713"/>
      <c r="AP135" s="714"/>
      <c r="AQ135" s="711"/>
      <c r="AR135" s="715"/>
      <c r="AS135" s="715"/>
      <c r="AT135" s="716"/>
      <c r="AU135" s="715"/>
      <c r="AV135" s="717"/>
      <c r="AW135" s="715"/>
      <c r="AX135" s="715"/>
      <c r="AY135" s="711"/>
      <c r="AZ135" s="718"/>
      <c r="BA135" s="707"/>
      <c r="BB135" s="709"/>
      <c r="BC135" s="709"/>
      <c r="BD135" s="709"/>
      <c r="BE135" s="709"/>
    </row>
    <row r="136" spans="1:57" ht="15.75">
      <c r="A136" s="641" t="str">
        <f>A137</f>
        <v>Y</v>
      </c>
      <c r="B136" s="641">
        <v>6</v>
      </c>
      <c r="C136" s="2797" t="s">
        <v>499</v>
      </c>
      <c r="D136" s="2798"/>
      <c r="E136" s="2799" t="str">
        <f>'Preliminary Report'!J1</f>
        <v>LSMGO</v>
      </c>
      <c r="F136" s="2800"/>
      <c r="G136" s="2800"/>
      <c r="H136" s="2824"/>
      <c r="I136" s="2801"/>
      <c r="J136" s="698"/>
      <c r="K136" s="699"/>
      <c r="L136" s="700"/>
      <c r="M136" s="699"/>
      <c r="N136" s="699"/>
      <c r="O136" s="700"/>
      <c r="P136" s="1129"/>
      <c r="Q136" s="700"/>
      <c r="R136" s="701"/>
      <c r="S136" s="1129"/>
      <c r="T136" s="701"/>
      <c r="U136" s="641"/>
      <c r="V136" s="731"/>
      <c r="W136" s="731"/>
      <c r="X136" s="731"/>
      <c r="Y136" s="731"/>
      <c r="Z136" s="731"/>
      <c r="AA136" s="676"/>
      <c r="AB136" s="731"/>
      <c r="AC136" s="731"/>
      <c r="AD136" s="676"/>
      <c r="AE136" s="732"/>
      <c r="AF136" s="732"/>
      <c r="AG136" s="676"/>
      <c r="AH136" s="733"/>
      <c r="AI136" s="733"/>
      <c r="AJ136" s="734"/>
      <c r="AK136" s="735"/>
      <c r="AL136" s="735"/>
      <c r="AM136" s="736"/>
      <c r="AN136" s="736"/>
      <c r="AO136" s="737"/>
      <c r="AP136" s="738"/>
      <c r="AQ136" s="735"/>
      <c r="AR136" s="739"/>
      <c r="AS136" s="739"/>
      <c r="AT136" s="740"/>
      <c r="AU136" s="739"/>
      <c r="AV136" s="741"/>
      <c r="AW136" s="739"/>
      <c r="AX136" s="739"/>
      <c r="AY136" s="735"/>
      <c r="AZ136" s="742"/>
      <c r="BA136" s="676"/>
      <c r="BB136" s="733"/>
      <c r="BC136" s="733"/>
      <c r="BD136" s="733"/>
      <c r="BE136" s="733"/>
    </row>
    <row r="137" spans="1:57" ht="15">
      <c r="A137" s="641" t="str">
        <f t="shared" ref="A137:A156" si="190">IF(C137="","N",IF(ISERROR(MATCH($E$136,IF($Z$1=1,GRADESLIST,IF($Z$1=2,RESIDUALS,DISTILLATES)),0)),"N","Y"))</f>
        <v>Y</v>
      </c>
      <c r="B137" s="641"/>
      <c r="C137" s="235" t="str">
        <f t="array" ref="C137">IF(OR($E$136="",SUMPRODUCT(('Vessel Gauging Data'!$C$27:$C$56=$E$136)*1)&lt;ROWS($C$137:$C137)),"",INDEX('Vessel Gauging Data'!$B$27:$B$56,SMALL(IF(('Vessel Gauging Data'!$C$27:$C$56=$E$136),ROW('Vessel Gauging Data'!$B$27:$B$56)-ROW('Vessel Gauging Data'!$C$26)),ROW()-ROW(C$136))))</f>
        <v>AFO S</v>
      </c>
      <c r="D137" s="211" t="str">
        <f>IF(OR($C137="",$C137=0),"",INDEX('Vessel Gauging Data'!$B$26:$V$56,MATCH($C137,'Vessel Gauging Data'!$B$27:$B$56,0)+1,2))</f>
        <v>LSMGO</v>
      </c>
      <c r="E137" s="1016">
        <f t="shared" ref="E137:E156" si="191">IF(ISERROR(V137),"",IF(OR($C137="",$C137=0),"",IF(ISTEXT(V137),V137,IF($AB$1=1,V137*UNITOR,INT(V137*UNITOR)&amp;"'-"&amp;TRIM(TEXT(ROUND(MOD(V137*UNITOR,1)*12,1),"# ???/???"))&amp;""""))))</f>
        <v>17.43</v>
      </c>
      <c r="F137" s="1016">
        <f t="shared" ref="F137:F156" si="192">IF(ISERROR(W137),"",IF(OR($C137="",$C137=0),"",IF($I137=UMETHOD,"ULL",IF(ISTEXT(W137),W137,IF($AB$1=1,W137*UNITOR,INT(W137*UNITOR)&amp;"'-"&amp;TRIM(TEXT(ROUND(MOD(W137*UNITOR,1)*12,1),"# ???/???"))&amp;"""")))))</f>
        <v>17.43</v>
      </c>
      <c r="G137" s="1016">
        <f t="shared" ref="G137:G156" si="193">IF(ISERROR(X137),"",IF(OR($C137="",$C137=0),"",IF(ISTEXT(X137),X137,IF($AB$1=1,X137*UNITOR,INT(X137*UNITOR)&amp;"'-"&amp;TRIM(TEXT(ROUND(MOD(X137*UNITOR,1)*12,1),"# ???/???"))&amp;""""))))</f>
        <v>0</v>
      </c>
      <c r="H137" s="1016">
        <f t="shared" ref="H137:H156" si="194">IF(ISERROR(Y137),"",IF(OR($C137="",$C137=0),"",IF(ISTEXT(Y137),Y137,IF($AB$1=1,Y137*UNITOR,INT(Y137*UNITOR)&amp;"'-"&amp;TRIM(TEXT(ROUND(MOD(Y137*UNITOR,1)*12,1),"# ???/???"))&amp;""""))))</f>
        <v>0</v>
      </c>
      <c r="I137" s="211" t="str">
        <f t="shared" ref="I137:I156" si="195">IF(ISERROR($BB137),"",IF(OR($C137="",$C137=0,$BB137=0),"",$BB137))</f>
        <v>S</v>
      </c>
      <c r="J137" s="1016">
        <f t="shared" ref="J137:J156" si="196">IF(ISERROR($BC137),"",IF(OR($C137="",$C137=0,$BC137=""),"",IF(ISTEXT($BC137),$BC137,$BC137*IF($AA$1=B1SEL,1,IF($AA$1=2,FBBLS,1/FBBLS)))))</f>
        <v>0.1</v>
      </c>
      <c r="K137" s="213">
        <f t="shared" ref="K137:K156" si="197">IF(ISERROR($BD137),"",IF(OR($C137="",$C137=0,$BD137=""),0,IF(ISTEXT($BD137),$BD137,$BD137*IF($AB$1=W1SEL,1,IF($AB$1=2,FINCH,1/FINCH)))))</f>
        <v>0</v>
      </c>
      <c r="L137" s="212">
        <f t="shared" ref="L137:L156" si="198">IF(ISERROR($BE137),"",IF(OR($C137="",$C137=0,$BE137=""),0,IF(ISTEXT($BE137),$BE137,$BE137*IF($AA$1=B1SEL,1,IF($AA$1=2,FBBLS,1/FBBLS)))))</f>
        <v>0</v>
      </c>
      <c r="M137" s="1125">
        <f>IF(OR($C137="",$C137=0),"",INDEX(API1DENST,MATCH($C137,'Vessel Gauging Data'!$B$27:$B$56,0),$AA$1))</f>
        <v>0.83789999999999998</v>
      </c>
      <c r="N137" s="212">
        <f t="shared" ref="N137:N156" si="199">IF(ISERROR(Z137),"",IF(OR($C137="",$C137=0,Z137=""),"",IF(ISTEXT(Z137),Z137,IF($AA$1=T1SEL,Z137,IF($AA$1=2,(Z137*9/5)+32,(Z137-32)*5/9)))))</f>
        <v>39</v>
      </c>
      <c r="O137" s="1016">
        <f>IF(OR(J137="",L137=""),"",IF(ISTEXT(J137),"N/A",IF(ISTEXT(L137),J137,J137-L137)))</f>
        <v>0.1</v>
      </c>
      <c r="P137" s="1125">
        <f>IF(OR(M137="",N137=""),"",IF(OR(ISTEXT(M137),ISTEXT(N137)),"N/A",IF($AA$1=1,ROUND(EXP(-AF137*(N137-15)*(1+0.8*AF137*(N137-15))),5),AZ137)))</f>
        <v>0.97957000000000005</v>
      </c>
      <c r="Q137" s="1016">
        <f>IF(OR(M137="",N137=""),"",IF(OR(ISTEXT(M137),ISTEXT(N137)),"N/A",ROUND(O137*P137,3)))</f>
        <v>9.8000000000000004E-2</v>
      </c>
      <c r="R137" s="214">
        <f>IF(M137="","",IF($AA$1=1,IF(ISTEXT(Q137),"N/A",ROUND(Q137*M137,3)),IF(ISTEXT(T137),"N/A",ROUND(T137*AC137,3))))</f>
        <v>8.2000000000000003E-2</v>
      </c>
      <c r="S137" s="1125">
        <f t="shared" ref="S137:S156" si="200">IF(M137="","",IF($AA$1=1,ROUND(M137-0.0011,5),ROUND((1.00122697*(141.5/(M137+131.5))-1.22269727*10^-3)*8.32823*42/2204.62,5+2)))</f>
        <v>0.83679999999999999</v>
      </c>
      <c r="T137" s="236">
        <f>IF(OR(M137="",N137=""),"",IF(ISTEXT(Q137),"N/A",IF($AA$1=1,ROUND((Q137*(M137-0.0011)),3),ROUND(Q137*S137,3))))</f>
        <v>8.2000000000000003E-2</v>
      </c>
      <c r="U137" s="641"/>
      <c r="V137" s="642">
        <f>INDEX('Vessel Gauging Data'!$B$26:$V$56,MATCH($C137,'Vessel Gauging Data'!$B$26:$B$56,0),$V$18)</f>
        <v>17.43</v>
      </c>
      <c r="W137" s="642">
        <f>INDEX('Vessel Gauging Data'!$B$26:$V$56,MATCH($C137,'Vessel Gauging Data'!$B$26:$B$56,0),$W$18)</f>
        <v>17.43</v>
      </c>
      <c r="X137" s="642">
        <f>INDEX('Vessel Gauging Data'!$B$26:$V$56,MATCH($C137,'Vessel Gauging Data'!$B$26:$B$56,0),$X$18)</f>
        <v>0</v>
      </c>
      <c r="Y137" s="642">
        <f>INDEX('Vessel Gauging Data'!$B$26:$V$56,MATCH($C137,'Vessel Gauging Data'!$B$26:$B$56,0),$Y$18)</f>
        <v>0</v>
      </c>
      <c r="Z137" s="642">
        <f>INDEX('Vessel Gauging Data'!$B$26:$V$56,MATCH($C137,'Vessel Gauging Data'!$B$26:$B$56,0),$Z$18)</f>
        <v>39</v>
      </c>
      <c r="AA137" s="641"/>
      <c r="AB137" s="642">
        <f>INDEX(API1DENST,MATCH($C137,'Vessel Gauging Data'!$B$27:$B$56,0),1)</f>
        <v>0.83789999999999998</v>
      </c>
      <c r="AC137" s="642">
        <f t="shared" ref="AC137:AC156" si="201">((INT((AB137/(1.0001506*AB137-0.0012202))*10000)+0.5)/10000)</f>
        <v>1.00135</v>
      </c>
      <c r="AD137" s="641"/>
      <c r="AE137" s="661">
        <f t="shared" ref="AE137:AE156" si="202">ROUND(+M137/2*1000,0)*2</f>
        <v>838</v>
      </c>
      <c r="AF137" s="661">
        <f t="shared" ref="AF137:AF156" si="203">ROUND(186.9696/(AE137*AE137)+(0.4862/AE137),8)</f>
        <v>8.4643999999999995E-4</v>
      </c>
      <c r="AG137" s="641"/>
      <c r="AH137" s="662">
        <f t="shared" ref="AH137:AH156" si="204">N137</f>
        <v>39</v>
      </c>
      <c r="AI137" s="662">
        <f t="shared" ref="AI137:AI156" si="205">M137</f>
        <v>0.83789999999999998</v>
      </c>
      <c r="AJ137" s="663">
        <f t="shared" ref="AJ137:AJ156" si="206">IF(AND(AI137&gt;=0,AI137&lt;=37),103.872,IF(AND(AI137&gt;=48,AI137&lt;=52),-0.0018684,IF(AND(AI137&gt;=37.1,AI137&lt;=47.9),330.301,IF(AND(AI137&gt;=52.1),192.4571))))</f>
        <v>103.872</v>
      </c>
      <c r="AK137" s="660">
        <f t="shared" ref="AK137:AK156" si="207">IF(AND(AI137&gt;=0,AI137&lt;=37),0.2701,IF(AND(AI137&gt;=48,AJ137&lt;=52),1489.067,IF(AND(AI137&gt;=37.1,AI137&lt;=47.9),0,IF(AI137&gt;=52.1,0.2438))))</f>
        <v>0.27010000000000001</v>
      </c>
      <c r="AL137" s="660">
        <f t="shared" ref="AL137:AL156" si="208">ROUND(141360.198/(AI137+131.5),2)</f>
        <v>1068.18</v>
      </c>
      <c r="AM137" s="664">
        <f t="shared" ref="AM137:AM156" si="209">TRUNC(AJ137/AL137,8)</f>
        <v>9.7242029999999993E-2</v>
      </c>
      <c r="AN137" s="664">
        <f t="shared" ref="AN137:AN156" si="210">TRUNC(AM137/AL137,10)</f>
        <v>9.1035199999999999E-5</v>
      </c>
      <c r="AO137" s="665">
        <f t="shared" ref="AO137:AO156" si="211">TRUNC(AK137/AL137,10)</f>
        <v>2.5285999999999999E-4</v>
      </c>
      <c r="AP137" s="666">
        <f t="shared" ref="AP137:AP156" si="212">IF(AND(AI137&gt;=48,AI137&lt;=52),ROUND(AW137+AJ137,7),ROUND(AN137+AO137,7))</f>
        <v>3.4390000000000001E-4</v>
      </c>
      <c r="AQ137" s="660">
        <f t="shared" ref="AQ137:AQ156" si="213">AH137-60</f>
        <v>-21</v>
      </c>
      <c r="AR137" s="667">
        <f t="shared" ref="AR137:AR156" si="214">TRUNC(AP137*AQ137,8)</f>
        <v>-7.2218999999999998E-3</v>
      </c>
      <c r="AS137" s="667">
        <f t="shared" ref="AS137:AS156" si="215">TRUNC(0.8*AR137,8)</f>
        <v>-5.7775200000000004E-3</v>
      </c>
      <c r="AT137" s="668">
        <f t="shared" ref="AT137:AT156" si="216">TRUNC(0.8*AP137^2*AQ137^2,8)</f>
        <v>4.172E-5</v>
      </c>
      <c r="AU137" s="667">
        <f t="shared" ref="AU137:AU156" si="217">-AR137-AT137</f>
        <v>7.1801799999999995E-3</v>
      </c>
      <c r="AV137" s="669">
        <f t="shared" ref="AV137:AV156" si="218">TRUNC(AK137/AL137,5)</f>
        <v>2.5000000000000001E-4</v>
      </c>
      <c r="AW137" s="667">
        <f t="shared" ref="AW137:AW156" si="219">ROUND(AV137/AL137,8)</f>
        <v>2.2999999999999999E-7</v>
      </c>
      <c r="AX137" s="667">
        <f t="shared" ref="AX137:AX156" si="220">ROUND(AW137+AJ137,8)</f>
        <v>103.87200023</v>
      </c>
      <c r="AY137" s="660">
        <f t="shared" ref="AY137:AY156" si="221">IF(AND(AI137&gt;=48,AI137&lt;=52),AX137,AP137)</f>
        <v>3.4390000000000001E-4</v>
      </c>
      <c r="AZ137" s="670">
        <f t="shared" ref="AZ137:AZ156" si="222">ROUND(EXP(AU137),5)</f>
        <v>1.0072099999999999</v>
      </c>
      <c r="BA137" s="641"/>
      <c r="BB137" s="662" t="str">
        <f>INDEX('Vessel Gauging Data'!$B$26:$V$56,MATCH($C137,'Vessel Gauging Data'!$B$26:$B$56,0),$BB$18)</f>
        <v>S</v>
      </c>
      <c r="BC137" s="662">
        <f>INDEX('Vessel Gauging Data'!$B$26:$V$56,MATCH($C137,'Vessel Gauging Data'!$B$26:$B$56,0),$BC$18)</f>
        <v>0.1</v>
      </c>
      <c r="BD137" s="662">
        <f>INDEX('Vessel Gauging Data'!$B$26:$V$56,MATCH($C137,'Vessel Gauging Data'!$B$26:$B$56,0),$BD$18)</f>
        <v>0</v>
      </c>
      <c r="BE137" s="662">
        <f>INDEX('Vessel Gauging Data'!$B$26:$V$56,MATCH($C137,'Vessel Gauging Data'!$B$26:$B$56,0),$BE$18)</f>
        <v>0</v>
      </c>
    </row>
    <row r="138" spans="1:57" ht="15">
      <c r="A138" s="641" t="str">
        <f t="shared" si="190"/>
        <v>Y</v>
      </c>
      <c r="B138" s="641"/>
      <c r="C138" s="235" t="str">
        <f t="array" ref="C138">IF(OR($E$136="",SUMPRODUCT(('Vessel Gauging Data'!$C$27:$C$56=$E$136)*1)&lt;ROWS($C$137:$C138)),"",INDEX('Vessel Gauging Data'!$B$27:$B$56,SMALL(IF(('Vessel Gauging Data'!$C$27:$C$56=$E$136),ROW('Vessel Gauging Data'!$B$27:$B$56)-ROW('Vessel Gauging Data'!$C$26)),ROW()-ROW(C$136))))</f>
        <v>DO P</v>
      </c>
      <c r="D138" s="211" t="str">
        <f>IF(OR($C138="",$C138=0),"",INDEX('Vessel Gauging Data'!$B$26:$V$56,MATCH($C138,'Vessel Gauging Data'!$B$27:$B$56,0)+1,2))</f>
        <v>LSMGO</v>
      </c>
      <c r="E138" s="1016">
        <f t="shared" si="191"/>
        <v>2.46</v>
      </c>
      <c r="F138" s="1016">
        <f t="shared" si="192"/>
        <v>2.46</v>
      </c>
      <c r="G138" s="1016">
        <f t="shared" si="193"/>
        <v>2.02</v>
      </c>
      <c r="H138" s="1016">
        <f t="shared" si="194"/>
        <v>2.02</v>
      </c>
      <c r="I138" s="211" t="str">
        <f t="shared" si="195"/>
        <v>S</v>
      </c>
      <c r="J138" s="1016">
        <f t="shared" si="196"/>
        <v>85</v>
      </c>
      <c r="K138" s="213">
        <f t="shared" si="197"/>
        <v>0</v>
      </c>
      <c r="L138" s="212">
        <f t="shared" si="198"/>
        <v>0</v>
      </c>
      <c r="M138" s="1125">
        <f>IF(OR($C138="",$C138=0),"",INDEX(API1DENST,MATCH($C138,'Vessel Gauging Data'!$B$27:$B$56,0),$AA$1))</f>
        <v>0.83789999999999998</v>
      </c>
      <c r="N138" s="212">
        <f t="shared" si="199"/>
        <v>38</v>
      </c>
      <c r="O138" s="1016">
        <f t="shared" ref="O138:O156" si="223">IF(OR(J138="",L138=""),"",IF(ISTEXT(J138),"N/A",IF(ISTEXT(L138),J138,J138-L138)))</f>
        <v>85</v>
      </c>
      <c r="P138" s="1125">
        <f t="shared" ref="P138:P156" si="224">IF(OR(M138="",N138=""),"",IF(OR(ISTEXT(M138),ISTEXT(N138)),"N/A",IF($AA$1=1,ROUND(EXP(-AF138*(N138-15)*(1+0.8*AF138*(N138-15))),5),AZ138)))</f>
        <v>0.98041999999999996</v>
      </c>
      <c r="Q138" s="1016">
        <f t="shared" ref="Q138:Q156" si="225">IF(OR(M138="",N138=""),"",IF(OR(ISTEXT(M138),ISTEXT(N138)),"N/A",ROUND(O138*P138,3)))</f>
        <v>83.335999999999999</v>
      </c>
      <c r="R138" s="214">
        <f t="shared" ref="R138:R156" si="226">IF(M138="","",IF($AA$1=1,IF(ISTEXT(Q138),"N/A",ROUND(Q138*M138,3)),IF(ISTEXT(T138),"N/A",ROUND(T138*AC138,3))))</f>
        <v>69.826999999999998</v>
      </c>
      <c r="S138" s="1125">
        <f t="shared" si="200"/>
        <v>0.83679999999999999</v>
      </c>
      <c r="T138" s="236">
        <f t="shared" ref="T138:T156" si="227">IF(OR(M138="",N138=""),"",IF(ISTEXT(Q138),"N/A",IF($AA$1=1,ROUND((Q138*(M138-0.0011)),3),ROUND(Q138*S138,3))))</f>
        <v>69.736000000000004</v>
      </c>
      <c r="U138" s="641"/>
      <c r="V138" s="642">
        <f>INDEX('Vessel Gauging Data'!$B$26:$V$56,MATCH($C138,'Vessel Gauging Data'!$B$26:$B$56,0),$V$18)</f>
        <v>2.46</v>
      </c>
      <c r="W138" s="642">
        <f>INDEX('Vessel Gauging Data'!$B$26:$V$56,MATCH($C138,'Vessel Gauging Data'!$B$26:$B$56,0),$W$18)</f>
        <v>2.46</v>
      </c>
      <c r="X138" s="642">
        <f>INDEX('Vessel Gauging Data'!$B$26:$V$56,MATCH($C138,'Vessel Gauging Data'!$B$26:$B$56,0),$X$18)</f>
        <v>2.02</v>
      </c>
      <c r="Y138" s="642">
        <f>INDEX('Vessel Gauging Data'!$B$26:$V$56,MATCH($C138,'Vessel Gauging Data'!$B$26:$B$56,0),$Y$18)</f>
        <v>2.02</v>
      </c>
      <c r="Z138" s="642">
        <f>INDEX('Vessel Gauging Data'!$B$26:$V$56,MATCH($C138,'Vessel Gauging Data'!$B$26:$B$56,0),$Z$18)</f>
        <v>38</v>
      </c>
      <c r="AA138" s="641"/>
      <c r="AB138" s="642">
        <f>INDEX(API1DENST,MATCH($C138,'Vessel Gauging Data'!$B$27:$B$56,0),1)</f>
        <v>0.83789999999999998</v>
      </c>
      <c r="AC138" s="642">
        <f t="shared" si="201"/>
        <v>1.00135</v>
      </c>
      <c r="AD138" s="641"/>
      <c r="AE138" s="661">
        <f t="shared" si="202"/>
        <v>838</v>
      </c>
      <c r="AF138" s="661">
        <f t="shared" si="203"/>
        <v>8.4643999999999995E-4</v>
      </c>
      <c r="AG138" s="641"/>
      <c r="AH138" s="662">
        <f t="shared" si="204"/>
        <v>38</v>
      </c>
      <c r="AI138" s="662">
        <f t="shared" si="205"/>
        <v>0.83789999999999998</v>
      </c>
      <c r="AJ138" s="663">
        <f t="shared" si="206"/>
        <v>103.872</v>
      </c>
      <c r="AK138" s="660">
        <f t="shared" si="207"/>
        <v>0.27010000000000001</v>
      </c>
      <c r="AL138" s="660">
        <f t="shared" si="208"/>
        <v>1068.18</v>
      </c>
      <c r="AM138" s="664">
        <f t="shared" si="209"/>
        <v>9.7242029999999993E-2</v>
      </c>
      <c r="AN138" s="664">
        <f t="shared" si="210"/>
        <v>9.1035199999999999E-5</v>
      </c>
      <c r="AO138" s="665">
        <f t="shared" si="211"/>
        <v>2.5285999999999999E-4</v>
      </c>
      <c r="AP138" s="666">
        <f t="shared" si="212"/>
        <v>3.4390000000000001E-4</v>
      </c>
      <c r="AQ138" s="660">
        <f t="shared" si="213"/>
        <v>-22</v>
      </c>
      <c r="AR138" s="667">
        <f t="shared" si="214"/>
        <v>-7.5658000000000001E-3</v>
      </c>
      <c r="AS138" s="667">
        <f t="shared" si="215"/>
        <v>-6.0526399999999998E-3</v>
      </c>
      <c r="AT138" s="668">
        <f t="shared" si="216"/>
        <v>4.579E-5</v>
      </c>
      <c r="AU138" s="667">
        <f t="shared" si="217"/>
        <v>7.5200099999999997E-3</v>
      </c>
      <c r="AV138" s="669">
        <f t="shared" si="218"/>
        <v>2.5000000000000001E-4</v>
      </c>
      <c r="AW138" s="667">
        <f t="shared" si="219"/>
        <v>2.2999999999999999E-7</v>
      </c>
      <c r="AX138" s="667">
        <f t="shared" si="220"/>
        <v>103.87200023</v>
      </c>
      <c r="AY138" s="660">
        <f t="shared" si="221"/>
        <v>3.4390000000000001E-4</v>
      </c>
      <c r="AZ138" s="670">
        <f t="shared" si="222"/>
        <v>1.0075499999999999</v>
      </c>
      <c r="BA138" s="641"/>
      <c r="BB138" s="662" t="str">
        <f>INDEX('Vessel Gauging Data'!$B$26:$V$56,MATCH($C138,'Vessel Gauging Data'!$B$26:$B$56,0),$BB$18)</f>
        <v>S</v>
      </c>
      <c r="BC138" s="662">
        <f>INDEX('Vessel Gauging Data'!$B$26:$V$56,MATCH($C138,'Vessel Gauging Data'!$B$26:$B$56,0),$BC$18)</f>
        <v>85</v>
      </c>
      <c r="BD138" s="662">
        <f>INDEX('Vessel Gauging Data'!$B$26:$V$56,MATCH($C138,'Vessel Gauging Data'!$B$26:$B$56,0),$BD$18)</f>
        <v>0</v>
      </c>
      <c r="BE138" s="662">
        <f>INDEX('Vessel Gauging Data'!$B$26:$V$56,MATCH($C138,'Vessel Gauging Data'!$B$26:$B$56,0),$BE$18)</f>
        <v>0</v>
      </c>
    </row>
    <row r="139" spans="1:57" ht="15">
      <c r="A139" s="641" t="str">
        <f t="shared" si="190"/>
        <v>Y</v>
      </c>
      <c r="B139" s="641"/>
      <c r="C139" s="235" t="str">
        <f t="array" ref="C139">IF(OR($E$136="",SUMPRODUCT(('Vessel Gauging Data'!$C$27:$C$56=$E$136)*1)&lt;ROWS($C$137:$C139)),"",INDEX('Vessel Gauging Data'!$B$27:$B$56,SMALL(IF(('Vessel Gauging Data'!$C$27:$C$56=$E$136),ROW('Vessel Gauging Data'!$B$27:$B$56)-ROW('Vessel Gauging Data'!$C$26)),ROW()-ROW(C$136))))</f>
        <v>DO S</v>
      </c>
      <c r="D139" s="211" t="str">
        <f>IF(OR($C139="",$C139=0),"",INDEX('Vessel Gauging Data'!$B$26:$V$56,MATCH($C139,'Vessel Gauging Data'!$B$27:$B$56,0)+1,2))</f>
        <v>LSMGO</v>
      </c>
      <c r="E139" s="1016">
        <f t="shared" si="191"/>
        <v>2.46</v>
      </c>
      <c r="F139" s="1016">
        <f t="shared" si="192"/>
        <v>2.46</v>
      </c>
      <c r="G139" s="1016">
        <f t="shared" si="193"/>
        <v>0.97</v>
      </c>
      <c r="H139" s="1016">
        <f t="shared" si="194"/>
        <v>0.97</v>
      </c>
      <c r="I139" s="211" t="str">
        <f t="shared" si="195"/>
        <v>S</v>
      </c>
      <c r="J139" s="1016">
        <f t="shared" si="196"/>
        <v>34.700000000000003</v>
      </c>
      <c r="K139" s="213">
        <f t="shared" si="197"/>
        <v>0</v>
      </c>
      <c r="L139" s="212">
        <f t="shared" si="198"/>
        <v>0</v>
      </c>
      <c r="M139" s="1125">
        <f>IF(OR($C139="",$C139=0),"",INDEX(API1DENST,MATCH($C139,'Vessel Gauging Data'!$B$27:$B$56,0),$AA$1))</f>
        <v>0.83789999999999998</v>
      </c>
      <c r="N139" s="212">
        <f t="shared" si="199"/>
        <v>38</v>
      </c>
      <c r="O139" s="1016">
        <f t="shared" si="223"/>
        <v>34.700000000000003</v>
      </c>
      <c r="P139" s="1125">
        <f t="shared" si="224"/>
        <v>0.98041999999999996</v>
      </c>
      <c r="Q139" s="1016">
        <f t="shared" si="225"/>
        <v>34.021000000000001</v>
      </c>
      <c r="R139" s="214">
        <f t="shared" si="226"/>
        <v>28.506</v>
      </c>
      <c r="S139" s="1125">
        <f t="shared" si="200"/>
        <v>0.83679999999999999</v>
      </c>
      <c r="T139" s="236">
        <f t="shared" si="227"/>
        <v>28.469000000000001</v>
      </c>
      <c r="U139" s="641"/>
      <c r="V139" s="642">
        <f>INDEX('Vessel Gauging Data'!$B$26:$V$56,MATCH($C139,'Vessel Gauging Data'!$B$26:$B$56,0),$V$18)</f>
        <v>2.46</v>
      </c>
      <c r="W139" s="642">
        <f>INDEX('Vessel Gauging Data'!$B$26:$V$56,MATCH($C139,'Vessel Gauging Data'!$B$26:$B$56,0),$W$18)</f>
        <v>2.46</v>
      </c>
      <c r="X139" s="642">
        <f>INDEX('Vessel Gauging Data'!$B$26:$V$56,MATCH($C139,'Vessel Gauging Data'!$B$26:$B$56,0),$X$18)</f>
        <v>0.97</v>
      </c>
      <c r="Y139" s="642">
        <f>INDEX('Vessel Gauging Data'!$B$26:$V$56,MATCH($C139,'Vessel Gauging Data'!$B$26:$B$56,0),$Y$18)</f>
        <v>0.97</v>
      </c>
      <c r="Z139" s="642">
        <f>INDEX('Vessel Gauging Data'!$B$26:$V$56,MATCH($C139,'Vessel Gauging Data'!$B$26:$B$56,0),$Z$18)</f>
        <v>38</v>
      </c>
      <c r="AA139" s="641"/>
      <c r="AB139" s="642">
        <f>INDEX(API1DENST,MATCH($C139,'Vessel Gauging Data'!$B$27:$B$56,0),1)</f>
        <v>0.83789999999999998</v>
      </c>
      <c r="AC139" s="642">
        <f t="shared" si="201"/>
        <v>1.00135</v>
      </c>
      <c r="AD139" s="641"/>
      <c r="AE139" s="661">
        <f t="shared" si="202"/>
        <v>838</v>
      </c>
      <c r="AF139" s="661">
        <f t="shared" si="203"/>
        <v>8.4643999999999995E-4</v>
      </c>
      <c r="AG139" s="641"/>
      <c r="AH139" s="662">
        <f t="shared" si="204"/>
        <v>38</v>
      </c>
      <c r="AI139" s="662">
        <f t="shared" si="205"/>
        <v>0.83789999999999998</v>
      </c>
      <c r="AJ139" s="663">
        <f t="shared" si="206"/>
        <v>103.872</v>
      </c>
      <c r="AK139" s="660">
        <f t="shared" si="207"/>
        <v>0.27010000000000001</v>
      </c>
      <c r="AL139" s="660">
        <f t="shared" si="208"/>
        <v>1068.18</v>
      </c>
      <c r="AM139" s="664">
        <f t="shared" si="209"/>
        <v>9.7242029999999993E-2</v>
      </c>
      <c r="AN139" s="664">
        <f t="shared" si="210"/>
        <v>9.1035199999999999E-5</v>
      </c>
      <c r="AO139" s="665">
        <f t="shared" si="211"/>
        <v>2.5285999999999999E-4</v>
      </c>
      <c r="AP139" s="666">
        <f t="shared" si="212"/>
        <v>3.4390000000000001E-4</v>
      </c>
      <c r="AQ139" s="660">
        <f t="shared" si="213"/>
        <v>-22</v>
      </c>
      <c r="AR139" s="667">
        <f t="shared" si="214"/>
        <v>-7.5658000000000001E-3</v>
      </c>
      <c r="AS139" s="667">
        <f t="shared" si="215"/>
        <v>-6.0526399999999998E-3</v>
      </c>
      <c r="AT139" s="668">
        <f t="shared" si="216"/>
        <v>4.579E-5</v>
      </c>
      <c r="AU139" s="667">
        <f t="shared" si="217"/>
        <v>7.5200099999999997E-3</v>
      </c>
      <c r="AV139" s="669">
        <f t="shared" si="218"/>
        <v>2.5000000000000001E-4</v>
      </c>
      <c r="AW139" s="667">
        <f t="shared" si="219"/>
        <v>2.2999999999999999E-7</v>
      </c>
      <c r="AX139" s="667">
        <f t="shared" si="220"/>
        <v>103.87200023</v>
      </c>
      <c r="AY139" s="660">
        <f t="shared" si="221"/>
        <v>3.4390000000000001E-4</v>
      </c>
      <c r="AZ139" s="670">
        <f t="shared" si="222"/>
        <v>1.0075499999999999</v>
      </c>
      <c r="BA139" s="641"/>
      <c r="BB139" s="662" t="str">
        <f>INDEX('Vessel Gauging Data'!$B$26:$V$56,MATCH($C139,'Vessel Gauging Data'!$B$26:$B$56,0),$BB$18)</f>
        <v>S</v>
      </c>
      <c r="BC139" s="662">
        <f>INDEX('Vessel Gauging Data'!$B$26:$V$56,MATCH($C139,'Vessel Gauging Data'!$B$26:$B$56,0),$BC$18)</f>
        <v>34.700000000000003</v>
      </c>
      <c r="BD139" s="662">
        <f>INDEX('Vessel Gauging Data'!$B$26:$V$56,MATCH($C139,'Vessel Gauging Data'!$B$26:$B$56,0),$BD$18)</f>
        <v>0</v>
      </c>
      <c r="BE139" s="662">
        <f>INDEX('Vessel Gauging Data'!$B$26:$V$56,MATCH($C139,'Vessel Gauging Data'!$B$26:$B$56,0),$BE$18)</f>
        <v>0</v>
      </c>
    </row>
    <row r="140" spans="1:57" ht="15">
      <c r="A140" s="641" t="str">
        <f t="shared" si="190"/>
        <v>Y</v>
      </c>
      <c r="B140" s="641"/>
      <c r="C140" s="235" t="str">
        <f t="array" ref="C140">IF(OR($E$136="",SUMPRODUCT(('Vessel Gauging Data'!$C$27:$C$56=$E$136)*1)&lt;ROWS($C$137:$C140)),"",INDEX('Vessel Gauging Data'!$B$27:$B$56,SMALL(IF(('Vessel Gauging Data'!$C$27:$C$56=$E$136),ROW('Vessel Gauging Data'!$B$27:$B$56)-ROW('Vessel Gauging Data'!$C$26)),ROW()-ROW(C$136))))</f>
        <v>DO SERV</v>
      </c>
      <c r="D140" s="211" t="str">
        <f>IF(OR($C140="",$C140=0),"",INDEX('Vessel Gauging Data'!$B$26:$V$56,MATCH($C140,'Vessel Gauging Data'!$B$27:$B$56,0)+1,2))</f>
        <v>LSMGO</v>
      </c>
      <c r="E140" s="1016" t="str">
        <f t="shared" si="191"/>
        <v>GAUGE</v>
      </c>
      <c r="F140" s="1016" t="str">
        <f t="shared" si="192"/>
        <v>GAUGE</v>
      </c>
      <c r="G140" s="1016" t="str">
        <f t="shared" si="193"/>
        <v>GAUGE</v>
      </c>
      <c r="H140" s="1016" t="str">
        <f t="shared" si="194"/>
        <v>GAUGE</v>
      </c>
      <c r="I140" s="211" t="str">
        <f t="shared" si="195"/>
        <v>G</v>
      </c>
      <c r="J140" s="1016">
        <f t="shared" si="196"/>
        <v>14.5</v>
      </c>
      <c r="K140" s="213">
        <f t="shared" si="197"/>
        <v>0</v>
      </c>
      <c r="L140" s="212">
        <f t="shared" si="198"/>
        <v>0</v>
      </c>
      <c r="M140" s="1125">
        <f>IF(OR($C140="",$C140=0),"",INDEX(API1DENST,MATCH($C140,'Vessel Gauging Data'!$B$27:$B$56,0),$AA$1))</f>
        <v>0.83789999999999998</v>
      </c>
      <c r="N140" s="212">
        <f t="shared" si="199"/>
        <v>38</v>
      </c>
      <c r="O140" s="1016">
        <f t="shared" si="223"/>
        <v>14.5</v>
      </c>
      <c r="P140" s="1125">
        <f t="shared" si="224"/>
        <v>0.98041999999999996</v>
      </c>
      <c r="Q140" s="1016">
        <f t="shared" si="225"/>
        <v>14.215999999999999</v>
      </c>
      <c r="R140" s="214">
        <f t="shared" si="226"/>
        <v>11.912000000000001</v>
      </c>
      <c r="S140" s="1125">
        <f t="shared" si="200"/>
        <v>0.83679999999999999</v>
      </c>
      <c r="T140" s="236">
        <f t="shared" si="227"/>
        <v>11.896000000000001</v>
      </c>
      <c r="U140" s="641"/>
      <c r="V140" s="642" t="str">
        <f>INDEX('Vessel Gauging Data'!$B$26:$V$56,MATCH($C140,'Vessel Gauging Data'!$B$26:$B$56,0),$V$18)</f>
        <v>GAUGE</v>
      </c>
      <c r="W140" s="642" t="str">
        <f>INDEX('Vessel Gauging Data'!$B$26:$V$56,MATCH($C140,'Vessel Gauging Data'!$B$26:$B$56,0),$W$18)</f>
        <v>GAUGE</v>
      </c>
      <c r="X140" s="642" t="str">
        <f>INDEX('Vessel Gauging Data'!$B$26:$V$56,MATCH($C140,'Vessel Gauging Data'!$B$26:$B$56,0),$X$18)</f>
        <v>GAUGE</v>
      </c>
      <c r="Y140" s="642" t="str">
        <f>INDEX('Vessel Gauging Data'!$B$26:$V$56,MATCH($C140,'Vessel Gauging Data'!$B$26:$B$56,0),$Y$18)</f>
        <v>GAUGE</v>
      </c>
      <c r="Z140" s="642">
        <f>INDEX('Vessel Gauging Data'!$B$26:$V$56,MATCH($C140,'Vessel Gauging Data'!$B$26:$B$56,0),$Z$18)</f>
        <v>38</v>
      </c>
      <c r="AA140" s="641"/>
      <c r="AB140" s="642">
        <f>INDEX(API1DENST,MATCH($C140,'Vessel Gauging Data'!$B$27:$B$56,0),1)</f>
        <v>0.83789999999999998</v>
      </c>
      <c r="AC140" s="642">
        <f t="shared" si="201"/>
        <v>1.00135</v>
      </c>
      <c r="AD140" s="641"/>
      <c r="AE140" s="661">
        <f t="shared" si="202"/>
        <v>838</v>
      </c>
      <c r="AF140" s="661">
        <f t="shared" si="203"/>
        <v>8.4643999999999995E-4</v>
      </c>
      <c r="AG140" s="641"/>
      <c r="AH140" s="662">
        <f t="shared" si="204"/>
        <v>38</v>
      </c>
      <c r="AI140" s="662">
        <f t="shared" si="205"/>
        <v>0.83789999999999998</v>
      </c>
      <c r="AJ140" s="663">
        <f t="shared" si="206"/>
        <v>103.872</v>
      </c>
      <c r="AK140" s="660">
        <f t="shared" si="207"/>
        <v>0.27010000000000001</v>
      </c>
      <c r="AL140" s="660">
        <f t="shared" si="208"/>
        <v>1068.18</v>
      </c>
      <c r="AM140" s="664">
        <f t="shared" si="209"/>
        <v>9.7242029999999993E-2</v>
      </c>
      <c r="AN140" s="664">
        <f t="shared" si="210"/>
        <v>9.1035199999999999E-5</v>
      </c>
      <c r="AO140" s="665">
        <f t="shared" si="211"/>
        <v>2.5285999999999999E-4</v>
      </c>
      <c r="AP140" s="666">
        <f t="shared" si="212"/>
        <v>3.4390000000000001E-4</v>
      </c>
      <c r="AQ140" s="660">
        <f t="shared" si="213"/>
        <v>-22</v>
      </c>
      <c r="AR140" s="667">
        <f t="shared" si="214"/>
        <v>-7.5658000000000001E-3</v>
      </c>
      <c r="AS140" s="667">
        <f t="shared" si="215"/>
        <v>-6.0526399999999998E-3</v>
      </c>
      <c r="AT140" s="668">
        <f t="shared" si="216"/>
        <v>4.579E-5</v>
      </c>
      <c r="AU140" s="667">
        <f t="shared" si="217"/>
        <v>7.5200099999999997E-3</v>
      </c>
      <c r="AV140" s="669">
        <f t="shared" si="218"/>
        <v>2.5000000000000001E-4</v>
      </c>
      <c r="AW140" s="667">
        <f t="shared" si="219"/>
        <v>2.2999999999999999E-7</v>
      </c>
      <c r="AX140" s="667">
        <f t="shared" si="220"/>
        <v>103.87200023</v>
      </c>
      <c r="AY140" s="660">
        <f t="shared" si="221"/>
        <v>3.4390000000000001E-4</v>
      </c>
      <c r="AZ140" s="670">
        <f t="shared" si="222"/>
        <v>1.0075499999999999</v>
      </c>
      <c r="BA140" s="641"/>
      <c r="BB140" s="662" t="str">
        <f>INDEX('Vessel Gauging Data'!$B$26:$V$56,MATCH($C140,'Vessel Gauging Data'!$B$26:$B$56,0),$BB$18)</f>
        <v>G</v>
      </c>
      <c r="BC140" s="662">
        <f>INDEX('Vessel Gauging Data'!$B$26:$V$56,MATCH($C140,'Vessel Gauging Data'!$B$26:$B$56,0),$BC$18)</f>
        <v>14.5</v>
      </c>
      <c r="BD140" s="662">
        <f>INDEX('Vessel Gauging Data'!$B$26:$V$56,MATCH($C140,'Vessel Gauging Data'!$B$26:$B$56,0),$BD$18)</f>
        <v>0</v>
      </c>
      <c r="BE140" s="662">
        <f>INDEX('Vessel Gauging Data'!$B$26:$V$56,MATCH($C140,'Vessel Gauging Data'!$B$26:$B$56,0),$BE$18)</f>
        <v>0</v>
      </c>
    </row>
    <row r="141" spans="1:57" ht="15">
      <c r="A141" s="641" t="str">
        <f t="shared" si="190"/>
        <v>Y</v>
      </c>
      <c r="B141" s="641"/>
      <c r="C141" s="235" t="str">
        <f t="array" ref="C141">IF(OR($E$136="",SUMPRODUCT(('Vessel Gauging Data'!$C$27:$C$56=$E$136)*1)&lt;ROWS($C$137:$C141)),"",INDEX('Vessel Gauging Data'!$B$27:$B$56,SMALL(IF(('Vessel Gauging Data'!$C$27:$C$56=$E$136),ROW('Vessel Gauging Data'!$B$27:$B$56)-ROW('Vessel Gauging Data'!$C$26)),ROW()-ROW(C$136))))</f>
        <v>DO SETT</v>
      </c>
      <c r="D141" s="211" t="str">
        <f>IF(OR($C141="",$C141=0),"",INDEX('Vessel Gauging Data'!$B$26:$V$56,MATCH($C141,'Vessel Gauging Data'!$B$27:$B$56,0)+1,2))</f>
        <v>LSMGO</v>
      </c>
      <c r="E141" s="1016" t="str">
        <f t="shared" si="191"/>
        <v>GAUGE</v>
      </c>
      <c r="F141" s="1016" t="str">
        <f t="shared" si="192"/>
        <v>GAUGE</v>
      </c>
      <c r="G141" s="1016" t="str">
        <f t="shared" si="193"/>
        <v>GAUGE</v>
      </c>
      <c r="H141" s="1016" t="str">
        <f t="shared" si="194"/>
        <v>GAUGE</v>
      </c>
      <c r="I141" s="211" t="str">
        <f t="shared" si="195"/>
        <v>G</v>
      </c>
      <c r="J141" s="1016">
        <f t="shared" si="196"/>
        <v>6.5</v>
      </c>
      <c r="K141" s="213">
        <f t="shared" si="197"/>
        <v>0</v>
      </c>
      <c r="L141" s="212">
        <f t="shared" si="198"/>
        <v>0</v>
      </c>
      <c r="M141" s="1125">
        <f>IF(OR($C141="",$C141=0),"",INDEX(API1DENST,MATCH($C141,'Vessel Gauging Data'!$B$27:$B$56,0),$AA$1))</f>
        <v>0.83789999999999998</v>
      </c>
      <c r="N141" s="212">
        <f t="shared" si="199"/>
        <v>38</v>
      </c>
      <c r="O141" s="1016">
        <f t="shared" si="223"/>
        <v>6.5</v>
      </c>
      <c r="P141" s="1125">
        <f t="shared" si="224"/>
        <v>0.98041999999999996</v>
      </c>
      <c r="Q141" s="1016">
        <f t="shared" si="225"/>
        <v>6.3730000000000002</v>
      </c>
      <c r="R141" s="214">
        <f t="shared" si="226"/>
        <v>5.34</v>
      </c>
      <c r="S141" s="1125">
        <f t="shared" si="200"/>
        <v>0.83679999999999999</v>
      </c>
      <c r="T141" s="236">
        <f t="shared" si="227"/>
        <v>5.3330000000000002</v>
      </c>
      <c r="U141" s="641"/>
      <c r="V141" s="642" t="str">
        <f>INDEX('Vessel Gauging Data'!$B$26:$V$56,MATCH($C141,'Vessel Gauging Data'!$B$26:$B$56,0),$V$18)</f>
        <v>GAUGE</v>
      </c>
      <c r="W141" s="642" t="str">
        <f>INDEX('Vessel Gauging Data'!$B$26:$V$56,MATCH($C141,'Vessel Gauging Data'!$B$26:$B$56,0),$W$18)</f>
        <v>GAUGE</v>
      </c>
      <c r="X141" s="642" t="str">
        <f>INDEX('Vessel Gauging Data'!$B$26:$V$56,MATCH($C141,'Vessel Gauging Data'!$B$26:$B$56,0),$X$18)</f>
        <v>GAUGE</v>
      </c>
      <c r="Y141" s="642" t="str">
        <f>INDEX('Vessel Gauging Data'!$B$26:$V$56,MATCH($C141,'Vessel Gauging Data'!$B$26:$B$56,0),$Y$18)</f>
        <v>GAUGE</v>
      </c>
      <c r="Z141" s="642">
        <f>INDEX('Vessel Gauging Data'!$B$26:$V$56,MATCH($C141,'Vessel Gauging Data'!$B$26:$B$56,0),$Z$18)</f>
        <v>38</v>
      </c>
      <c r="AA141" s="641"/>
      <c r="AB141" s="642">
        <f>INDEX(API1DENST,MATCH($C141,'Vessel Gauging Data'!$B$27:$B$56,0),1)</f>
        <v>0.83789999999999998</v>
      </c>
      <c r="AC141" s="642">
        <f t="shared" si="201"/>
        <v>1.00135</v>
      </c>
      <c r="AD141" s="641"/>
      <c r="AE141" s="661">
        <f t="shared" si="202"/>
        <v>838</v>
      </c>
      <c r="AF141" s="661">
        <f t="shared" si="203"/>
        <v>8.4643999999999995E-4</v>
      </c>
      <c r="AG141" s="641"/>
      <c r="AH141" s="662">
        <f t="shared" si="204"/>
        <v>38</v>
      </c>
      <c r="AI141" s="662">
        <f t="shared" si="205"/>
        <v>0.83789999999999998</v>
      </c>
      <c r="AJ141" s="663">
        <f t="shared" si="206"/>
        <v>103.872</v>
      </c>
      <c r="AK141" s="660">
        <f t="shared" si="207"/>
        <v>0.27010000000000001</v>
      </c>
      <c r="AL141" s="660">
        <f t="shared" si="208"/>
        <v>1068.18</v>
      </c>
      <c r="AM141" s="664">
        <f t="shared" si="209"/>
        <v>9.7242029999999993E-2</v>
      </c>
      <c r="AN141" s="664">
        <f t="shared" si="210"/>
        <v>9.1035199999999999E-5</v>
      </c>
      <c r="AO141" s="665">
        <f t="shared" si="211"/>
        <v>2.5285999999999999E-4</v>
      </c>
      <c r="AP141" s="666">
        <f t="shared" si="212"/>
        <v>3.4390000000000001E-4</v>
      </c>
      <c r="AQ141" s="660">
        <f t="shared" si="213"/>
        <v>-22</v>
      </c>
      <c r="AR141" s="667">
        <f t="shared" si="214"/>
        <v>-7.5658000000000001E-3</v>
      </c>
      <c r="AS141" s="667">
        <f t="shared" si="215"/>
        <v>-6.0526399999999998E-3</v>
      </c>
      <c r="AT141" s="668">
        <f t="shared" si="216"/>
        <v>4.579E-5</v>
      </c>
      <c r="AU141" s="667">
        <f t="shared" si="217"/>
        <v>7.5200099999999997E-3</v>
      </c>
      <c r="AV141" s="669">
        <f t="shared" si="218"/>
        <v>2.5000000000000001E-4</v>
      </c>
      <c r="AW141" s="667">
        <f t="shared" si="219"/>
        <v>2.2999999999999999E-7</v>
      </c>
      <c r="AX141" s="667">
        <f t="shared" si="220"/>
        <v>103.87200023</v>
      </c>
      <c r="AY141" s="660">
        <f t="shared" si="221"/>
        <v>3.4390000000000001E-4</v>
      </c>
      <c r="AZ141" s="670">
        <f t="shared" si="222"/>
        <v>1.0075499999999999</v>
      </c>
      <c r="BA141" s="641"/>
      <c r="BB141" s="662" t="str">
        <f>INDEX('Vessel Gauging Data'!$B$26:$V$56,MATCH($C141,'Vessel Gauging Data'!$B$26:$B$56,0),$BB$18)</f>
        <v>G</v>
      </c>
      <c r="BC141" s="662">
        <f>INDEX('Vessel Gauging Data'!$B$26:$V$56,MATCH($C141,'Vessel Gauging Data'!$B$26:$B$56,0),$BC$18)</f>
        <v>6.5</v>
      </c>
      <c r="BD141" s="662">
        <f>INDEX('Vessel Gauging Data'!$B$26:$V$56,MATCH($C141,'Vessel Gauging Data'!$B$26:$B$56,0),$BD$18)</f>
        <v>0</v>
      </c>
      <c r="BE141" s="662">
        <f>INDEX('Vessel Gauging Data'!$B$26:$V$56,MATCH($C141,'Vessel Gauging Data'!$B$26:$B$56,0),$BE$18)</f>
        <v>0</v>
      </c>
    </row>
    <row r="142" spans="1:57" ht="15" hidden="1">
      <c r="A142" s="641" t="str">
        <f t="shared" si="190"/>
        <v>N</v>
      </c>
      <c r="B142" s="641"/>
      <c r="C142" s="235" t="str">
        <f t="array" ref="C142">IF(OR($E$136="",SUMPRODUCT(('Vessel Gauging Data'!$C$27:$C$56=$E$136)*1)&lt;ROWS($C$137:$C142)),"",INDEX('Vessel Gauging Data'!$B$27:$B$56,SMALL(IF(('Vessel Gauging Data'!$C$27:$C$56=$E$136),ROW('Vessel Gauging Data'!$B$27:$B$56)-ROW('Vessel Gauging Data'!$C$26)),ROW()-ROW(C$136))))</f>
        <v/>
      </c>
      <c r="D142" s="211" t="str">
        <f>IF(OR($C142="",$C142=0),"",INDEX('Vessel Gauging Data'!$B$26:$V$56,MATCH($C142,'Vessel Gauging Data'!$B$27:$B$56,0)+1,2))</f>
        <v/>
      </c>
      <c r="E142" s="1016" t="str">
        <f t="shared" si="191"/>
        <v/>
      </c>
      <c r="F142" s="1016" t="str">
        <f t="shared" si="192"/>
        <v/>
      </c>
      <c r="G142" s="1016" t="str">
        <f t="shared" si="193"/>
        <v/>
      </c>
      <c r="H142" s="1016" t="str">
        <f t="shared" si="194"/>
        <v/>
      </c>
      <c r="I142" s="211" t="str">
        <f t="shared" si="195"/>
        <v/>
      </c>
      <c r="J142" s="1016" t="str">
        <f t="shared" si="196"/>
        <v/>
      </c>
      <c r="K142" s="213" t="str">
        <f t="shared" si="197"/>
        <v/>
      </c>
      <c r="L142" s="212" t="str">
        <f t="shared" si="198"/>
        <v/>
      </c>
      <c r="M142" s="1125" t="str">
        <f>IF(OR($C142="",$C142=0),"",INDEX(API1DENST,MATCH($C142,'Vessel Gauging Data'!$B$27:$B$56,0),$AA$1))</f>
        <v/>
      </c>
      <c r="N142" s="212" t="str">
        <f t="shared" si="199"/>
        <v/>
      </c>
      <c r="O142" s="1016" t="str">
        <f t="shared" si="223"/>
        <v/>
      </c>
      <c r="P142" s="1125" t="str">
        <f t="shared" si="224"/>
        <v/>
      </c>
      <c r="Q142" s="1016" t="str">
        <f t="shared" si="225"/>
        <v/>
      </c>
      <c r="R142" s="214" t="str">
        <f t="shared" si="226"/>
        <v/>
      </c>
      <c r="S142" s="1125" t="str">
        <f t="shared" si="200"/>
        <v/>
      </c>
      <c r="T142" s="236" t="str">
        <f t="shared" si="227"/>
        <v/>
      </c>
      <c r="U142" s="641"/>
      <c r="V142" s="642" t="e">
        <f>INDEX('Vessel Gauging Data'!$B$26:$V$56,MATCH($C142,'Vessel Gauging Data'!$B$26:$B$56,0),$V$18)</f>
        <v>#N/A</v>
      </c>
      <c r="W142" s="642" t="e">
        <f>INDEX('Vessel Gauging Data'!$B$26:$V$56,MATCH($C142,'Vessel Gauging Data'!$B$26:$B$56,0),$W$18)</f>
        <v>#N/A</v>
      </c>
      <c r="X142" s="642" t="e">
        <f>INDEX('Vessel Gauging Data'!$B$26:$V$56,MATCH($C142,'Vessel Gauging Data'!$B$26:$B$56,0),$X$18)</f>
        <v>#N/A</v>
      </c>
      <c r="Y142" s="642" t="e">
        <f>INDEX('Vessel Gauging Data'!$B$26:$V$56,MATCH($C142,'Vessel Gauging Data'!$B$26:$B$56,0),$Y$18)</f>
        <v>#N/A</v>
      </c>
      <c r="Z142" s="642" t="e">
        <f>INDEX('Vessel Gauging Data'!$B$26:$V$56,MATCH($C142,'Vessel Gauging Data'!$B$26:$B$56,0),$Z$18)</f>
        <v>#N/A</v>
      </c>
      <c r="AA142" s="641"/>
      <c r="AB142" s="642" t="e">
        <f>INDEX(API1DENST,MATCH($C142,'Vessel Gauging Data'!$B$27:$B$56,0),1)</f>
        <v>#N/A</v>
      </c>
      <c r="AC142" s="642" t="e">
        <f t="shared" si="201"/>
        <v>#N/A</v>
      </c>
      <c r="AD142" s="641"/>
      <c r="AE142" s="661" t="e">
        <f t="shared" si="202"/>
        <v>#VALUE!</v>
      </c>
      <c r="AF142" s="661" t="e">
        <f t="shared" si="203"/>
        <v>#VALUE!</v>
      </c>
      <c r="AG142" s="641"/>
      <c r="AH142" s="662" t="str">
        <f t="shared" si="204"/>
        <v/>
      </c>
      <c r="AI142" s="662" t="str">
        <f t="shared" si="205"/>
        <v/>
      </c>
      <c r="AJ142" s="663">
        <f t="shared" si="206"/>
        <v>192.4571</v>
      </c>
      <c r="AK142" s="660">
        <f t="shared" si="207"/>
        <v>0.24379999999999999</v>
      </c>
      <c r="AL142" s="660" t="e">
        <f t="shared" si="208"/>
        <v>#VALUE!</v>
      </c>
      <c r="AM142" s="664" t="e">
        <f t="shared" si="209"/>
        <v>#VALUE!</v>
      </c>
      <c r="AN142" s="664" t="e">
        <f t="shared" si="210"/>
        <v>#VALUE!</v>
      </c>
      <c r="AO142" s="665" t="e">
        <f t="shared" si="211"/>
        <v>#VALUE!</v>
      </c>
      <c r="AP142" s="666" t="e">
        <f t="shared" si="212"/>
        <v>#VALUE!</v>
      </c>
      <c r="AQ142" s="660" t="e">
        <f t="shared" si="213"/>
        <v>#VALUE!</v>
      </c>
      <c r="AR142" s="667" t="e">
        <f t="shared" si="214"/>
        <v>#VALUE!</v>
      </c>
      <c r="AS142" s="667" t="e">
        <f t="shared" si="215"/>
        <v>#VALUE!</v>
      </c>
      <c r="AT142" s="668" t="e">
        <f t="shared" si="216"/>
        <v>#VALUE!</v>
      </c>
      <c r="AU142" s="667" t="e">
        <f t="shared" si="217"/>
        <v>#VALUE!</v>
      </c>
      <c r="AV142" s="669" t="e">
        <f t="shared" si="218"/>
        <v>#VALUE!</v>
      </c>
      <c r="AW142" s="667" t="e">
        <f t="shared" si="219"/>
        <v>#VALUE!</v>
      </c>
      <c r="AX142" s="667" t="e">
        <f t="shared" si="220"/>
        <v>#VALUE!</v>
      </c>
      <c r="AY142" s="660" t="e">
        <f t="shared" si="221"/>
        <v>#VALUE!</v>
      </c>
      <c r="AZ142" s="670" t="e">
        <f t="shared" si="222"/>
        <v>#VALUE!</v>
      </c>
      <c r="BA142" s="641"/>
      <c r="BB142" s="662" t="e">
        <f>INDEX('Vessel Gauging Data'!$B$26:$V$56,MATCH($C142,'Vessel Gauging Data'!$B$26:$B$56,0),$BB$18)</f>
        <v>#N/A</v>
      </c>
      <c r="BC142" s="662" t="e">
        <f>INDEX('Vessel Gauging Data'!$B$26:$V$56,MATCH($C142,'Vessel Gauging Data'!$B$26:$B$56,0),$BC$18)</f>
        <v>#N/A</v>
      </c>
      <c r="BD142" s="662" t="e">
        <f>INDEX('Vessel Gauging Data'!$B$26:$V$56,MATCH($C142,'Vessel Gauging Data'!$B$26:$B$56,0),$BD$18)</f>
        <v>#N/A</v>
      </c>
      <c r="BE142" s="662" t="e">
        <f>INDEX('Vessel Gauging Data'!$B$26:$V$56,MATCH($C142,'Vessel Gauging Data'!$B$26:$B$56,0),$BE$18)</f>
        <v>#N/A</v>
      </c>
    </row>
    <row r="143" spans="1:57" ht="15" hidden="1">
      <c r="A143" s="641" t="str">
        <f t="shared" si="190"/>
        <v>N</v>
      </c>
      <c r="B143" s="641"/>
      <c r="C143" s="235" t="str">
        <f t="array" ref="C143">IF(OR($E$136="",SUMPRODUCT(('Vessel Gauging Data'!$C$27:$C$56=$E$136)*1)&lt;ROWS($C$137:$C143)),"",INDEX('Vessel Gauging Data'!$B$27:$B$56,SMALL(IF(('Vessel Gauging Data'!$C$27:$C$56=$E$136),ROW('Vessel Gauging Data'!$B$27:$B$56)-ROW('Vessel Gauging Data'!$C$26)),ROW()-ROW(C$136))))</f>
        <v/>
      </c>
      <c r="D143" s="211" t="str">
        <f>IF(OR($C143="",$C143=0),"",INDEX('Vessel Gauging Data'!$B$26:$V$56,MATCH($C143,'Vessel Gauging Data'!$B$27:$B$56,0)+1,2))</f>
        <v/>
      </c>
      <c r="E143" s="1016" t="str">
        <f t="shared" si="191"/>
        <v/>
      </c>
      <c r="F143" s="1016" t="str">
        <f t="shared" si="192"/>
        <v/>
      </c>
      <c r="G143" s="1016" t="str">
        <f t="shared" si="193"/>
        <v/>
      </c>
      <c r="H143" s="1016" t="str">
        <f t="shared" si="194"/>
        <v/>
      </c>
      <c r="I143" s="211" t="str">
        <f t="shared" si="195"/>
        <v/>
      </c>
      <c r="J143" s="1016" t="str">
        <f t="shared" si="196"/>
        <v/>
      </c>
      <c r="K143" s="213" t="str">
        <f t="shared" si="197"/>
        <v/>
      </c>
      <c r="L143" s="212" t="str">
        <f t="shared" si="198"/>
        <v/>
      </c>
      <c r="M143" s="1125" t="str">
        <f>IF(OR($C143="",$C143=0),"",INDEX(API1DENST,MATCH($C143,'Vessel Gauging Data'!$B$27:$B$56,0),$AA$1))</f>
        <v/>
      </c>
      <c r="N143" s="212" t="str">
        <f t="shared" si="199"/>
        <v/>
      </c>
      <c r="O143" s="1016" t="str">
        <f t="shared" si="223"/>
        <v/>
      </c>
      <c r="P143" s="1125" t="str">
        <f t="shared" si="224"/>
        <v/>
      </c>
      <c r="Q143" s="1016" t="str">
        <f t="shared" si="225"/>
        <v/>
      </c>
      <c r="R143" s="214" t="str">
        <f t="shared" si="226"/>
        <v/>
      </c>
      <c r="S143" s="1125" t="str">
        <f t="shared" si="200"/>
        <v/>
      </c>
      <c r="T143" s="236" t="str">
        <f t="shared" si="227"/>
        <v/>
      </c>
      <c r="U143" s="641"/>
      <c r="V143" s="642" t="e">
        <f>INDEX('Vessel Gauging Data'!$B$26:$V$56,MATCH($C143,'Vessel Gauging Data'!$B$26:$B$56,0),$V$18)</f>
        <v>#N/A</v>
      </c>
      <c r="W143" s="642" t="e">
        <f>INDEX('Vessel Gauging Data'!$B$26:$V$56,MATCH($C143,'Vessel Gauging Data'!$B$26:$B$56,0),$W$18)</f>
        <v>#N/A</v>
      </c>
      <c r="X143" s="642" t="e">
        <f>INDEX('Vessel Gauging Data'!$B$26:$V$56,MATCH($C143,'Vessel Gauging Data'!$B$26:$B$56,0),$X$18)</f>
        <v>#N/A</v>
      </c>
      <c r="Y143" s="642" t="e">
        <f>INDEX('Vessel Gauging Data'!$B$26:$V$56,MATCH($C143,'Vessel Gauging Data'!$B$26:$B$56,0),$Y$18)</f>
        <v>#N/A</v>
      </c>
      <c r="Z143" s="642" t="e">
        <f>INDEX('Vessel Gauging Data'!$B$26:$V$56,MATCH($C143,'Vessel Gauging Data'!$B$26:$B$56,0),$Z$18)</f>
        <v>#N/A</v>
      </c>
      <c r="AA143" s="641"/>
      <c r="AB143" s="642" t="e">
        <f>INDEX(API1DENST,MATCH($C143,'Vessel Gauging Data'!$B$27:$B$56,0),1)</f>
        <v>#N/A</v>
      </c>
      <c r="AC143" s="642" t="e">
        <f t="shared" si="201"/>
        <v>#N/A</v>
      </c>
      <c r="AD143" s="641"/>
      <c r="AE143" s="661" t="e">
        <f t="shared" si="202"/>
        <v>#VALUE!</v>
      </c>
      <c r="AF143" s="661" t="e">
        <f t="shared" si="203"/>
        <v>#VALUE!</v>
      </c>
      <c r="AG143" s="641"/>
      <c r="AH143" s="662" t="str">
        <f t="shared" si="204"/>
        <v/>
      </c>
      <c r="AI143" s="662" t="str">
        <f t="shared" si="205"/>
        <v/>
      </c>
      <c r="AJ143" s="663">
        <f t="shared" si="206"/>
        <v>192.4571</v>
      </c>
      <c r="AK143" s="660">
        <f t="shared" si="207"/>
        <v>0.24379999999999999</v>
      </c>
      <c r="AL143" s="660" t="e">
        <f t="shared" si="208"/>
        <v>#VALUE!</v>
      </c>
      <c r="AM143" s="664" t="e">
        <f t="shared" si="209"/>
        <v>#VALUE!</v>
      </c>
      <c r="AN143" s="664" t="e">
        <f t="shared" si="210"/>
        <v>#VALUE!</v>
      </c>
      <c r="AO143" s="665" t="e">
        <f t="shared" si="211"/>
        <v>#VALUE!</v>
      </c>
      <c r="AP143" s="666" t="e">
        <f t="shared" si="212"/>
        <v>#VALUE!</v>
      </c>
      <c r="AQ143" s="660" t="e">
        <f t="shared" si="213"/>
        <v>#VALUE!</v>
      </c>
      <c r="AR143" s="667" t="e">
        <f t="shared" si="214"/>
        <v>#VALUE!</v>
      </c>
      <c r="AS143" s="667" t="e">
        <f t="shared" si="215"/>
        <v>#VALUE!</v>
      </c>
      <c r="AT143" s="668" t="e">
        <f t="shared" si="216"/>
        <v>#VALUE!</v>
      </c>
      <c r="AU143" s="667" t="e">
        <f t="shared" si="217"/>
        <v>#VALUE!</v>
      </c>
      <c r="AV143" s="669" t="e">
        <f t="shared" si="218"/>
        <v>#VALUE!</v>
      </c>
      <c r="AW143" s="667" t="e">
        <f t="shared" si="219"/>
        <v>#VALUE!</v>
      </c>
      <c r="AX143" s="667" t="e">
        <f t="shared" si="220"/>
        <v>#VALUE!</v>
      </c>
      <c r="AY143" s="660" t="e">
        <f t="shared" si="221"/>
        <v>#VALUE!</v>
      </c>
      <c r="AZ143" s="670" t="e">
        <f t="shared" si="222"/>
        <v>#VALUE!</v>
      </c>
      <c r="BA143" s="641"/>
      <c r="BB143" s="662" t="e">
        <f>INDEX('Vessel Gauging Data'!$B$26:$V$56,MATCH($C143,'Vessel Gauging Data'!$B$26:$B$56,0),$BB$18)</f>
        <v>#N/A</v>
      </c>
      <c r="BC143" s="662" t="e">
        <f>INDEX('Vessel Gauging Data'!$B$26:$V$56,MATCH($C143,'Vessel Gauging Data'!$B$26:$B$56,0),$BC$18)</f>
        <v>#N/A</v>
      </c>
      <c r="BD143" s="662" t="e">
        <f>INDEX('Vessel Gauging Data'!$B$26:$V$56,MATCH($C143,'Vessel Gauging Data'!$B$26:$B$56,0),$BD$18)</f>
        <v>#N/A</v>
      </c>
      <c r="BE143" s="662" t="e">
        <f>INDEX('Vessel Gauging Data'!$B$26:$V$56,MATCH($C143,'Vessel Gauging Data'!$B$26:$B$56,0),$BE$18)</f>
        <v>#N/A</v>
      </c>
    </row>
    <row r="144" spans="1:57" ht="15" hidden="1">
      <c r="A144" s="641" t="str">
        <f t="shared" si="190"/>
        <v>N</v>
      </c>
      <c r="B144" s="641"/>
      <c r="C144" s="235" t="str">
        <f t="array" ref="C144">IF(OR($E$136="",SUMPRODUCT(('Vessel Gauging Data'!$C$27:$C$56=$E$136)*1)&lt;ROWS($C$137:$C144)),"",INDEX('Vessel Gauging Data'!$B$27:$B$56,SMALL(IF(('Vessel Gauging Data'!$C$27:$C$56=$E$136),ROW('Vessel Gauging Data'!$B$27:$B$56)-ROW('Vessel Gauging Data'!$C$26)),ROW()-ROW(C$136))))</f>
        <v/>
      </c>
      <c r="D144" s="211" t="str">
        <f>IF(OR($C144="",$C144=0),"",INDEX('Vessel Gauging Data'!$B$26:$V$56,MATCH($C144,'Vessel Gauging Data'!$B$27:$B$56,0)+1,2))</f>
        <v/>
      </c>
      <c r="E144" s="1016" t="str">
        <f t="shared" si="191"/>
        <v/>
      </c>
      <c r="F144" s="1016" t="str">
        <f t="shared" si="192"/>
        <v/>
      </c>
      <c r="G144" s="1016" t="str">
        <f t="shared" si="193"/>
        <v/>
      </c>
      <c r="H144" s="1016" t="str">
        <f t="shared" si="194"/>
        <v/>
      </c>
      <c r="I144" s="211" t="str">
        <f t="shared" si="195"/>
        <v/>
      </c>
      <c r="J144" s="1016" t="str">
        <f t="shared" si="196"/>
        <v/>
      </c>
      <c r="K144" s="213" t="str">
        <f t="shared" si="197"/>
        <v/>
      </c>
      <c r="L144" s="212" t="str">
        <f t="shared" si="198"/>
        <v/>
      </c>
      <c r="M144" s="1125" t="str">
        <f>IF(OR($C144="",$C144=0),"",INDEX(API1DENST,MATCH($C144,'Vessel Gauging Data'!$B$27:$B$56,0),$AA$1))</f>
        <v/>
      </c>
      <c r="N144" s="212" t="str">
        <f t="shared" si="199"/>
        <v/>
      </c>
      <c r="O144" s="1016" t="str">
        <f t="shared" si="223"/>
        <v/>
      </c>
      <c r="P144" s="1125" t="str">
        <f t="shared" si="224"/>
        <v/>
      </c>
      <c r="Q144" s="1016" t="str">
        <f t="shared" si="225"/>
        <v/>
      </c>
      <c r="R144" s="214" t="str">
        <f t="shared" si="226"/>
        <v/>
      </c>
      <c r="S144" s="1125" t="str">
        <f t="shared" si="200"/>
        <v/>
      </c>
      <c r="T144" s="236" t="str">
        <f t="shared" si="227"/>
        <v/>
      </c>
      <c r="U144" s="641"/>
      <c r="V144" s="642" t="e">
        <f>INDEX('Vessel Gauging Data'!$B$26:$V$56,MATCH($C144,'Vessel Gauging Data'!$B$26:$B$56,0),$V$18)</f>
        <v>#N/A</v>
      </c>
      <c r="W144" s="642" t="e">
        <f>INDEX('Vessel Gauging Data'!$B$26:$V$56,MATCH($C144,'Vessel Gauging Data'!$B$26:$B$56,0),$W$18)</f>
        <v>#N/A</v>
      </c>
      <c r="X144" s="642" t="e">
        <f>INDEX('Vessel Gauging Data'!$B$26:$V$56,MATCH($C144,'Vessel Gauging Data'!$B$26:$B$56,0),$X$18)</f>
        <v>#N/A</v>
      </c>
      <c r="Y144" s="642" t="e">
        <f>INDEX('Vessel Gauging Data'!$B$26:$V$56,MATCH($C144,'Vessel Gauging Data'!$B$26:$B$56,0),$Y$18)</f>
        <v>#N/A</v>
      </c>
      <c r="Z144" s="642" t="e">
        <f>INDEX('Vessel Gauging Data'!$B$26:$V$56,MATCH($C144,'Vessel Gauging Data'!$B$26:$B$56,0),$Z$18)</f>
        <v>#N/A</v>
      </c>
      <c r="AA144" s="641"/>
      <c r="AB144" s="642" t="e">
        <f>INDEX(API1DENST,MATCH($C144,'Vessel Gauging Data'!$B$27:$B$56,0),1)</f>
        <v>#N/A</v>
      </c>
      <c r="AC144" s="642" t="e">
        <f t="shared" si="201"/>
        <v>#N/A</v>
      </c>
      <c r="AD144" s="641"/>
      <c r="AE144" s="661" t="e">
        <f t="shared" si="202"/>
        <v>#VALUE!</v>
      </c>
      <c r="AF144" s="661" t="e">
        <f t="shared" si="203"/>
        <v>#VALUE!</v>
      </c>
      <c r="AG144" s="641"/>
      <c r="AH144" s="662" t="str">
        <f t="shared" si="204"/>
        <v/>
      </c>
      <c r="AI144" s="662" t="str">
        <f t="shared" si="205"/>
        <v/>
      </c>
      <c r="AJ144" s="663">
        <f t="shared" si="206"/>
        <v>192.4571</v>
      </c>
      <c r="AK144" s="660">
        <f t="shared" si="207"/>
        <v>0.24379999999999999</v>
      </c>
      <c r="AL144" s="660" t="e">
        <f t="shared" si="208"/>
        <v>#VALUE!</v>
      </c>
      <c r="AM144" s="664" t="e">
        <f t="shared" si="209"/>
        <v>#VALUE!</v>
      </c>
      <c r="AN144" s="664" t="e">
        <f t="shared" si="210"/>
        <v>#VALUE!</v>
      </c>
      <c r="AO144" s="665" t="e">
        <f t="shared" si="211"/>
        <v>#VALUE!</v>
      </c>
      <c r="AP144" s="666" t="e">
        <f t="shared" si="212"/>
        <v>#VALUE!</v>
      </c>
      <c r="AQ144" s="660" t="e">
        <f t="shared" si="213"/>
        <v>#VALUE!</v>
      </c>
      <c r="AR144" s="667" t="e">
        <f t="shared" si="214"/>
        <v>#VALUE!</v>
      </c>
      <c r="AS144" s="667" t="e">
        <f t="shared" si="215"/>
        <v>#VALUE!</v>
      </c>
      <c r="AT144" s="668" t="e">
        <f t="shared" si="216"/>
        <v>#VALUE!</v>
      </c>
      <c r="AU144" s="667" t="e">
        <f t="shared" si="217"/>
        <v>#VALUE!</v>
      </c>
      <c r="AV144" s="669" t="e">
        <f t="shared" si="218"/>
        <v>#VALUE!</v>
      </c>
      <c r="AW144" s="667" t="e">
        <f t="shared" si="219"/>
        <v>#VALUE!</v>
      </c>
      <c r="AX144" s="667" t="e">
        <f t="shared" si="220"/>
        <v>#VALUE!</v>
      </c>
      <c r="AY144" s="660" t="e">
        <f t="shared" si="221"/>
        <v>#VALUE!</v>
      </c>
      <c r="AZ144" s="670" t="e">
        <f t="shared" si="222"/>
        <v>#VALUE!</v>
      </c>
      <c r="BA144" s="641"/>
      <c r="BB144" s="662" t="e">
        <f>INDEX('Vessel Gauging Data'!$B$26:$V$56,MATCH($C144,'Vessel Gauging Data'!$B$26:$B$56,0),$BB$18)</f>
        <v>#N/A</v>
      </c>
      <c r="BC144" s="662" t="e">
        <f>INDEX('Vessel Gauging Data'!$B$26:$V$56,MATCH($C144,'Vessel Gauging Data'!$B$26:$B$56,0),$BC$18)</f>
        <v>#N/A</v>
      </c>
      <c r="BD144" s="662" t="e">
        <f>INDEX('Vessel Gauging Data'!$B$26:$V$56,MATCH($C144,'Vessel Gauging Data'!$B$26:$B$56,0),$BD$18)</f>
        <v>#N/A</v>
      </c>
      <c r="BE144" s="662" t="e">
        <f>INDEX('Vessel Gauging Data'!$B$26:$V$56,MATCH($C144,'Vessel Gauging Data'!$B$26:$B$56,0),$BE$18)</f>
        <v>#N/A</v>
      </c>
    </row>
    <row r="145" spans="1:57" ht="15" hidden="1">
      <c r="A145" s="641" t="str">
        <f t="shared" si="190"/>
        <v>N</v>
      </c>
      <c r="B145" s="641"/>
      <c r="C145" s="235" t="str">
        <f t="array" ref="C145">IF(OR($E$136="",SUMPRODUCT(('Vessel Gauging Data'!$C$27:$C$56=$E$136)*1)&lt;ROWS($C$137:$C145)),"",INDEX('Vessel Gauging Data'!$B$27:$B$56,SMALL(IF(('Vessel Gauging Data'!$C$27:$C$56=$E$136),ROW('Vessel Gauging Data'!$B$27:$B$56)-ROW('Vessel Gauging Data'!$C$26)),ROW()-ROW(C$136))))</f>
        <v/>
      </c>
      <c r="D145" s="211" t="str">
        <f>IF(OR($C145="",$C145=0),"",INDEX('Vessel Gauging Data'!$B$26:$V$56,MATCH($C145,'Vessel Gauging Data'!$B$27:$B$56,0)+1,2))</f>
        <v/>
      </c>
      <c r="E145" s="1016" t="str">
        <f t="shared" si="191"/>
        <v/>
      </c>
      <c r="F145" s="1016" t="str">
        <f t="shared" si="192"/>
        <v/>
      </c>
      <c r="G145" s="1016" t="str">
        <f t="shared" si="193"/>
        <v/>
      </c>
      <c r="H145" s="1016" t="str">
        <f t="shared" si="194"/>
        <v/>
      </c>
      <c r="I145" s="211" t="str">
        <f t="shared" si="195"/>
        <v/>
      </c>
      <c r="J145" s="1016" t="str">
        <f t="shared" si="196"/>
        <v/>
      </c>
      <c r="K145" s="213" t="str">
        <f t="shared" si="197"/>
        <v/>
      </c>
      <c r="L145" s="212" t="str">
        <f t="shared" si="198"/>
        <v/>
      </c>
      <c r="M145" s="1125" t="str">
        <f>IF(OR($C145="",$C145=0),"",INDEX(API1DENST,MATCH($C145,'Vessel Gauging Data'!$B$27:$B$56,0),$AA$1))</f>
        <v/>
      </c>
      <c r="N145" s="212" t="str">
        <f t="shared" si="199"/>
        <v/>
      </c>
      <c r="O145" s="1016" t="str">
        <f t="shared" si="223"/>
        <v/>
      </c>
      <c r="P145" s="1125" t="str">
        <f t="shared" si="224"/>
        <v/>
      </c>
      <c r="Q145" s="1016" t="str">
        <f t="shared" si="225"/>
        <v/>
      </c>
      <c r="R145" s="214" t="str">
        <f t="shared" si="226"/>
        <v/>
      </c>
      <c r="S145" s="1125" t="str">
        <f t="shared" si="200"/>
        <v/>
      </c>
      <c r="T145" s="236" t="str">
        <f t="shared" si="227"/>
        <v/>
      </c>
      <c r="U145" s="641"/>
      <c r="V145" s="642" t="e">
        <f>INDEX('Vessel Gauging Data'!$B$26:$V$56,MATCH($C145,'Vessel Gauging Data'!$B$26:$B$56,0),$V$18)</f>
        <v>#N/A</v>
      </c>
      <c r="W145" s="642" t="e">
        <f>INDEX('Vessel Gauging Data'!$B$26:$V$56,MATCH($C145,'Vessel Gauging Data'!$B$26:$B$56,0),$W$18)</f>
        <v>#N/A</v>
      </c>
      <c r="X145" s="642" t="e">
        <f>INDEX('Vessel Gauging Data'!$B$26:$V$56,MATCH($C145,'Vessel Gauging Data'!$B$26:$B$56,0),$X$18)</f>
        <v>#N/A</v>
      </c>
      <c r="Y145" s="642" t="e">
        <f>INDEX('Vessel Gauging Data'!$B$26:$V$56,MATCH($C145,'Vessel Gauging Data'!$B$26:$B$56,0),$Y$18)</f>
        <v>#N/A</v>
      </c>
      <c r="Z145" s="642" t="e">
        <f>INDEX('Vessel Gauging Data'!$B$26:$V$56,MATCH($C145,'Vessel Gauging Data'!$B$26:$B$56,0),$Z$18)</f>
        <v>#N/A</v>
      </c>
      <c r="AA145" s="641"/>
      <c r="AB145" s="642" t="e">
        <f>INDEX(API1DENST,MATCH($C145,'Vessel Gauging Data'!$B$27:$B$56,0),1)</f>
        <v>#N/A</v>
      </c>
      <c r="AC145" s="642" t="e">
        <f t="shared" si="201"/>
        <v>#N/A</v>
      </c>
      <c r="AD145" s="641"/>
      <c r="AE145" s="661" t="e">
        <f t="shared" si="202"/>
        <v>#VALUE!</v>
      </c>
      <c r="AF145" s="661" t="e">
        <f t="shared" si="203"/>
        <v>#VALUE!</v>
      </c>
      <c r="AG145" s="641"/>
      <c r="AH145" s="662" t="str">
        <f t="shared" si="204"/>
        <v/>
      </c>
      <c r="AI145" s="662" t="str">
        <f t="shared" si="205"/>
        <v/>
      </c>
      <c r="AJ145" s="663">
        <f t="shared" si="206"/>
        <v>192.4571</v>
      </c>
      <c r="AK145" s="660">
        <f t="shared" si="207"/>
        <v>0.24379999999999999</v>
      </c>
      <c r="AL145" s="660" t="e">
        <f t="shared" si="208"/>
        <v>#VALUE!</v>
      </c>
      <c r="AM145" s="664" t="e">
        <f t="shared" si="209"/>
        <v>#VALUE!</v>
      </c>
      <c r="AN145" s="664" t="e">
        <f t="shared" si="210"/>
        <v>#VALUE!</v>
      </c>
      <c r="AO145" s="665" t="e">
        <f t="shared" si="211"/>
        <v>#VALUE!</v>
      </c>
      <c r="AP145" s="666" t="e">
        <f t="shared" si="212"/>
        <v>#VALUE!</v>
      </c>
      <c r="AQ145" s="660" t="e">
        <f t="shared" si="213"/>
        <v>#VALUE!</v>
      </c>
      <c r="AR145" s="667" t="e">
        <f t="shared" si="214"/>
        <v>#VALUE!</v>
      </c>
      <c r="AS145" s="667" t="e">
        <f t="shared" si="215"/>
        <v>#VALUE!</v>
      </c>
      <c r="AT145" s="668" t="e">
        <f t="shared" si="216"/>
        <v>#VALUE!</v>
      </c>
      <c r="AU145" s="667" t="e">
        <f t="shared" si="217"/>
        <v>#VALUE!</v>
      </c>
      <c r="AV145" s="669" t="e">
        <f t="shared" si="218"/>
        <v>#VALUE!</v>
      </c>
      <c r="AW145" s="667" t="e">
        <f t="shared" si="219"/>
        <v>#VALUE!</v>
      </c>
      <c r="AX145" s="667" t="e">
        <f t="shared" si="220"/>
        <v>#VALUE!</v>
      </c>
      <c r="AY145" s="660" t="e">
        <f t="shared" si="221"/>
        <v>#VALUE!</v>
      </c>
      <c r="AZ145" s="670" t="e">
        <f t="shared" si="222"/>
        <v>#VALUE!</v>
      </c>
      <c r="BA145" s="641"/>
      <c r="BB145" s="662" t="e">
        <f>INDEX('Vessel Gauging Data'!$B$26:$V$56,MATCH($C145,'Vessel Gauging Data'!$B$26:$B$56,0),$BB$18)</f>
        <v>#N/A</v>
      </c>
      <c r="BC145" s="662" t="e">
        <f>INDEX('Vessel Gauging Data'!$B$26:$V$56,MATCH($C145,'Vessel Gauging Data'!$B$26:$B$56,0),$BC$18)</f>
        <v>#N/A</v>
      </c>
      <c r="BD145" s="662" t="e">
        <f>INDEX('Vessel Gauging Data'!$B$26:$V$56,MATCH($C145,'Vessel Gauging Data'!$B$26:$B$56,0),$BD$18)</f>
        <v>#N/A</v>
      </c>
      <c r="BE145" s="662" t="e">
        <f>INDEX('Vessel Gauging Data'!$B$26:$V$56,MATCH($C145,'Vessel Gauging Data'!$B$26:$B$56,0),$BE$18)</f>
        <v>#N/A</v>
      </c>
    </row>
    <row r="146" spans="1:57" ht="15" hidden="1">
      <c r="A146" s="641" t="str">
        <f t="shared" si="190"/>
        <v>N</v>
      </c>
      <c r="B146" s="641"/>
      <c r="C146" s="235" t="str">
        <f t="array" ref="C146">IF(OR($E$136="",SUMPRODUCT(('Vessel Gauging Data'!$C$27:$C$56=$E$136)*1)&lt;ROWS($C$137:$C146)),"",INDEX('Vessel Gauging Data'!$B$27:$B$56,SMALL(IF(('Vessel Gauging Data'!$C$27:$C$56=$E$136),ROW('Vessel Gauging Data'!$B$27:$B$56)-ROW('Vessel Gauging Data'!$C$26)),ROW()-ROW(C$136))))</f>
        <v/>
      </c>
      <c r="D146" s="211" t="str">
        <f>IF(OR($C146="",$C146=0),"",INDEX('Vessel Gauging Data'!$B$26:$V$56,MATCH($C146,'Vessel Gauging Data'!$B$27:$B$56,0)+1,2))</f>
        <v/>
      </c>
      <c r="E146" s="1016" t="str">
        <f t="shared" si="191"/>
        <v/>
      </c>
      <c r="F146" s="1016" t="str">
        <f t="shared" si="192"/>
        <v/>
      </c>
      <c r="G146" s="1016" t="str">
        <f t="shared" si="193"/>
        <v/>
      </c>
      <c r="H146" s="1016" t="str">
        <f t="shared" si="194"/>
        <v/>
      </c>
      <c r="I146" s="211" t="str">
        <f t="shared" si="195"/>
        <v/>
      </c>
      <c r="J146" s="1016" t="str">
        <f t="shared" si="196"/>
        <v/>
      </c>
      <c r="K146" s="213" t="str">
        <f t="shared" si="197"/>
        <v/>
      </c>
      <c r="L146" s="212" t="str">
        <f t="shared" si="198"/>
        <v/>
      </c>
      <c r="M146" s="1125" t="str">
        <f>IF(OR($C146="",$C146=0),"",INDEX(API1DENST,MATCH($C146,'Vessel Gauging Data'!$B$27:$B$56,0),$AA$1))</f>
        <v/>
      </c>
      <c r="N146" s="212" t="str">
        <f t="shared" si="199"/>
        <v/>
      </c>
      <c r="O146" s="1016" t="str">
        <f t="shared" si="223"/>
        <v/>
      </c>
      <c r="P146" s="1125" t="str">
        <f t="shared" si="224"/>
        <v/>
      </c>
      <c r="Q146" s="1016" t="str">
        <f t="shared" si="225"/>
        <v/>
      </c>
      <c r="R146" s="214" t="str">
        <f t="shared" si="226"/>
        <v/>
      </c>
      <c r="S146" s="1125" t="str">
        <f t="shared" si="200"/>
        <v/>
      </c>
      <c r="T146" s="236" t="str">
        <f t="shared" si="227"/>
        <v/>
      </c>
      <c r="U146" s="641"/>
      <c r="V146" s="642" t="e">
        <f>INDEX('Vessel Gauging Data'!$B$26:$V$56,MATCH($C146,'Vessel Gauging Data'!$B$26:$B$56,0),$V$18)</f>
        <v>#N/A</v>
      </c>
      <c r="W146" s="642" t="e">
        <f>INDEX('Vessel Gauging Data'!$B$26:$V$56,MATCH($C146,'Vessel Gauging Data'!$B$26:$B$56,0),$W$18)</f>
        <v>#N/A</v>
      </c>
      <c r="X146" s="642" t="e">
        <f>INDEX('Vessel Gauging Data'!$B$26:$V$56,MATCH($C146,'Vessel Gauging Data'!$B$26:$B$56,0),$X$18)</f>
        <v>#N/A</v>
      </c>
      <c r="Y146" s="642" t="e">
        <f>INDEX('Vessel Gauging Data'!$B$26:$V$56,MATCH($C146,'Vessel Gauging Data'!$B$26:$B$56,0),$Y$18)</f>
        <v>#N/A</v>
      </c>
      <c r="Z146" s="642" t="e">
        <f>INDEX('Vessel Gauging Data'!$B$26:$V$56,MATCH($C146,'Vessel Gauging Data'!$B$26:$B$56,0),$Z$18)</f>
        <v>#N/A</v>
      </c>
      <c r="AA146" s="641"/>
      <c r="AB146" s="642" t="e">
        <f>INDEX(API1DENST,MATCH($C146,'Vessel Gauging Data'!$B$27:$B$56,0),1)</f>
        <v>#N/A</v>
      </c>
      <c r="AC146" s="642" t="e">
        <f t="shared" si="201"/>
        <v>#N/A</v>
      </c>
      <c r="AD146" s="641"/>
      <c r="AE146" s="661" t="e">
        <f t="shared" si="202"/>
        <v>#VALUE!</v>
      </c>
      <c r="AF146" s="661" t="e">
        <f t="shared" si="203"/>
        <v>#VALUE!</v>
      </c>
      <c r="AG146" s="641"/>
      <c r="AH146" s="662" t="str">
        <f t="shared" si="204"/>
        <v/>
      </c>
      <c r="AI146" s="662" t="str">
        <f t="shared" si="205"/>
        <v/>
      </c>
      <c r="AJ146" s="663">
        <f t="shared" si="206"/>
        <v>192.4571</v>
      </c>
      <c r="AK146" s="660">
        <f t="shared" si="207"/>
        <v>0.24379999999999999</v>
      </c>
      <c r="AL146" s="660" t="e">
        <f t="shared" si="208"/>
        <v>#VALUE!</v>
      </c>
      <c r="AM146" s="664" t="e">
        <f t="shared" si="209"/>
        <v>#VALUE!</v>
      </c>
      <c r="AN146" s="664" t="e">
        <f t="shared" si="210"/>
        <v>#VALUE!</v>
      </c>
      <c r="AO146" s="665" t="e">
        <f t="shared" si="211"/>
        <v>#VALUE!</v>
      </c>
      <c r="AP146" s="666" t="e">
        <f t="shared" si="212"/>
        <v>#VALUE!</v>
      </c>
      <c r="AQ146" s="660" t="e">
        <f t="shared" si="213"/>
        <v>#VALUE!</v>
      </c>
      <c r="AR146" s="667" t="e">
        <f t="shared" si="214"/>
        <v>#VALUE!</v>
      </c>
      <c r="AS146" s="667" t="e">
        <f t="shared" si="215"/>
        <v>#VALUE!</v>
      </c>
      <c r="AT146" s="668" t="e">
        <f t="shared" si="216"/>
        <v>#VALUE!</v>
      </c>
      <c r="AU146" s="667" t="e">
        <f t="shared" si="217"/>
        <v>#VALUE!</v>
      </c>
      <c r="AV146" s="669" t="e">
        <f t="shared" si="218"/>
        <v>#VALUE!</v>
      </c>
      <c r="AW146" s="667" t="e">
        <f t="shared" si="219"/>
        <v>#VALUE!</v>
      </c>
      <c r="AX146" s="667" t="e">
        <f t="shared" si="220"/>
        <v>#VALUE!</v>
      </c>
      <c r="AY146" s="660" t="e">
        <f t="shared" si="221"/>
        <v>#VALUE!</v>
      </c>
      <c r="AZ146" s="670" t="e">
        <f t="shared" si="222"/>
        <v>#VALUE!</v>
      </c>
      <c r="BA146" s="641"/>
      <c r="BB146" s="662" t="e">
        <f>INDEX('Vessel Gauging Data'!$B$26:$V$56,MATCH($C146,'Vessel Gauging Data'!$B$26:$B$56,0),$BB$18)</f>
        <v>#N/A</v>
      </c>
      <c r="BC146" s="662" t="e">
        <f>INDEX('Vessel Gauging Data'!$B$26:$V$56,MATCH($C146,'Vessel Gauging Data'!$B$26:$B$56,0),$BC$18)</f>
        <v>#N/A</v>
      </c>
      <c r="BD146" s="662" t="e">
        <f>INDEX('Vessel Gauging Data'!$B$26:$V$56,MATCH($C146,'Vessel Gauging Data'!$B$26:$B$56,0),$BD$18)</f>
        <v>#N/A</v>
      </c>
      <c r="BE146" s="662" t="e">
        <f>INDEX('Vessel Gauging Data'!$B$26:$V$56,MATCH($C146,'Vessel Gauging Data'!$B$26:$B$56,0),$BE$18)</f>
        <v>#N/A</v>
      </c>
    </row>
    <row r="147" spans="1:57" ht="15" hidden="1">
      <c r="A147" s="641" t="str">
        <f t="shared" si="190"/>
        <v>N</v>
      </c>
      <c r="B147" s="641"/>
      <c r="C147" s="235" t="str">
        <f t="array" ref="C147">IF(OR($E$136="",SUMPRODUCT(('Vessel Gauging Data'!$C$27:$C$56=$E$136)*1)&lt;ROWS($C$137:$C147)),"",INDEX('Vessel Gauging Data'!$B$27:$B$56,SMALL(IF(('Vessel Gauging Data'!$C$27:$C$56=$E$136),ROW('Vessel Gauging Data'!$B$27:$B$56)-ROW('Vessel Gauging Data'!$C$26)),ROW()-ROW(C$136))))</f>
        <v/>
      </c>
      <c r="D147" s="211" t="str">
        <f>IF(OR($C147="",$C147=0),"",INDEX('Vessel Gauging Data'!$B$26:$V$56,MATCH($C147,'Vessel Gauging Data'!$B$27:$B$56,0)+1,2))</f>
        <v/>
      </c>
      <c r="E147" s="1016" t="str">
        <f t="shared" si="191"/>
        <v/>
      </c>
      <c r="F147" s="1016" t="str">
        <f t="shared" si="192"/>
        <v/>
      </c>
      <c r="G147" s="1016" t="str">
        <f t="shared" si="193"/>
        <v/>
      </c>
      <c r="H147" s="1016" t="str">
        <f t="shared" si="194"/>
        <v/>
      </c>
      <c r="I147" s="211" t="str">
        <f t="shared" si="195"/>
        <v/>
      </c>
      <c r="J147" s="1016" t="str">
        <f t="shared" si="196"/>
        <v/>
      </c>
      <c r="K147" s="213" t="str">
        <f t="shared" si="197"/>
        <v/>
      </c>
      <c r="L147" s="212" t="str">
        <f t="shared" si="198"/>
        <v/>
      </c>
      <c r="M147" s="1125" t="str">
        <f>IF(OR($C147="",$C147=0),"",INDEX(API1DENST,MATCH($C147,'Vessel Gauging Data'!$B$27:$B$56,0),$AA$1))</f>
        <v/>
      </c>
      <c r="N147" s="212" t="str">
        <f t="shared" si="199"/>
        <v/>
      </c>
      <c r="O147" s="1016" t="str">
        <f t="shared" si="223"/>
        <v/>
      </c>
      <c r="P147" s="1125" t="str">
        <f t="shared" si="224"/>
        <v/>
      </c>
      <c r="Q147" s="1016" t="str">
        <f t="shared" si="225"/>
        <v/>
      </c>
      <c r="R147" s="214" t="str">
        <f t="shared" si="226"/>
        <v/>
      </c>
      <c r="S147" s="1125" t="str">
        <f t="shared" si="200"/>
        <v/>
      </c>
      <c r="T147" s="236" t="str">
        <f t="shared" si="227"/>
        <v/>
      </c>
      <c r="U147" s="641"/>
      <c r="V147" s="642" t="e">
        <f>INDEX('Vessel Gauging Data'!$B$26:$V$56,MATCH($C147,'Vessel Gauging Data'!$B$26:$B$56,0),$V$18)</f>
        <v>#N/A</v>
      </c>
      <c r="W147" s="642" t="e">
        <f>INDEX('Vessel Gauging Data'!$B$26:$V$56,MATCH($C147,'Vessel Gauging Data'!$B$26:$B$56,0),$W$18)</f>
        <v>#N/A</v>
      </c>
      <c r="X147" s="642" t="e">
        <f>INDEX('Vessel Gauging Data'!$B$26:$V$56,MATCH($C147,'Vessel Gauging Data'!$B$26:$B$56,0),$X$18)</f>
        <v>#N/A</v>
      </c>
      <c r="Y147" s="642" t="e">
        <f>INDEX('Vessel Gauging Data'!$B$26:$V$56,MATCH($C147,'Vessel Gauging Data'!$B$26:$B$56,0),$Y$18)</f>
        <v>#N/A</v>
      </c>
      <c r="Z147" s="642" t="e">
        <f>INDEX('Vessel Gauging Data'!$B$26:$V$56,MATCH($C147,'Vessel Gauging Data'!$B$26:$B$56,0),$Z$18)</f>
        <v>#N/A</v>
      </c>
      <c r="AA147" s="641"/>
      <c r="AB147" s="642" t="e">
        <f>INDEX(API1DENST,MATCH($C147,'Vessel Gauging Data'!$B$27:$B$56,0),1)</f>
        <v>#N/A</v>
      </c>
      <c r="AC147" s="642" t="e">
        <f t="shared" si="201"/>
        <v>#N/A</v>
      </c>
      <c r="AD147" s="641"/>
      <c r="AE147" s="661" t="e">
        <f t="shared" si="202"/>
        <v>#VALUE!</v>
      </c>
      <c r="AF147" s="661" t="e">
        <f t="shared" si="203"/>
        <v>#VALUE!</v>
      </c>
      <c r="AG147" s="641"/>
      <c r="AH147" s="662" t="str">
        <f t="shared" si="204"/>
        <v/>
      </c>
      <c r="AI147" s="662" t="str">
        <f t="shared" si="205"/>
        <v/>
      </c>
      <c r="AJ147" s="663">
        <f t="shared" si="206"/>
        <v>192.4571</v>
      </c>
      <c r="AK147" s="660">
        <f t="shared" si="207"/>
        <v>0.24379999999999999</v>
      </c>
      <c r="AL147" s="660" t="e">
        <f t="shared" si="208"/>
        <v>#VALUE!</v>
      </c>
      <c r="AM147" s="664" t="e">
        <f t="shared" si="209"/>
        <v>#VALUE!</v>
      </c>
      <c r="AN147" s="664" t="e">
        <f t="shared" si="210"/>
        <v>#VALUE!</v>
      </c>
      <c r="AO147" s="665" t="e">
        <f t="shared" si="211"/>
        <v>#VALUE!</v>
      </c>
      <c r="AP147" s="666" t="e">
        <f t="shared" si="212"/>
        <v>#VALUE!</v>
      </c>
      <c r="AQ147" s="660" t="e">
        <f t="shared" si="213"/>
        <v>#VALUE!</v>
      </c>
      <c r="AR147" s="667" t="e">
        <f t="shared" si="214"/>
        <v>#VALUE!</v>
      </c>
      <c r="AS147" s="667" t="e">
        <f t="shared" si="215"/>
        <v>#VALUE!</v>
      </c>
      <c r="AT147" s="668" t="e">
        <f t="shared" si="216"/>
        <v>#VALUE!</v>
      </c>
      <c r="AU147" s="667" t="e">
        <f t="shared" si="217"/>
        <v>#VALUE!</v>
      </c>
      <c r="AV147" s="669" t="e">
        <f t="shared" si="218"/>
        <v>#VALUE!</v>
      </c>
      <c r="AW147" s="667" t="e">
        <f t="shared" si="219"/>
        <v>#VALUE!</v>
      </c>
      <c r="AX147" s="667" t="e">
        <f t="shared" si="220"/>
        <v>#VALUE!</v>
      </c>
      <c r="AY147" s="660" t="e">
        <f t="shared" si="221"/>
        <v>#VALUE!</v>
      </c>
      <c r="AZ147" s="670" t="e">
        <f t="shared" si="222"/>
        <v>#VALUE!</v>
      </c>
      <c r="BA147" s="641"/>
      <c r="BB147" s="662" t="e">
        <f>INDEX('Vessel Gauging Data'!$B$26:$V$56,MATCH($C147,'Vessel Gauging Data'!$B$26:$B$56,0),$BB$18)</f>
        <v>#N/A</v>
      </c>
      <c r="BC147" s="662" t="e">
        <f>INDEX('Vessel Gauging Data'!$B$26:$V$56,MATCH($C147,'Vessel Gauging Data'!$B$26:$B$56,0),$BC$18)</f>
        <v>#N/A</v>
      </c>
      <c r="BD147" s="662" t="e">
        <f>INDEX('Vessel Gauging Data'!$B$26:$V$56,MATCH($C147,'Vessel Gauging Data'!$B$26:$B$56,0),$BD$18)</f>
        <v>#N/A</v>
      </c>
      <c r="BE147" s="662" t="e">
        <f>INDEX('Vessel Gauging Data'!$B$26:$V$56,MATCH($C147,'Vessel Gauging Data'!$B$26:$B$56,0),$BE$18)</f>
        <v>#N/A</v>
      </c>
    </row>
    <row r="148" spans="1:57" ht="15" hidden="1">
      <c r="A148" s="641" t="str">
        <f t="shared" si="190"/>
        <v>N</v>
      </c>
      <c r="B148" s="641"/>
      <c r="C148" s="235" t="str">
        <f t="array" ref="C148">IF(OR($E$136="",SUMPRODUCT(('Vessel Gauging Data'!$C$27:$C$56=$E$136)*1)&lt;ROWS($C$137:$C148)),"",INDEX('Vessel Gauging Data'!$B$27:$B$56,SMALL(IF(('Vessel Gauging Data'!$C$27:$C$56=$E$136),ROW('Vessel Gauging Data'!$B$27:$B$56)-ROW('Vessel Gauging Data'!$C$26)),ROW()-ROW(C$136))))</f>
        <v/>
      </c>
      <c r="D148" s="211" t="str">
        <f>IF(OR($C148="",$C148=0),"",INDEX('Vessel Gauging Data'!$B$26:$V$56,MATCH($C148,'Vessel Gauging Data'!$B$27:$B$56,0)+1,2))</f>
        <v/>
      </c>
      <c r="E148" s="1016" t="str">
        <f t="shared" si="191"/>
        <v/>
      </c>
      <c r="F148" s="1016" t="str">
        <f t="shared" si="192"/>
        <v/>
      </c>
      <c r="G148" s="1016" t="str">
        <f t="shared" si="193"/>
        <v/>
      </c>
      <c r="H148" s="1016" t="str">
        <f t="shared" si="194"/>
        <v/>
      </c>
      <c r="I148" s="211" t="str">
        <f t="shared" si="195"/>
        <v/>
      </c>
      <c r="J148" s="1016" t="str">
        <f t="shared" si="196"/>
        <v/>
      </c>
      <c r="K148" s="213" t="str">
        <f t="shared" si="197"/>
        <v/>
      </c>
      <c r="L148" s="212" t="str">
        <f t="shared" si="198"/>
        <v/>
      </c>
      <c r="M148" s="1125" t="str">
        <f>IF(OR($C148="",$C148=0),"",INDEX(API1DENST,MATCH($C148,'Vessel Gauging Data'!$B$27:$B$56,0),$AA$1))</f>
        <v/>
      </c>
      <c r="N148" s="212" t="str">
        <f t="shared" si="199"/>
        <v/>
      </c>
      <c r="O148" s="1016" t="str">
        <f t="shared" si="223"/>
        <v/>
      </c>
      <c r="P148" s="1125" t="str">
        <f t="shared" si="224"/>
        <v/>
      </c>
      <c r="Q148" s="1016" t="str">
        <f t="shared" si="225"/>
        <v/>
      </c>
      <c r="R148" s="214" t="str">
        <f t="shared" si="226"/>
        <v/>
      </c>
      <c r="S148" s="1125" t="str">
        <f t="shared" si="200"/>
        <v/>
      </c>
      <c r="T148" s="236" t="str">
        <f t="shared" si="227"/>
        <v/>
      </c>
      <c r="U148" s="641"/>
      <c r="V148" s="642" t="e">
        <f>INDEX('Vessel Gauging Data'!$B$26:$V$56,MATCH($C148,'Vessel Gauging Data'!$B$26:$B$56,0),$V$18)</f>
        <v>#N/A</v>
      </c>
      <c r="W148" s="642" t="e">
        <f>INDEX('Vessel Gauging Data'!$B$26:$V$56,MATCH($C148,'Vessel Gauging Data'!$B$26:$B$56,0),$W$18)</f>
        <v>#N/A</v>
      </c>
      <c r="X148" s="642" t="e">
        <f>INDEX('Vessel Gauging Data'!$B$26:$V$56,MATCH($C148,'Vessel Gauging Data'!$B$26:$B$56,0),$X$18)</f>
        <v>#N/A</v>
      </c>
      <c r="Y148" s="642" t="e">
        <f>INDEX('Vessel Gauging Data'!$B$26:$V$56,MATCH($C148,'Vessel Gauging Data'!$B$26:$B$56,0),$Y$18)</f>
        <v>#N/A</v>
      </c>
      <c r="Z148" s="642" t="e">
        <f>INDEX('Vessel Gauging Data'!$B$26:$V$56,MATCH($C148,'Vessel Gauging Data'!$B$26:$B$56,0),$Z$18)</f>
        <v>#N/A</v>
      </c>
      <c r="AA148" s="641"/>
      <c r="AB148" s="642" t="e">
        <f>INDEX(API1DENST,MATCH($C148,'Vessel Gauging Data'!$B$27:$B$56,0),1)</f>
        <v>#N/A</v>
      </c>
      <c r="AC148" s="642" t="e">
        <f t="shared" si="201"/>
        <v>#N/A</v>
      </c>
      <c r="AD148" s="641"/>
      <c r="AE148" s="661" t="e">
        <f t="shared" si="202"/>
        <v>#VALUE!</v>
      </c>
      <c r="AF148" s="661" t="e">
        <f t="shared" si="203"/>
        <v>#VALUE!</v>
      </c>
      <c r="AG148" s="641"/>
      <c r="AH148" s="662" t="str">
        <f t="shared" si="204"/>
        <v/>
      </c>
      <c r="AI148" s="662" t="str">
        <f t="shared" si="205"/>
        <v/>
      </c>
      <c r="AJ148" s="663">
        <f t="shared" si="206"/>
        <v>192.4571</v>
      </c>
      <c r="AK148" s="660">
        <f t="shared" si="207"/>
        <v>0.24379999999999999</v>
      </c>
      <c r="AL148" s="660" t="e">
        <f t="shared" si="208"/>
        <v>#VALUE!</v>
      </c>
      <c r="AM148" s="664" t="e">
        <f t="shared" si="209"/>
        <v>#VALUE!</v>
      </c>
      <c r="AN148" s="664" t="e">
        <f t="shared" si="210"/>
        <v>#VALUE!</v>
      </c>
      <c r="AO148" s="665" t="e">
        <f t="shared" si="211"/>
        <v>#VALUE!</v>
      </c>
      <c r="AP148" s="666" t="e">
        <f t="shared" si="212"/>
        <v>#VALUE!</v>
      </c>
      <c r="AQ148" s="660" t="e">
        <f t="shared" si="213"/>
        <v>#VALUE!</v>
      </c>
      <c r="AR148" s="667" t="e">
        <f t="shared" si="214"/>
        <v>#VALUE!</v>
      </c>
      <c r="AS148" s="667" t="e">
        <f t="shared" si="215"/>
        <v>#VALUE!</v>
      </c>
      <c r="AT148" s="668" t="e">
        <f t="shared" si="216"/>
        <v>#VALUE!</v>
      </c>
      <c r="AU148" s="667" t="e">
        <f t="shared" si="217"/>
        <v>#VALUE!</v>
      </c>
      <c r="AV148" s="669" t="e">
        <f t="shared" si="218"/>
        <v>#VALUE!</v>
      </c>
      <c r="AW148" s="667" t="e">
        <f t="shared" si="219"/>
        <v>#VALUE!</v>
      </c>
      <c r="AX148" s="667" t="e">
        <f t="shared" si="220"/>
        <v>#VALUE!</v>
      </c>
      <c r="AY148" s="660" t="e">
        <f t="shared" si="221"/>
        <v>#VALUE!</v>
      </c>
      <c r="AZ148" s="670" t="e">
        <f t="shared" si="222"/>
        <v>#VALUE!</v>
      </c>
      <c r="BA148" s="641"/>
      <c r="BB148" s="662" t="e">
        <f>INDEX('Vessel Gauging Data'!$B$26:$V$56,MATCH($C148,'Vessel Gauging Data'!$B$26:$B$56,0),$BB$18)</f>
        <v>#N/A</v>
      </c>
      <c r="BC148" s="662" t="e">
        <f>INDEX('Vessel Gauging Data'!$B$26:$V$56,MATCH($C148,'Vessel Gauging Data'!$B$26:$B$56,0),$BC$18)</f>
        <v>#N/A</v>
      </c>
      <c r="BD148" s="662" t="e">
        <f>INDEX('Vessel Gauging Data'!$B$26:$V$56,MATCH($C148,'Vessel Gauging Data'!$B$26:$B$56,0),$BD$18)</f>
        <v>#N/A</v>
      </c>
      <c r="BE148" s="662" t="e">
        <f>INDEX('Vessel Gauging Data'!$B$26:$V$56,MATCH($C148,'Vessel Gauging Data'!$B$26:$B$56,0),$BE$18)</f>
        <v>#N/A</v>
      </c>
    </row>
    <row r="149" spans="1:57" ht="15" hidden="1">
      <c r="A149" s="641" t="str">
        <f t="shared" si="190"/>
        <v>N</v>
      </c>
      <c r="B149" s="641"/>
      <c r="C149" s="235" t="str">
        <f t="array" ref="C149">IF(OR($E$136="",SUMPRODUCT(('Vessel Gauging Data'!$C$27:$C$56=$E$136)*1)&lt;ROWS($C$137:$C149)),"",INDEX('Vessel Gauging Data'!$B$27:$B$56,SMALL(IF(('Vessel Gauging Data'!$C$27:$C$56=$E$136),ROW('Vessel Gauging Data'!$B$27:$B$56)-ROW('Vessel Gauging Data'!$C$26)),ROW()-ROW(C$136))))</f>
        <v/>
      </c>
      <c r="D149" s="211" t="str">
        <f>IF(OR($C149="",$C149=0),"",INDEX('Vessel Gauging Data'!$B$26:$V$56,MATCH($C149,'Vessel Gauging Data'!$B$27:$B$56,0)+1,2))</f>
        <v/>
      </c>
      <c r="E149" s="1016" t="str">
        <f t="shared" si="191"/>
        <v/>
      </c>
      <c r="F149" s="1016" t="str">
        <f t="shared" si="192"/>
        <v/>
      </c>
      <c r="G149" s="1016" t="str">
        <f t="shared" si="193"/>
        <v/>
      </c>
      <c r="H149" s="1016" t="str">
        <f t="shared" si="194"/>
        <v/>
      </c>
      <c r="I149" s="211" t="str">
        <f t="shared" si="195"/>
        <v/>
      </c>
      <c r="J149" s="1016" t="str">
        <f t="shared" si="196"/>
        <v/>
      </c>
      <c r="K149" s="213" t="str">
        <f t="shared" si="197"/>
        <v/>
      </c>
      <c r="L149" s="212" t="str">
        <f t="shared" si="198"/>
        <v/>
      </c>
      <c r="M149" s="1125" t="str">
        <f>IF(OR($C149="",$C149=0),"",INDEX(API1DENST,MATCH($C149,'Vessel Gauging Data'!$B$27:$B$56,0),$AA$1))</f>
        <v/>
      </c>
      <c r="N149" s="212" t="str">
        <f t="shared" si="199"/>
        <v/>
      </c>
      <c r="O149" s="1016" t="str">
        <f t="shared" si="223"/>
        <v/>
      </c>
      <c r="P149" s="1125" t="str">
        <f t="shared" si="224"/>
        <v/>
      </c>
      <c r="Q149" s="1016" t="str">
        <f t="shared" si="225"/>
        <v/>
      </c>
      <c r="R149" s="214" t="str">
        <f t="shared" si="226"/>
        <v/>
      </c>
      <c r="S149" s="1125" t="str">
        <f t="shared" si="200"/>
        <v/>
      </c>
      <c r="T149" s="236" t="str">
        <f t="shared" si="227"/>
        <v/>
      </c>
      <c r="U149" s="641"/>
      <c r="V149" s="642" t="e">
        <f>INDEX('Vessel Gauging Data'!$B$26:$V$56,MATCH($C149,'Vessel Gauging Data'!$B$26:$B$56,0),$V$18)</f>
        <v>#N/A</v>
      </c>
      <c r="W149" s="642" t="e">
        <f>INDEX('Vessel Gauging Data'!$B$26:$V$56,MATCH($C149,'Vessel Gauging Data'!$B$26:$B$56,0),$W$18)</f>
        <v>#N/A</v>
      </c>
      <c r="X149" s="642" t="e">
        <f>INDEX('Vessel Gauging Data'!$B$26:$V$56,MATCH($C149,'Vessel Gauging Data'!$B$26:$B$56,0),$X$18)</f>
        <v>#N/A</v>
      </c>
      <c r="Y149" s="642" t="e">
        <f>INDEX('Vessel Gauging Data'!$B$26:$V$56,MATCH($C149,'Vessel Gauging Data'!$B$26:$B$56,0),$Y$18)</f>
        <v>#N/A</v>
      </c>
      <c r="Z149" s="642" t="e">
        <f>INDEX('Vessel Gauging Data'!$B$26:$V$56,MATCH($C149,'Vessel Gauging Data'!$B$26:$B$56,0),$Z$18)</f>
        <v>#N/A</v>
      </c>
      <c r="AA149" s="641"/>
      <c r="AB149" s="642" t="e">
        <f>INDEX(API1DENST,MATCH($C149,'Vessel Gauging Data'!$B$27:$B$56,0),1)</f>
        <v>#N/A</v>
      </c>
      <c r="AC149" s="642" t="e">
        <f t="shared" si="201"/>
        <v>#N/A</v>
      </c>
      <c r="AD149" s="641"/>
      <c r="AE149" s="661" t="e">
        <f t="shared" si="202"/>
        <v>#VALUE!</v>
      </c>
      <c r="AF149" s="661" t="e">
        <f t="shared" si="203"/>
        <v>#VALUE!</v>
      </c>
      <c r="AG149" s="641"/>
      <c r="AH149" s="662" t="str">
        <f t="shared" si="204"/>
        <v/>
      </c>
      <c r="AI149" s="662" t="str">
        <f t="shared" si="205"/>
        <v/>
      </c>
      <c r="AJ149" s="663">
        <f t="shared" si="206"/>
        <v>192.4571</v>
      </c>
      <c r="AK149" s="660">
        <f t="shared" si="207"/>
        <v>0.24379999999999999</v>
      </c>
      <c r="AL149" s="660" t="e">
        <f t="shared" si="208"/>
        <v>#VALUE!</v>
      </c>
      <c r="AM149" s="664" t="e">
        <f t="shared" si="209"/>
        <v>#VALUE!</v>
      </c>
      <c r="AN149" s="664" t="e">
        <f t="shared" si="210"/>
        <v>#VALUE!</v>
      </c>
      <c r="AO149" s="665" t="e">
        <f t="shared" si="211"/>
        <v>#VALUE!</v>
      </c>
      <c r="AP149" s="666" t="e">
        <f t="shared" si="212"/>
        <v>#VALUE!</v>
      </c>
      <c r="AQ149" s="660" t="e">
        <f t="shared" si="213"/>
        <v>#VALUE!</v>
      </c>
      <c r="AR149" s="667" t="e">
        <f t="shared" si="214"/>
        <v>#VALUE!</v>
      </c>
      <c r="AS149" s="667" t="e">
        <f t="shared" si="215"/>
        <v>#VALUE!</v>
      </c>
      <c r="AT149" s="668" t="e">
        <f t="shared" si="216"/>
        <v>#VALUE!</v>
      </c>
      <c r="AU149" s="667" t="e">
        <f t="shared" si="217"/>
        <v>#VALUE!</v>
      </c>
      <c r="AV149" s="669" t="e">
        <f t="shared" si="218"/>
        <v>#VALUE!</v>
      </c>
      <c r="AW149" s="667" t="e">
        <f t="shared" si="219"/>
        <v>#VALUE!</v>
      </c>
      <c r="AX149" s="667" t="e">
        <f t="shared" si="220"/>
        <v>#VALUE!</v>
      </c>
      <c r="AY149" s="660" t="e">
        <f t="shared" si="221"/>
        <v>#VALUE!</v>
      </c>
      <c r="AZ149" s="670" t="e">
        <f t="shared" si="222"/>
        <v>#VALUE!</v>
      </c>
      <c r="BA149" s="641"/>
      <c r="BB149" s="662" t="e">
        <f>INDEX('Vessel Gauging Data'!$B$26:$V$56,MATCH($C149,'Vessel Gauging Data'!$B$26:$B$56,0),$BB$18)</f>
        <v>#N/A</v>
      </c>
      <c r="BC149" s="662" t="e">
        <f>INDEX('Vessel Gauging Data'!$B$26:$V$56,MATCH($C149,'Vessel Gauging Data'!$B$26:$B$56,0),$BC$18)</f>
        <v>#N/A</v>
      </c>
      <c r="BD149" s="662" t="e">
        <f>INDEX('Vessel Gauging Data'!$B$26:$V$56,MATCH($C149,'Vessel Gauging Data'!$B$26:$B$56,0),$BD$18)</f>
        <v>#N/A</v>
      </c>
      <c r="BE149" s="662" t="e">
        <f>INDEX('Vessel Gauging Data'!$B$26:$V$56,MATCH($C149,'Vessel Gauging Data'!$B$26:$B$56,0),$BE$18)</f>
        <v>#N/A</v>
      </c>
    </row>
    <row r="150" spans="1:57" ht="15" hidden="1">
      <c r="A150" s="641" t="str">
        <f t="shared" si="190"/>
        <v>N</v>
      </c>
      <c r="B150" s="641"/>
      <c r="C150" s="235" t="str">
        <f t="array" ref="C150">IF(OR($E$136="",SUMPRODUCT(('Vessel Gauging Data'!$C$27:$C$56=$E$136)*1)&lt;ROWS($C$137:$C150)),"",INDEX('Vessel Gauging Data'!$B$27:$B$56,SMALL(IF(('Vessel Gauging Data'!$C$27:$C$56=$E$136),ROW('Vessel Gauging Data'!$B$27:$B$56)-ROW('Vessel Gauging Data'!$C$26)),ROW()-ROW(C$136))))</f>
        <v/>
      </c>
      <c r="D150" s="211" t="str">
        <f>IF(OR($C150="",$C150=0),"",INDEX('Vessel Gauging Data'!$B$26:$V$56,MATCH($C150,'Vessel Gauging Data'!$B$27:$B$56,0)+1,2))</f>
        <v/>
      </c>
      <c r="E150" s="1016" t="str">
        <f t="shared" si="191"/>
        <v/>
      </c>
      <c r="F150" s="1016" t="str">
        <f t="shared" si="192"/>
        <v/>
      </c>
      <c r="G150" s="1016" t="str">
        <f t="shared" si="193"/>
        <v/>
      </c>
      <c r="H150" s="1016" t="str">
        <f t="shared" si="194"/>
        <v/>
      </c>
      <c r="I150" s="211" t="str">
        <f t="shared" si="195"/>
        <v/>
      </c>
      <c r="J150" s="1016" t="str">
        <f t="shared" si="196"/>
        <v/>
      </c>
      <c r="K150" s="213" t="str">
        <f t="shared" si="197"/>
        <v/>
      </c>
      <c r="L150" s="212" t="str">
        <f t="shared" si="198"/>
        <v/>
      </c>
      <c r="M150" s="1125" t="str">
        <f>IF(OR($C150="",$C150=0),"",INDEX(API1DENST,MATCH($C150,'Vessel Gauging Data'!$B$27:$B$56,0),$AA$1))</f>
        <v/>
      </c>
      <c r="N150" s="212" t="str">
        <f t="shared" si="199"/>
        <v/>
      </c>
      <c r="O150" s="1016" t="str">
        <f t="shared" si="223"/>
        <v/>
      </c>
      <c r="P150" s="1125" t="str">
        <f t="shared" si="224"/>
        <v/>
      </c>
      <c r="Q150" s="1016" t="str">
        <f t="shared" si="225"/>
        <v/>
      </c>
      <c r="R150" s="214" t="str">
        <f t="shared" si="226"/>
        <v/>
      </c>
      <c r="S150" s="1125" t="str">
        <f t="shared" si="200"/>
        <v/>
      </c>
      <c r="T150" s="236" t="str">
        <f t="shared" si="227"/>
        <v/>
      </c>
      <c r="U150" s="641"/>
      <c r="V150" s="642" t="e">
        <f>INDEX('Vessel Gauging Data'!$B$26:$V$56,MATCH($C150,'Vessel Gauging Data'!$B$26:$B$56,0),$V$18)</f>
        <v>#N/A</v>
      </c>
      <c r="W150" s="642" t="e">
        <f>INDEX('Vessel Gauging Data'!$B$26:$V$56,MATCH($C150,'Vessel Gauging Data'!$B$26:$B$56,0),$W$18)</f>
        <v>#N/A</v>
      </c>
      <c r="X150" s="642" t="e">
        <f>INDEX('Vessel Gauging Data'!$B$26:$V$56,MATCH($C150,'Vessel Gauging Data'!$B$26:$B$56,0),$X$18)</f>
        <v>#N/A</v>
      </c>
      <c r="Y150" s="642" t="e">
        <f>INDEX('Vessel Gauging Data'!$B$26:$V$56,MATCH($C150,'Vessel Gauging Data'!$B$26:$B$56,0),$Y$18)</f>
        <v>#N/A</v>
      </c>
      <c r="Z150" s="642" t="e">
        <f>INDEX('Vessel Gauging Data'!$B$26:$V$56,MATCH($C150,'Vessel Gauging Data'!$B$26:$B$56,0),$Z$18)</f>
        <v>#N/A</v>
      </c>
      <c r="AA150" s="641"/>
      <c r="AB150" s="642" t="e">
        <f>INDEX(API1DENST,MATCH($C150,'Vessel Gauging Data'!$B$27:$B$56,0),1)</f>
        <v>#N/A</v>
      </c>
      <c r="AC150" s="642" t="e">
        <f t="shared" si="201"/>
        <v>#N/A</v>
      </c>
      <c r="AD150" s="641"/>
      <c r="AE150" s="661" t="e">
        <f t="shared" si="202"/>
        <v>#VALUE!</v>
      </c>
      <c r="AF150" s="661" t="e">
        <f t="shared" si="203"/>
        <v>#VALUE!</v>
      </c>
      <c r="AG150" s="641"/>
      <c r="AH150" s="662" t="str">
        <f t="shared" si="204"/>
        <v/>
      </c>
      <c r="AI150" s="662" t="str">
        <f t="shared" si="205"/>
        <v/>
      </c>
      <c r="AJ150" s="663">
        <f t="shared" si="206"/>
        <v>192.4571</v>
      </c>
      <c r="AK150" s="660">
        <f t="shared" si="207"/>
        <v>0.24379999999999999</v>
      </c>
      <c r="AL150" s="660" t="e">
        <f t="shared" si="208"/>
        <v>#VALUE!</v>
      </c>
      <c r="AM150" s="664" t="e">
        <f t="shared" si="209"/>
        <v>#VALUE!</v>
      </c>
      <c r="AN150" s="664" t="e">
        <f t="shared" si="210"/>
        <v>#VALUE!</v>
      </c>
      <c r="AO150" s="665" t="e">
        <f t="shared" si="211"/>
        <v>#VALUE!</v>
      </c>
      <c r="AP150" s="666" t="e">
        <f t="shared" si="212"/>
        <v>#VALUE!</v>
      </c>
      <c r="AQ150" s="660" t="e">
        <f t="shared" si="213"/>
        <v>#VALUE!</v>
      </c>
      <c r="AR150" s="667" t="e">
        <f t="shared" si="214"/>
        <v>#VALUE!</v>
      </c>
      <c r="AS150" s="667" t="e">
        <f t="shared" si="215"/>
        <v>#VALUE!</v>
      </c>
      <c r="AT150" s="668" t="e">
        <f t="shared" si="216"/>
        <v>#VALUE!</v>
      </c>
      <c r="AU150" s="667" t="e">
        <f t="shared" si="217"/>
        <v>#VALUE!</v>
      </c>
      <c r="AV150" s="669" t="e">
        <f t="shared" si="218"/>
        <v>#VALUE!</v>
      </c>
      <c r="AW150" s="667" t="e">
        <f t="shared" si="219"/>
        <v>#VALUE!</v>
      </c>
      <c r="AX150" s="667" t="e">
        <f t="shared" si="220"/>
        <v>#VALUE!</v>
      </c>
      <c r="AY150" s="660" t="e">
        <f t="shared" si="221"/>
        <v>#VALUE!</v>
      </c>
      <c r="AZ150" s="670" t="e">
        <f t="shared" si="222"/>
        <v>#VALUE!</v>
      </c>
      <c r="BA150" s="641"/>
      <c r="BB150" s="662" t="e">
        <f>INDEX('Vessel Gauging Data'!$B$26:$V$56,MATCH($C150,'Vessel Gauging Data'!$B$26:$B$56,0),$BB$18)</f>
        <v>#N/A</v>
      </c>
      <c r="BC150" s="662" t="e">
        <f>INDEX('Vessel Gauging Data'!$B$26:$V$56,MATCH($C150,'Vessel Gauging Data'!$B$26:$B$56,0),$BC$18)</f>
        <v>#N/A</v>
      </c>
      <c r="BD150" s="662" t="e">
        <f>INDEX('Vessel Gauging Data'!$B$26:$V$56,MATCH($C150,'Vessel Gauging Data'!$B$26:$B$56,0),$BD$18)</f>
        <v>#N/A</v>
      </c>
      <c r="BE150" s="662" t="e">
        <f>INDEX('Vessel Gauging Data'!$B$26:$V$56,MATCH($C150,'Vessel Gauging Data'!$B$26:$B$56,0),$BE$18)</f>
        <v>#N/A</v>
      </c>
    </row>
    <row r="151" spans="1:57" ht="15" hidden="1">
      <c r="A151" s="641" t="str">
        <f t="shared" si="190"/>
        <v>N</v>
      </c>
      <c r="B151" s="641"/>
      <c r="C151" s="235" t="str">
        <f t="array" ref="C151">IF(OR($E$136="",SUMPRODUCT(('Vessel Gauging Data'!$C$27:$C$56=$E$136)*1)&lt;ROWS($C$137:$C151)),"",INDEX('Vessel Gauging Data'!$B$27:$B$56,SMALL(IF(('Vessel Gauging Data'!$C$27:$C$56=$E$136),ROW('Vessel Gauging Data'!$B$27:$B$56)-ROW('Vessel Gauging Data'!$C$26)),ROW()-ROW(C$136))))</f>
        <v/>
      </c>
      <c r="D151" s="211" t="str">
        <f>IF(OR($C151="",$C151=0),"",INDEX('Vessel Gauging Data'!$B$26:$V$56,MATCH($C151,'Vessel Gauging Data'!$B$27:$B$56,0)+1,2))</f>
        <v/>
      </c>
      <c r="E151" s="1016" t="str">
        <f t="shared" si="191"/>
        <v/>
      </c>
      <c r="F151" s="1016" t="str">
        <f t="shared" si="192"/>
        <v/>
      </c>
      <c r="G151" s="1016" t="str">
        <f t="shared" si="193"/>
        <v/>
      </c>
      <c r="H151" s="1016" t="str">
        <f t="shared" si="194"/>
        <v/>
      </c>
      <c r="I151" s="211" t="str">
        <f t="shared" si="195"/>
        <v/>
      </c>
      <c r="J151" s="1016" t="str">
        <f t="shared" si="196"/>
        <v/>
      </c>
      <c r="K151" s="213" t="str">
        <f t="shared" si="197"/>
        <v/>
      </c>
      <c r="L151" s="212" t="str">
        <f t="shared" si="198"/>
        <v/>
      </c>
      <c r="M151" s="1125" t="str">
        <f>IF(OR($C151="",$C151=0),"",INDEX(API1DENST,MATCH($C151,'Vessel Gauging Data'!$B$27:$B$56,0),$AA$1))</f>
        <v/>
      </c>
      <c r="N151" s="212" t="str">
        <f t="shared" si="199"/>
        <v/>
      </c>
      <c r="O151" s="1016" t="str">
        <f t="shared" si="223"/>
        <v/>
      </c>
      <c r="P151" s="1125" t="str">
        <f t="shared" si="224"/>
        <v/>
      </c>
      <c r="Q151" s="1016" t="str">
        <f t="shared" si="225"/>
        <v/>
      </c>
      <c r="R151" s="214" t="str">
        <f t="shared" si="226"/>
        <v/>
      </c>
      <c r="S151" s="1125" t="str">
        <f t="shared" si="200"/>
        <v/>
      </c>
      <c r="T151" s="236" t="str">
        <f t="shared" si="227"/>
        <v/>
      </c>
      <c r="U151" s="641"/>
      <c r="V151" s="642" t="e">
        <f>INDEX('Vessel Gauging Data'!$B$26:$V$56,MATCH($C151,'Vessel Gauging Data'!$B$26:$B$56,0),$V$18)</f>
        <v>#N/A</v>
      </c>
      <c r="W151" s="642" t="e">
        <f>INDEX('Vessel Gauging Data'!$B$26:$V$56,MATCH($C151,'Vessel Gauging Data'!$B$26:$B$56,0),$W$18)</f>
        <v>#N/A</v>
      </c>
      <c r="X151" s="642" t="e">
        <f>INDEX('Vessel Gauging Data'!$B$26:$V$56,MATCH($C151,'Vessel Gauging Data'!$B$26:$B$56,0),$X$18)</f>
        <v>#N/A</v>
      </c>
      <c r="Y151" s="642" t="e">
        <f>INDEX('Vessel Gauging Data'!$B$26:$V$56,MATCH($C151,'Vessel Gauging Data'!$B$26:$B$56,0),$Y$18)</f>
        <v>#N/A</v>
      </c>
      <c r="Z151" s="642" t="e">
        <f>INDEX('Vessel Gauging Data'!$B$26:$V$56,MATCH($C151,'Vessel Gauging Data'!$B$26:$B$56,0),$Z$18)</f>
        <v>#N/A</v>
      </c>
      <c r="AA151" s="641"/>
      <c r="AB151" s="642" t="e">
        <f>INDEX(API1DENST,MATCH($C151,'Vessel Gauging Data'!$B$27:$B$56,0),1)</f>
        <v>#N/A</v>
      </c>
      <c r="AC151" s="642" t="e">
        <f t="shared" si="201"/>
        <v>#N/A</v>
      </c>
      <c r="AD151" s="641"/>
      <c r="AE151" s="661" t="e">
        <f t="shared" si="202"/>
        <v>#VALUE!</v>
      </c>
      <c r="AF151" s="661" t="e">
        <f t="shared" si="203"/>
        <v>#VALUE!</v>
      </c>
      <c r="AG151" s="641"/>
      <c r="AH151" s="662" t="str">
        <f t="shared" si="204"/>
        <v/>
      </c>
      <c r="AI151" s="662" t="str">
        <f t="shared" si="205"/>
        <v/>
      </c>
      <c r="AJ151" s="663">
        <f t="shared" si="206"/>
        <v>192.4571</v>
      </c>
      <c r="AK151" s="660">
        <f t="shared" si="207"/>
        <v>0.24379999999999999</v>
      </c>
      <c r="AL151" s="660" t="e">
        <f t="shared" si="208"/>
        <v>#VALUE!</v>
      </c>
      <c r="AM151" s="664" t="e">
        <f t="shared" si="209"/>
        <v>#VALUE!</v>
      </c>
      <c r="AN151" s="664" t="e">
        <f t="shared" si="210"/>
        <v>#VALUE!</v>
      </c>
      <c r="AO151" s="665" t="e">
        <f t="shared" si="211"/>
        <v>#VALUE!</v>
      </c>
      <c r="AP151" s="666" t="e">
        <f t="shared" si="212"/>
        <v>#VALUE!</v>
      </c>
      <c r="AQ151" s="660" t="e">
        <f t="shared" si="213"/>
        <v>#VALUE!</v>
      </c>
      <c r="AR151" s="667" t="e">
        <f t="shared" si="214"/>
        <v>#VALUE!</v>
      </c>
      <c r="AS151" s="667" t="e">
        <f t="shared" si="215"/>
        <v>#VALUE!</v>
      </c>
      <c r="AT151" s="668" t="e">
        <f t="shared" si="216"/>
        <v>#VALUE!</v>
      </c>
      <c r="AU151" s="667" t="e">
        <f t="shared" si="217"/>
        <v>#VALUE!</v>
      </c>
      <c r="AV151" s="669" t="e">
        <f t="shared" si="218"/>
        <v>#VALUE!</v>
      </c>
      <c r="AW151" s="667" t="e">
        <f t="shared" si="219"/>
        <v>#VALUE!</v>
      </c>
      <c r="AX151" s="667" t="e">
        <f t="shared" si="220"/>
        <v>#VALUE!</v>
      </c>
      <c r="AY151" s="660" t="e">
        <f t="shared" si="221"/>
        <v>#VALUE!</v>
      </c>
      <c r="AZ151" s="670" t="e">
        <f t="shared" si="222"/>
        <v>#VALUE!</v>
      </c>
      <c r="BA151" s="641"/>
      <c r="BB151" s="662" t="e">
        <f>INDEX('Vessel Gauging Data'!$B$26:$V$56,MATCH($C151,'Vessel Gauging Data'!$B$26:$B$56,0),$BB$18)</f>
        <v>#N/A</v>
      </c>
      <c r="BC151" s="662" t="e">
        <f>INDEX('Vessel Gauging Data'!$B$26:$V$56,MATCH($C151,'Vessel Gauging Data'!$B$26:$B$56,0),$BC$18)</f>
        <v>#N/A</v>
      </c>
      <c r="BD151" s="662" t="e">
        <f>INDEX('Vessel Gauging Data'!$B$26:$V$56,MATCH($C151,'Vessel Gauging Data'!$B$26:$B$56,0),$BD$18)</f>
        <v>#N/A</v>
      </c>
      <c r="BE151" s="662" t="e">
        <f>INDEX('Vessel Gauging Data'!$B$26:$V$56,MATCH($C151,'Vessel Gauging Data'!$B$26:$B$56,0),$BE$18)</f>
        <v>#N/A</v>
      </c>
    </row>
    <row r="152" spans="1:57" ht="15" hidden="1">
      <c r="A152" s="641" t="str">
        <f t="shared" si="190"/>
        <v>N</v>
      </c>
      <c r="B152" s="641"/>
      <c r="C152" s="235" t="str">
        <f t="array" ref="C152">IF(OR($E$136="",SUMPRODUCT(('Vessel Gauging Data'!$C$27:$C$56=$E$136)*1)&lt;ROWS($C$137:$C152)),"",INDEX('Vessel Gauging Data'!$B$27:$B$56,SMALL(IF(('Vessel Gauging Data'!$C$27:$C$56=$E$136),ROW('Vessel Gauging Data'!$B$27:$B$56)-ROW('Vessel Gauging Data'!$C$26)),ROW()-ROW(C$136))))</f>
        <v/>
      </c>
      <c r="D152" s="211" t="str">
        <f>IF(OR($C152="",$C152=0),"",INDEX('Vessel Gauging Data'!$B$26:$V$56,MATCH($C152,'Vessel Gauging Data'!$B$27:$B$56,0)+1,2))</f>
        <v/>
      </c>
      <c r="E152" s="1016" t="str">
        <f t="shared" si="191"/>
        <v/>
      </c>
      <c r="F152" s="1016" t="str">
        <f t="shared" si="192"/>
        <v/>
      </c>
      <c r="G152" s="1016" t="str">
        <f t="shared" si="193"/>
        <v/>
      </c>
      <c r="H152" s="1016" t="str">
        <f t="shared" si="194"/>
        <v/>
      </c>
      <c r="I152" s="211" t="str">
        <f t="shared" si="195"/>
        <v/>
      </c>
      <c r="J152" s="1016" t="str">
        <f t="shared" si="196"/>
        <v/>
      </c>
      <c r="K152" s="213" t="str">
        <f t="shared" si="197"/>
        <v/>
      </c>
      <c r="L152" s="212" t="str">
        <f t="shared" si="198"/>
        <v/>
      </c>
      <c r="M152" s="1125" t="str">
        <f>IF(OR($C152="",$C152=0),"",INDEX(API1DENST,MATCH($C152,'Vessel Gauging Data'!$B$27:$B$56,0),$AA$1))</f>
        <v/>
      </c>
      <c r="N152" s="212" t="str">
        <f t="shared" si="199"/>
        <v/>
      </c>
      <c r="O152" s="1016" t="str">
        <f t="shared" si="223"/>
        <v/>
      </c>
      <c r="P152" s="1125" t="str">
        <f t="shared" si="224"/>
        <v/>
      </c>
      <c r="Q152" s="1016" t="str">
        <f t="shared" si="225"/>
        <v/>
      </c>
      <c r="R152" s="214" t="str">
        <f t="shared" si="226"/>
        <v/>
      </c>
      <c r="S152" s="1125" t="str">
        <f t="shared" si="200"/>
        <v/>
      </c>
      <c r="T152" s="236" t="str">
        <f t="shared" si="227"/>
        <v/>
      </c>
      <c r="U152" s="641"/>
      <c r="V152" s="642" t="e">
        <f>INDEX('Vessel Gauging Data'!$B$26:$V$56,MATCH($C152,'Vessel Gauging Data'!$B$26:$B$56,0),$V$18)</f>
        <v>#N/A</v>
      </c>
      <c r="W152" s="642" t="e">
        <f>INDEX('Vessel Gauging Data'!$B$26:$V$56,MATCH($C152,'Vessel Gauging Data'!$B$26:$B$56,0),$W$18)</f>
        <v>#N/A</v>
      </c>
      <c r="X152" s="642" t="e">
        <f>INDEX('Vessel Gauging Data'!$B$26:$V$56,MATCH($C152,'Vessel Gauging Data'!$B$26:$B$56,0),$X$18)</f>
        <v>#N/A</v>
      </c>
      <c r="Y152" s="642" t="e">
        <f>INDEX('Vessel Gauging Data'!$B$26:$V$56,MATCH($C152,'Vessel Gauging Data'!$B$26:$B$56,0),$Y$18)</f>
        <v>#N/A</v>
      </c>
      <c r="Z152" s="642" t="e">
        <f>INDEX('Vessel Gauging Data'!$B$26:$V$56,MATCH($C152,'Vessel Gauging Data'!$B$26:$B$56,0),$Z$18)</f>
        <v>#N/A</v>
      </c>
      <c r="AA152" s="641"/>
      <c r="AB152" s="642" t="e">
        <f>INDEX(API1DENST,MATCH($C152,'Vessel Gauging Data'!$B$27:$B$56,0),1)</f>
        <v>#N/A</v>
      </c>
      <c r="AC152" s="642" t="e">
        <f t="shared" si="201"/>
        <v>#N/A</v>
      </c>
      <c r="AD152" s="641"/>
      <c r="AE152" s="661" t="e">
        <f t="shared" si="202"/>
        <v>#VALUE!</v>
      </c>
      <c r="AF152" s="661" t="e">
        <f t="shared" si="203"/>
        <v>#VALUE!</v>
      </c>
      <c r="AG152" s="641"/>
      <c r="AH152" s="662" t="str">
        <f t="shared" si="204"/>
        <v/>
      </c>
      <c r="AI152" s="662" t="str">
        <f t="shared" si="205"/>
        <v/>
      </c>
      <c r="AJ152" s="663">
        <f t="shared" si="206"/>
        <v>192.4571</v>
      </c>
      <c r="AK152" s="660">
        <f t="shared" si="207"/>
        <v>0.24379999999999999</v>
      </c>
      <c r="AL152" s="660" t="e">
        <f t="shared" si="208"/>
        <v>#VALUE!</v>
      </c>
      <c r="AM152" s="664" t="e">
        <f t="shared" si="209"/>
        <v>#VALUE!</v>
      </c>
      <c r="AN152" s="664" t="e">
        <f t="shared" si="210"/>
        <v>#VALUE!</v>
      </c>
      <c r="AO152" s="665" t="e">
        <f t="shared" si="211"/>
        <v>#VALUE!</v>
      </c>
      <c r="AP152" s="666" t="e">
        <f t="shared" si="212"/>
        <v>#VALUE!</v>
      </c>
      <c r="AQ152" s="660" t="e">
        <f t="shared" si="213"/>
        <v>#VALUE!</v>
      </c>
      <c r="AR152" s="667" t="e">
        <f t="shared" si="214"/>
        <v>#VALUE!</v>
      </c>
      <c r="AS152" s="667" t="e">
        <f t="shared" si="215"/>
        <v>#VALUE!</v>
      </c>
      <c r="AT152" s="668" t="e">
        <f t="shared" si="216"/>
        <v>#VALUE!</v>
      </c>
      <c r="AU152" s="667" t="e">
        <f t="shared" si="217"/>
        <v>#VALUE!</v>
      </c>
      <c r="AV152" s="669" t="e">
        <f t="shared" si="218"/>
        <v>#VALUE!</v>
      </c>
      <c r="AW152" s="667" t="e">
        <f t="shared" si="219"/>
        <v>#VALUE!</v>
      </c>
      <c r="AX152" s="667" t="e">
        <f t="shared" si="220"/>
        <v>#VALUE!</v>
      </c>
      <c r="AY152" s="660" t="e">
        <f t="shared" si="221"/>
        <v>#VALUE!</v>
      </c>
      <c r="AZ152" s="670" t="e">
        <f t="shared" si="222"/>
        <v>#VALUE!</v>
      </c>
      <c r="BA152" s="641"/>
      <c r="BB152" s="662" t="e">
        <f>INDEX('Vessel Gauging Data'!$B$26:$V$56,MATCH($C152,'Vessel Gauging Data'!$B$26:$B$56,0),$BB$18)</f>
        <v>#N/A</v>
      </c>
      <c r="BC152" s="662" t="e">
        <f>INDEX('Vessel Gauging Data'!$B$26:$V$56,MATCH($C152,'Vessel Gauging Data'!$B$26:$B$56,0),$BC$18)</f>
        <v>#N/A</v>
      </c>
      <c r="BD152" s="662" t="e">
        <f>INDEX('Vessel Gauging Data'!$B$26:$V$56,MATCH($C152,'Vessel Gauging Data'!$B$26:$B$56,0),$BD$18)</f>
        <v>#N/A</v>
      </c>
      <c r="BE152" s="662" t="e">
        <f>INDEX('Vessel Gauging Data'!$B$26:$V$56,MATCH($C152,'Vessel Gauging Data'!$B$26:$B$56,0),$BE$18)</f>
        <v>#N/A</v>
      </c>
    </row>
    <row r="153" spans="1:57" ht="15" hidden="1">
      <c r="A153" s="641" t="str">
        <f t="shared" si="190"/>
        <v>N</v>
      </c>
      <c r="B153" s="641"/>
      <c r="C153" s="235" t="str">
        <f t="array" ref="C153">IF(OR($E$136="",SUMPRODUCT(('Vessel Gauging Data'!$C$27:$C$56=$E$136)*1)&lt;ROWS($C$137:$C153)),"",INDEX('Vessel Gauging Data'!$B$27:$B$56,SMALL(IF(('Vessel Gauging Data'!$C$27:$C$56=$E$136),ROW('Vessel Gauging Data'!$B$27:$B$56)-ROW('Vessel Gauging Data'!$C$26)),ROW()-ROW(C$136))))</f>
        <v/>
      </c>
      <c r="D153" s="211" t="str">
        <f>IF(OR($C153="",$C153=0),"",INDEX('Vessel Gauging Data'!$B$26:$V$56,MATCH($C153,'Vessel Gauging Data'!$B$27:$B$56,0)+1,2))</f>
        <v/>
      </c>
      <c r="E153" s="1016" t="str">
        <f t="shared" si="191"/>
        <v/>
      </c>
      <c r="F153" s="1016" t="str">
        <f t="shared" si="192"/>
        <v/>
      </c>
      <c r="G153" s="1016" t="str">
        <f t="shared" si="193"/>
        <v/>
      </c>
      <c r="H153" s="1016" t="str">
        <f t="shared" si="194"/>
        <v/>
      </c>
      <c r="I153" s="211" t="str">
        <f t="shared" si="195"/>
        <v/>
      </c>
      <c r="J153" s="1016" t="str">
        <f t="shared" si="196"/>
        <v/>
      </c>
      <c r="K153" s="213" t="str">
        <f t="shared" si="197"/>
        <v/>
      </c>
      <c r="L153" s="212" t="str">
        <f t="shared" si="198"/>
        <v/>
      </c>
      <c r="M153" s="1125" t="str">
        <f>IF(OR($C153="",$C153=0),"",INDEX(API1DENST,MATCH($C153,'Vessel Gauging Data'!$B$27:$B$56,0),$AA$1))</f>
        <v/>
      </c>
      <c r="N153" s="212" t="str">
        <f t="shared" si="199"/>
        <v/>
      </c>
      <c r="O153" s="1016" t="str">
        <f t="shared" si="223"/>
        <v/>
      </c>
      <c r="P153" s="1125" t="str">
        <f t="shared" si="224"/>
        <v/>
      </c>
      <c r="Q153" s="1016" t="str">
        <f t="shared" si="225"/>
        <v/>
      </c>
      <c r="R153" s="214" t="str">
        <f t="shared" si="226"/>
        <v/>
      </c>
      <c r="S153" s="1125" t="str">
        <f t="shared" si="200"/>
        <v/>
      </c>
      <c r="T153" s="236" t="str">
        <f t="shared" si="227"/>
        <v/>
      </c>
      <c r="U153" s="641"/>
      <c r="V153" s="642" t="e">
        <f>INDEX('Vessel Gauging Data'!$B$26:$V$56,MATCH($C153,'Vessel Gauging Data'!$B$26:$B$56,0),$V$18)</f>
        <v>#N/A</v>
      </c>
      <c r="W153" s="642" t="e">
        <f>INDEX('Vessel Gauging Data'!$B$26:$V$56,MATCH($C153,'Vessel Gauging Data'!$B$26:$B$56,0),$W$18)</f>
        <v>#N/A</v>
      </c>
      <c r="X153" s="642" t="e">
        <f>INDEX('Vessel Gauging Data'!$B$26:$V$56,MATCH($C153,'Vessel Gauging Data'!$B$26:$B$56,0),$X$18)</f>
        <v>#N/A</v>
      </c>
      <c r="Y153" s="642" t="e">
        <f>INDEX('Vessel Gauging Data'!$B$26:$V$56,MATCH($C153,'Vessel Gauging Data'!$B$26:$B$56,0),$Y$18)</f>
        <v>#N/A</v>
      </c>
      <c r="Z153" s="642" t="e">
        <f>INDEX('Vessel Gauging Data'!$B$26:$V$56,MATCH($C153,'Vessel Gauging Data'!$B$26:$B$56,0),$Z$18)</f>
        <v>#N/A</v>
      </c>
      <c r="AA153" s="641"/>
      <c r="AB153" s="642" t="e">
        <f>INDEX(API1DENST,MATCH($C153,'Vessel Gauging Data'!$B$27:$B$56,0),1)</f>
        <v>#N/A</v>
      </c>
      <c r="AC153" s="642" t="e">
        <f t="shared" si="201"/>
        <v>#N/A</v>
      </c>
      <c r="AD153" s="641"/>
      <c r="AE153" s="661" t="e">
        <f t="shared" si="202"/>
        <v>#VALUE!</v>
      </c>
      <c r="AF153" s="661" t="e">
        <f t="shared" si="203"/>
        <v>#VALUE!</v>
      </c>
      <c r="AG153" s="641"/>
      <c r="AH153" s="662" t="str">
        <f t="shared" si="204"/>
        <v/>
      </c>
      <c r="AI153" s="662" t="str">
        <f t="shared" si="205"/>
        <v/>
      </c>
      <c r="AJ153" s="663">
        <f t="shared" si="206"/>
        <v>192.4571</v>
      </c>
      <c r="AK153" s="660">
        <f t="shared" si="207"/>
        <v>0.24379999999999999</v>
      </c>
      <c r="AL153" s="660" t="e">
        <f t="shared" si="208"/>
        <v>#VALUE!</v>
      </c>
      <c r="AM153" s="664" t="e">
        <f t="shared" si="209"/>
        <v>#VALUE!</v>
      </c>
      <c r="AN153" s="664" t="e">
        <f t="shared" si="210"/>
        <v>#VALUE!</v>
      </c>
      <c r="AO153" s="665" t="e">
        <f t="shared" si="211"/>
        <v>#VALUE!</v>
      </c>
      <c r="AP153" s="666" t="e">
        <f t="shared" si="212"/>
        <v>#VALUE!</v>
      </c>
      <c r="AQ153" s="660" t="e">
        <f t="shared" si="213"/>
        <v>#VALUE!</v>
      </c>
      <c r="AR153" s="667" t="e">
        <f t="shared" si="214"/>
        <v>#VALUE!</v>
      </c>
      <c r="AS153" s="667" t="e">
        <f t="shared" si="215"/>
        <v>#VALUE!</v>
      </c>
      <c r="AT153" s="668" t="e">
        <f t="shared" si="216"/>
        <v>#VALUE!</v>
      </c>
      <c r="AU153" s="667" t="e">
        <f t="shared" si="217"/>
        <v>#VALUE!</v>
      </c>
      <c r="AV153" s="669" t="e">
        <f t="shared" si="218"/>
        <v>#VALUE!</v>
      </c>
      <c r="AW153" s="667" t="e">
        <f t="shared" si="219"/>
        <v>#VALUE!</v>
      </c>
      <c r="AX153" s="667" t="e">
        <f t="shared" si="220"/>
        <v>#VALUE!</v>
      </c>
      <c r="AY153" s="660" t="e">
        <f t="shared" si="221"/>
        <v>#VALUE!</v>
      </c>
      <c r="AZ153" s="670" t="e">
        <f t="shared" si="222"/>
        <v>#VALUE!</v>
      </c>
      <c r="BA153" s="641"/>
      <c r="BB153" s="662" t="e">
        <f>INDEX('Vessel Gauging Data'!$B$26:$V$56,MATCH($C153,'Vessel Gauging Data'!$B$26:$B$56,0),$BB$18)</f>
        <v>#N/A</v>
      </c>
      <c r="BC153" s="662" t="e">
        <f>INDEX('Vessel Gauging Data'!$B$26:$V$56,MATCH($C153,'Vessel Gauging Data'!$B$26:$B$56,0),$BC$18)</f>
        <v>#N/A</v>
      </c>
      <c r="BD153" s="662" t="e">
        <f>INDEX('Vessel Gauging Data'!$B$26:$V$56,MATCH($C153,'Vessel Gauging Data'!$B$26:$B$56,0),$BD$18)</f>
        <v>#N/A</v>
      </c>
      <c r="BE153" s="662" t="e">
        <f>INDEX('Vessel Gauging Data'!$B$26:$V$56,MATCH($C153,'Vessel Gauging Data'!$B$26:$B$56,0),$BE$18)</f>
        <v>#N/A</v>
      </c>
    </row>
    <row r="154" spans="1:57" ht="15" hidden="1">
      <c r="A154" s="641" t="str">
        <f t="shared" si="190"/>
        <v>N</v>
      </c>
      <c r="B154" s="641"/>
      <c r="C154" s="235" t="str">
        <f t="array" ref="C154">IF(OR($E$136="",SUMPRODUCT(('Vessel Gauging Data'!$C$27:$C$56=$E$136)*1)&lt;ROWS($C$137:$C154)),"",INDEX('Vessel Gauging Data'!$B$27:$B$56,SMALL(IF(('Vessel Gauging Data'!$C$27:$C$56=$E$136),ROW('Vessel Gauging Data'!$B$27:$B$56)-ROW('Vessel Gauging Data'!$C$26)),ROW()-ROW(C$136))))</f>
        <v/>
      </c>
      <c r="D154" s="211" t="str">
        <f>IF(OR($C154="",$C154=0),"",INDEX('Vessel Gauging Data'!$B$26:$V$56,MATCH($C154,'Vessel Gauging Data'!$B$27:$B$56,0)+1,2))</f>
        <v/>
      </c>
      <c r="E154" s="1016" t="str">
        <f t="shared" si="191"/>
        <v/>
      </c>
      <c r="F154" s="1016" t="str">
        <f t="shared" si="192"/>
        <v/>
      </c>
      <c r="G154" s="1016" t="str">
        <f t="shared" si="193"/>
        <v/>
      </c>
      <c r="H154" s="1016" t="str">
        <f t="shared" si="194"/>
        <v/>
      </c>
      <c r="I154" s="211" t="str">
        <f t="shared" si="195"/>
        <v/>
      </c>
      <c r="J154" s="1016" t="str">
        <f t="shared" si="196"/>
        <v/>
      </c>
      <c r="K154" s="213" t="str">
        <f t="shared" si="197"/>
        <v/>
      </c>
      <c r="L154" s="212" t="str">
        <f t="shared" si="198"/>
        <v/>
      </c>
      <c r="M154" s="1125" t="str">
        <f>IF(OR($C154="",$C154=0),"",INDEX(API1DENST,MATCH($C154,'Vessel Gauging Data'!$B$27:$B$56,0),$AA$1))</f>
        <v/>
      </c>
      <c r="N154" s="212" t="str">
        <f t="shared" si="199"/>
        <v/>
      </c>
      <c r="O154" s="1016" t="str">
        <f t="shared" si="223"/>
        <v/>
      </c>
      <c r="P154" s="1125" t="str">
        <f t="shared" si="224"/>
        <v/>
      </c>
      <c r="Q154" s="1016" t="str">
        <f t="shared" si="225"/>
        <v/>
      </c>
      <c r="R154" s="214" t="str">
        <f t="shared" si="226"/>
        <v/>
      </c>
      <c r="S154" s="1125" t="str">
        <f t="shared" si="200"/>
        <v/>
      </c>
      <c r="T154" s="236" t="str">
        <f t="shared" si="227"/>
        <v/>
      </c>
      <c r="U154" s="641"/>
      <c r="V154" s="642" t="e">
        <f>INDEX('Vessel Gauging Data'!$B$26:$V$56,MATCH($C154,'Vessel Gauging Data'!$B$26:$B$56,0),$V$18)</f>
        <v>#N/A</v>
      </c>
      <c r="W154" s="642" t="e">
        <f>INDEX('Vessel Gauging Data'!$B$26:$V$56,MATCH($C154,'Vessel Gauging Data'!$B$26:$B$56,0),$W$18)</f>
        <v>#N/A</v>
      </c>
      <c r="X154" s="642" t="e">
        <f>INDEX('Vessel Gauging Data'!$B$26:$V$56,MATCH($C154,'Vessel Gauging Data'!$B$26:$B$56,0),$X$18)</f>
        <v>#N/A</v>
      </c>
      <c r="Y154" s="642" t="e">
        <f>INDEX('Vessel Gauging Data'!$B$26:$V$56,MATCH($C154,'Vessel Gauging Data'!$B$26:$B$56,0),$Y$18)</f>
        <v>#N/A</v>
      </c>
      <c r="Z154" s="642" t="e">
        <f>INDEX('Vessel Gauging Data'!$B$26:$V$56,MATCH($C154,'Vessel Gauging Data'!$B$26:$B$56,0),$Z$18)</f>
        <v>#N/A</v>
      </c>
      <c r="AA154" s="641"/>
      <c r="AB154" s="642" t="e">
        <f>INDEX(API1DENST,MATCH($C154,'Vessel Gauging Data'!$B$27:$B$56,0),1)</f>
        <v>#N/A</v>
      </c>
      <c r="AC154" s="642" t="e">
        <f t="shared" si="201"/>
        <v>#N/A</v>
      </c>
      <c r="AD154" s="641"/>
      <c r="AE154" s="661" t="e">
        <f t="shared" si="202"/>
        <v>#VALUE!</v>
      </c>
      <c r="AF154" s="661" t="e">
        <f t="shared" si="203"/>
        <v>#VALUE!</v>
      </c>
      <c r="AG154" s="641"/>
      <c r="AH154" s="662" t="str">
        <f t="shared" si="204"/>
        <v/>
      </c>
      <c r="AI154" s="662" t="str">
        <f t="shared" si="205"/>
        <v/>
      </c>
      <c r="AJ154" s="663">
        <f t="shared" si="206"/>
        <v>192.4571</v>
      </c>
      <c r="AK154" s="660">
        <f t="shared" si="207"/>
        <v>0.24379999999999999</v>
      </c>
      <c r="AL154" s="660" t="e">
        <f t="shared" si="208"/>
        <v>#VALUE!</v>
      </c>
      <c r="AM154" s="664" t="e">
        <f t="shared" si="209"/>
        <v>#VALUE!</v>
      </c>
      <c r="AN154" s="664" t="e">
        <f t="shared" si="210"/>
        <v>#VALUE!</v>
      </c>
      <c r="AO154" s="665" t="e">
        <f t="shared" si="211"/>
        <v>#VALUE!</v>
      </c>
      <c r="AP154" s="666" t="e">
        <f t="shared" si="212"/>
        <v>#VALUE!</v>
      </c>
      <c r="AQ154" s="660" t="e">
        <f t="shared" si="213"/>
        <v>#VALUE!</v>
      </c>
      <c r="AR154" s="667" t="e">
        <f t="shared" si="214"/>
        <v>#VALUE!</v>
      </c>
      <c r="AS154" s="667" t="e">
        <f t="shared" si="215"/>
        <v>#VALUE!</v>
      </c>
      <c r="AT154" s="668" t="e">
        <f t="shared" si="216"/>
        <v>#VALUE!</v>
      </c>
      <c r="AU154" s="667" t="e">
        <f t="shared" si="217"/>
        <v>#VALUE!</v>
      </c>
      <c r="AV154" s="669" t="e">
        <f t="shared" si="218"/>
        <v>#VALUE!</v>
      </c>
      <c r="AW154" s="667" t="e">
        <f t="shared" si="219"/>
        <v>#VALUE!</v>
      </c>
      <c r="AX154" s="667" t="e">
        <f t="shared" si="220"/>
        <v>#VALUE!</v>
      </c>
      <c r="AY154" s="660" t="e">
        <f t="shared" si="221"/>
        <v>#VALUE!</v>
      </c>
      <c r="AZ154" s="670" t="e">
        <f t="shared" si="222"/>
        <v>#VALUE!</v>
      </c>
      <c r="BA154" s="641"/>
      <c r="BB154" s="662" t="e">
        <f>INDEX('Vessel Gauging Data'!$B$26:$V$56,MATCH($C154,'Vessel Gauging Data'!$B$26:$B$56,0),$BB$18)</f>
        <v>#N/A</v>
      </c>
      <c r="BC154" s="662" t="e">
        <f>INDEX('Vessel Gauging Data'!$B$26:$V$56,MATCH($C154,'Vessel Gauging Data'!$B$26:$B$56,0),$BC$18)</f>
        <v>#N/A</v>
      </c>
      <c r="BD154" s="662" t="e">
        <f>INDEX('Vessel Gauging Data'!$B$26:$V$56,MATCH($C154,'Vessel Gauging Data'!$B$26:$B$56,0),$BD$18)</f>
        <v>#N/A</v>
      </c>
      <c r="BE154" s="662" t="e">
        <f>INDEX('Vessel Gauging Data'!$B$26:$V$56,MATCH($C154,'Vessel Gauging Data'!$B$26:$B$56,0),$BE$18)</f>
        <v>#N/A</v>
      </c>
    </row>
    <row r="155" spans="1:57" ht="15" hidden="1">
      <c r="A155" s="641" t="str">
        <f t="shared" si="190"/>
        <v>N</v>
      </c>
      <c r="B155" s="641"/>
      <c r="C155" s="235" t="str">
        <f t="array" ref="C155">IF(OR($E$136="",SUMPRODUCT(('Vessel Gauging Data'!$C$27:$C$56=$E$136)*1)&lt;ROWS($C$137:$C155)),"",INDEX('Vessel Gauging Data'!$B$27:$B$56,SMALL(IF(('Vessel Gauging Data'!$C$27:$C$56=$E$136),ROW('Vessel Gauging Data'!$B$27:$B$56)-ROW('Vessel Gauging Data'!$C$26)),ROW()-ROW(C$136))))</f>
        <v/>
      </c>
      <c r="D155" s="211" t="str">
        <f>IF(OR($C155="",$C155=0),"",INDEX('Vessel Gauging Data'!$B$26:$V$56,MATCH($C155,'Vessel Gauging Data'!$B$27:$B$56,0)+1,2))</f>
        <v/>
      </c>
      <c r="E155" s="1016" t="str">
        <f t="shared" si="191"/>
        <v/>
      </c>
      <c r="F155" s="1016" t="str">
        <f t="shared" si="192"/>
        <v/>
      </c>
      <c r="G155" s="1016" t="str">
        <f t="shared" si="193"/>
        <v/>
      </c>
      <c r="H155" s="1016" t="str">
        <f t="shared" si="194"/>
        <v/>
      </c>
      <c r="I155" s="211" t="str">
        <f t="shared" si="195"/>
        <v/>
      </c>
      <c r="J155" s="1016" t="str">
        <f t="shared" si="196"/>
        <v/>
      </c>
      <c r="K155" s="213" t="str">
        <f t="shared" si="197"/>
        <v/>
      </c>
      <c r="L155" s="212" t="str">
        <f t="shared" si="198"/>
        <v/>
      </c>
      <c r="M155" s="1125" t="str">
        <f>IF(OR($C155="",$C155=0),"",INDEX(API1DENST,MATCH($C155,'Vessel Gauging Data'!$B$27:$B$56,0),$AA$1))</f>
        <v/>
      </c>
      <c r="N155" s="212" t="str">
        <f t="shared" si="199"/>
        <v/>
      </c>
      <c r="O155" s="1016" t="str">
        <f t="shared" si="223"/>
        <v/>
      </c>
      <c r="P155" s="1125" t="str">
        <f t="shared" si="224"/>
        <v/>
      </c>
      <c r="Q155" s="1016" t="str">
        <f t="shared" si="225"/>
        <v/>
      </c>
      <c r="R155" s="214" t="str">
        <f t="shared" si="226"/>
        <v/>
      </c>
      <c r="S155" s="1125" t="str">
        <f t="shared" si="200"/>
        <v/>
      </c>
      <c r="T155" s="236" t="str">
        <f t="shared" si="227"/>
        <v/>
      </c>
      <c r="U155" s="641"/>
      <c r="V155" s="642" t="e">
        <f>INDEX('Vessel Gauging Data'!$B$26:$V$56,MATCH($C155,'Vessel Gauging Data'!$B$26:$B$56,0),$V$18)</f>
        <v>#N/A</v>
      </c>
      <c r="W155" s="642" t="e">
        <f>INDEX('Vessel Gauging Data'!$B$26:$V$56,MATCH($C155,'Vessel Gauging Data'!$B$26:$B$56,0),$W$18)</f>
        <v>#N/A</v>
      </c>
      <c r="X155" s="642" t="e">
        <f>INDEX('Vessel Gauging Data'!$B$26:$V$56,MATCH($C155,'Vessel Gauging Data'!$B$26:$B$56,0),$X$18)</f>
        <v>#N/A</v>
      </c>
      <c r="Y155" s="642" t="e">
        <f>INDEX('Vessel Gauging Data'!$B$26:$V$56,MATCH($C155,'Vessel Gauging Data'!$B$26:$B$56,0),$Y$18)</f>
        <v>#N/A</v>
      </c>
      <c r="Z155" s="642" t="e">
        <f>INDEX('Vessel Gauging Data'!$B$26:$V$56,MATCH($C155,'Vessel Gauging Data'!$B$26:$B$56,0),$Z$18)</f>
        <v>#N/A</v>
      </c>
      <c r="AA155" s="641"/>
      <c r="AB155" s="642" t="e">
        <f>INDEX(API1DENST,MATCH($C155,'Vessel Gauging Data'!$B$27:$B$56,0),1)</f>
        <v>#N/A</v>
      </c>
      <c r="AC155" s="642" t="e">
        <f t="shared" si="201"/>
        <v>#N/A</v>
      </c>
      <c r="AD155" s="641"/>
      <c r="AE155" s="661" t="e">
        <f t="shared" si="202"/>
        <v>#VALUE!</v>
      </c>
      <c r="AF155" s="661" t="e">
        <f t="shared" si="203"/>
        <v>#VALUE!</v>
      </c>
      <c r="AG155" s="641"/>
      <c r="AH155" s="662" t="str">
        <f t="shared" si="204"/>
        <v/>
      </c>
      <c r="AI155" s="662" t="str">
        <f t="shared" si="205"/>
        <v/>
      </c>
      <c r="AJ155" s="663">
        <f t="shared" si="206"/>
        <v>192.4571</v>
      </c>
      <c r="AK155" s="660">
        <f t="shared" si="207"/>
        <v>0.24379999999999999</v>
      </c>
      <c r="AL155" s="660" t="e">
        <f t="shared" si="208"/>
        <v>#VALUE!</v>
      </c>
      <c r="AM155" s="664" t="e">
        <f t="shared" si="209"/>
        <v>#VALUE!</v>
      </c>
      <c r="AN155" s="664" t="e">
        <f t="shared" si="210"/>
        <v>#VALUE!</v>
      </c>
      <c r="AO155" s="665" t="e">
        <f t="shared" si="211"/>
        <v>#VALUE!</v>
      </c>
      <c r="AP155" s="666" t="e">
        <f t="shared" si="212"/>
        <v>#VALUE!</v>
      </c>
      <c r="AQ155" s="660" t="e">
        <f t="shared" si="213"/>
        <v>#VALUE!</v>
      </c>
      <c r="AR155" s="667" t="e">
        <f t="shared" si="214"/>
        <v>#VALUE!</v>
      </c>
      <c r="AS155" s="667" t="e">
        <f t="shared" si="215"/>
        <v>#VALUE!</v>
      </c>
      <c r="AT155" s="668" t="e">
        <f t="shared" si="216"/>
        <v>#VALUE!</v>
      </c>
      <c r="AU155" s="667" t="e">
        <f t="shared" si="217"/>
        <v>#VALUE!</v>
      </c>
      <c r="AV155" s="669" t="e">
        <f t="shared" si="218"/>
        <v>#VALUE!</v>
      </c>
      <c r="AW155" s="667" t="e">
        <f t="shared" si="219"/>
        <v>#VALUE!</v>
      </c>
      <c r="AX155" s="667" t="e">
        <f t="shared" si="220"/>
        <v>#VALUE!</v>
      </c>
      <c r="AY155" s="660" t="e">
        <f t="shared" si="221"/>
        <v>#VALUE!</v>
      </c>
      <c r="AZ155" s="670" t="e">
        <f t="shared" si="222"/>
        <v>#VALUE!</v>
      </c>
      <c r="BA155" s="641"/>
      <c r="BB155" s="662" t="e">
        <f>INDEX('Vessel Gauging Data'!$B$26:$V$56,MATCH($C155,'Vessel Gauging Data'!$B$26:$B$56,0),$BB$18)</f>
        <v>#N/A</v>
      </c>
      <c r="BC155" s="662" t="e">
        <f>INDEX('Vessel Gauging Data'!$B$26:$V$56,MATCH($C155,'Vessel Gauging Data'!$B$26:$B$56,0),$BC$18)</f>
        <v>#N/A</v>
      </c>
      <c r="BD155" s="662" t="e">
        <f>INDEX('Vessel Gauging Data'!$B$26:$V$56,MATCH($C155,'Vessel Gauging Data'!$B$26:$B$56,0),$BD$18)</f>
        <v>#N/A</v>
      </c>
      <c r="BE155" s="662" t="e">
        <f>INDEX('Vessel Gauging Data'!$B$26:$V$56,MATCH($C155,'Vessel Gauging Data'!$B$26:$B$56,0),$BE$18)</f>
        <v>#N/A</v>
      </c>
    </row>
    <row r="156" spans="1:57" ht="15" hidden="1">
      <c r="A156" s="641" t="str">
        <f t="shared" si="190"/>
        <v>N</v>
      </c>
      <c r="B156" s="641"/>
      <c r="C156" s="235" t="str">
        <f t="array" ref="C156">IF(OR($E$136="",SUMPRODUCT(('Vessel Gauging Data'!$C$27:$C$56=$E$136)*1)&lt;ROWS($C$137:$C156)),"",INDEX('Vessel Gauging Data'!$B$27:$B$56,SMALL(IF(('Vessel Gauging Data'!$C$27:$C$56=$E$136),ROW('Vessel Gauging Data'!$B$27:$B$56)-ROW('Vessel Gauging Data'!$C$26)),ROW()-ROW(C$136))))</f>
        <v/>
      </c>
      <c r="D156" s="238" t="str">
        <f>IF(OR($C156="",$C156=0),"",INDEX('Vessel Gauging Data'!$B$26:$V$56,MATCH($C156,'Vessel Gauging Data'!$B$27:$B$56,0)+1,2))</f>
        <v/>
      </c>
      <c r="E156" s="1017" t="str">
        <f t="shared" si="191"/>
        <v/>
      </c>
      <c r="F156" s="1017" t="str">
        <f t="shared" si="192"/>
        <v/>
      </c>
      <c r="G156" s="1017" t="str">
        <f t="shared" si="193"/>
        <v/>
      </c>
      <c r="H156" s="1017" t="str">
        <f t="shared" si="194"/>
        <v/>
      </c>
      <c r="I156" s="238" t="str">
        <f t="shared" si="195"/>
        <v/>
      </c>
      <c r="J156" s="1017" t="str">
        <f t="shared" si="196"/>
        <v/>
      </c>
      <c r="K156" s="240" t="str">
        <f t="shared" si="197"/>
        <v/>
      </c>
      <c r="L156" s="239" t="str">
        <f t="shared" si="198"/>
        <v/>
      </c>
      <c r="M156" s="1126" t="str">
        <f>IF(OR($C156="",$C156=0),"",INDEX(API1DENST,MATCH($C156,'Vessel Gauging Data'!$B$27:$B$56,0),$AA$1))</f>
        <v/>
      </c>
      <c r="N156" s="239" t="str">
        <f t="shared" si="199"/>
        <v/>
      </c>
      <c r="O156" s="1017" t="str">
        <f t="shared" si="223"/>
        <v/>
      </c>
      <c r="P156" s="1126" t="str">
        <f t="shared" si="224"/>
        <v/>
      </c>
      <c r="Q156" s="1017" t="str">
        <f t="shared" si="225"/>
        <v/>
      </c>
      <c r="R156" s="241" t="str">
        <f t="shared" si="226"/>
        <v/>
      </c>
      <c r="S156" s="1126" t="str">
        <f t="shared" si="200"/>
        <v/>
      </c>
      <c r="T156" s="242" t="str">
        <f t="shared" si="227"/>
        <v/>
      </c>
      <c r="U156" s="641"/>
      <c r="V156" s="642" t="e">
        <f>INDEX('Vessel Gauging Data'!$B$26:$V$56,MATCH($C156,'Vessel Gauging Data'!$B$26:$B$56,0),$V$18)</f>
        <v>#N/A</v>
      </c>
      <c r="W156" s="642" t="e">
        <f>INDEX('Vessel Gauging Data'!$B$26:$V$56,MATCH($C156,'Vessel Gauging Data'!$B$26:$B$56,0),$W$18)</f>
        <v>#N/A</v>
      </c>
      <c r="X156" s="642" t="e">
        <f>INDEX('Vessel Gauging Data'!$B$26:$V$56,MATCH($C156,'Vessel Gauging Data'!$B$26:$B$56,0),$X$18)</f>
        <v>#N/A</v>
      </c>
      <c r="Y156" s="642" t="e">
        <f>INDEX('Vessel Gauging Data'!$B$26:$V$56,MATCH($C156,'Vessel Gauging Data'!$B$26:$B$56,0),$Y$18)</f>
        <v>#N/A</v>
      </c>
      <c r="Z156" s="642" t="e">
        <f>INDEX('Vessel Gauging Data'!$B$26:$V$56,MATCH($C156,'Vessel Gauging Data'!$B$26:$B$56,0),$Z$18)</f>
        <v>#N/A</v>
      </c>
      <c r="AA156" s="641"/>
      <c r="AB156" s="642" t="e">
        <f>INDEX(API1DENST,MATCH($C156,'Vessel Gauging Data'!$B$27:$B$56,0),1)</f>
        <v>#N/A</v>
      </c>
      <c r="AC156" s="642" t="e">
        <f t="shared" si="201"/>
        <v>#N/A</v>
      </c>
      <c r="AD156" s="641"/>
      <c r="AE156" s="661" t="e">
        <f t="shared" si="202"/>
        <v>#VALUE!</v>
      </c>
      <c r="AF156" s="661" t="e">
        <f t="shared" si="203"/>
        <v>#VALUE!</v>
      </c>
      <c r="AG156" s="641"/>
      <c r="AH156" s="662" t="str">
        <f t="shared" si="204"/>
        <v/>
      </c>
      <c r="AI156" s="662" t="str">
        <f t="shared" si="205"/>
        <v/>
      </c>
      <c r="AJ156" s="663">
        <f t="shared" si="206"/>
        <v>192.4571</v>
      </c>
      <c r="AK156" s="660">
        <f t="shared" si="207"/>
        <v>0.24379999999999999</v>
      </c>
      <c r="AL156" s="660" t="e">
        <f t="shared" si="208"/>
        <v>#VALUE!</v>
      </c>
      <c r="AM156" s="664" t="e">
        <f t="shared" si="209"/>
        <v>#VALUE!</v>
      </c>
      <c r="AN156" s="664" t="e">
        <f t="shared" si="210"/>
        <v>#VALUE!</v>
      </c>
      <c r="AO156" s="665" t="e">
        <f t="shared" si="211"/>
        <v>#VALUE!</v>
      </c>
      <c r="AP156" s="666" t="e">
        <f t="shared" si="212"/>
        <v>#VALUE!</v>
      </c>
      <c r="AQ156" s="660" t="e">
        <f t="shared" si="213"/>
        <v>#VALUE!</v>
      </c>
      <c r="AR156" s="667" t="e">
        <f t="shared" si="214"/>
        <v>#VALUE!</v>
      </c>
      <c r="AS156" s="667" t="e">
        <f t="shared" si="215"/>
        <v>#VALUE!</v>
      </c>
      <c r="AT156" s="668" t="e">
        <f t="shared" si="216"/>
        <v>#VALUE!</v>
      </c>
      <c r="AU156" s="667" t="e">
        <f t="shared" si="217"/>
        <v>#VALUE!</v>
      </c>
      <c r="AV156" s="669" t="e">
        <f t="shared" si="218"/>
        <v>#VALUE!</v>
      </c>
      <c r="AW156" s="667" t="e">
        <f t="shared" si="219"/>
        <v>#VALUE!</v>
      </c>
      <c r="AX156" s="667" t="e">
        <f t="shared" si="220"/>
        <v>#VALUE!</v>
      </c>
      <c r="AY156" s="660" t="e">
        <f t="shared" si="221"/>
        <v>#VALUE!</v>
      </c>
      <c r="AZ156" s="670" t="e">
        <f t="shared" si="222"/>
        <v>#VALUE!</v>
      </c>
      <c r="BA156" s="641"/>
      <c r="BB156" s="662" t="e">
        <f>INDEX('Vessel Gauging Data'!$B$26:$V$56,MATCH($C156,'Vessel Gauging Data'!$B$26:$B$56,0),$BB$18)</f>
        <v>#N/A</v>
      </c>
      <c r="BC156" s="662" t="e">
        <f>INDEX('Vessel Gauging Data'!$B$26:$V$56,MATCH($C156,'Vessel Gauging Data'!$B$26:$B$56,0),$BC$18)</f>
        <v>#N/A</v>
      </c>
      <c r="BD156" s="662" t="e">
        <f>INDEX('Vessel Gauging Data'!$B$26:$V$56,MATCH($C156,'Vessel Gauging Data'!$B$26:$B$56,0),$BD$18)</f>
        <v>#N/A</v>
      </c>
      <c r="BE156" s="662" t="e">
        <f>INDEX('Vessel Gauging Data'!$B$26:$V$56,MATCH($C156,'Vessel Gauging Data'!$B$26:$B$56,0),$BE$18)</f>
        <v>#N/A</v>
      </c>
    </row>
    <row r="157" spans="1:57" ht="15">
      <c r="A157" s="641" t="str">
        <f>A136</f>
        <v>Y</v>
      </c>
      <c r="B157" s="641"/>
      <c r="C157" s="671"/>
      <c r="D157" s="671"/>
      <c r="E157" s="672"/>
      <c r="F157" s="672"/>
      <c r="G157" s="672"/>
      <c r="H157" s="1501"/>
      <c r="I157" s="671"/>
      <c r="J157" s="672"/>
      <c r="K157" s="673"/>
      <c r="L157" s="672"/>
      <c r="M157" s="674"/>
      <c r="N157" s="672"/>
      <c r="O157" s="672"/>
      <c r="P157" s="674"/>
      <c r="Q157" s="672"/>
      <c r="R157" s="675"/>
      <c r="S157" s="1137" t="s">
        <v>401</v>
      </c>
      <c r="T157" s="619">
        <f>SUM(T137:T156)</f>
        <v>115.51600000000001</v>
      </c>
      <c r="U157" s="641"/>
      <c r="V157" s="719"/>
      <c r="W157" s="719"/>
      <c r="X157" s="719"/>
      <c r="Y157" s="1504"/>
      <c r="Z157" s="719"/>
      <c r="AA157" s="676"/>
      <c r="AB157" s="719"/>
      <c r="AC157" s="719"/>
      <c r="AD157" s="676"/>
      <c r="AE157" s="720"/>
      <c r="AF157" s="720"/>
      <c r="AG157" s="676"/>
      <c r="AH157" s="721"/>
      <c r="AI157" s="721"/>
      <c r="AJ157" s="722"/>
      <c r="AK157" s="723"/>
      <c r="AL157" s="723"/>
      <c r="AM157" s="724"/>
      <c r="AN157" s="724"/>
      <c r="AO157" s="725"/>
      <c r="AP157" s="726"/>
      <c r="AQ157" s="723"/>
      <c r="AR157" s="727"/>
      <c r="AS157" s="727"/>
      <c r="AT157" s="728"/>
      <c r="AU157" s="727"/>
      <c r="AV157" s="729"/>
      <c r="AW157" s="727"/>
      <c r="AX157" s="727"/>
      <c r="AY157" s="723"/>
      <c r="AZ157" s="730"/>
      <c r="BA157" s="676"/>
      <c r="BB157" s="721"/>
      <c r="BC157" s="721"/>
      <c r="BD157" s="721"/>
      <c r="BE157" s="721"/>
    </row>
    <row r="158" spans="1:57" s="855" customFormat="1" ht="5.25">
      <c r="A158" s="702" t="s">
        <v>284</v>
      </c>
      <c r="B158" s="702"/>
      <c r="C158" s="705"/>
      <c r="D158" s="705"/>
      <c r="E158" s="705"/>
      <c r="F158" s="705"/>
      <c r="G158" s="705"/>
      <c r="H158" s="705"/>
      <c r="I158" s="705"/>
      <c r="J158" s="705"/>
      <c r="K158" s="705"/>
      <c r="L158" s="705"/>
      <c r="M158" s="705"/>
      <c r="N158" s="705"/>
      <c r="O158" s="705"/>
      <c r="P158" s="705"/>
      <c r="Q158" s="705"/>
      <c r="R158" s="705"/>
      <c r="S158" s="706"/>
      <c r="T158" s="706"/>
      <c r="U158" s="702"/>
      <c r="V158" s="707"/>
      <c r="W158" s="707"/>
      <c r="X158" s="707"/>
      <c r="Y158" s="707"/>
      <c r="Z158" s="707"/>
      <c r="AA158" s="707"/>
      <c r="AB158" s="707"/>
      <c r="AC158" s="707"/>
      <c r="AD158" s="707"/>
      <c r="AE158" s="708"/>
      <c r="AF158" s="708"/>
      <c r="AG158" s="707"/>
      <c r="AH158" s="709"/>
      <c r="AI158" s="709"/>
      <c r="AJ158" s="710"/>
      <c r="AK158" s="711"/>
      <c r="AL158" s="711"/>
      <c r="AM158" s="712"/>
      <c r="AN158" s="712"/>
      <c r="AO158" s="713"/>
      <c r="AP158" s="714"/>
      <c r="AQ158" s="711"/>
      <c r="AR158" s="715"/>
      <c r="AS158" s="715"/>
      <c r="AT158" s="716"/>
      <c r="AU158" s="715"/>
      <c r="AV158" s="717"/>
      <c r="AW158" s="715"/>
      <c r="AX158" s="715"/>
      <c r="AY158" s="711"/>
      <c r="AZ158" s="718"/>
      <c r="BA158" s="707"/>
      <c r="BB158" s="709"/>
      <c r="BC158" s="709"/>
      <c r="BD158" s="709"/>
      <c r="BE158" s="709"/>
    </row>
    <row r="159" spans="1:57" ht="15" hidden="1">
      <c r="A159" s="641" t="s">
        <v>270</v>
      </c>
      <c r="B159" s="641"/>
      <c r="C159" s="699"/>
      <c r="D159" s="699"/>
      <c r="E159" s="699"/>
      <c r="F159" s="699"/>
      <c r="G159" s="699"/>
      <c r="H159" s="699"/>
      <c r="I159" s="699"/>
      <c r="J159" s="699"/>
      <c r="K159" s="699"/>
      <c r="L159" s="700"/>
      <c r="M159" s="699"/>
      <c r="N159" s="699"/>
      <c r="O159" s="700"/>
      <c r="P159" s="699"/>
      <c r="Q159" s="700"/>
      <c r="R159" s="701"/>
      <c r="S159" s="699"/>
      <c r="T159" s="701"/>
      <c r="U159" s="641"/>
      <c r="V159" s="676"/>
      <c r="W159" s="676"/>
      <c r="X159" s="676"/>
      <c r="Y159" s="676"/>
      <c r="Z159" s="676"/>
      <c r="AA159" s="676"/>
      <c r="AB159" s="676"/>
      <c r="AC159" s="676"/>
      <c r="AD159" s="676"/>
      <c r="AE159" s="677"/>
      <c r="AF159" s="677"/>
      <c r="AG159" s="676"/>
      <c r="AH159" s="678"/>
      <c r="AI159" s="678"/>
      <c r="AJ159" s="679"/>
      <c r="AK159" s="680"/>
      <c r="AL159" s="680"/>
      <c r="AM159" s="681"/>
      <c r="AN159" s="681"/>
      <c r="AO159" s="682"/>
      <c r="AP159" s="683"/>
      <c r="AQ159" s="680"/>
      <c r="AR159" s="684"/>
      <c r="AS159" s="684"/>
      <c r="AT159" s="685"/>
      <c r="AU159" s="684"/>
      <c r="AV159" s="686"/>
      <c r="AW159" s="684"/>
      <c r="AX159" s="684"/>
      <c r="AY159" s="680"/>
      <c r="AZ159" s="687"/>
      <c r="BA159" s="676"/>
      <c r="BB159" s="678"/>
      <c r="BC159" s="678"/>
      <c r="BD159" s="678"/>
      <c r="BE159" s="678"/>
    </row>
    <row r="160" spans="1:57" ht="15.75">
      <c r="A160" s="690" t="s">
        <v>284</v>
      </c>
      <c r="B160" s="641"/>
      <c r="C160" s="816"/>
      <c r="D160" s="817"/>
      <c r="E160" s="817"/>
      <c r="F160" s="817"/>
      <c r="G160" s="817" t="s">
        <v>401</v>
      </c>
      <c r="H160" s="1502"/>
      <c r="I160" s="818"/>
      <c r="J160" s="819">
        <f>SUMIF($A21:$A156,"Y",(J21:J156))</f>
        <v>1107.1000000000001</v>
      </c>
      <c r="K160" s="819"/>
      <c r="L160" s="819">
        <f>SUMIF($A21:$A156,"Y",(L21:L156))</f>
        <v>0</v>
      </c>
      <c r="M160" s="819"/>
      <c r="N160" s="819"/>
      <c r="O160" s="819">
        <f>SUMIF($A21:$A156,"Y",(O21:O156))</f>
        <v>1107.1000000000001</v>
      </c>
      <c r="P160" s="819"/>
      <c r="Q160" s="819">
        <f>SUMIF($A21:$A156,"Y",(Q21:Q156))</f>
        <v>1089.2659999999996</v>
      </c>
      <c r="R160" s="819">
        <f>SUMIF($A21:$A156,"Y",(R21:R156))</f>
        <v>1018.0740000000002</v>
      </c>
      <c r="S160" s="3423">
        <f>SUMIF($A21:$A157,"Y",(T21:T157))/2</f>
        <v>1016.8760000000002</v>
      </c>
      <c r="T160" s="3424"/>
      <c r="U160" s="641"/>
      <c r="V160" s="676"/>
      <c r="W160" s="676"/>
      <c r="X160" s="676"/>
      <c r="Y160" s="676"/>
      <c r="Z160" s="676"/>
      <c r="AA160" s="676"/>
      <c r="AB160" s="676"/>
      <c r="AC160" s="676"/>
      <c r="AD160" s="676"/>
      <c r="AE160" s="676"/>
      <c r="AF160" s="676"/>
      <c r="AG160" s="676"/>
      <c r="AH160" s="676"/>
      <c r="AI160" s="676"/>
      <c r="AJ160" s="676"/>
      <c r="AK160" s="676"/>
      <c r="AL160" s="676"/>
      <c r="AM160" s="676"/>
      <c r="AN160" s="676"/>
      <c r="AO160" s="676"/>
      <c r="AP160" s="676"/>
      <c r="AQ160" s="676"/>
      <c r="AR160" s="676"/>
      <c r="AS160" s="676"/>
      <c r="AT160" s="676"/>
      <c r="AU160" s="676"/>
      <c r="AV160" s="676"/>
      <c r="AW160" s="676"/>
      <c r="AX160" s="676"/>
      <c r="AY160" s="676"/>
      <c r="AZ160" s="676"/>
      <c r="BA160" s="676"/>
      <c r="BB160" s="676"/>
      <c r="BC160" s="676"/>
      <c r="BD160" s="676"/>
      <c r="BE160" s="676"/>
    </row>
    <row r="161" spans="1:57" ht="15">
      <c r="A161" s="654" t="s">
        <v>284</v>
      </c>
      <c r="B161" s="641"/>
      <c r="C161" s="641"/>
      <c r="D161" s="641"/>
      <c r="E161" s="641"/>
      <c r="F161" s="641"/>
      <c r="G161" s="641"/>
      <c r="H161" s="641"/>
      <c r="I161" s="641"/>
      <c r="J161" s="641"/>
      <c r="K161" s="641"/>
      <c r="L161" s="641"/>
      <c r="M161" s="641"/>
      <c r="N161" s="641"/>
      <c r="O161" s="641"/>
      <c r="P161" s="641"/>
      <c r="Q161" s="641"/>
      <c r="R161" s="641"/>
      <c r="S161" s="641"/>
      <c r="T161" s="641"/>
      <c r="U161" s="641"/>
      <c r="V161" s="641"/>
      <c r="W161" s="641"/>
      <c r="X161" s="641"/>
      <c r="Y161" s="641"/>
      <c r="Z161" s="641"/>
      <c r="AA161" s="641"/>
      <c r="AB161" s="641"/>
      <c r="AC161" s="641"/>
      <c r="AD161" s="641"/>
      <c r="AE161" s="641"/>
      <c r="AF161" s="641"/>
      <c r="AG161" s="641"/>
      <c r="AH161" s="641"/>
      <c r="AI161" s="641"/>
      <c r="AJ161" s="641"/>
      <c r="AK161" s="641"/>
      <c r="AL161" s="641"/>
      <c r="AM161" s="641"/>
      <c r="AN161" s="641"/>
      <c r="AO161" s="641"/>
      <c r="AP161" s="641"/>
      <c r="AQ161" s="641"/>
      <c r="AR161" s="641"/>
      <c r="AS161" s="641"/>
      <c r="AT161" s="641"/>
      <c r="AU161" s="641"/>
      <c r="AV161" s="641"/>
      <c r="AW161" s="641"/>
      <c r="AX161" s="641"/>
      <c r="AY161" s="641"/>
      <c r="AZ161" s="641"/>
      <c r="BA161" s="641"/>
      <c r="BB161" s="641"/>
      <c r="BC161" s="641"/>
      <c r="BD161" s="641"/>
      <c r="BE161" s="641"/>
    </row>
    <row r="162" spans="1:57" ht="15.75">
      <c r="A162" s="690" t="s">
        <v>284</v>
      </c>
      <c r="B162" s="641"/>
      <c r="C162" s="628"/>
      <c r="D162" s="629"/>
      <c r="E162" s="629"/>
      <c r="F162" s="629"/>
      <c r="G162" s="629"/>
      <c r="H162" s="629"/>
      <c r="I162" s="629"/>
      <c r="J162" s="630"/>
      <c r="K162" s="631"/>
      <c r="L162" s="630"/>
      <c r="M162" s="629" t="s">
        <v>498</v>
      </c>
      <c r="N162" s="629"/>
      <c r="O162" s="743" t="str">
        <f>IF(O163="","",'STANDARD SETT'!$O16)</f>
        <v/>
      </c>
      <c r="P162" s="743" t="str">
        <f>IF(P163="","",'STANDARD SETT'!$O17)</f>
        <v>LSFO</v>
      </c>
      <c r="Q162" s="744" t="str">
        <f>IF(Q163="","",'STANDARD SETT'!$O18)</f>
        <v/>
      </c>
      <c r="R162" s="743" t="str">
        <f>IF(R163="","",'STANDARD SETT'!$O19)</f>
        <v/>
      </c>
      <c r="S162" s="744" t="str">
        <f>IF(S163="","",'STANDARD SETT'!$O20)</f>
        <v/>
      </c>
      <c r="T162" s="745" t="str">
        <f>IF(T163="","",'STANDARD SETT'!$O21)</f>
        <v>LSMGO</v>
      </c>
      <c r="U162" s="641"/>
      <c r="V162" s="641"/>
      <c r="W162" s="641"/>
      <c r="X162" s="641"/>
      <c r="Y162" s="641"/>
      <c r="Z162" s="641"/>
      <c r="AA162" s="641"/>
      <c r="AB162" s="641"/>
      <c r="AC162" s="641"/>
      <c r="AD162" s="641"/>
      <c r="AE162" s="641"/>
      <c r="AF162" s="641"/>
      <c r="AG162" s="641"/>
      <c r="AH162" s="641"/>
      <c r="AI162" s="641"/>
      <c r="AJ162" s="641"/>
      <c r="AK162" s="641"/>
      <c r="AL162" s="641"/>
      <c r="AM162" s="641"/>
      <c r="AN162" s="641"/>
      <c r="AO162" s="641"/>
      <c r="AP162" s="641"/>
      <c r="AQ162" s="641"/>
      <c r="AR162" s="641"/>
      <c r="AS162" s="641"/>
      <c r="AT162" s="641"/>
      <c r="AU162" s="641"/>
      <c r="AV162" s="641"/>
      <c r="AW162" s="641"/>
      <c r="AX162" s="641"/>
      <c r="AY162" s="641"/>
      <c r="AZ162" s="641"/>
      <c r="BA162" s="641"/>
      <c r="BB162" s="641"/>
      <c r="BC162" s="641"/>
      <c r="BD162" s="641"/>
      <c r="BE162" s="641"/>
    </row>
    <row r="163" spans="1:57" ht="15.75">
      <c r="A163" s="690" t="s">
        <v>284</v>
      </c>
      <c r="B163" s="641"/>
      <c r="C163" s="634"/>
      <c r="D163" s="635"/>
      <c r="E163" s="635"/>
      <c r="F163" s="635"/>
      <c r="G163" s="635"/>
      <c r="H163" s="635"/>
      <c r="I163" s="635"/>
      <c r="J163" s="636"/>
      <c r="K163" s="637"/>
      <c r="L163" s="636"/>
      <c r="M163" s="635" t="s">
        <v>312</v>
      </c>
      <c r="N163" s="635"/>
      <c r="O163" s="638" t="str">
        <f>IF($A21="Y",T42,"")</f>
        <v/>
      </c>
      <c r="P163" s="638">
        <f>IF($A44="Y",T65,"")</f>
        <v>901.36</v>
      </c>
      <c r="Q163" s="638" t="str">
        <f>IF($A67="Y",T88,"")</f>
        <v/>
      </c>
      <c r="R163" s="638" t="str">
        <f>IF($A90="Y",T111,"")</f>
        <v/>
      </c>
      <c r="S163" s="638" t="str">
        <f>IF($A113="Y",T134,"")</f>
        <v/>
      </c>
      <c r="T163" s="746">
        <f>IF($A136="Y",T157,"")</f>
        <v>115.51600000000001</v>
      </c>
      <c r="U163" s="641"/>
      <c r="V163" s="641"/>
      <c r="W163" s="641"/>
      <c r="X163" s="641"/>
      <c r="Y163" s="641"/>
      <c r="Z163" s="641"/>
      <c r="AA163" s="641"/>
      <c r="AB163" s="641"/>
      <c r="AC163" s="641"/>
      <c r="AD163" s="641"/>
      <c r="AE163" s="641"/>
      <c r="AF163" s="641"/>
      <c r="AG163" s="641"/>
      <c r="AH163" s="641"/>
      <c r="AI163" s="641"/>
      <c r="AJ163" s="641"/>
      <c r="AK163" s="641"/>
      <c r="AL163" s="641"/>
      <c r="AM163" s="641"/>
      <c r="AN163" s="641"/>
      <c r="AO163" s="641"/>
      <c r="AP163" s="641"/>
      <c r="AQ163" s="641"/>
      <c r="AR163" s="641"/>
      <c r="AS163" s="641"/>
      <c r="AT163" s="641"/>
      <c r="AU163" s="641"/>
      <c r="AV163" s="641"/>
      <c r="AW163" s="641"/>
      <c r="AX163" s="641"/>
      <c r="AY163" s="641"/>
      <c r="AZ163" s="641"/>
      <c r="BA163" s="641"/>
      <c r="BB163" s="641"/>
      <c r="BC163" s="641"/>
      <c r="BD163" s="641"/>
      <c r="BE163" s="641"/>
    </row>
    <row r="164" spans="1:57" ht="15">
      <c r="A164" s="688" t="s">
        <v>284</v>
      </c>
      <c r="B164" s="641"/>
      <c r="C164" s="641"/>
      <c r="D164" s="641"/>
      <c r="E164" s="641"/>
      <c r="F164" s="641"/>
      <c r="G164" s="641"/>
      <c r="H164" s="641"/>
      <c r="I164" s="641"/>
      <c r="J164" s="641"/>
      <c r="K164" s="641"/>
      <c r="L164" s="641"/>
      <c r="M164" s="641"/>
      <c r="N164" s="641"/>
      <c r="O164" s="641"/>
      <c r="P164" s="641"/>
      <c r="Q164" s="641"/>
      <c r="R164" s="641"/>
      <c r="S164" s="641"/>
      <c r="T164" s="641"/>
      <c r="U164" s="641"/>
      <c r="V164" s="641"/>
      <c r="W164" s="641"/>
      <c r="X164" s="641"/>
      <c r="Y164" s="641"/>
      <c r="Z164" s="641"/>
      <c r="AA164" s="641"/>
      <c r="AB164" s="641"/>
      <c r="AC164" s="641"/>
      <c r="AD164" s="641"/>
      <c r="AE164" s="641"/>
      <c r="AF164" s="641"/>
      <c r="AG164" s="641"/>
      <c r="AH164" s="641"/>
      <c r="AI164" s="641"/>
      <c r="AJ164" s="641"/>
      <c r="AK164" s="641"/>
      <c r="AL164" s="641"/>
      <c r="AM164" s="641"/>
      <c r="AN164" s="641"/>
      <c r="AO164" s="641"/>
      <c r="AP164" s="641"/>
      <c r="AQ164" s="641"/>
      <c r="AR164" s="641"/>
      <c r="AS164" s="641"/>
      <c r="AT164" s="641"/>
      <c r="AU164" s="641"/>
      <c r="AV164" s="641"/>
      <c r="AW164" s="641"/>
      <c r="AX164" s="641"/>
      <c r="AY164" s="641"/>
      <c r="AZ164" s="641"/>
      <c r="BA164" s="641"/>
      <c r="BB164" s="641"/>
      <c r="BC164" s="641"/>
      <c r="BD164" s="641"/>
      <c r="BE164" s="641"/>
    </row>
    <row r="165" spans="1:57" ht="15">
      <c r="A165" s="654" t="s">
        <v>284</v>
      </c>
      <c r="B165" s="641"/>
      <c r="C165" s="691" t="s">
        <v>179</v>
      </c>
      <c r="D165" s="2818"/>
      <c r="E165" s="2819"/>
      <c r="F165" s="2819"/>
      <c r="G165" s="2819"/>
      <c r="H165" s="2819"/>
      <c r="I165" s="2819"/>
      <c r="J165" s="2819"/>
      <c r="K165" s="2819"/>
      <c r="L165" s="2819"/>
      <c r="M165" s="2819"/>
      <c r="N165" s="2819"/>
      <c r="O165" s="2819"/>
      <c r="P165" s="2819"/>
      <c r="Q165" s="2819"/>
      <c r="R165" s="2820"/>
      <c r="S165" s="641"/>
      <c r="T165" s="641"/>
      <c r="U165" s="641"/>
      <c r="V165" s="641"/>
      <c r="W165" s="641"/>
      <c r="X165" s="641"/>
      <c r="Y165" s="641"/>
      <c r="Z165" s="641"/>
      <c r="AA165" s="641"/>
      <c r="AB165" s="641"/>
      <c r="AC165" s="641"/>
      <c r="AD165" s="641"/>
      <c r="AE165" s="641"/>
      <c r="AF165" s="641"/>
      <c r="AG165" s="641"/>
      <c r="AH165" s="641"/>
      <c r="AI165" s="641"/>
      <c r="AJ165" s="641"/>
      <c r="AK165" s="641"/>
      <c r="AL165" s="641"/>
      <c r="AM165" s="641"/>
      <c r="AN165" s="641"/>
      <c r="AO165" s="641"/>
      <c r="AP165" s="641"/>
      <c r="AQ165" s="641"/>
      <c r="AR165" s="641"/>
      <c r="AS165" s="641"/>
      <c r="AT165" s="641"/>
      <c r="AU165" s="641"/>
      <c r="AV165" s="641"/>
      <c r="AW165" s="641"/>
      <c r="AX165" s="641"/>
      <c r="AY165" s="641"/>
      <c r="AZ165" s="641"/>
      <c r="BA165" s="641"/>
      <c r="BB165" s="641"/>
      <c r="BC165" s="641"/>
      <c r="BD165" s="641"/>
      <c r="BE165" s="641"/>
    </row>
    <row r="166" spans="1:57" ht="15">
      <c r="A166" s="654" t="s">
        <v>284</v>
      </c>
      <c r="B166" s="641"/>
      <c r="C166" s="641"/>
      <c r="D166" s="2818"/>
      <c r="E166" s="2819"/>
      <c r="F166" s="2819"/>
      <c r="G166" s="2819"/>
      <c r="H166" s="2819"/>
      <c r="I166" s="2819"/>
      <c r="J166" s="2819"/>
      <c r="K166" s="2819"/>
      <c r="L166" s="2819"/>
      <c r="M166" s="2819"/>
      <c r="N166" s="2819"/>
      <c r="O166" s="2819"/>
      <c r="P166" s="2819"/>
      <c r="Q166" s="2819"/>
      <c r="R166" s="2820"/>
      <c r="S166" s="641"/>
      <c r="T166" s="641"/>
      <c r="U166" s="641"/>
      <c r="V166" s="641"/>
      <c r="W166" s="641"/>
      <c r="X166" s="641"/>
      <c r="Y166" s="641"/>
      <c r="Z166" s="641"/>
      <c r="AA166" s="641"/>
      <c r="AB166" s="641"/>
      <c r="AC166" s="641"/>
      <c r="AD166" s="641"/>
      <c r="AE166" s="641"/>
      <c r="AF166" s="641"/>
      <c r="AG166" s="641"/>
      <c r="AH166" s="641"/>
      <c r="AI166" s="641"/>
      <c r="AJ166" s="641"/>
      <c r="AK166" s="641"/>
      <c r="AL166" s="641"/>
      <c r="AM166" s="641"/>
      <c r="AN166" s="641"/>
      <c r="AO166" s="641"/>
      <c r="AP166" s="641"/>
      <c r="AQ166" s="641"/>
      <c r="AR166" s="641"/>
      <c r="AS166" s="641"/>
      <c r="AT166" s="641"/>
      <c r="AU166" s="641"/>
      <c r="AV166" s="641"/>
      <c r="AW166" s="641"/>
      <c r="AX166" s="641"/>
      <c r="AY166" s="641"/>
      <c r="AZ166" s="641"/>
      <c r="BA166" s="641"/>
      <c r="BB166" s="641"/>
      <c r="BC166" s="641"/>
      <c r="BD166" s="641"/>
      <c r="BE166" s="641"/>
    </row>
    <row r="167" spans="1:57" ht="15">
      <c r="A167" s="654" t="s">
        <v>284</v>
      </c>
      <c r="B167" s="641"/>
      <c r="C167" s="641"/>
      <c r="D167" s="2818"/>
      <c r="E167" s="2819"/>
      <c r="F167" s="2819"/>
      <c r="G167" s="2819"/>
      <c r="H167" s="2819"/>
      <c r="I167" s="2819"/>
      <c r="J167" s="2819"/>
      <c r="K167" s="2819"/>
      <c r="L167" s="2819"/>
      <c r="M167" s="2819"/>
      <c r="N167" s="2819"/>
      <c r="O167" s="2819"/>
      <c r="P167" s="2819"/>
      <c r="Q167" s="2819"/>
      <c r="R167" s="2820"/>
      <c r="S167" s="641"/>
      <c r="T167" s="641"/>
      <c r="U167" s="641"/>
      <c r="V167" s="641"/>
      <c r="W167" s="641"/>
      <c r="X167" s="641"/>
      <c r="Y167" s="641"/>
      <c r="Z167" s="641"/>
      <c r="AA167" s="641"/>
      <c r="AB167" s="641"/>
      <c r="AC167" s="641"/>
      <c r="AD167" s="641"/>
      <c r="AE167" s="641"/>
      <c r="AF167" s="641"/>
      <c r="AG167" s="641"/>
      <c r="AH167" s="641"/>
      <c r="AI167" s="641"/>
      <c r="AJ167" s="641"/>
      <c r="AK167" s="641"/>
      <c r="AL167" s="641"/>
      <c r="AM167" s="641"/>
      <c r="AN167" s="641"/>
      <c r="AO167" s="641"/>
      <c r="AP167" s="641"/>
      <c r="AQ167" s="641"/>
      <c r="AR167" s="641"/>
      <c r="AS167" s="641"/>
      <c r="AT167" s="641"/>
      <c r="AU167" s="641"/>
      <c r="AV167" s="641"/>
      <c r="AW167" s="641"/>
      <c r="AX167" s="641"/>
      <c r="AY167" s="641"/>
      <c r="AZ167" s="641"/>
      <c r="BA167" s="641"/>
      <c r="BB167" s="641"/>
      <c r="BC167" s="641"/>
      <c r="BD167" s="641"/>
      <c r="BE167" s="641"/>
    </row>
    <row r="168" spans="1:57" ht="15">
      <c r="A168" s="654" t="s">
        <v>284</v>
      </c>
      <c r="B168" s="641"/>
      <c r="C168" s="641"/>
      <c r="D168" s="641"/>
      <c r="E168" s="641"/>
      <c r="F168" s="641"/>
      <c r="G168" s="641"/>
      <c r="H168" s="641"/>
      <c r="I168" s="641"/>
      <c r="J168" s="641"/>
      <c r="K168" s="641"/>
      <c r="L168" s="641"/>
      <c r="M168" s="641"/>
      <c r="N168" s="641"/>
      <c r="O168" s="641"/>
      <c r="P168" s="641"/>
      <c r="Q168" s="641"/>
      <c r="R168" s="641"/>
      <c r="S168" s="641"/>
      <c r="T168" s="641"/>
      <c r="U168" s="641"/>
      <c r="V168" s="641"/>
      <c r="W168" s="641"/>
      <c r="X168" s="641"/>
      <c r="Y168" s="641"/>
      <c r="Z168" s="641"/>
      <c r="AA168" s="641"/>
      <c r="AB168" s="641"/>
      <c r="AC168" s="641"/>
      <c r="AD168" s="641"/>
      <c r="AE168" s="641"/>
      <c r="AF168" s="641"/>
      <c r="AG168" s="641"/>
      <c r="AH168" s="641"/>
      <c r="AI168" s="641"/>
      <c r="AJ168" s="641"/>
      <c r="AK168" s="641"/>
      <c r="AL168" s="641"/>
      <c r="AM168" s="641"/>
      <c r="AN168" s="641"/>
      <c r="AO168" s="641"/>
      <c r="AP168" s="641"/>
      <c r="AQ168" s="641"/>
      <c r="AR168" s="641"/>
      <c r="AS168" s="641"/>
      <c r="AT168" s="641"/>
      <c r="AU168" s="641"/>
      <c r="AV168" s="641"/>
      <c r="AW168" s="641"/>
      <c r="AX168" s="641"/>
      <c r="AY168" s="641"/>
      <c r="AZ168" s="641"/>
      <c r="BA168" s="641"/>
      <c r="BB168" s="641"/>
      <c r="BC168" s="641"/>
      <c r="BD168" s="641"/>
      <c r="BE168" s="641"/>
    </row>
    <row r="169" spans="1:57" ht="15">
      <c r="A169" s="654" t="s">
        <v>284</v>
      </c>
      <c r="B169" s="641"/>
      <c r="C169" s="641"/>
      <c r="D169" s="641"/>
      <c r="E169" s="641"/>
      <c r="F169" s="641"/>
      <c r="G169" s="641"/>
      <c r="H169" s="641"/>
      <c r="I169" s="641"/>
      <c r="J169" s="641"/>
      <c r="K169" s="641"/>
      <c r="L169" s="641"/>
      <c r="M169" s="641"/>
      <c r="N169" s="641"/>
      <c r="O169" s="641"/>
      <c r="P169" s="641"/>
      <c r="Q169" s="641"/>
      <c r="R169" s="641"/>
      <c r="S169" s="641"/>
      <c r="T169" s="641"/>
      <c r="U169" s="641"/>
      <c r="V169" s="641"/>
      <c r="W169" s="641"/>
      <c r="X169" s="641"/>
      <c r="Y169" s="641"/>
      <c r="Z169" s="641"/>
      <c r="AA169" s="641"/>
      <c r="AB169" s="641"/>
      <c r="AC169" s="641"/>
      <c r="AD169" s="641"/>
      <c r="AE169" s="641"/>
      <c r="AF169" s="641"/>
      <c r="AG169" s="641"/>
      <c r="AH169" s="641"/>
      <c r="AI169" s="641"/>
      <c r="AJ169" s="641"/>
      <c r="AK169" s="641"/>
      <c r="AL169" s="641"/>
      <c r="AM169" s="641"/>
      <c r="AN169" s="641"/>
      <c r="AO169" s="641"/>
      <c r="AP169" s="641"/>
      <c r="AQ169" s="641"/>
      <c r="AR169" s="641"/>
      <c r="AS169" s="641"/>
      <c r="AT169" s="641"/>
      <c r="AU169" s="641"/>
      <c r="AV169" s="641"/>
      <c r="AW169" s="641"/>
      <c r="AX169" s="641"/>
      <c r="AY169" s="641"/>
      <c r="AZ169" s="641"/>
      <c r="BA169" s="641"/>
      <c r="BB169" s="641"/>
      <c r="BC169" s="641"/>
      <c r="BD169" s="641"/>
      <c r="BE169" s="641"/>
    </row>
    <row r="170" spans="1:57" ht="15">
      <c r="A170" s="654" t="s">
        <v>284</v>
      </c>
      <c r="B170" s="641"/>
      <c r="C170" s="641"/>
      <c r="D170" s="641"/>
      <c r="E170" s="641"/>
      <c r="F170" s="641"/>
      <c r="G170" s="641"/>
      <c r="H170" s="641"/>
      <c r="I170" s="641"/>
      <c r="J170" s="641"/>
      <c r="K170" s="641"/>
      <c r="L170" s="641"/>
      <c r="M170" s="641"/>
      <c r="N170" s="641"/>
      <c r="O170" s="641"/>
      <c r="P170" s="641"/>
      <c r="Q170" s="641"/>
      <c r="R170" s="641"/>
      <c r="S170" s="641"/>
      <c r="T170" s="641"/>
      <c r="U170" s="641"/>
      <c r="V170" s="641"/>
      <c r="W170" s="641"/>
      <c r="X170" s="641"/>
      <c r="Y170" s="641"/>
      <c r="Z170" s="641"/>
      <c r="AA170" s="641"/>
      <c r="AB170" s="641"/>
      <c r="AC170" s="641"/>
      <c r="AD170" s="641"/>
      <c r="AE170" s="641"/>
      <c r="AF170" s="641"/>
      <c r="AG170" s="641"/>
      <c r="AH170" s="641"/>
      <c r="AI170" s="641"/>
      <c r="AJ170" s="641"/>
      <c r="AK170" s="641"/>
      <c r="AL170" s="641"/>
      <c r="AM170" s="641"/>
      <c r="AN170" s="641"/>
      <c r="AO170" s="641"/>
      <c r="AP170" s="641"/>
      <c r="AQ170" s="641"/>
      <c r="AR170" s="641"/>
      <c r="AS170" s="641"/>
      <c r="AT170" s="641"/>
      <c r="AU170" s="641"/>
      <c r="AV170" s="641"/>
      <c r="AW170" s="641"/>
      <c r="AX170" s="641"/>
      <c r="AY170" s="641"/>
      <c r="AZ170" s="641"/>
      <c r="BA170" s="641"/>
      <c r="BB170" s="641"/>
      <c r="BC170" s="641"/>
      <c r="BD170" s="641"/>
      <c r="BE170" s="641"/>
    </row>
    <row r="171" spans="1:57" ht="15">
      <c r="A171" s="654" t="s">
        <v>284</v>
      </c>
      <c r="B171" s="641"/>
      <c r="C171" s="2807" t="str">
        <f>CHENG</f>
        <v>CANO ARTHUR D. CADAVOS</v>
      </c>
      <c r="D171" s="2807"/>
      <c r="E171" s="2807"/>
      <c r="F171" s="641"/>
      <c r="G171" s="641"/>
      <c r="H171" s="641"/>
      <c r="I171" s="641"/>
      <c r="J171" s="2808" t="str">
        <f>SURVEYOR</f>
        <v>MEHMET EROĞLU</v>
      </c>
      <c r="K171" s="2808"/>
      <c r="L171" s="2808"/>
      <c r="M171" s="2808"/>
      <c r="N171" s="641"/>
      <c r="O171" s="641"/>
      <c r="P171" s="641"/>
      <c r="Q171" s="2808" t="str">
        <f>MASTER</f>
        <v>ESTORES KENNETH CABANIG</v>
      </c>
      <c r="R171" s="2808"/>
      <c r="S171" s="2808"/>
      <c r="T171" s="2808"/>
      <c r="U171" s="641"/>
      <c r="V171" s="641"/>
      <c r="W171" s="641"/>
      <c r="X171" s="641"/>
      <c r="Y171" s="641"/>
      <c r="Z171" s="641"/>
      <c r="AA171" s="641"/>
      <c r="AB171" s="641"/>
      <c r="AC171" s="641"/>
      <c r="AD171" s="641"/>
      <c r="AE171" s="641"/>
      <c r="AF171" s="641"/>
      <c r="AG171" s="641"/>
      <c r="AH171" s="641"/>
      <c r="AI171" s="641"/>
      <c r="AJ171" s="641"/>
      <c r="AK171" s="641"/>
      <c r="AL171" s="641"/>
      <c r="AM171" s="641"/>
      <c r="AN171" s="641"/>
      <c r="AO171" s="641"/>
      <c r="AP171" s="641"/>
      <c r="AQ171" s="641"/>
      <c r="AR171" s="641"/>
      <c r="AS171" s="641"/>
      <c r="AT171" s="641"/>
      <c r="AU171" s="641"/>
      <c r="AV171" s="641"/>
      <c r="AW171" s="641"/>
      <c r="AX171" s="641"/>
      <c r="AY171" s="641"/>
      <c r="AZ171" s="641"/>
      <c r="BA171" s="641"/>
      <c r="BB171" s="641"/>
      <c r="BC171" s="641"/>
      <c r="BD171" s="641"/>
      <c r="BE171" s="641"/>
    </row>
    <row r="172" spans="1:57" ht="15">
      <c r="A172" s="654" t="s">
        <v>284</v>
      </c>
      <c r="B172" s="641"/>
      <c r="C172" s="2379" t="s">
        <v>15</v>
      </c>
      <c r="D172" s="2379"/>
      <c r="E172" s="2379"/>
      <c r="F172" s="641"/>
      <c r="G172" s="641"/>
      <c r="H172" s="641"/>
      <c r="I172" s="641"/>
      <c r="J172" s="2374" t="str">
        <f>"Bunker Surveyor"&amp;IF(SPORE=TRUE,", License No. "&amp;SURVLIC,"")</f>
        <v>Bunker Surveyor</v>
      </c>
      <c r="K172" s="2374"/>
      <c r="L172" s="2374"/>
      <c r="M172" s="2374"/>
      <c r="N172" s="641"/>
      <c r="O172" s="641"/>
      <c r="P172" s="641"/>
      <c r="Q172" s="2374" t="s">
        <v>1289</v>
      </c>
      <c r="R172" s="2374"/>
      <c r="S172" s="2374"/>
      <c r="T172" s="2374"/>
      <c r="U172" s="641"/>
      <c r="V172" s="641"/>
      <c r="W172" s="641"/>
      <c r="X172" s="641"/>
      <c r="Y172" s="641"/>
      <c r="Z172" s="641"/>
      <c r="AA172" s="641"/>
      <c r="AB172" s="641"/>
      <c r="AC172" s="641"/>
      <c r="AD172" s="641"/>
      <c r="AE172" s="641"/>
      <c r="AF172" s="641"/>
      <c r="AG172" s="641"/>
      <c r="AH172" s="641"/>
      <c r="AI172" s="641"/>
      <c r="AJ172" s="641"/>
      <c r="AK172" s="641"/>
      <c r="AL172" s="641"/>
      <c r="AM172" s="641"/>
      <c r="AN172" s="641"/>
      <c r="AO172" s="641"/>
      <c r="AP172" s="641"/>
      <c r="AQ172" s="641"/>
      <c r="AR172" s="641"/>
      <c r="AS172" s="641"/>
      <c r="AT172" s="641"/>
      <c r="AU172" s="641"/>
      <c r="AV172" s="641"/>
      <c r="AW172" s="641"/>
      <c r="AX172" s="641"/>
      <c r="AY172" s="641"/>
      <c r="AZ172" s="641"/>
      <c r="BA172" s="641"/>
      <c r="BB172" s="641"/>
      <c r="BC172" s="641"/>
      <c r="BD172" s="641"/>
      <c r="BE172" s="641"/>
    </row>
    <row r="173" spans="1:57" ht="1.5" customHeight="1">
      <c r="A173" s="641"/>
      <c r="B173" s="641"/>
      <c r="C173" s="641"/>
      <c r="D173" s="641"/>
      <c r="E173" s="641"/>
      <c r="F173" s="641"/>
      <c r="G173" s="641"/>
      <c r="H173" s="641"/>
      <c r="I173" s="641"/>
      <c r="J173" s="641"/>
      <c r="K173" s="641"/>
      <c r="L173" s="641"/>
      <c r="M173" s="641"/>
      <c r="N173" s="641"/>
      <c r="O173" s="641"/>
      <c r="P173" s="641"/>
      <c r="Q173" s="641"/>
      <c r="R173" s="641"/>
      <c r="S173" s="641"/>
      <c r="T173" s="641"/>
      <c r="U173" s="641"/>
      <c r="V173" s="641"/>
      <c r="W173" s="641"/>
      <c r="X173" s="641"/>
      <c r="Y173" s="641"/>
      <c r="Z173" s="641"/>
      <c r="AA173" s="641"/>
      <c r="AB173" s="641"/>
      <c r="AC173" s="641"/>
      <c r="AD173" s="641"/>
      <c r="AE173" s="641"/>
      <c r="AF173" s="641"/>
      <c r="AG173" s="641"/>
      <c r="AH173" s="641"/>
      <c r="AI173" s="641"/>
      <c r="AJ173" s="641"/>
      <c r="AK173" s="641"/>
      <c r="AL173" s="641"/>
      <c r="AM173" s="641"/>
      <c r="AN173" s="641"/>
      <c r="AO173" s="641"/>
      <c r="AP173" s="641"/>
      <c r="AQ173" s="641"/>
      <c r="AR173" s="641"/>
      <c r="AS173" s="641"/>
      <c r="AT173" s="641"/>
      <c r="AU173" s="641"/>
      <c r="AV173" s="641"/>
      <c r="AW173" s="641"/>
      <c r="AX173" s="641"/>
      <c r="AY173" s="641"/>
      <c r="AZ173" s="641"/>
      <c r="BA173" s="641"/>
      <c r="BB173" s="641"/>
      <c r="BC173" s="641"/>
      <c r="BD173" s="641"/>
      <c r="BE173" s="641"/>
    </row>
  </sheetData>
  <sheetProtection autoFilter="0"/>
  <autoFilter ref="A17:A172" xr:uid="{00000000-0009-0000-0000-000020000000}">
    <filterColumn colId="0">
      <filters>
        <filter val="Y"/>
      </filters>
    </filterColumn>
  </autoFilter>
  <mergeCells count="29">
    <mergeCell ref="S11:T11"/>
    <mergeCell ref="D14:F14"/>
    <mergeCell ref="D167:R167"/>
    <mergeCell ref="C171:E171"/>
    <mergeCell ref="C21:D21"/>
    <mergeCell ref="E21:I21"/>
    <mergeCell ref="C44:D44"/>
    <mergeCell ref="E44:I44"/>
    <mergeCell ref="C67:D67"/>
    <mergeCell ref="E67:I67"/>
    <mergeCell ref="J171:M171"/>
    <mergeCell ref="D166:R166"/>
    <mergeCell ref="D165:R165"/>
    <mergeCell ref="C90:D90"/>
    <mergeCell ref="E90:I90"/>
    <mergeCell ref="C113:D113"/>
    <mergeCell ref="E113:I113"/>
    <mergeCell ref="C136:D136"/>
    <mergeCell ref="E136:I136"/>
    <mergeCell ref="S160:T160"/>
    <mergeCell ref="C172:E172"/>
    <mergeCell ref="J172:M172"/>
    <mergeCell ref="Q171:T171"/>
    <mergeCell ref="Q172:T172"/>
    <mergeCell ref="C9:E9"/>
    <mergeCell ref="D11:F11"/>
    <mergeCell ref="D12:F12"/>
    <mergeCell ref="I12:O13"/>
    <mergeCell ref="D13:F13"/>
  </mergeCells>
  <dataValidations count="1">
    <dataValidation type="list" allowBlank="1" showInputMessage="1" showErrorMessage="1" prompt="Choose remarks from list, or edit yours." sqref="D165:R167" xr:uid="{00000000-0002-0000-2000-000000000000}">
      <formula1>REMCOL</formula1>
    </dataValidation>
  </dataValidations>
  <hyperlinks>
    <hyperlink ref="C165" location="REMCODE" display="Remarks:" xr:uid="{00000000-0004-0000-2000-000000000000}"/>
  </hyperlinks>
  <printOptions horizontalCentered="1"/>
  <pageMargins left="0.3" right="0.3" top="0.2" bottom="0.3" header="0.3" footer="0.1"/>
  <pageSetup paperSize="9" scale="64" orientation="portrait" horizontalDpi="4294967293" r:id="rId1"/>
  <headerFooter scaleWithDoc="0">
    <oddFooter>&amp;L&amp;8BunkerManager, v1.12&amp;C&amp;8by AMS-Marine | www.ams-marine.com&amp;R&amp;8RefNo: PI/2022/15000/TR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2980" r:id="rId4" name="List Box 4">
              <controlPr defaultSize="0" print="0" autoLine="0" autoPict="0" macro="[0]!BEEPER">
                <anchor moveWithCells="1">
                  <from>
                    <xdr:col>10</xdr:col>
                    <xdr:colOff>142875</xdr:colOff>
                    <xdr:row>13</xdr:row>
                    <xdr:rowOff>38100</xdr:rowOff>
                  </from>
                  <to>
                    <xdr:col>13</xdr:col>
                    <xdr:colOff>219075</xdr:colOff>
                    <xdr:row>14</xdr:row>
                    <xdr:rowOff>133350</xdr:rowOff>
                  </to>
                </anchor>
              </controlPr>
            </control>
          </mc:Choice>
        </mc:AlternateContent>
        <mc:AlternateContent xmlns:mc="http://schemas.openxmlformats.org/markup-compatibility/2006">
          <mc:Choice Requires="x14">
            <control shapeId="382981" r:id="rId5" name="List Box 5">
              <controlPr defaultSize="0" print="0" autoLine="0" autoPict="0" macro="[0]!CHOOSEGRADE">
                <anchor moveWithCells="1">
                  <from>
                    <xdr:col>8</xdr:col>
                    <xdr:colOff>9525</xdr:colOff>
                    <xdr:row>13</xdr:row>
                    <xdr:rowOff>9525</xdr:rowOff>
                  </from>
                  <to>
                    <xdr:col>9</xdr:col>
                    <xdr:colOff>523875</xdr:colOff>
                    <xdr:row>15</xdr:row>
                    <xdr:rowOff>38100</xdr:rowOff>
                  </to>
                </anchor>
              </controlPr>
            </control>
          </mc:Choice>
        </mc:AlternateContent>
        <mc:AlternateContent xmlns:mc="http://schemas.openxmlformats.org/markup-compatibility/2006">
          <mc:Choice Requires="x14">
            <control shapeId="382982" r:id="rId6" name="List Box 6">
              <controlPr defaultSize="0" print="0" autoLine="0" autoPict="0" macro="[0]!BEEPER">
                <anchor moveWithCells="1">
                  <from>
                    <xdr:col>14</xdr:col>
                    <xdr:colOff>28575</xdr:colOff>
                    <xdr:row>13</xdr:row>
                    <xdr:rowOff>38100</xdr:rowOff>
                  </from>
                  <to>
                    <xdr:col>15</xdr:col>
                    <xdr:colOff>0</xdr:colOff>
                    <xdr:row>14</xdr:row>
                    <xdr:rowOff>133350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42">
    <tabColor rgb="FFFF0000"/>
    <pageSetUpPr fitToPage="1"/>
  </sheetPr>
  <dimension ref="A1:M102"/>
  <sheetViews>
    <sheetView showGridLines="0" showRowColHeaders="0" topLeftCell="A8" zoomScaleNormal="100" zoomScaleSheetLayoutView="100" workbookViewId="0">
      <pane ySplit="10" topLeftCell="A39" activePane="bottomLeft" state="frozen"/>
      <selection pane="bottomLeft" activeCell="I28" sqref="I28"/>
    </sheetView>
  </sheetViews>
  <sheetFormatPr defaultColWidth="0" defaultRowHeight="13.5" zeroHeight="1"/>
  <cols>
    <col min="1" max="1" width="8" style="11" customWidth="1"/>
    <col min="2" max="2" width="9" style="11" customWidth="1"/>
    <col min="3" max="3" width="12.375" style="11" customWidth="1"/>
    <col min="4" max="4" width="11" style="11" customWidth="1"/>
    <col min="5" max="5" width="8.125" style="11" customWidth="1"/>
    <col min="6" max="6" width="2.25" style="11" customWidth="1"/>
    <col min="7" max="12" width="9.125" style="11" customWidth="1"/>
    <col min="13" max="13" width="0.375" style="11" customWidth="1"/>
    <col min="14" max="16384" width="9" style="11" hidden="1"/>
  </cols>
  <sheetData>
    <row r="1" spans="1:13">
      <c r="A1" s="1"/>
      <c r="B1" s="1"/>
      <c r="C1" s="1"/>
      <c r="D1" s="1"/>
      <c r="E1" s="1"/>
      <c r="F1" s="1"/>
      <c r="G1" s="1"/>
      <c r="H1" s="1"/>
      <c r="I1" s="1"/>
      <c r="J1" s="1"/>
      <c r="K1" s="1"/>
      <c r="L1" s="1"/>
      <c r="M1" s="1"/>
    </row>
    <row r="2" spans="1:13">
      <c r="A2" s="1"/>
      <c r="B2" s="1"/>
      <c r="C2" s="1"/>
      <c r="D2" s="1"/>
      <c r="E2" s="1"/>
      <c r="F2" s="1"/>
      <c r="G2" s="1"/>
      <c r="H2" s="1"/>
      <c r="I2" s="1"/>
      <c r="J2" s="1"/>
      <c r="K2" s="1"/>
      <c r="L2" s="1"/>
      <c r="M2" s="1"/>
    </row>
    <row r="3" spans="1:13">
      <c r="A3" s="1"/>
      <c r="B3" s="1"/>
      <c r="C3" s="1"/>
      <c r="D3" s="1"/>
      <c r="E3" s="1"/>
      <c r="F3" s="1"/>
      <c r="G3" s="1"/>
      <c r="H3" s="1"/>
      <c r="I3" s="1"/>
      <c r="J3" s="1"/>
      <c r="K3" s="1"/>
      <c r="L3" s="1"/>
      <c r="M3" s="1"/>
    </row>
    <row r="4" spans="1:13" ht="18">
      <c r="A4" s="1"/>
      <c r="B4" s="1"/>
      <c r="C4" s="1"/>
      <c r="D4" s="1"/>
      <c r="E4" s="1"/>
      <c r="F4" s="1"/>
      <c r="G4" s="1"/>
      <c r="H4" s="1"/>
      <c r="I4" s="1"/>
      <c r="J4" s="1"/>
      <c r="K4" s="1"/>
      <c r="L4" s="5" t="str">
        <f>COMPANY1</f>
        <v>Petro Inspect International</v>
      </c>
      <c r="M4" s="1"/>
    </row>
    <row r="5" spans="1:13">
      <c r="A5" s="1"/>
      <c r="B5" s="1"/>
      <c r="C5" s="1"/>
      <c r="D5" s="1"/>
      <c r="E5" s="1"/>
      <c r="F5" s="1"/>
      <c r="G5" s="1"/>
      <c r="H5" s="1"/>
      <c r="I5" s="1"/>
      <c r="J5" s="1"/>
      <c r="K5" s="1"/>
      <c r="L5" s="3" t="str">
        <f>COMPANY2</f>
        <v>ops@petro-inspect.com</v>
      </c>
      <c r="M5" s="1"/>
    </row>
    <row r="6" spans="1:13">
      <c r="A6" s="1"/>
      <c r="B6" s="1"/>
      <c r="C6" s="1"/>
      <c r="D6" s="1"/>
      <c r="E6" s="1"/>
      <c r="F6" s="1"/>
      <c r="G6" s="1"/>
      <c r="H6" s="1"/>
      <c r="I6" s="1"/>
      <c r="J6" s="1"/>
      <c r="K6" s="1"/>
      <c r="L6" s="3" t="str">
        <f>COMPANY3</f>
        <v/>
      </c>
      <c r="M6" s="1"/>
    </row>
    <row r="7" spans="1:13">
      <c r="A7" s="1"/>
      <c r="B7" s="1"/>
      <c r="C7" s="1"/>
      <c r="D7" s="1"/>
      <c r="E7" s="1"/>
      <c r="F7" s="1"/>
      <c r="G7" s="1"/>
      <c r="H7" s="1"/>
      <c r="I7" s="1"/>
      <c r="J7" s="1"/>
      <c r="K7" s="1"/>
      <c r="L7" s="3" t="str">
        <f>COMPANY4</f>
        <v/>
      </c>
      <c r="M7" s="1"/>
    </row>
    <row r="8" spans="1:13" ht="3.75" customHeight="1" thickBot="1">
      <c r="A8" s="9"/>
      <c r="B8" s="9"/>
      <c r="C8" s="10"/>
      <c r="D8" s="9"/>
      <c r="E8" s="9"/>
      <c r="F8" s="9"/>
      <c r="G8" s="9"/>
      <c r="H8" s="9"/>
      <c r="I8" s="9"/>
      <c r="J8" s="9"/>
      <c r="K8" s="9"/>
      <c r="L8" s="9"/>
      <c r="M8" s="1"/>
    </row>
    <row r="9" spans="1:13" ht="3.75" customHeight="1">
      <c r="A9" s="44"/>
      <c r="B9" s="44"/>
      <c r="C9" s="44"/>
      <c r="D9" s="44"/>
      <c r="E9" s="44"/>
      <c r="F9" s="44"/>
      <c r="G9" s="44"/>
      <c r="H9" s="44"/>
      <c r="I9" s="44"/>
      <c r="J9" s="44"/>
      <c r="K9" s="44"/>
      <c r="L9" s="44"/>
      <c r="M9" s="1"/>
    </row>
    <row r="10" spans="1:13" ht="18.75">
      <c r="A10" s="203"/>
      <c r="B10" s="203"/>
      <c r="C10" s="203"/>
      <c r="D10" s="203"/>
      <c r="E10" s="203"/>
      <c r="F10" s="203" t="s">
        <v>551</v>
      </c>
      <c r="G10" s="203"/>
      <c r="H10" s="203"/>
      <c r="I10" s="203"/>
      <c r="J10" s="203"/>
      <c r="K10" s="203"/>
      <c r="L10" s="203"/>
      <c r="M10" s="1"/>
    </row>
    <row r="11" spans="1:13">
      <c r="M11" s="1"/>
    </row>
    <row r="12" spans="1:13">
      <c r="A12" s="42"/>
      <c r="B12" s="42"/>
      <c r="C12" s="42"/>
      <c r="D12" s="42"/>
      <c r="E12" s="42"/>
      <c r="F12" s="42"/>
      <c r="G12" s="41"/>
      <c r="H12" s="40"/>
      <c r="I12" s="40"/>
      <c r="J12" s="40"/>
      <c r="K12" s="40"/>
      <c r="L12" s="40"/>
      <c r="M12" s="1"/>
    </row>
    <row r="13" spans="1:13" ht="15" customHeight="1">
      <c r="A13" s="8" t="s">
        <v>9</v>
      </c>
      <c r="B13" s="8"/>
      <c r="C13" s="39" t="str">
        <f>VESSEL</f>
        <v>MV PESSADA</v>
      </c>
      <c r="D13" s="38"/>
      <c r="E13" s="1"/>
      <c r="F13" s="1"/>
      <c r="G13" s="1"/>
      <c r="H13" s="1"/>
      <c r="I13" s="37"/>
      <c r="J13" s="37"/>
      <c r="K13" s="37"/>
      <c r="L13" s="37"/>
      <c r="M13" s="1"/>
    </row>
    <row r="14" spans="1:13" ht="15" customHeight="1">
      <c r="A14" s="8" t="s">
        <v>46</v>
      </c>
      <c r="B14" s="8"/>
      <c r="C14" s="36" t="str">
        <f>PORT</f>
        <v>ISTANBUL / TURKEY</v>
      </c>
      <c r="D14" s="35"/>
      <c r="E14" s="33"/>
      <c r="F14" s="33"/>
      <c r="G14" s="33"/>
      <c r="H14" s="33"/>
      <c r="I14" s="33"/>
      <c r="J14" s="35"/>
      <c r="K14" s="35"/>
      <c r="L14" s="35"/>
      <c r="M14" s="1"/>
    </row>
    <row r="15" spans="1:13" ht="15" customHeight="1">
      <c r="A15" s="8" t="s">
        <v>44</v>
      </c>
      <c r="B15" s="8"/>
      <c r="C15" s="34">
        <f>DATESURVC</f>
        <v>44792</v>
      </c>
      <c r="D15" s="1"/>
      <c r="E15" s="1"/>
      <c r="F15" s="1"/>
      <c r="G15" s="1"/>
      <c r="H15" s="1"/>
      <c r="I15" s="1"/>
      <c r="J15" s="1"/>
      <c r="K15" s="1"/>
      <c r="L15" s="1"/>
      <c r="M15" s="1"/>
    </row>
    <row r="16" spans="1:13" ht="15" customHeight="1">
      <c r="A16" s="8" t="s">
        <v>42</v>
      </c>
      <c r="B16" s="8"/>
      <c r="C16" s="1438">
        <f>TIMESURVC</f>
        <v>0.27083333333333331</v>
      </c>
      <c r="D16" s="1"/>
      <c r="E16" s="1"/>
      <c r="F16" s="1"/>
      <c r="G16" s="1"/>
      <c r="H16" s="1"/>
      <c r="I16" s="1"/>
      <c r="J16" s="1"/>
      <c r="K16" s="1"/>
      <c r="L16" s="1"/>
      <c r="M16" s="1"/>
    </row>
    <row r="17" spans="1:13">
      <c r="A17" s="1"/>
      <c r="B17" s="1"/>
      <c r="C17" s="1"/>
      <c r="D17" s="1"/>
      <c r="E17" s="1"/>
      <c r="F17" s="1"/>
      <c r="G17" s="1"/>
      <c r="H17" s="1"/>
      <c r="I17" s="1"/>
      <c r="J17" s="1"/>
      <c r="K17" s="1"/>
      <c r="L17" s="1"/>
      <c r="M17" s="1"/>
    </row>
    <row r="18" spans="1:13" ht="15" customHeight="1">
      <c r="A18" s="3445" t="str">
        <f>CONCATENATE("This is to certify that the undersigned Marine Surveyor(s), representating ",COMPANY1,", carried out Bunker ROB Survey on above vessel in order to determine the amount of bunkers remaining on board."," All bunker tanks were carefully sounded in the presence of Chief Engineer and the following quantities found and agreed, as calculated from the vessel's calibration tables.")</f>
        <v>This is to certify that the undersigned Marine Surveyor(s), representating Petro Inspect International, carried out Bunker ROB Survey on above vessel in order to determine the amount of bunkers remaining on board. All bunker tanks were carefully sounded in the presence of Chief Engineer and the following quantities found and agreed, as calculated from the vessel's calibration tables.</v>
      </c>
      <c r="B18" s="3445"/>
      <c r="C18" s="3445"/>
      <c r="D18" s="3445"/>
      <c r="E18" s="3445"/>
      <c r="F18" s="3445"/>
      <c r="G18" s="3445"/>
      <c r="H18" s="3445"/>
      <c r="I18" s="3445"/>
      <c r="J18" s="3445"/>
      <c r="K18" s="3445"/>
      <c r="L18" s="3445"/>
      <c r="M18" s="28"/>
    </row>
    <row r="19" spans="1:13" ht="15">
      <c r="A19" s="3445"/>
      <c r="B19" s="3445"/>
      <c r="C19" s="3445"/>
      <c r="D19" s="3445"/>
      <c r="E19" s="3445"/>
      <c r="F19" s="3445"/>
      <c r="G19" s="3445"/>
      <c r="H19" s="3445"/>
      <c r="I19" s="3445"/>
      <c r="J19" s="3445"/>
      <c r="K19" s="3445"/>
      <c r="L19" s="3445"/>
      <c r="M19" s="28"/>
    </row>
    <row r="20" spans="1:13" ht="15">
      <c r="A20" s="3445"/>
      <c r="B20" s="3445"/>
      <c r="C20" s="3445"/>
      <c r="D20" s="3445"/>
      <c r="E20" s="3445"/>
      <c r="F20" s="3445"/>
      <c r="G20" s="3445"/>
      <c r="H20" s="3445"/>
      <c r="I20" s="3445"/>
      <c r="J20" s="3445"/>
      <c r="K20" s="3445"/>
      <c r="L20" s="3445"/>
      <c r="M20" s="28"/>
    </row>
    <row r="21" spans="1:13" ht="15">
      <c r="A21" s="3445"/>
      <c r="B21" s="3445"/>
      <c r="C21" s="3445"/>
      <c r="D21" s="3445"/>
      <c r="E21" s="3445"/>
      <c r="F21" s="3445"/>
      <c r="G21" s="3445"/>
      <c r="H21" s="3445"/>
      <c r="I21" s="3445"/>
      <c r="J21" s="3445"/>
      <c r="K21" s="3445"/>
      <c r="L21" s="3445"/>
      <c r="M21" s="28"/>
    </row>
    <row r="22" spans="1:13" ht="15">
      <c r="A22" s="3445"/>
      <c r="B22" s="3445"/>
      <c r="C22" s="3445"/>
      <c r="D22" s="3445"/>
      <c r="E22" s="3445"/>
      <c r="F22" s="3445"/>
      <c r="G22" s="3445"/>
      <c r="H22" s="3445"/>
      <c r="I22" s="3445"/>
      <c r="J22" s="3445"/>
      <c r="K22" s="3445"/>
      <c r="L22" s="3445"/>
      <c r="M22" s="28"/>
    </row>
    <row r="23" spans="1:13" ht="15">
      <c r="A23" s="29"/>
      <c r="B23" s="29"/>
      <c r="C23" s="29"/>
      <c r="D23" s="29"/>
      <c r="E23" s="29"/>
      <c r="F23" s="29"/>
      <c r="G23" s="29"/>
      <c r="H23" s="29"/>
      <c r="I23" s="29"/>
      <c r="J23" s="29"/>
      <c r="K23" s="29"/>
      <c r="L23" s="29"/>
      <c r="M23" s="28"/>
    </row>
    <row r="24" spans="1:13" ht="15" customHeight="1">
      <c r="A24" s="29"/>
      <c r="B24" s="29"/>
      <c r="C24" s="29"/>
      <c r="D24" s="29"/>
      <c r="E24" s="29"/>
      <c r="G24" s="427" t="str">
        <f>'Preliminary Report'!E1</f>
        <v>HSFO</v>
      </c>
      <c r="H24" s="428" t="str">
        <f>'Preliminary Report'!F1</f>
        <v>LSFO</v>
      </c>
      <c r="I24" s="428" t="str">
        <f>'Preliminary Report'!G1</f>
        <v>MDO</v>
      </c>
      <c r="J24" s="428" t="str">
        <f>'Preliminary Report'!H1</f>
        <v>LSMDO</v>
      </c>
      <c r="K24" s="428" t="str">
        <f>'Preliminary Report'!I1</f>
        <v>MGO</v>
      </c>
      <c r="L24" s="429" t="str">
        <f>'Preliminary Report'!J1</f>
        <v>LSMGO</v>
      </c>
      <c r="M24" s="28"/>
    </row>
    <row r="25" spans="1:13" s="407" customFormat="1" ht="11.25">
      <c r="A25" s="425"/>
      <c r="B25" s="425"/>
      <c r="C25" s="425"/>
      <c r="D25" s="425"/>
      <c r="E25" s="425"/>
      <c r="G25" s="430" t="str">
        <f>IF(G24="","","MT")</f>
        <v>MT</v>
      </c>
      <c r="H25" s="431" t="str">
        <f t="shared" ref="H25:L25" si="0">IF(H24="","","MT")</f>
        <v>MT</v>
      </c>
      <c r="I25" s="431" t="str">
        <f t="shared" si="0"/>
        <v>MT</v>
      </c>
      <c r="J25" s="431" t="str">
        <f t="shared" si="0"/>
        <v>MT</v>
      </c>
      <c r="K25" s="431" t="str">
        <f t="shared" si="0"/>
        <v>MT</v>
      </c>
      <c r="L25" s="432" t="str">
        <f t="shared" si="0"/>
        <v>MT</v>
      </c>
      <c r="M25" s="426"/>
    </row>
    <row r="26" spans="1:13" s="30" customFormat="1" ht="23.1" customHeight="1">
      <c r="A26" s="3446" t="s">
        <v>153</v>
      </c>
      <c r="B26" s="3447"/>
      <c r="C26" s="3448"/>
      <c r="D26" s="753">
        <f>IF('Ships Declaration'!D13="","",'Ships Declaration'!D13)</f>
        <v>44791</v>
      </c>
      <c r="E26" s="1439">
        <f>IF('Ships Declaration'!E13="","",'Ships Declaration'!E13)</f>
        <v>0.54166666666666663</v>
      </c>
      <c r="F26" s="30" t="s">
        <v>2</v>
      </c>
      <c r="G26" s="436">
        <f>IF(OR(G$24="",'Ships Declaration'!F13=""),"",'Ships Declaration'!F13)</f>
        <v>0</v>
      </c>
      <c r="H26" s="437">
        <f>IF(OR(H$24="",'Ships Declaration'!G13=""),"",'Ships Declaration'!G13)</f>
        <v>907.68</v>
      </c>
      <c r="I26" s="437">
        <f>IF(OR(I$24="",'Ships Declaration'!H13=""),"",'Ships Declaration'!H13)</f>
        <v>0</v>
      </c>
      <c r="J26" s="437">
        <f>IF(OR(J$24="",'Ships Declaration'!I13=""),"",'Ships Declaration'!I13)</f>
        <v>0</v>
      </c>
      <c r="K26" s="437">
        <f>IF(OR(K$24="",'Ships Declaration'!J13=""),"",'Ships Declaration'!J13)</f>
        <v>0</v>
      </c>
      <c r="L26" s="438">
        <f>IF(OR(L$24="",'Ships Declaration'!K13=""),"",'Ships Declaration'!K13)</f>
        <v>116.086</v>
      </c>
      <c r="M26" s="31"/>
    </row>
    <row r="27" spans="1:13" s="30" customFormat="1" ht="23.1" customHeight="1">
      <c r="A27" s="3449" t="s">
        <v>151</v>
      </c>
      <c r="B27" s="3450"/>
      <c r="C27" s="3451"/>
      <c r="D27" s="754">
        <f>IF('Ships Declaration'!D14="","",'Ships Declaration'!D14)</f>
        <v>44792</v>
      </c>
      <c r="E27" s="1440">
        <f>IF('Ships Declaration'!E14="","",'Ships Declaration'!E14)</f>
        <v>0.22500000000000001</v>
      </c>
      <c r="F27" s="30" t="s">
        <v>2</v>
      </c>
      <c r="G27" s="439">
        <f>IF(OR(G$24="",'Ships Declaration'!F14=""),"",'Ships Declaration'!F14)</f>
        <v>0</v>
      </c>
      <c r="H27" s="440">
        <f>IF(OR(H$24="",'Ships Declaration'!G14=""),"",'Ships Declaration'!G14)</f>
        <v>902.24</v>
      </c>
      <c r="I27" s="440">
        <f>IF(OR(I$24="",'Ships Declaration'!H14=""),"",'Ships Declaration'!H14)</f>
        <v>0</v>
      </c>
      <c r="J27" s="440">
        <f>IF(OR(J$24="",'Ships Declaration'!I14=""),"",'Ships Declaration'!I14)</f>
        <v>0</v>
      </c>
      <c r="K27" s="440">
        <f>IF(OR(K$24="",'Ships Declaration'!J14=""),"",'Ships Declaration'!J14)</f>
        <v>0</v>
      </c>
      <c r="L27" s="441">
        <f>IF(OR(L$24="",'Ships Declaration'!K14=""),"",'Ships Declaration'!K14)</f>
        <v>116.086</v>
      </c>
      <c r="M27" s="31"/>
    </row>
    <row r="28" spans="1:13" s="30" customFormat="1" ht="21.75" customHeight="1">
      <c r="A28" s="3449" t="s">
        <v>152</v>
      </c>
      <c r="B28" s="3450"/>
      <c r="C28" s="3451"/>
      <c r="D28" s="754">
        <f>IF('Ships Declaration'!D15="","",'Ships Declaration'!D15)</f>
        <v>44792</v>
      </c>
      <c r="E28" s="1440">
        <f>IF('Ships Declaration'!E15="","",'Ships Declaration'!E15)</f>
        <v>0.22500000000000001</v>
      </c>
      <c r="F28" s="30" t="s">
        <v>2</v>
      </c>
      <c r="G28" s="439">
        <f>IF(OR(G$24="",'Ships Declaration'!F15=""),"",'Ships Declaration'!F15)</f>
        <v>0</v>
      </c>
      <c r="H28" s="440">
        <f>IF(OR(H$24="",'Ships Declaration'!G15=""),"",'Ships Declaration'!G15)</f>
        <v>902.24</v>
      </c>
      <c r="I28" s="440">
        <f>IF(OR(I$24="",'Ships Declaration'!H15=""),"",'Ships Declaration'!H15)</f>
        <v>0</v>
      </c>
      <c r="J28" s="440">
        <f>IF(OR(J$24="",'Ships Declaration'!I15=""),"",'Ships Declaration'!I15)</f>
        <v>0</v>
      </c>
      <c r="K28" s="440">
        <f>IF(OR(K$24="",'Ships Declaration'!J15=""),"",'Ships Declaration'!J15)</f>
        <v>0</v>
      </c>
      <c r="L28" s="441">
        <f>IF(OR(L$24="",'Ships Declaration'!K15=""),"",'Ships Declaration'!K15)</f>
        <v>116.086</v>
      </c>
      <c r="M28" s="31"/>
    </row>
    <row r="29" spans="1:13" s="30" customFormat="1" ht="24.75" customHeight="1">
      <c r="A29" s="3459" t="s">
        <v>154</v>
      </c>
      <c r="B29" s="3460"/>
      <c r="C29" s="3461"/>
      <c r="D29" s="755">
        <f>DATESURVC</f>
        <v>44792</v>
      </c>
      <c r="E29" s="1441">
        <f>TIMESURVC</f>
        <v>0.27083333333333331</v>
      </c>
      <c r="F29" s="30" t="s">
        <v>2</v>
      </c>
      <c r="G29" s="442">
        <f>IF(G$24="","",'Vessel ROB Report'!T42)</f>
        <v>0</v>
      </c>
      <c r="H29" s="443">
        <f>IF(H$24="","",'Vessel ROB Report'!T65)</f>
        <v>901.36</v>
      </c>
      <c r="I29" s="443">
        <f>IF(I$24="","",'Vessel ROB Report'!T88)</f>
        <v>0</v>
      </c>
      <c r="J29" s="443">
        <f>IF(J$24="","",'Vessel ROB Report'!T111)</f>
        <v>0</v>
      </c>
      <c r="K29" s="443">
        <f>IF(K$24="","",'Vessel ROB Report'!T134)</f>
        <v>0</v>
      </c>
      <c r="L29" s="444">
        <f>IF(L$24="","",'Vessel ROB Report'!T157)</f>
        <v>115.51600000000001</v>
      </c>
      <c r="M29" s="31"/>
    </row>
    <row r="30" spans="1:13" s="30" customFormat="1" ht="23.1" customHeight="1">
      <c r="A30" s="433"/>
      <c r="B30" s="434"/>
      <c r="C30" s="435"/>
      <c r="D30" s="3455" t="s">
        <v>53</v>
      </c>
      <c r="E30" s="3456"/>
      <c r="F30" s="30" t="s">
        <v>2</v>
      </c>
      <c r="G30" s="445">
        <f>IF(ISERROR(G29-G28),"",G29-G28)</f>
        <v>0</v>
      </c>
      <c r="H30" s="446">
        <f t="shared" ref="H30:L30" si="1">IF(ISERROR(H29-H28),"",H29-H28)</f>
        <v>-0.87999999999999545</v>
      </c>
      <c r="I30" s="446">
        <f t="shared" si="1"/>
        <v>0</v>
      </c>
      <c r="J30" s="446">
        <f t="shared" si="1"/>
        <v>0</v>
      </c>
      <c r="K30" s="446">
        <f t="shared" si="1"/>
        <v>0</v>
      </c>
      <c r="L30" s="447">
        <f t="shared" si="1"/>
        <v>-0.56999999999999318</v>
      </c>
      <c r="M30" s="31"/>
    </row>
    <row r="31" spans="1:13" s="30" customFormat="1" ht="23.1" customHeight="1">
      <c r="A31" s="1"/>
      <c r="B31" s="1"/>
      <c r="C31" s="1"/>
      <c r="D31" s="1"/>
      <c r="E31" s="1"/>
      <c r="F31" s="1"/>
      <c r="G31" s="1"/>
      <c r="H31" s="1"/>
      <c r="I31" s="1"/>
      <c r="J31" s="1"/>
      <c r="K31" s="1"/>
      <c r="L31" s="1"/>
      <c r="M31" s="1"/>
    </row>
    <row r="32" spans="1:13">
      <c r="A32" s="1"/>
      <c r="B32" s="1"/>
      <c r="C32" s="1"/>
      <c r="D32" s="1"/>
      <c r="E32" s="1"/>
      <c r="F32" s="1"/>
      <c r="G32" s="1"/>
      <c r="H32" s="1"/>
      <c r="I32" s="1"/>
      <c r="J32" s="1"/>
      <c r="K32" s="1"/>
      <c r="L32" s="1"/>
      <c r="M32" s="1"/>
    </row>
    <row r="33" spans="1:13" ht="26.25" customHeight="1">
      <c r="A33" s="27"/>
      <c r="B33" s="26"/>
      <c r="C33" s="24"/>
      <c r="D33" s="24"/>
      <c r="E33" s="24"/>
      <c r="F33" s="25" t="s">
        <v>52</v>
      </c>
      <c r="G33" s="24"/>
      <c r="H33" s="24"/>
      <c r="I33" s="24"/>
      <c r="J33" s="24"/>
      <c r="K33" s="24"/>
      <c r="L33" s="23"/>
      <c r="M33" s="12"/>
    </row>
    <row r="34" spans="1:13" ht="21.75" customHeight="1">
      <c r="A34" s="3454" t="s">
        <v>40</v>
      </c>
      <c r="B34" s="3452"/>
      <c r="C34" s="3453"/>
      <c r="D34" s="3452" t="s">
        <v>51</v>
      </c>
      <c r="E34" s="3452"/>
      <c r="F34" s="3453"/>
      <c r="G34" s="3452" t="s">
        <v>50</v>
      </c>
      <c r="H34" s="3462"/>
      <c r="I34" s="3462"/>
      <c r="J34" s="3457" t="s">
        <v>49</v>
      </c>
      <c r="K34" s="3457"/>
      <c r="L34" s="3458"/>
      <c r="M34" s="12"/>
    </row>
    <row r="35" spans="1:13" ht="15">
      <c r="A35" s="3465" t="s">
        <v>1561</v>
      </c>
      <c r="B35" s="3465"/>
      <c r="C35" s="3464"/>
      <c r="D35" s="3434">
        <v>1</v>
      </c>
      <c r="E35" s="3434"/>
      <c r="F35" s="3429"/>
      <c r="G35" s="3428">
        <v>0.59</v>
      </c>
      <c r="H35" s="3429"/>
      <c r="I35" s="3429"/>
      <c r="J35" s="3435" t="s">
        <v>48</v>
      </c>
      <c r="K35" s="3436"/>
      <c r="L35" s="3436"/>
      <c r="M35" s="12"/>
    </row>
    <row r="36" spans="1:13" ht="15">
      <c r="A36" s="3463" t="s">
        <v>1585</v>
      </c>
      <c r="B36" s="3463"/>
      <c r="C36" s="3464"/>
      <c r="D36" s="3434">
        <v>21.4</v>
      </c>
      <c r="E36" s="3434"/>
      <c r="F36" s="3429"/>
      <c r="G36" s="3428">
        <v>18.29</v>
      </c>
      <c r="H36" s="3429"/>
      <c r="I36" s="3429"/>
      <c r="J36" s="3435" t="s">
        <v>48</v>
      </c>
      <c r="K36" s="3436"/>
      <c r="L36" s="3436"/>
      <c r="M36" s="12"/>
    </row>
    <row r="37" spans="1:13" ht="15">
      <c r="A37" s="3463"/>
      <c r="B37" s="3463"/>
      <c r="C37" s="3464"/>
      <c r="D37" s="3434"/>
      <c r="E37" s="3434"/>
      <c r="F37" s="3429"/>
      <c r="G37" s="3428"/>
      <c r="H37" s="3429"/>
      <c r="I37" s="3429"/>
      <c r="J37" s="3435"/>
      <c r="K37" s="3436"/>
      <c r="L37" s="3436"/>
      <c r="M37" s="12"/>
    </row>
    <row r="38" spans="1:13" ht="15">
      <c r="A38" s="3463"/>
      <c r="B38" s="3463"/>
      <c r="C38" s="3464"/>
      <c r="D38" s="3434"/>
      <c r="E38" s="3434"/>
      <c r="F38" s="3429"/>
      <c r="G38" s="3428"/>
      <c r="H38" s="3429"/>
      <c r="I38" s="3429"/>
      <c r="J38" s="3435"/>
      <c r="K38" s="3436"/>
      <c r="L38" s="3436"/>
      <c r="M38" s="12"/>
    </row>
    <row r="39" spans="1:13" ht="15">
      <c r="A39" s="3432"/>
      <c r="B39" s="3432"/>
      <c r="C39" s="3433"/>
      <c r="D39" s="3434"/>
      <c r="E39" s="3434"/>
      <c r="F39" s="3429"/>
      <c r="G39" s="3428"/>
      <c r="H39" s="3429"/>
      <c r="I39" s="3429"/>
      <c r="J39" s="3435"/>
      <c r="K39" s="3436"/>
      <c r="L39" s="3436"/>
      <c r="M39" s="12"/>
    </row>
    <row r="40" spans="1:13" ht="15">
      <c r="A40" s="3432"/>
      <c r="B40" s="3432"/>
      <c r="C40" s="3433"/>
      <c r="D40" s="3434"/>
      <c r="E40" s="3434"/>
      <c r="F40" s="3429"/>
      <c r="G40" s="3428"/>
      <c r="H40" s="3429"/>
      <c r="I40" s="3429"/>
      <c r="J40" s="3435"/>
      <c r="K40" s="3436"/>
      <c r="L40" s="3436"/>
      <c r="M40" s="12"/>
    </row>
    <row r="41" spans="1:13" ht="15">
      <c r="A41" s="3432"/>
      <c r="B41" s="3432"/>
      <c r="C41" s="3433"/>
      <c r="D41" s="3434"/>
      <c r="E41" s="3434"/>
      <c r="F41" s="3429"/>
      <c r="G41" s="3428"/>
      <c r="H41" s="3429"/>
      <c r="I41" s="3429"/>
      <c r="J41" s="3435"/>
      <c r="K41" s="3436"/>
      <c r="L41" s="3436"/>
      <c r="M41" s="12"/>
    </row>
    <row r="42" spans="1:13" ht="15">
      <c r="A42" s="3432"/>
      <c r="B42" s="3432"/>
      <c r="C42" s="3433"/>
      <c r="D42" s="3434"/>
      <c r="E42" s="3434"/>
      <c r="F42" s="3429"/>
      <c r="G42" s="3428"/>
      <c r="H42" s="3429"/>
      <c r="I42" s="3429"/>
      <c r="J42" s="3435"/>
      <c r="K42" s="3436"/>
      <c r="L42" s="3436"/>
      <c r="M42" s="12"/>
    </row>
    <row r="43" spans="1:13" ht="15">
      <c r="A43" s="3432"/>
      <c r="B43" s="3432"/>
      <c r="C43" s="3433"/>
      <c r="D43" s="3434"/>
      <c r="E43" s="3434"/>
      <c r="F43" s="3429"/>
      <c r="G43" s="3428"/>
      <c r="H43" s="3429"/>
      <c r="I43" s="3429"/>
      <c r="J43" s="3435"/>
      <c r="K43" s="3436"/>
      <c r="L43" s="3436"/>
      <c r="M43" s="12"/>
    </row>
    <row r="44" spans="1:13" ht="15">
      <c r="A44" s="3432"/>
      <c r="B44" s="3432"/>
      <c r="C44" s="3433"/>
      <c r="D44" s="3434"/>
      <c r="E44" s="3434"/>
      <c r="F44" s="3429"/>
      <c r="G44" s="3428"/>
      <c r="H44" s="3429"/>
      <c r="I44" s="3429"/>
      <c r="J44" s="3435"/>
      <c r="K44" s="3436"/>
      <c r="L44" s="3436"/>
      <c r="M44" s="12"/>
    </row>
    <row r="45" spans="1:13" ht="15">
      <c r="A45" s="3432"/>
      <c r="B45" s="3432"/>
      <c r="C45" s="3433"/>
      <c r="D45" s="3434"/>
      <c r="E45" s="3434"/>
      <c r="F45" s="3429"/>
      <c r="G45" s="3428"/>
      <c r="H45" s="3429"/>
      <c r="I45" s="3429"/>
      <c r="J45" s="3435"/>
      <c r="K45" s="3436"/>
      <c r="L45" s="3436"/>
      <c r="M45" s="12"/>
    </row>
    <row r="46" spans="1:13" ht="15">
      <c r="A46" s="3432"/>
      <c r="B46" s="3432"/>
      <c r="C46" s="3433"/>
      <c r="D46" s="3434"/>
      <c r="E46" s="3434"/>
      <c r="F46" s="3429"/>
      <c r="G46" s="3428"/>
      <c r="H46" s="3429"/>
      <c r="I46" s="3429"/>
      <c r="J46" s="3435"/>
      <c r="K46" s="3436"/>
      <c r="L46" s="3436"/>
      <c r="M46" s="12"/>
    </row>
    <row r="47" spans="1:13" ht="15">
      <c r="A47" s="3432"/>
      <c r="B47" s="3432"/>
      <c r="C47" s="3433"/>
      <c r="D47" s="3434"/>
      <c r="E47" s="3434"/>
      <c r="F47" s="3429"/>
      <c r="G47" s="3428"/>
      <c r="H47" s="3429"/>
      <c r="I47" s="3429"/>
      <c r="J47" s="3435"/>
      <c r="K47" s="3436"/>
      <c r="L47" s="3436"/>
      <c r="M47" s="12"/>
    </row>
    <row r="48" spans="1:13" s="14" customFormat="1" ht="15.75">
      <c r="A48" s="22"/>
      <c r="B48" s="22"/>
      <c r="D48" s="189"/>
      <c r="E48" s="189"/>
      <c r="F48" s="159" t="s">
        <v>321</v>
      </c>
      <c r="G48" s="3437">
        <f>SUM(G35:G47)</f>
        <v>18.88</v>
      </c>
      <c r="H48" s="3438"/>
      <c r="I48" s="3438"/>
      <c r="J48" s="191" t="s">
        <v>295</v>
      </c>
      <c r="K48" s="190"/>
      <c r="L48" s="190"/>
      <c r="M48" s="15"/>
    </row>
    <row r="49" spans="1:13" s="14" customFormat="1" ht="15">
      <c r="A49" s="415" t="s">
        <v>179</v>
      </c>
      <c r="B49" s="22"/>
      <c r="C49" s="21"/>
      <c r="D49" s="20"/>
      <c r="E49" s="20"/>
      <c r="F49" s="19"/>
      <c r="G49" s="18"/>
      <c r="H49" s="17"/>
      <c r="I49" s="17"/>
      <c r="J49" s="16"/>
      <c r="K49" s="4"/>
      <c r="L49" s="4"/>
      <c r="M49" s="15"/>
    </row>
    <row r="50" spans="1:13" ht="15">
      <c r="A50" s="3441" t="s">
        <v>497</v>
      </c>
      <c r="B50" s="3442"/>
      <c r="C50" s="3442"/>
      <c r="D50" s="3442"/>
      <c r="E50" s="3442"/>
      <c r="F50" s="3442"/>
      <c r="G50" s="3442"/>
      <c r="H50" s="3442"/>
      <c r="I50" s="3442"/>
      <c r="J50" s="3442"/>
      <c r="K50" s="3442"/>
      <c r="L50" s="3443"/>
      <c r="M50" s="12"/>
    </row>
    <row r="51" spans="1:13" ht="15">
      <c r="A51" s="3441"/>
      <c r="B51" s="3442"/>
      <c r="C51" s="3442"/>
      <c r="D51" s="3442"/>
      <c r="E51" s="3442"/>
      <c r="F51" s="3442"/>
      <c r="G51" s="3442"/>
      <c r="H51" s="3442"/>
      <c r="I51" s="3442"/>
      <c r="J51" s="3442"/>
      <c r="K51" s="3442"/>
      <c r="L51" s="3443"/>
      <c r="M51" s="12"/>
    </row>
    <row r="52" spans="1:13" ht="15">
      <c r="A52" s="3441"/>
      <c r="B52" s="3442"/>
      <c r="C52" s="3442"/>
      <c r="D52" s="3442"/>
      <c r="E52" s="3442"/>
      <c r="F52" s="3442"/>
      <c r="G52" s="3442"/>
      <c r="H52" s="3442"/>
      <c r="I52" s="3442"/>
      <c r="J52" s="3442"/>
      <c r="K52" s="3442"/>
      <c r="L52" s="3443"/>
      <c r="M52" s="12"/>
    </row>
    <row r="53" spans="1:13" ht="15">
      <c r="A53" s="3441"/>
      <c r="B53" s="3442"/>
      <c r="C53" s="3442"/>
      <c r="D53" s="3442"/>
      <c r="E53" s="3442"/>
      <c r="F53" s="3442"/>
      <c r="G53" s="3442"/>
      <c r="H53" s="3442"/>
      <c r="I53" s="3442"/>
      <c r="J53" s="3442"/>
      <c r="K53" s="3442"/>
      <c r="L53" s="3443"/>
      <c r="M53" s="12"/>
    </row>
    <row r="54" spans="1:13" ht="15">
      <c r="A54" s="13"/>
      <c r="B54" s="13"/>
      <c r="C54" s="13"/>
      <c r="D54" s="13"/>
      <c r="E54" s="13"/>
      <c r="F54" s="13"/>
      <c r="G54" s="13"/>
      <c r="H54" s="13"/>
      <c r="I54" s="13"/>
      <c r="J54" s="13"/>
      <c r="K54" s="13"/>
      <c r="L54" s="13"/>
      <c r="M54" s="12"/>
    </row>
    <row r="55" spans="1:13" ht="15">
      <c r="A55" s="13"/>
      <c r="B55" s="13"/>
      <c r="C55" s="13"/>
      <c r="D55" s="13"/>
      <c r="E55" s="13"/>
      <c r="F55" s="13"/>
      <c r="G55" s="13"/>
      <c r="H55" s="13"/>
      <c r="I55" s="13"/>
      <c r="J55" s="13"/>
      <c r="K55" s="13"/>
      <c r="L55" s="13"/>
      <c r="M55" s="12"/>
    </row>
    <row r="56" spans="1:13" ht="15">
      <c r="A56" s="13"/>
      <c r="B56" s="13"/>
      <c r="C56" s="13"/>
      <c r="D56" s="13"/>
      <c r="E56" s="13"/>
      <c r="F56" s="13"/>
      <c r="G56" s="13"/>
      <c r="H56" s="13"/>
      <c r="I56" s="13"/>
      <c r="J56" s="13"/>
      <c r="K56" s="13"/>
      <c r="L56" s="13"/>
      <c r="M56" s="12"/>
    </row>
    <row r="57" spans="1:13" ht="15">
      <c r="A57" s="12"/>
      <c r="B57" s="12"/>
      <c r="C57" s="12"/>
      <c r="D57" s="12"/>
      <c r="E57" s="12"/>
      <c r="F57" s="12"/>
      <c r="G57" s="12"/>
      <c r="H57" s="12"/>
      <c r="I57" s="12"/>
      <c r="J57" s="12"/>
      <c r="K57" s="12"/>
      <c r="L57" s="12"/>
      <c r="M57" s="12"/>
    </row>
    <row r="58" spans="1:13" ht="15">
      <c r="A58" s="3430" t="str">
        <f>'Cover Page'!I127</f>
        <v>CANO ARTHUR D. CADAVOS</v>
      </c>
      <c r="B58" s="3466"/>
      <c r="C58" s="3466"/>
      <c r="D58" s="7"/>
      <c r="E58" s="3430" t="str">
        <f>SURVEYOR</f>
        <v>MEHMET EROĞLU</v>
      </c>
      <c r="F58" s="3430"/>
      <c r="G58" s="3430"/>
      <c r="H58" s="3430"/>
      <c r="J58" s="3430" t="str">
        <f>MASTER</f>
        <v>ESTORES KENNETH CABANIG</v>
      </c>
      <c r="K58" s="3430"/>
      <c r="L58" s="3430"/>
      <c r="M58" s="12"/>
    </row>
    <row r="59" spans="1:13" ht="15">
      <c r="A59" s="3439" t="s">
        <v>15</v>
      </c>
      <c r="B59" s="3440"/>
      <c r="C59" s="3440"/>
      <c r="D59" s="6"/>
      <c r="E59" s="3444" t="str">
        <f>"Bunker Surveyor"&amp;IF(SPORE=TRUE,", License No. "&amp;SURVLIC,"")</f>
        <v>Bunker Surveyor</v>
      </c>
      <c r="F59" s="3444"/>
      <c r="G59" s="3444"/>
      <c r="H59" s="3444"/>
      <c r="J59" s="3431" t="s">
        <v>1289</v>
      </c>
      <c r="K59" s="3431"/>
      <c r="L59" s="3431"/>
      <c r="M59" s="12"/>
    </row>
    <row r="60" spans="1:13" ht="3.75" customHeight="1">
      <c r="A60" s="12"/>
      <c r="B60" s="12"/>
      <c r="C60" s="12"/>
      <c r="D60" s="12"/>
      <c r="E60" s="12"/>
      <c r="F60" s="12"/>
      <c r="G60" s="12"/>
      <c r="H60" s="12"/>
      <c r="I60" s="12"/>
      <c r="J60" s="12"/>
      <c r="K60" s="12"/>
      <c r="L60" s="12"/>
      <c r="M60" s="12"/>
    </row>
    <row r="61" spans="1:13" ht="15" hidden="1">
      <c r="A61" s="12"/>
      <c r="B61" s="12"/>
      <c r="C61" s="12"/>
      <c r="D61" s="12"/>
      <c r="E61" s="12"/>
      <c r="F61" s="12"/>
      <c r="G61" s="12"/>
      <c r="H61" s="12"/>
      <c r="I61" s="12"/>
      <c r="J61" s="12"/>
      <c r="K61" s="12"/>
      <c r="L61" s="12"/>
      <c r="M61" s="12"/>
    </row>
    <row r="62" spans="1:13" ht="15" hidden="1">
      <c r="A62" s="12"/>
      <c r="B62" s="12"/>
      <c r="C62" s="12"/>
      <c r="D62" s="12"/>
      <c r="E62" s="12"/>
      <c r="F62" s="12"/>
      <c r="G62" s="12"/>
      <c r="H62" s="12"/>
      <c r="I62" s="12"/>
      <c r="J62" s="12"/>
      <c r="K62" s="12"/>
      <c r="L62" s="12"/>
      <c r="M62" s="12"/>
    </row>
    <row r="63" spans="1:13" ht="15" hidden="1">
      <c r="A63" s="12"/>
      <c r="B63" s="12"/>
      <c r="C63" s="12"/>
      <c r="D63" s="12"/>
      <c r="E63" s="12"/>
      <c r="F63" s="12"/>
      <c r="G63" s="12"/>
      <c r="H63" s="12"/>
      <c r="I63" s="12"/>
      <c r="J63" s="12"/>
      <c r="K63" s="12"/>
      <c r="L63" s="12"/>
      <c r="M63" s="12"/>
    </row>
    <row r="64" spans="1:13" ht="15" hidden="1">
      <c r="A64" s="12"/>
      <c r="B64" s="12"/>
      <c r="C64" s="12"/>
      <c r="D64" s="12"/>
      <c r="E64" s="12"/>
      <c r="F64" s="12"/>
      <c r="G64" s="12"/>
      <c r="H64" s="12"/>
      <c r="I64" s="12"/>
      <c r="J64" s="12"/>
      <c r="K64" s="12"/>
      <c r="L64" s="12"/>
      <c r="M64" s="12"/>
    </row>
    <row r="65" spans="1:13" ht="15" hidden="1">
      <c r="A65" s="12"/>
      <c r="B65" s="12"/>
      <c r="C65" s="12"/>
      <c r="D65" s="12"/>
      <c r="E65" s="12"/>
      <c r="F65" s="12"/>
      <c r="G65" s="12"/>
      <c r="H65" s="12"/>
      <c r="I65" s="12"/>
      <c r="J65" s="12"/>
      <c r="K65" s="12"/>
      <c r="L65" s="12"/>
      <c r="M65" s="12"/>
    </row>
    <row r="66" spans="1:13" ht="15" hidden="1">
      <c r="A66" s="12"/>
      <c r="B66" s="12"/>
      <c r="C66" s="12"/>
      <c r="D66" s="12"/>
      <c r="E66" s="12"/>
      <c r="F66" s="12"/>
      <c r="G66" s="12"/>
      <c r="H66" s="12"/>
      <c r="I66" s="12"/>
      <c r="J66" s="12"/>
      <c r="K66" s="12"/>
      <c r="L66" s="12"/>
      <c r="M66" s="12"/>
    </row>
    <row r="67" spans="1:13" ht="15" hidden="1">
      <c r="A67" s="12"/>
      <c r="B67" s="12"/>
      <c r="C67" s="12"/>
      <c r="D67" s="12"/>
      <c r="E67" s="12"/>
      <c r="F67" s="12"/>
      <c r="G67" s="12"/>
      <c r="H67" s="12"/>
      <c r="I67" s="12"/>
      <c r="J67" s="12"/>
      <c r="K67" s="12"/>
      <c r="L67" s="12"/>
      <c r="M67" s="12"/>
    </row>
    <row r="68" spans="1:13" ht="15" hidden="1">
      <c r="A68" s="12"/>
      <c r="B68" s="12"/>
      <c r="C68" s="12"/>
      <c r="D68" s="12"/>
      <c r="E68" s="12"/>
      <c r="F68" s="12"/>
      <c r="G68" s="12"/>
      <c r="H68" s="12"/>
      <c r="I68" s="12"/>
      <c r="J68" s="12"/>
      <c r="K68" s="12"/>
      <c r="L68" s="12"/>
      <c r="M68" s="12"/>
    </row>
    <row r="69" spans="1:13" ht="15" hidden="1">
      <c r="A69" s="12"/>
      <c r="B69" s="12"/>
      <c r="C69" s="12"/>
      <c r="D69" s="12"/>
      <c r="E69" s="12"/>
      <c r="F69" s="12"/>
      <c r="G69" s="12"/>
      <c r="H69" s="12"/>
      <c r="I69" s="12"/>
      <c r="J69" s="12"/>
      <c r="K69" s="12"/>
      <c r="L69" s="12"/>
      <c r="M69" s="12"/>
    </row>
    <row r="70" spans="1:13" ht="15" hidden="1">
      <c r="A70" s="12"/>
      <c r="B70" s="12"/>
      <c r="C70" s="12"/>
      <c r="D70" s="12"/>
      <c r="E70" s="12"/>
      <c r="F70" s="12"/>
      <c r="G70" s="12"/>
      <c r="H70" s="12"/>
      <c r="I70" s="12"/>
      <c r="J70" s="12"/>
      <c r="K70" s="12"/>
      <c r="L70" s="12"/>
      <c r="M70" s="12"/>
    </row>
    <row r="71" spans="1:13" ht="15" hidden="1">
      <c r="A71" s="12"/>
      <c r="B71" s="12"/>
      <c r="C71" s="12"/>
      <c r="D71" s="12"/>
      <c r="E71" s="12"/>
      <c r="F71" s="12"/>
      <c r="G71" s="12"/>
      <c r="H71" s="12"/>
      <c r="I71" s="12"/>
      <c r="J71" s="12"/>
      <c r="K71" s="12"/>
      <c r="L71" s="12"/>
      <c r="M71" s="12"/>
    </row>
    <row r="72" spans="1:13" ht="15" hidden="1">
      <c r="A72" s="12"/>
      <c r="B72" s="12"/>
      <c r="C72" s="12"/>
      <c r="D72" s="12"/>
      <c r="E72" s="12"/>
      <c r="F72" s="12"/>
      <c r="G72" s="12"/>
      <c r="H72" s="12"/>
      <c r="I72" s="12"/>
      <c r="J72" s="12"/>
      <c r="K72" s="12"/>
      <c r="L72" s="12"/>
      <c r="M72" s="12"/>
    </row>
    <row r="73" spans="1:13" ht="15" hidden="1">
      <c r="A73" s="12"/>
      <c r="B73" s="12"/>
      <c r="C73" s="12"/>
      <c r="D73" s="12"/>
      <c r="E73" s="12"/>
      <c r="F73" s="12"/>
      <c r="G73" s="12"/>
      <c r="H73" s="12"/>
      <c r="I73" s="12"/>
      <c r="J73" s="12"/>
      <c r="K73" s="12"/>
      <c r="L73" s="12"/>
      <c r="M73" s="12"/>
    </row>
    <row r="74" spans="1:13" ht="15" hidden="1">
      <c r="A74" s="12"/>
      <c r="B74" s="12"/>
      <c r="C74" s="12"/>
      <c r="D74" s="12"/>
      <c r="E74" s="12"/>
      <c r="F74" s="12"/>
      <c r="G74" s="12"/>
      <c r="H74" s="12"/>
      <c r="I74" s="12"/>
      <c r="J74" s="12"/>
      <c r="K74" s="12"/>
      <c r="L74" s="12"/>
      <c r="M74" s="12"/>
    </row>
    <row r="75" spans="1:13" ht="15" hidden="1">
      <c r="A75" s="12"/>
      <c r="B75" s="12"/>
      <c r="C75" s="12"/>
      <c r="D75" s="12"/>
      <c r="E75" s="12"/>
      <c r="F75" s="12"/>
      <c r="G75" s="12"/>
      <c r="H75" s="12"/>
      <c r="I75" s="12"/>
      <c r="J75" s="12"/>
      <c r="K75" s="12"/>
      <c r="L75" s="12"/>
      <c r="M75" s="12"/>
    </row>
    <row r="76" spans="1:13" ht="15" hidden="1">
      <c r="A76" s="12"/>
      <c r="B76" s="12"/>
      <c r="C76" s="12"/>
      <c r="D76" s="12"/>
      <c r="E76" s="12"/>
      <c r="F76" s="12"/>
      <c r="G76" s="12"/>
      <c r="H76" s="12"/>
      <c r="I76" s="12"/>
      <c r="J76" s="12"/>
      <c r="K76" s="12"/>
      <c r="L76" s="12"/>
      <c r="M76" s="12"/>
    </row>
    <row r="77" spans="1:13" ht="15" hidden="1">
      <c r="A77" s="12"/>
      <c r="B77" s="12"/>
      <c r="C77" s="12"/>
      <c r="D77" s="12"/>
      <c r="E77" s="12"/>
      <c r="F77" s="12"/>
      <c r="G77" s="12"/>
      <c r="H77" s="12"/>
      <c r="I77" s="12"/>
      <c r="J77" s="12"/>
      <c r="K77" s="12"/>
      <c r="L77" s="12"/>
      <c r="M77" s="12"/>
    </row>
    <row r="78" spans="1:13" ht="15" hidden="1">
      <c r="A78" s="12"/>
      <c r="B78" s="12"/>
      <c r="C78" s="12"/>
      <c r="D78" s="12"/>
      <c r="E78" s="12"/>
      <c r="F78" s="12"/>
      <c r="G78" s="12"/>
      <c r="H78" s="12"/>
      <c r="I78" s="12"/>
      <c r="J78" s="12"/>
      <c r="K78" s="12"/>
      <c r="L78" s="12"/>
      <c r="M78" s="12"/>
    </row>
    <row r="79" spans="1:13" ht="15" hidden="1">
      <c r="A79" s="12"/>
      <c r="B79" s="12"/>
      <c r="C79" s="12"/>
      <c r="D79" s="12"/>
      <c r="E79" s="12"/>
      <c r="F79" s="12"/>
      <c r="G79" s="12"/>
      <c r="H79" s="12"/>
      <c r="I79" s="12"/>
      <c r="J79" s="12"/>
      <c r="K79" s="12"/>
      <c r="L79" s="12"/>
      <c r="M79" s="12"/>
    </row>
    <row r="80" spans="1:13" ht="15" hidden="1">
      <c r="A80" s="12"/>
      <c r="B80" s="12"/>
      <c r="C80" s="12"/>
      <c r="D80" s="12"/>
      <c r="E80" s="12"/>
      <c r="F80" s="12"/>
      <c r="G80" s="12"/>
      <c r="H80" s="12"/>
      <c r="I80" s="12"/>
      <c r="J80" s="12"/>
      <c r="K80" s="12"/>
      <c r="L80" s="12"/>
      <c r="M80" s="12"/>
    </row>
    <row r="81" spans="1:13" ht="15" hidden="1">
      <c r="A81" s="12"/>
      <c r="B81" s="12"/>
      <c r="C81" s="12"/>
      <c r="D81" s="12"/>
      <c r="E81" s="12"/>
      <c r="F81" s="12"/>
      <c r="G81" s="12"/>
      <c r="H81" s="12"/>
      <c r="I81" s="12"/>
      <c r="J81" s="12"/>
      <c r="K81" s="12"/>
      <c r="L81" s="12"/>
      <c r="M81" s="12"/>
    </row>
    <row r="82" spans="1:13" ht="15" hidden="1">
      <c r="A82" s="12"/>
      <c r="B82" s="12"/>
      <c r="C82" s="12"/>
      <c r="D82" s="12"/>
      <c r="E82" s="12"/>
      <c r="F82" s="12"/>
      <c r="G82" s="12"/>
      <c r="H82" s="12"/>
      <c r="I82" s="12"/>
      <c r="J82" s="12"/>
      <c r="K82" s="12"/>
      <c r="L82" s="12"/>
      <c r="M82" s="12"/>
    </row>
    <row r="83" spans="1:13" ht="15" hidden="1">
      <c r="A83" s="12"/>
      <c r="B83" s="12"/>
      <c r="C83" s="12"/>
      <c r="D83" s="12"/>
      <c r="E83" s="12"/>
      <c r="F83" s="12"/>
      <c r="G83" s="12"/>
      <c r="H83" s="12"/>
      <c r="I83" s="12"/>
      <c r="J83" s="12"/>
      <c r="K83" s="12"/>
      <c r="L83" s="12"/>
      <c r="M83" s="12"/>
    </row>
    <row r="84" spans="1:13" ht="15" hidden="1">
      <c r="A84" s="12"/>
      <c r="B84" s="12"/>
      <c r="C84" s="12"/>
      <c r="D84" s="12"/>
      <c r="E84" s="12"/>
      <c r="F84" s="12"/>
      <c r="G84" s="12"/>
      <c r="H84" s="12"/>
      <c r="I84" s="12"/>
      <c r="J84" s="12"/>
      <c r="K84" s="12"/>
      <c r="L84" s="12"/>
      <c r="M84" s="12"/>
    </row>
    <row r="85" spans="1:13" ht="15" hidden="1">
      <c r="A85" s="12"/>
      <c r="B85" s="12"/>
      <c r="C85" s="12"/>
      <c r="D85" s="12"/>
      <c r="E85" s="12"/>
      <c r="F85" s="12"/>
      <c r="G85" s="12"/>
      <c r="H85" s="12"/>
      <c r="I85" s="12"/>
      <c r="J85" s="12"/>
      <c r="K85" s="12"/>
      <c r="L85" s="12"/>
      <c r="M85" s="12"/>
    </row>
    <row r="86" spans="1:13" ht="15" hidden="1">
      <c r="A86" s="12"/>
      <c r="B86" s="12"/>
      <c r="C86" s="12"/>
      <c r="D86" s="12"/>
      <c r="E86" s="12"/>
      <c r="F86" s="12"/>
      <c r="G86" s="12"/>
      <c r="H86" s="12"/>
      <c r="I86" s="12"/>
      <c r="J86" s="12"/>
      <c r="K86" s="12"/>
      <c r="L86" s="12"/>
      <c r="M86" s="12"/>
    </row>
    <row r="87" spans="1:13" ht="15" hidden="1">
      <c r="A87" s="12"/>
      <c r="B87" s="12"/>
      <c r="C87" s="12"/>
      <c r="D87" s="12"/>
      <c r="E87" s="12"/>
      <c r="F87" s="12"/>
      <c r="G87" s="12"/>
      <c r="H87" s="12"/>
      <c r="I87" s="12"/>
      <c r="J87" s="12"/>
      <c r="K87" s="12"/>
      <c r="L87" s="12"/>
      <c r="M87" s="12"/>
    </row>
    <row r="88" spans="1:13" ht="15" hidden="1">
      <c r="A88" s="12"/>
      <c r="B88" s="12"/>
      <c r="C88" s="12"/>
      <c r="D88" s="12"/>
      <c r="E88" s="12"/>
      <c r="F88" s="12"/>
      <c r="G88" s="12"/>
      <c r="H88" s="12"/>
      <c r="I88" s="12"/>
      <c r="J88" s="12"/>
      <c r="K88" s="12"/>
      <c r="L88" s="12"/>
      <c r="M88" s="12"/>
    </row>
    <row r="89" spans="1:13" ht="15" hidden="1">
      <c r="A89" s="12"/>
      <c r="B89" s="12"/>
      <c r="C89" s="12"/>
      <c r="D89" s="12"/>
      <c r="E89" s="12"/>
      <c r="F89" s="12"/>
      <c r="G89" s="12"/>
      <c r="H89" s="12"/>
      <c r="I89" s="12"/>
      <c r="J89" s="12"/>
      <c r="K89" s="12"/>
      <c r="L89" s="12"/>
      <c r="M89" s="12"/>
    </row>
    <row r="90" spans="1:13" ht="15" hidden="1">
      <c r="A90" s="12"/>
      <c r="B90" s="12"/>
      <c r="C90" s="12"/>
      <c r="D90" s="12"/>
      <c r="E90" s="12"/>
      <c r="F90" s="12"/>
      <c r="G90" s="12"/>
      <c r="H90" s="12"/>
      <c r="I90" s="12"/>
      <c r="J90" s="12"/>
      <c r="K90" s="12"/>
      <c r="L90" s="12"/>
      <c r="M90" s="12"/>
    </row>
    <row r="91" spans="1:13" ht="15" hidden="1">
      <c r="A91" s="12"/>
      <c r="B91" s="12"/>
      <c r="C91" s="12"/>
      <c r="D91" s="12"/>
      <c r="E91" s="12"/>
      <c r="F91" s="12"/>
      <c r="G91" s="12"/>
      <c r="H91" s="12"/>
      <c r="I91" s="12"/>
      <c r="J91" s="12"/>
      <c r="K91" s="12"/>
      <c r="L91" s="12"/>
      <c r="M91" s="12"/>
    </row>
    <row r="92" spans="1:13" ht="15" hidden="1">
      <c r="A92" s="12"/>
      <c r="B92" s="12"/>
      <c r="C92" s="12"/>
      <c r="D92" s="12"/>
      <c r="E92" s="12"/>
      <c r="F92" s="12"/>
      <c r="G92" s="12"/>
      <c r="H92" s="12"/>
      <c r="I92" s="12"/>
      <c r="J92" s="12"/>
      <c r="K92" s="12"/>
      <c r="L92" s="12"/>
      <c r="M92" s="12"/>
    </row>
    <row r="93" spans="1:13" ht="15" hidden="1">
      <c r="A93" s="12"/>
      <c r="B93" s="12"/>
      <c r="C93" s="12"/>
      <c r="D93" s="12"/>
      <c r="E93" s="12"/>
      <c r="F93" s="12"/>
      <c r="G93" s="12"/>
      <c r="H93" s="12"/>
      <c r="I93" s="12"/>
      <c r="J93" s="12"/>
      <c r="K93" s="12"/>
      <c r="L93" s="12"/>
      <c r="M93" s="12"/>
    </row>
    <row r="94" spans="1:13" ht="15" hidden="1">
      <c r="A94" s="12"/>
      <c r="B94" s="12"/>
      <c r="C94" s="12"/>
      <c r="D94" s="12"/>
      <c r="E94" s="12"/>
      <c r="F94" s="12"/>
      <c r="G94" s="12"/>
      <c r="H94" s="12"/>
      <c r="I94" s="12"/>
      <c r="J94" s="12"/>
      <c r="K94" s="12"/>
      <c r="L94" s="12"/>
      <c r="M94" s="12"/>
    </row>
    <row r="95" spans="1:13" ht="15" hidden="1">
      <c r="A95" s="12"/>
      <c r="B95" s="12"/>
      <c r="C95" s="12"/>
      <c r="D95" s="12"/>
      <c r="E95" s="12"/>
      <c r="F95" s="12"/>
      <c r="G95" s="12"/>
      <c r="H95" s="12"/>
      <c r="I95" s="12"/>
      <c r="J95" s="12"/>
      <c r="K95" s="12"/>
      <c r="L95" s="12"/>
      <c r="M95" s="12"/>
    </row>
    <row r="96" spans="1:13" ht="15" hidden="1">
      <c r="A96" s="12"/>
      <c r="B96" s="12"/>
      <c r="C96" s="12"/>
      <c r="D96" s="12"/>
      <c r="E96" s="12"/>
      <c r="F96" s="12"/>
      <c r="G96" s="12"/>
      <c r="H96" s="12"/>
      <c r="I96" s="12"/>
      <c r="J96" s="12"/>
      <c r="K96" s="12"/>
      <c r="L96" s="12"/>
      <c r="M96" s="12"/>
    </row>
    <row r="97" spans="1:13" ht="15" hidden="1">
      <c r="A97" s="12"/>
      <c r="B97" s="12"/>
      <c r="C97" s="12"/>
      <c r="D97" s="12"/>
      <c r="E97" s="12"/>
      <c r="F97" s="12"/>
      <c r="G97" s="12"/>
      <c r="H97" s="12"/>
      <c r="I97" s="12"/>
      <c r="J97" s="12"/>
      <c r="K97" s="12"/>
      <c r="L97" s="12"/>
      <c r="M97" s="12"/>
    </row>
    <row r="98" spans="1:13" ht="15" hidden="1">
      <c r="A98" s="12"/>
      <c r="B98" s="12"/>
      <c r="C98" s="12"/>
      <c r="D98" s="12"/>
      <c r="E98" s="12"/>
      <c r="F98" s="12"/>
      <c r="G98" s="12"/>
      <c r="H98" s="12"/>
      <c r="I98" s="12"/>
      <c r="J98" s="12"/>
      <c r="K98" s="12"/>
      <c r="L98" s="12"/>
      <c r="M98" s="12"/>
    </row>
    <row r="99" spans="1:13" ht="15" hidden="1">
      <c r="A99" s="12"/>
      <c r="B99" s="12"/>
      <c r="C99" s="12"/>
      <c r="D99" s="12"/>
      <c r="E99" s="12"/>
      <c r="F99" s="12"/>
      <c r="G99" s="12"/>
      <c r="H99" s="12"/>
      <c r="I99" s="12"/>
      <c r="J99" s="12"/>
      <c r="K99" s="12"/>
      <c r="L99" s="12"/>
      <c r="M99" s="12"/>
    </row>
    <row r="100" spans="1:13" ht="15" hidden="1">
      <c r="A100" s="12"/>
      <c r="B100" s="12"/>
      <c r="C100" s="12"/>
      <c r="D100" s="12"/>
      <c r="E100" s="12"/>
      <c r="F100" s="12"/>
      <c r="G100" s="12"/>
      <c r="H100" s="12"/>
      <c r="I100" s="12"/>
      <c r="J100" s="12"/>
      <c r="K100" s="12"/>
      <c r="L100" s="12"/>
      <c r="M100" s="12"/>
    </row>
    <row r="101" spans="1:13" ht="15" hidden="1">
      <c r="A101" s="12"/>
      <c r="B101" s="12"/>
      <c r="C101" s="12"/>
      <c r="D101" s="12"/>
      <c r="E101" s="12"/>
      <c r="F101" s="12"/>
      <c r="G101" s="12"/>
      <c r="H101" s="12"/>
      <c r="I101" s="12"/>
      <c r="J101" s="12"/>
      <c r="K101" s="12"/>
      <c r="L101" s="12"/>
      <c r="M101" s="12"/>
    </row>
    <row r="102" spans="1:13" ht="15" hidden="1">
      <c r="A102" s="12"/>
      <c r="B102" s="12"/>
      <c r="C102" s="12"/>
      <c r="D102" s="12"/>
      <c r="E102" s="12"/>
      <c r="F102" s="12"/>
      <c r="G102" s="12"/>
      <c r="H102" s="12"/>
      <c r="I102" s="12"/>
      <c r="J102" s="12"/>
      <c r="K102" s="12"/>
      <c r="L102" s="12"/>
      <c r="M102" s="12"/>
    </row>
  </sheetData>
  <sheetProtection autoFilter="0"/>
  <mergeCells count="73">
    <mergeCell ref="D35:F35"/>
    <mergeCell ref="A35:C35"/>
    <mergeCell ref="A41:C41"/>
    <mergeCell ref="D41:F41"/>
    <mergeCell ref="A58:C58"/>
    <mergeCell ref="D45:F45"/>
    <mergeCell ref="D46:F46"/>
    <mergeCell ref="D47:F47"/>
    <mergeCell ref="D36:F36"/>
    <mergeCell ref="D38:F38"/>
    <mergeCell ref="D39:F39"/>
    <mergeCell ref="D40:F40"/>
    <mergeCell ref="D44:F44"/>
    <mergeCell ref="A40:C40"/>
    <mergeCell ref="A53:L53"/>
    <mergeCell ref="D37:F37"/>
    <mergeCell ref="A36:C36"/>
    <mergeCell ref="A37:C37"/>
    <mergeCell ref="A38:C38"/>
    <mergeCell ref="A50:L50"/>
    <mergeCell ref="A51:L51"/>
    <mergeCell ref="A39:C39"/>
    <mergeCell ref="A44:C44"/>
    <mergeCell ref="A45:C45"/>
    <mergeCell ref="A46:C46"/>
    <mergeCell ref="A47:C47"/>
    <mergeCell ref="A42:C42"/>
    <mergeCell ref="D42:F42"/>
    <mergeCell ref="G46:I46"/>
    <mergeCell ref="G42:I42"/>
    <mergeCell ref="J42:L42"/>
    <mergeCell ref="J40:L40"/>
    <mergeCell ref="J35:L35"/>
    <mergeCell ref="J36:L36"/>
    <mergeCell ref="J37:L37"/>
    <mergeCell ref="J39:L39"/>
    <mergeCell ref="G34:I34"/>
    <mergeCell ref="G35:I35"/>
    <mergeCell ref="G36:I36"/>
    <mergeCell ref="G37:I37"/>
    <mergeCell ref="G38:I38"/>
    <mergeCell ref="J38:L38"/>
    <mergeCell ref="G39:I39"/>
    <mergeCell ref="A18:L22"/>
    <mergeCell ref="A26:C26"/>
    <mergeCell ref="A27:C27"/>
    <mergeCell ref="D34:F34"/>
    <mergeCell ref="A34:C34"/>
    <mergeCell ref="D30:E30"/>
    <mergeCell ref="J34:L34"/>
    <mergeCell ref="A28:C28"/>
    <mergeCell ref="A29:C29"/>
    <mergeCell ref="J41:L41"/>
    <mergeCell ref="J44:L44"/>
    <mergeCell ref="J45:L45"/>
    <mergeCell ref="J46:L46"/>
    <mergeCell ref="G44:I44"/>
    <mergeCell ref="G40:I40"/>
    <mergeCell ref="G45:I45"/>
    <mergeCell ref="J58:L58"/>
    <mergeCell ref="J59:L59"/>
    <mergeCell ref="A43:C43"/>
    <mergeCell ref="D43:F43"/>
    <mergeCell ref="G47:I47"/>
    <mergeCell ref="J47:L47"/>
    <mergeCell ref="G48:I48"/>
    <mergeCell ref="G43:I43"/>
    <mergeCell ref="J43:L43"/>
    <mergeCell ref="A59:C59"/>
    <mergeCell ref="A52:L52"/>
    <mergeCell ref="E58:H58"/>
    <mergeCell ref="E59:H59"/>
    <mergeCell ref="G41:I41"/>
  </mergeCells>
  <dataValidations count="1">
    <dataValidation type="list" errorStyle="information" allowBlank="1" showInputMessage="1" showErrorMessage="1" prompt="Choose Remarks from list or edit yours." sqref="A50:L53" xr:uid="{00000000-0002-0000-2100-000000000000}">
      <formula1>REMCOL</formula1>
    </dataValidation>
  </dataValidations>
  <hyperlinks>
    <hyperlink ref="A49" location="REMCODE" display="Remarks:" xr:uid="{00000000-0004-0000-2100-000000000000}"/>
  </hyperlinks>
  <printOptions horizontalCentered="1"/>
  <pageMargins left="0.3" right="0.3" top="0.2" bottom="0.3" header="0.3" footer="0.1"/>
  <pageSetup paperSize="9" scale="87" orientation="portrait" horizontalDpi="4294967293" r:id="rId1"/>
  <headerFooter scaleWithDoc="0">
    <oddFooter>&amp;L&amp;8BunkerManager, v1.12&amp;C&amp;8by AMS-Marine | www.ams-marine.com&amp;R&amp;8RefNo: PI/2022/15000/TR</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43">
    <tabColor rgb="FFFF0000"/>
    <pageSetUpPr fitToPage="1"/>
  </sheetPr>
  <dimension ref="A1:HW68"/>
  <sheetViews>
    <sheetView showGridLines="0" showRowColHeaders="0" topLeftCell="A8" zoomScaleNormal="100" zoomScaleSheetLayoutView="100" workbookViewId="0">
      <pane ySplit="15" topLeftCell="A23" activePane="bottomLeft" state="frozen"/>
      <selection pane="bottomLeft" activeCell="G60" sqref="G60:H60"/>
    </sheetView>
  </sheetViews>
  <sheetFormatPr defaultColWidth="0" defaultRowHeight="12.75" zeroHeight="1"/>
  <cols>
    <col min="1" max="1" width="15.75" style="45" customWidth="1"/>
    <col min="2" max="7" width="12.625" style="45" customWidth="1"/>
    <col min="8" max="8" width="12.75" style="45" customWidth="1"/>
    <col min="9" max="9" width="0.375" style="45" customWidth="1"/>
    <col min="10" max="10" width="22.375" style="45" hidden="1" customWidth="1"/>
    <col min="11" max="11" width="0.375" style="45" hidden="1" customWidth="1"/>
    <col min="12" max="12" width="35.875" style="45" hidden="1" customWidth="1"/>
    <col min="13" max="13" width="31.5" style="45" hidden="1" customWidth="1"/>
    <col min="14" max="14" width="36.25" style="45" hidden="1" customWidth="1"/>
    <col min="15" max="15" width="13.5" style="45" hidden="1" customWidth="1"/>
    <col min="16" max="16" width="20.5" style="45" hidden="1" customWidth="1"/>
    <col min="17" max="17" width="14.875" style="45" hidden="1" customWidth="1"/>
    <col min="18" max="18" width="3" style="45" hidden="1" customWidth="1"/>
    <col min="19" max="19" width="14.875" style="45" hidden="1" customWidth="1"/>
    <col min="20" max="231" width="11" style="45" hidden="1" customWidth="1"/>
    <col min="232" max="16384" width="9" style="45" hidden="1"/>
  </cols>
  <sheetData>
    <row r="1" spans="1:19" ht="15">
      <c r="A1" s="73"/>
      <c r="B1" s="4"/>
      <c r="C1" s="4"/>
      <c r="D1" s="4"/>
      <c r="E1" s="4"/>
      <c r="F1" s="4"/>
      <c r="G1" s="4"/>
      <c r="H1" s="73"/>
      <c r="I1" s="73"/>
      <c r="J1" s="49"/>
      <c r="L1" s="76">
        <v>1</v>
      </c>
      <c r="M1" s="64"/>
      <c r="N1" s="465">
        <f>IF(OR(P2=0,P3=0),0,IF(P2=P3,2,IF(P3&lt;P2,1,3)))</f>
        <v>1</v>
      </c>
      <c r="P1" s="64" t="s">
        <v>114</v>
      </c>
      <c r="Q1" s="64" t="s">
        <v>113</v>
      </c>
      <c r="S1" s="64" t="s">
        <v>112</v>
      </c>
    </row>
    <row r="2" spans="1:19" ht="14.25" customHeight="1">
      <c r="A2" s="73"/>
      <c r="B2" s="4"/>
      <c r="C2" s="4"/>
      <c r="D2" s="4"/>
      <c r="E2" s="4"/>
      <c r="F2" s="4"/>
      <c r="G2" s="4"/>
      <c r="H2" s="73"/>
      <c r="I2" s="73"/>
      <c r="J2" s="49"/>
      <c r="L2" s="64" t="s">
        <v>1107</v>
      </c>
      <c r="M2" s="64" t="s">
        <v>110</v>
      </c>
      <c r="N2" s="64" t="s">
        <v>109</v>
      </c>
      <c r="O2" s="75" t="s">
        <v>108</v>
      </c>
      <c r="P2" s="74">
        <f>IF(ISERROR(G16+G17),0,G16+G17)</f>
        <v>44792.270833333336</v>
      </c>
      <c r="Q2" s="64" t="s">
        <v>6</v>
      </c>
      <c r="S2" s="64" t="s">
        <v>107</v>
      </c>
    </row>
    <row r="3" spans="1:19" ht="13.5">
      <c r="A3" s="73"/>
      <c r="B3" s="4"/>
      <c r="C3" s="4"/>
      <c r="D3" s="4"/>
      <c r="E3" s="4"/>
      <c r="F3" s="4"/>
      <c r="G3" s="4"/>
      <c r="H3" s="73"/>
      <c r="I3" s="73"/>
      <c r="J3" s="49"/>
      <c r="L3" s="64" t="s">
        <v>111</v>
      </c>
      <c r="M3" s="64" t="s">
        <v>110</v>
      </c>
      <c r="N3" s="64" t="s">
        <v>104</v>
      </c>
      <c r="O3" s="75" t="s">
        <v>103</v>
      </c>
      <c r="P3" s="74">
        <f>DATERED+TIMERED</f>
        <v>43886.5</v>
      </c>
      <c r="Q3" s="74">
        <f>DATERED+TIMERED-Q5</f>
        <v>43886.375</v>
      </c>
      <c r="S3" s="64" t="s">
        <v>102</v>
      </c>
    </row>
    <row r="4" spans="1:19" ht="18">
      <c r="A4" s="73"/>
      <c r="B4" s="73"/>
      <c r="C4" s="2"/>
      <c r="D4" s="2"/>
      <c r="E4" s="2"/>
      <c r="F4" s="2"/>
      <c r="G4" s="2"/>
      <c r="H4" s="5" t="str">
        <f>COMPANY1</f>
        <v>Petro Inspect International</v>
      </c>
      <c r="I4" s="5"/>
      <c r="J4" s="49"/>
      <c r="L4" s="64" t="s">
        <v>106</v>
      </c>
      <c r="M4" s="64" t="s">
        <v>105</v>
      </c>
      <c r="N4" s="64" t="s">
        <v>101</v>
      </c>
      <c r="S4" s="64" t="s">
        <v>100</v>
      </c>
    </row>
    <row r="5" spans="1:19" ht="12.95" customHeight="1">
      <c r="A5" s="73"/>
      <c r="B5" s="73"/>
      <c r="C5" s="2"/>
      <c r="D5" s="2"/>
      <c r="E5" s="2"/>
      <c r="F5" s="2"/>
      <c r="G5" s="2"/>
      <c r="H5" s="3" t="str">
        <f>COMPANY2</f>
        <v>ops@petro-inspect.com</v>
      </c>
      <c r="I5" s="3"/>
      <c r="J5" s="49"/>
      <c r="P5" s="64">
        <f>MATCH(ZONETIME,P6:P34,0)</f>
        <v>16</v>
      </c>
      <c r="Q5" s="64">
        <f>IF(ISERROR(P5),0,INDEX(Q6:Q34,P5,1)/24)</f>
        <v>0.125</v>
      </c>
      <c r="S5" s="64" t="s">
        <v>99</v>
      </c>
    </row>
    <row r="6" spans="1:19" ht="12.95" customHeight="1">
      <c r="A6" s="73"/>
      <c r="B6" s="73"/>
      <c r="C6" s="2"/>
      <c r="D6" s="2"/>
      <c r="E6" s="2"/>
      <c r="F6" s="2"/>
      <c r="G6" s="2"/>
      <c r="H6" s="3" t="str">
        <f>COMPANY3</f>
        <v/>
      </c>
      <c r="I6" s="3"/>
      <c r="J6" s="49"/>
      <c r="P6" s="64" t="s">
        <v>97</v>
      </c>
      <c r="Q6" s="64">
        <v>-11</v>
      </c>
      <c r="S6" s="64" t="s">
        <v>96</v>
      </c>
    </row>
    <row r="7" spans="1:19" ht="12.95" customHeight="1">
      <c r="A7" s="73"/>
      <c r="B7" s="73"/>
      <c r="C7" s="2"/>
      <c r="D7" s="2"/>
      <c r="E7" s="2"/>
      <c r="F7" s="2"/>
      <c r="G7" s="2"/>
      <c r="H7" s="3" t="str">
        <f>COMPANY4</f>
        <v/>
      </c>
      <c r="I7" s="3"/>
      <c r="J7" s="49"/>
      <c r="P7" s="64" t="s">
        <v>94</v>
      </c>
      <c r="Q7" s="64">
        <v>-10</v>
      </c>
      <c r="S7" s="64" t="s">
        <v>93</v>
      </c>
    </row>
    <row r="8" spans="1:19" ht="3.75" customHeight="1" thickBot="1">
      <c r="A8" s="72"/>
      <c r="B8" s="9"/>
      <c r="C8" s="9"/>
      <c r="D8" s="9"/>
      <c r="E8" s="9"/>
      <c r="F8" s="9"/>
      <c r="G8" s="9"/>
      <c r="H8" s="72"/>
      <c r="I8" s="71"/>
      <c r="J8" s="49"/>
      <c r="P8" s="64" t="s">
        <v>92</v>
      </c>
      <c r="Q8" s="64">
        <v>-8</v>
      </c>
      <c r="S8" s="64" t="s">
        <v>91</v>
      </c>
    </row>
    <row r="9" spans="1:19" ht="2.4500000000000002" customHeight="1">
      <c r="B9" s="44"/>
      <c r="C9" s="44"/>
      <c r="D9" s="44"/>
      <c r="E9" s="44"/>
      <c r="F9" s="44"/>
      <c r="G9" s="44"/>
      <c r="J9" s="49"/>
      <c r="P9" s="64" t="s">
        <v>90</v>
      </c>
      <c r="Q9" s="64">
        <v>-7</v>
      </c>
      <c r="S9" s="64" t="s">
        <v>89</v>
      </c>
    </row>
    <row r="10" spans="1:19" ht="2.4500000000000002" customHeight="1">
      <c r="J10" s="49"/>
      <c r="P10" s="64" t="s">
        <v>88</v>
      </c>
      <c r="Q10" s="64">
        <v>-6</v>
      </c>
      <c r="S10" s="64" t="s">
        <v>87</v>
      </c>
    </row>
    <row r="11" spans="1:19" ht="2.4500000000000002" customHeight="1">
      <c r="J11" s="49"/>
      <c r="P11" s="64" t="s">
        <v>86</v>
      </c>
      <c r="Q11" s="64">
        <v>-5</v>
      </c>
      <c r="S11" s="64" t="s">
        <v>85</v>
      </c>
    </row>
    <row r="12" spans="1:19" ht="18.75" customHeight="1">
      <c r="A12" s="203"/>
      <c r="B12" s="203"/>
      <c r="C12" s="203"/>
      <c r="D12" s="203" t="str">
        <f>IF(REDEL=3,L4,L3)</f>
        <v>CERTIFICATE OF DELIVERY (ONHIRE)</v>
      </c>
      <c r="E12" s="203"/>
      <c r="F12" s="203"/>
      <c r="G12" s="203"/>
      <c r="H12" s="203"/>
      <c r="I12" s="43"/>
      <c r="J12" s="49"/>
      <c r="P12" s="64" t="s">
        <v>84</v>
      </c>
      <c r="Q12" s="64">
        <v>-4.5</v>
      </c>
      <c r="S12" s="64" t="s">
        <v>83</v>
      </c>
    </row>
    <row r="13" spans="1:19" s="411" customFormat="1" ht="6.75" customHeight="1">
      <c r="A13" s="408"/>
      <c r="B13" s="409"/>
      <c r="C13" s="409"/>
      <c r="D13" s="409"/>
      <c r="E13" s="409"/>
      <c r="F13" s="409"/>
      <c r="G13" s="409"/>
      <c r="H13" s="410"/>
      <c r="I13" s="410"/>
      <c r="J13" s="615"/>
      <c r="P13" s="412" t="s">
        <v>82</v>
      </c>
      <c r="Q13" s="412">
        <v>-4</v>
      </c>
    </row>
    <row r="14" spans="1:19" s="411" customFormat="1" ht="11.25">
      <c r="A14" s="408"/>
      <c r="B14" s="409"/>
      <c r="C14" s="409"/>
      <c r="D14" s="409"/>
      <c r="E14" s="409"/>
      <c r="F14" s="409"/>
      <c r="G14" s="409"/>
      <c r="H14" s="410"/>
      <c r="I14" s="410"/>
      <c r="J14" s="615"/>
      <c r="P14" s="412" t="s">
        <v>81</v>
      </c>
      <c r="Q14" s="412">
        <v>-3</v>
      </c>
    </row>
    <row r="15" spans="1:19" s="411" customFormat="1" ht="11.25">
      <c r="A15" s="413"/>
      <c r="B15" s="414"/>
      <c r="C15" s="414"/>
      <c r="D15" s="414"/>
      <c r="E15" s="414"/>
      <c r="F15" s="414"/>
      <c r="G15" s="414"/>
      <c r="J15" s="615"/>
      <c r="P15" s="412" t="s">
        <v>80</v>
      </c>
      <c r="Q15" s="412">
        <v>-2.5</v>
      </c>
    </row>
    <row r="16" spans="1:19" ht="15" customHeight="1">
      <c r="A16" s="485" t="s">
        <v>9</v>
      </c>
      <c r="B16" s="3471" t="str">
        <f>VESSEL</f>
        <v>MV PESSADA</v>
      </c>
      <c r="C16" s="3471"/>
      <c r="D16" s="3471"/>
      <c r="E16" s="3467" t="s">
        <v>44</v>
      </c>
      <c r="F16" s="3468"/>
      <c r="G16" s="3472">
        <f>IF(DATESURVC=0,"",DATESURVC)</f>
        <v>44792</v>
      </c>
      <c r="H16" s="3472"/>
      <c r="I16" s="70"/>
      <c r="J16" s="49"/>
      <c r="P16" s="64" t="s">
        <v>79</v>
      </c>
      <c r="Q16" s="64">
        <v>-2</v>
      </c>
    </row>
    <row r="17" spans="1:17" ht="15" customHeight="1">
      <c r="A17" s="485" t="s">
        <v>78</v>
      </c>
      <c r="B17" s="3473" t="str">
        <f>PORFLAG</f>
        <v>VALETTA / MALTA</v>
      </c>
      <c r="C17" s="3473"/>
      <c r="D17" s="3473"/>
      <c r="E17" s="3467" t="s">
        <v>42</v>
      </c>
      <c r="F17" s="3468"/>
      <c r="G17" s="3469">
        <f>IF(TIMESURVC=0,"",TIMESURVC)</f>
        <v>0.27083333333333331</v>
      </c>
      <c r="H17" s="3469"/>
      <c r="I17" s="69"/>
      <c r="J17" s="49"/>
      <c r="P17" s="64" t="s">
        <v>77</v>
      </c>
      <c r="Q17" s="64">
        <v>-1</v>
      </c>
    </row>
    <row r="18" spans="1:17" ht="15" customHeight="1">
      <c r="A18" s="485" t="s">
        <v>76</v>
      </c>
      <c r="B18" s="3474" t="str">
        <f>IMONO</f>
        <v>9174270</v>
      </c>
      <c r="C18" s="3474"/>
      <c r="D18" s="3474"/>
      <c r="E18" s="3467" t="s">
        <v>46</v>
      </c>
      <c r="F18" s="3468"/>
      <c r="G18" s="3470" t="str">
        <f>IF(PORT=0,"",PORT)</f>
        <v>ISTANBUL / TURKEY</v>
      </c>
      <c r="H18" s="3470"/>
      <c r="I18" s="68"/>
      <c r="J18" s="49"/>
      <c r="P18" s="64" t="s">
        <v>75</v>
      </c>
      <c r="Q18" s="64">
        <v>0</v>
      </c>
    </row>
    <row r="19" spans="1:17" ht="15" customHeight="1">
      <c r="A19" s="485" t="s">
        <v>74</v>
      </c>
      <c r="B19" s="3475" t="str">
        <f>OWNER</f>
        <v>LEADER SHIPPING</v>
      </c>
      <c r="C19" s="3475"/>
      <c r="D19" s="3475"/>
      <c r="E19" s="3467" t="str">
        <f>IF(REDEL=3,"Date of Re-Delivery:","Date of Delivery:")</f>
        <v>Date of Delivery:</v>
      </c>
      <c r="F19" s="3468"/>
      <c r="G19" s="3472">
        <f>IF(DATERED=0,"",DATERED)</f>
        <v>43886</v>
      </c>
      <c r="H19" s="3472"/>
      <c r="I19" s="68"/>
      <c r="J19" s="49"/>
      <c r="P19" s="64" t="s">
        <v>73</v>
      </c>
      <c r="Q19" s="64">
        <v>1</v>
      </c>
    </row>
    <row r="20" spans="1:17" ht="15" customHeight="1">
      <c r="A20" s="485" t="s">
        <v>72</v>
      </c>
      <c r="B20" s="3475">
        <f>DISPOWNER</f>
        <v>0</v>
      </c>
      <c r="C20" s="3475"/>
      <c r="D20" s="3475"/>
      <c r="E20" s="3467" t="str">
        <f>IF(REDEL=3,"Time of Re-Delivery:","Time of Delivery:")</f>
        <v>Time of Delivery:</v>
      </c>
      <c r="F20" s="3468"/>
      <c r="G20" s="3469">
        <f>IF(TIMERED=0,"",TIMERED)</f>
        <v>0.5</v>
      </c>
      <c r="H20" s="3469"/>
      <c r="I20" s="68"/>
      <c r="J20" s="49"/>
      <c r="P20" s="64" t="s">
        <v>71</v>
      </c>
      <c r="Q20" s="64">
        <v>2</v>
      </c>
    </row>
    <row r="21" spans="1:17" ht="15" customHeight="1">
      <c r="A21" s="485" t="s">
        <v>70</v>
      </c>
      <c r="B21" s="3475">
        <f>CHARTERER</f>
        <v>0</v>
      </c>
      <c r="C21" s="3475"/>
      <c r="D21" s="3475"/>
      <c r="E21" s="3467" t="str">
        <f>IF(REDEL=3,"Place of Re-Delivery:","Place of Delivery:")</f>
        <v>Place of Delivery:</v>
      </c>
      <c r="F21" s="3468"/>
      <c r="G21" s="3470" t="str">
        <f>IF(PORTRED=0,"",PORTRED)</f>
        <v>At Sea</v>
      </c>
      <c r="H21" s="3470"/>
      <c r="I21" s="68"/>
      <c r="J21" s="49"/>
      <c r="P21" s="64" t="s">
        <v>69</v>
      </c>
      <c r="Q21" s="64">
        <v>3</v>
      </c>
    </row>
    <row r="22" spans="1:17" ht="15">
      <c r="A22" s="39"/>
      <c r="B22" s="67"/>
      <c r="C22" s="67"/>
      <c r="D22" s="67"/>
      <c r="E22" s="3467" t="str">
        <f>"Local Time at "&amp;E21</f>
        <v>Local Time at Place of Delivery:</v>
      </c>
      <c r="F22" s="3468"/>
      <c r="G22" s="3480" t="str">
        <f>IF(ZONETIME=0,"",ZONETIME)</f>
        <v>LT= UTC+03:00</v>
      </c>
      <c r="H22" s="3480"/>
      <c r="J22" s="49"/>
      <c r="P22" s="64" t="s">
        <v>68</v>
      </c>
      <c r="Q22" s="64">
        <v>4</v>
      </c>
    </row>
    <row r="23" spans="1:17" ht="15">
      <c r="A23" s="39"/>
      <c r="B23" s="55"/>
      <c r="C23" s="55"/>
      <c r="D23" s="55"/>
      <c r="E23" s="55"/>
      <c r="F23" s="55"/>
      <c r="G23" s="55"/>
      <c r="J23" s="49"/>
      <c r="P23" s="64" t="s">
        <v>67</v>
      </c>
      <c r="Q23" s="64">
        <v>4.5</v>
      </c>
    </row>
    <row r="24" spans="1:17" ht="15" customHeight="1">
      <c r="A24" s="3481" t="str">
        <f>"THIS IS TO CERTIFY, that in accordance with instructions received from ''"&amp;INSTRABY&amp;"''"</f>
        <v>THIS IS TO CERTIFY, that in accordance with instructions received from ''BUNKERS INTERNATIONAL SA''</v>
      </c>
      <c r="B24" s="3481"/>
      <c r="C24" s="3481"/>
      <c r="D24" s="3481"/>
      <c r="E24" s="3481"/>
      <c r="F24" s="3481"/>
      <c r="G24" s="3481"/>
      <c r="H24" s="3481"/>
      <c r="I24" s="66"/>
      <c r="J24" s="49"/>
      <c r="P24" s="64" t="s">
        <v>66</v>
      </c>
      <c r="Q24" s="64">
        <v>5</v>
      </c>
    </row>
    <row r="25" spans="1:17" ht="15" customHeight="1">
      <c r="A25" s="3482" t="str">
        <f>"the undersigned Surveyor attended on board the vessel subject to this report on "&amp; RIGHT(0&amp;DAY(G16),2)&amp;" "&amp;INDEX(MONTHLIST,MONTH(G16),1)&amp;" "&amp;YEAR(G16)&amp;" while the vessel lay afloat at"</f>
        <v>the undersigned Surveyor attended on board the vessel subject to this report on 19 Aug 2022 while the vessel lay afloat at</v>
      </c>
      <c r="B25" s="3482"/>
      <c r="C25" s="3482"/>
      <c r="D25" s="3482"/>
      <c r="E25" s="3482"/>
      <c r="F25" s="3482"/>
      <c r="G25" s="3482"/>
      <c r="H25" s="3482"/>
      <c r="I25" s="65"/>
      <c r="J25" s="49"/>
      <c r="P25" s="64" t="s">
        <v>65</v>
      </c>
      <c r="Q25" s="64">
        <v>5.5</v>
      </c>
    </row>
    <row r="26" spans="1:17" ht="15" customHeight="1">
      <c r="A26" s="3482" t="str">
        <f>G18&amp;" and carried out an "&amp;IF(REDEL=3,"OFF","ON")&amp;"HIRE BUNKER survey on the "</f>
        <v xml:space="preserve">ISTANBUL / TURKEY and carried out an ONHIRE BUNKER survey on the </v>
      </c>
      <c r="B26" s="3482"/>
      <c r="C26" s="3482"/>
      <c r="D26" s="3482"/>
      <c r="E26" s="3482"/>
      <c r="F26" s="3482"/>
      <c r="G26" s="3482"/>
      <c r="H26" s="3482"/>
      <c r="I26" s="65"/>
      <c r="J26" s="49"/>
      <c r="P26" s="64" t="s">
        <v>64</v>
      </c>
      <c r="Q26" s="64">
        <v>6</v>
      </c>
    </row>
    <row r="27" spans="1:17" ht="15" customHeight="1">
      <c r="A27" s="3482" t="str">
        <f>"occasion of the vessel being "&amp;IF(REDEL=3,"re-","")&amp;"delivered from "&amp;IF(REDEL=3,'STANDARD SETT'!K26,'STANDARD SETT'!K25)&amp;" to "&amp;IF(REDEL=3,'STANDARD SETT'!K25,'STANDARD SETT'!K26)&amp;"."</f>
        <v>occasion of the vessel being delivered from Disponent Owners to Charterers.</v>
      </c>
      <c r="B27" s="3482"/>
      <c r="C27" s="3482"/>
      <c r="D27" s="3482"/>
      <c r="E27" s="3482"/>
      <c r="F27" s="3482"/>
      <c r="G27" s="3482"/>
      <c r="H27" s="3482"/>
      <c r="I27" s="65"/>
      <c r="J27" s="49"/>
      <c r="P27" s="64" t="s">
        <v>63</v>
      </c>
      <c r="Q27" s="64">
        <v>6.5</v>
      </c>
    </row>
    <row r="28" spans="1:17" ht="15">
      <c r="A28" s="55"/>
      <c r="B28" s="55"/>
      <c r="C28" s="55"/>
      <c r="D28" s="55"/>
      <c r="E28" s="55"/>
      <c r="F28" s="54"/>
      <c r="G28" s="55"/>
      <c r="J28" s="49"/>
      <c r="P28" s="64" t="s">
        <v>62</v>
      </c>
      <c r="Q28" s="64">
        <v>7</v>
      </c>
    </row>
    <row r="29" spans="1:17" ht="15">
      <c r="A29" s="55"/>
      <c r="B29" s="55"/>
      <c r="C29" s="55"/>
      <c r="D29" s="55"/>
      <c r="E29" s="55"/>
      <c r="F29" s="54"/>
      <c r="G29" s="55"/>
      <c r="J29" s="49"/>
      <c r="P29" s="64" t="s">
        <v>61</v>
      </c>
      <c r="Q29" s="64">
        <v>8</v>
      </c>
    </row>
    <row r="30" spans="1:17" ht="20.25" customHeight="1">
      <c r="A30" s="55"/>
      <c r="B30" s="3483" t="s">
        <v>154</v>
      </c>
      <c r="C30" s="3484"/>
      <c r="D30" s="3484"/>
      <c r="E30" s="3485">
        <f>'Vessel ROB Certificate'!D29</f>
        <v>44792</v>
      </c>
      <c r="F30" s="3486"/>
      <c r="G30" s="1442">
        <f>'Vessel ROB Certificate'!E29</f>
        <v>0.27083333333333331</v>
      </c>
      <c r="J30" s="49"/>
      <c r="P30" s="64" t="s">
        <v>60</v>
      </c>
      <c r="Q30" s="64">
        <v>9</v>
      </c>
    </row>
    <row r="31" spans="1:17" ht="15">
      <c r="A31" s="49"/>
      <c r="B31" s="352" t="str">
        <f>'Preliminary Report'!E1</f>
        <v>HSFO</v>
      </c>
      <c r="C31" s="352" t="str">
        <f>'Preliminary Report'!F1</f>
        <v>LSFO</v>
      </c>
      <c r="D31" s="352" t="str">
        <f>'Preliminary Report'!G1</f>
        <v>MDO</v>
      </c>
      <c r="E31" s="352" t="str">
        <f>'Preliminary Report'!H1</f>
        <v>LSMDO</v>
      </c>
      <c r="F31" s="352" t="str">
        <f>'Preliminary Report'!I1</f>
        <v>MGO</v>
      </c>
      <c r="G31" s="352" t="str">
        <f>'Preliminary Report'!J1</f>
        <v>LSMGO</v>
      </c>
      <c r="J31" s="49"/>
      <c r="P31" s="64" t="s">
        <v>59</v>
      </c>
      <c r="Q31" s="64">
        <v>9.5</v>
      </c>
    </row>
    <row r="32" spans="1:17" s="462" customFormat="1" ht="12">
      <c r="A32" s="47"/>
      <c r="B32" s="461" t="str">
        <f t="shared" ref="B32:G32" si="0">IF(B31="","","MT")</f>
        <v>MT</v>
      </c>
      <c r="C32" s="461" t="str">
        <f t="shared" si="0"/>
        <v>MT</v>
      </c>
      <c r="D32" s="461" t="str">
        <f t="shared" si="0"/>
        <v>MT</v>
      </c>
      <c r="E32" s="461" t="str">
        <f t="shared" si="0"/>
        <v>MT</v>
      </c>
      <c r="F32" s="461" t="str">
        <f t="shared" si="0"/>
        <v>MT</v>
      </c>
      <c r="G32" s="461" t="str">
        <f t="shared" si="0"/>
        <v>MT</v>
      </c>
      <c r="J32" s="616"/>
      <c r="P32" s="463" t="s">
        <v>58</v>
      </c>
      <c r="Q32" s="463">
        <v>10</v>
      </c>
    </row>
    <row r="33" spans="1:18" ht="18" customHeight="1">
      <c r="A33" s="55"/>
      <c r="B33" s="32">
        <f>IF(B31="","",'Vessel ROB Certificate'!G29)</f>
        <v>0</v>
      </c>
      <c r="C33" s="32">
        <f>IF(C31="","",'Vessel ROB Certificate'!H29)</f>
        <v>901.36</v>
      </c>
      <c r="D33" s="32">
        <f>IF(D31="","",'Vessel ROB Certificate'!I29)</f>
        <v>0</v>
      </c>
      <c r="E33" s="32">
        <f>IF(E31="","",'Vessel ROB Certificate'!J29)</f>
        <v>0</v>
      </c>
      <c r="F33" s="32">
        <f>IF(F31="","",'Vessel ROB Certificate'!K29)</f>
        <v>0</v>
      </c>
      <c r="G33" s="32">
        <f>IF(G31="","",'Vessel ROB Certificate'!L29)</f>
        <v>115.51600000000001</v>
      </c>
      <c r="J33" s="49"/>
      <c r="P33" s="64" t="s">
        <v>57</v>
      </c>
      <c r="Q33" s="64">
        <v>12</v>
      </c>
    </row>
    <row r="34" spans="1:18" ht="15">
      <c r="A34" s="55"/>
      <c r="B34" s="55"/>
      <c r="C34" s="55"/>
      <c r="D34" s="55"/>
      <c r="E34" s="55"/>
      <c r="F34" s="54"/>
      <c r="G34" s="55"/>
      <c r="J34" s="49"/>
      <c r="P34" s="64" t="s">
        <v>56</v>
      </c>
      <c r="Q34" s="64">
        <v>13</v>
      </c>
    </row>
    <row r="35" spans="1:18" ht="15" customHeight="1">
      <c r="A35" s="55"/>
      <c r="B35" s="55"/>
      <c r="C35" s="55"/>
      <c r="D35" s="55"/>
      <c r="E35" s="55"/>
      <c r="F35" s="54"/>
      <c r="G35" s="55"/>
      <c r="J35" s="49"/>
    </row>
    <row r="36" spans="1:18" ht="15">
      <c r="A36" s="55"/>
      <c r="B36" s="3478" t="str">
        <f>"CONSUMPTION FROM TIME OF SURVEY TO TIME OF "&amp;IF(REDEL=3,"RE-","")&amp;"DELIVERY HAS BEEN CALCULATED AS:"</f>
        <v>CONSUMPTION FROM TIME OF SURVEY TO TIME OF DELIVERY HAS BEEN CALCULATED AS:</v>
      </c>
      <c r="C36" s="3479"/>
      <c r="D36" s="3479"/>
      <c r="E36" s="3479"/>
      <c r="F36" s="3479"/>
      <c r="G36" s="3479"/>
      <c r="J36" s="49"/>
    </row>
    <row r="37" spans="1:18" ht="15">
      <c r="A37" s="55"/>
      <c r="B37" s="352" t="str">
        <f>B31</f>
        <v>HSFO</v>
      </c>
      <c r="C37" s="352" t="str">
        <f t="shared" ref="C37:G37" si="1">C31</f>
        <v>LSFO</v>
      </c>
      <c r="D37" s="352" t="str">
        <f t="shared" si="1"/>
        <v>MDO</v>
      </c>
      <c r="E37" s="352" t="str">
        <f t="shared" si="1"/>
        <v>LSMDO</v>
      </c>
      <c r="F37" s="352" t="str">
        <f t="shared" si="1"/>
        <v>MGO</v>
      </c>
      <c r="G37" s="352" t="str">
        <f t="shared" si="1"/>
        <v>LSMGO</v>
      </c>
      <c r="J37" s="49"/>
    </row>
    <row r="38" spans="1:18" s="462" customFormat="1" ht="12">
      <c r="A38" s="47"/>
      <c r="B38" s="461" t="str">
        <f>IF(B37="","","MT")</f>
        <v>MT</v>
      </c>
      <c r="C38" s="461" t="str">
        <f t="shared" ref="C38:G38" si="2">IF(C37="","","MT")</f>
        <v>MT</v>
      </c>
      <c r="D38" s="461" t="str">
        <f t="shared" si="2"/>
        <v>MT</v>
      </c>
      <c r="E38" s="461" t="str">
        <f t="shared" si="2"/>
        <v>MT</v>
      </c>
      <c r="F38" s="461" t="str">
        <f t="shared" si="2"/>
        <v>MT</v>
      </c>
      <c r="G38" s="461" t="str">
        <f t="shared" si="2"/>
        <v>MT</v>
      </c>
      <c r="J38" s="616"/>
    </row>
    <row r="39" spans="1:18" ht="18" customHeight="1">
      <c r="A39" s="49"/>
      <c r="B39" s="464">
        <f>IF(OR(B37="",$N$1=0),"",IF($N$1=2,0,'Ships Declaration'!F11))</f>
        <v>5</v>
      </c>
      <c r="C39" s="464">
        <f>IF(OR(C37="",$N$1=0),"",IF($N$1=2,0,'Ships Declaration'!G11))</f>
        <v>0</v>
      </c>
      <c r="D39" s="464">
        <f>IF(OR(D37="",$N$1=0),"",IF($N$1=2,0,'Ships Declaration'!H11))</f>
        <v>2</v>
      </c>
      <c r="E39" s="464">
        <f>IF(OR(E37="",$N$1=0),"",IF($N$1=2,0,'Ships Declaration'!I11))</f>
        <v>0</v>
      </c>
      <c r="F39" s="464">
        <f>IF(OR(F37="",$N$1=0),"",IF($N$1=2,0,'Ships Declaration'!J11))</f>
        <v>0</v>
      </c>
      <c r="G39" s="464">
        <f>IF(OR(G37="",$N$1=0),"",IF($N$1=2,0,'Ships Declaration'!K11))</f>
        <v>1</v>
      </c>
      <c r="J39" s="49"/>
      <c r="P39" s="52"/>
      <c r="Q39" s="52"/>
      <c r="R39" s="56"/>
    </row>
    <row r="40" spans="1:18" ht="15">
      <c r="A40" s="55"/>
      <c r="B40" s="3476" t="str">
        <f>IF(N1=2,"",INDEX(M2:M4,REDEL,1))</f>
        <v>As per Master's delivery message</v>
      </c>
      <c r="C40" s="3477"/>
      <c r="D40" s="3477"/>
      <c r="E40" s="3477"/>
      <c r="F40" s="3477"/>
      <c r="G40" s="3477"/>
      <c r="J40" s="49"/>
      <c r="P40" s="52"/>
      <c r="Q40" s="52"/>
      <c r="R40" s="56"/>
    </row>
    <row r="41" spans="1:18" ht="15">
      <c r="A41" s="55"/>
      <c r="B41" s="55"/>
      <c r="C41" s="55"/>
      <c r="D41" s="55"/>
      <c r="E41" s="55"/>
      <c r="F41" s="54"/>
      <c r="G41" s="55"/>
      <c r="J41" s="49"/>
      <c r="P41" s="52"/>
      <c r="Q41" s="52"/>
      <c r="R41" s="56"/>
    </row>
    <row r="42" spans="1:18" ht="15">
      <c r="A42" s="55"/>
      <c r="B42" s="3478" t="str">
        <f>"BUNKERS THUS CALCULATED AT "&amp;IF(REDEL=3,"RE-","")&amp;"DELIVERY TIME:"</f>
        <v>BUNKERS THUS CALCULATED AT DELIVERY TIME:</v>
      </c>
      <c r="C42" s="3479"/>
      <c r="D42" s="3479"/>
      <c r="E42" s="3479"/>
      <c r="F42" s="3479"/>
      <c r="G42" s="3479"/>
      <c r="J42" s="49"/>
      <c r="P42" s="52"/>
      <c r="Q42" s="52"/>
      <c r="R42" s="56"/>
    </row>
    <row r="43" spans="1:18" ht="15">
      <c r="A43" s="49"/>
      <c r="B43" s="352" t="str">
        <f>B31</f>
        <v>HSFO</v>
      </c>
      <c r="C43" s="352" t="str">
        <f t="shared" ref="C43:G43" si="3">C31</f>
        <v>LSFO</v>
      </c>
      <c r="D43" s="352" t="str">
        <f t="shared" si="3"/>
        <v>MDO</v>
      </c>
      <c r="E43" s="352" t="str">
        <f t="shared" si="3"/>
        <v>LSMDO</v>
      </c>
      <c r="F43" s="352" t="str">
        <f t="shared" si="3"/>
        <v>MGO</v>
      </c>
      <c r="G43" s="352" t="str">
        <f t="shared" si="3"/>
        <v>LSMGO</v>
      </c>
      <c r="J43" s="49"/>
      <c r="P43" s="52"/>
      <c r="Q43" s="52"/>
      <c r="R43" s="56"/>
    </row>
    <row r="44" spans="1:18" s="462" customFormat="1" ht="12">
      <c r="A44" s="47"/>
      <c r="B44" s="461" t="str">
        <f t="shared" ref="B44:G44" si="4">IF(B43="","","MT")</f>
        <v>MT</v>
      </c>
      <c r="C44" s="461" t="str">
        <f t="shared" si="4"/>
        <v>MT</v>
      </c>
      <c r="D44" s="461" t="str">
        <f t="shared" si="4"/>
        <v>MT</v>
      </c>
      <c r="E44" s="461" t="str">
        <f t="shared" si="4"/>
        <v>MT</v>
      </c>
      <c r="F44" s="461" t="str">
        <f t="shared" si="4"/>
        <v>MT</v>
      </c>
      <c r="G44" s="461" t="str">
        <f t="shared" si="4"/>
        <v>MT</v>
      </c>
      <c r="J44" s="616"/>
      <c r="P44" s="48"/>
      <c r="Q44" s="48"/>
      <c r="R44" s="48"/>
    </row>
    <row r="45" spans="1:18" ht="18" customHeight="1">
      <c r="A45" s="55"/>
      <c r="B45" s="32">
        <f>IF(OR(B43="",$N$1=0),"",IF($N1=2,B33,IF($N1=1,B33+B39,IF($N1=3,B33-B39))))</f>
        <v>5</v>
      </c>
      <c r="C45" s="32">
        <f t="shared" ref="C45:G45" si="5">IF(OR(C43="",$N$1=0),"",IF($N1=2,C33,IF($N1=1,C33+C39,IF($N1=3,C33-C39))))</f>
        <v>901.36</v>
      </c>
      <c r="D45" s="32">
        <f t="shared" si="5"/>
        <v>2</v>
      </c>
      <c r="E45" s="32">
        <f t="shared" si="5"/>
        <v>0</v>
      </c>
      <c r="F45" s="32">
        <f t="shared" si="5"/>
        <v>0</v>
      </c>
      <c r="G45" s="32">
        <f t="shared" si="5"/>
        <v>116.51600000000001</v>
      </c>
      <c r="J45" s="49"/>
      <c r="P45" s="52"/>
      <c r="Q45" s="52"/>
      <c r="R45" s="56"/>
    </row>
    <row r="46" spans="1:18" ht="15">
      <c r="A46" s="55"/>
      <c r="B46" s="3476" t="str">
        <f>$B$40</f>
        <v>As per Master's delivery message</v>
      </c>
      <c r="C46" s="3477"/>
      <c r="D46" s="3477"/>
      <c r="E46" s="3477"/>
      <c r="F46" s="3477"/>
      <c r="G46" s="3477"/>
      <c r="J46" s="49"/>
      <c r="P46" s="52"/>
      <c r="Q46" s="52"/>
      <c r="R46" s="56"/>
    </row>
    <row r="47" spans="1:18" ht="15">
      <c r="A47" s="55"/>
      <c r="B47" s="55"/>
      <c r="C47" s="55"/>
      <c r="D47" s="55"/>
      <c r="E47" s="55"/>
      <c r="F47" s="54"/>
      <c r="G47" s="55"/>
      <c r="J47" s="49"/>
      <c r="P47" s="52"/>
      <c r="Q47" s="52"/>
      <c r="R47" s="56"/>
    </row>
    <row r="48" spans="1:18" ht="15">
      <c r="A48" s="55"/>
      <c r="B48" s="3478" t="str">
        <f>IF(REDEL=3,"RE-","")&amp;"DELIVERY ("&amp;IF(REDEL=3,"OFF","ON")&amp;"HIRE) TIME / DATE WAS NOTED AS:"</f>
        <v>DELIVERY (ONHIRE) TIME / DATE WAS NOTED AS:</v>
      </c>
      <c r="C48" s="3479"/>
      <c r="D48" s="3479"/>
      <c r="E48" s="3479"/>
      <c r="F48" s="3479"/>
      <c r="G48" s="3479"/>
      <c r="J48" s="49"/>
      <c r="P48" s="57"/>
      <c r="Q48" s="52"/>
      <c r="R48" s="56"/>
    </row>
    <row r="49" spans="1:20" ht="18" customHeight="1">
      <c r="A49" s="55"/>
      <c r="B49" s="63"/>
      <c r="D49" s="62" t="str">
        <f>IF($N$1=0,"LT:                                          ","LT: "&amp;RIGHT(0&amp;HOUR(G20),2)&amp;":"&amp;RIGHT(0&amp;MINUTE(G20),2)&amp; " on "&amp;RIGHT(0&amp;DAY(G19),2)&amp;"-"&amp;INDEX(MONTHLIST,MONTH(G19),1)&amp;"-"&amp;YEAR(G19))</f>
        <v>LT: 12:00 on 25-Feb-2020</v>
      </c>
      <c r="E49" s="61" t="str">
        <f>IF($N$1=0,"//  UTC: ","//  UTC: "&amp;RIGHT(0&amp;HOUR(Q3),2)&amp;":"&amp;RIGHT(0&amp;MINUTE(Q3),2)&amp; " on "&amp;RIGHT(0&amp;DAY(Q3),2)&amp;"-"&amp;INDEX(MONTHLIST,MONTH(Q3),1)&amp;"-"&amp;YEAR(Q3))</f>
        <v>//  UTC: 09:00 on 25-Feb-2020</v>
      </c>
      <c r="G49" s="60"/>
      <c r="J49" s="49"/>
      <c r="P49" s="59"/>
      <c r="Q49" s="52"/>
      <c r="R49" s="56"/>
    </row>
    <row r="50" spans="1:20" ht="15" customHeight="1">
      <c r="A50" s="55"/>
      <c r="B50" s="3476" t="str">
        <f>$B$40</f>
        <v>As per Master's delivery message</v>
      </c>
      <c r="C50" s="3477"/>
      <c r="D50" s="3477"/>
      <c r="E50" s="3477"/>
      <c r="F50" s="3477"/>
      <c r="G50" s="3477"/>
      <c r="J50" s="49"/>
      <c r="P50" s="57"/>
      <c r="Q50" s="52"/>
      <c r="R50" s="56"/>
    </row>
    <row r="51" spans="1:20" ht="15">
      <c r="A51" s="55"/>
      <c r="B51" s="55"/>
      <c r="C51" s="55"/>
      <c r="D51" s="55"/>
      <c r="E51" s="55"/>
      <c r="F51" s="54"/>
      <c r="G51" s="55"/>
      <c r="J51" s="49"/>
      <c r="P51" s="58"/>
      <c r="Q51" s="52"/>
      <c r="R51" s="56"/>
    </row>
    <row r="52" spans="1:20" ht="15">
      <c r="A52" s="55"/>
      <c r="B52" s="3478" t="str">
        <f>IF(REDEL=3,"RE-","")&amp;"DELIVERY ("&amp;IF(REDEL=3,"OFF","ON")&amp;"HIRE) PLACE / POSITION WAS GIVEN AS:"</f>
        <v>DELIVERY (ONHIRE) PLACE / POSITION WAS GIVEN AS:</v>
      </c>
      <c r="C52" s="3479"/>
      <c r="D52" s="3479"/>
      <c r="E52" s="3479"/>
      <c r="F52" s="3479"/>
      <c r="G52" s="3479"/>
      <c r="J52" s="49"/>
      <c r="P52" s="57"/>
      <c r="Q52" s="52"/>
      <c r="R52" s="56"/>
    </row>
    <row r="53" spans="1:20" ht="18" customHeight="1">
      <c r="A53" s="55"/>
      <c r="B53" s="3491" t="str">
        <f>G21</f>
        <v>At Sea</v>
      </c>
      <c r="C53" s="3492"/>
      <c r="D53" s="3492"/>
      <c r="E53" s="3492"/>
      <c r="F53" s="3492"/>
      <c r="G53" s="3492"/>
      <c r="J53" s="49"/>
      <c r="P53" s="52"/>
      <c r="Q53" s="52"/>
      <c r="R53" s="56"/>
    </row>
    <row r="54" spans="1:20" ht="15" customHeight="1">
      <c r="A54" s="55"/>
      <c r="B54" s="3476" t="str">
        <f>$B$40</f>
        <v>As per Master's delivery message</v>
      </c>
      <c r="C54" s="3477"/>
      <c r="D54" s="3477"/>
      <c r="E54" s="3477"/>
      <c r="F54" s="3477"/>
      <c r="G54" s="3477"/>
      <c r="J54" s="49"/>
      <c r="K54" s="52"/>
      <c r="L54" s="52"/>
      <c r="M54" s="52"/>
      <c r="N54" s="52"/>
      <c r="O54" s="52"/>
      <c r="P54" s="52"/>
      <c r="Q54" s="52"/>
      <c r="R54" s="56"/>
    </row>
    <row r="55" spans="1:20" ht="15" customHeight="1">
      <c r="A55" s="55"/>
      <c r="B55" s="55"/>
      <c r="C55" s="55"/>
      <c r="D55" s="55"/>
      <c r="E55" s="55"/>
      <c r="F55" s="54"/>
      <c r="G55" s="55"/>
      <c r="J55" s="49"/>
      <c r="K55" s="52"/>
      <c r="L55" s="52"/>
      <c r="M55" s="52"/>
      <c r="N55" s="52"/>
      <c r="O55" s="52"/>
      <c r="P55" s="52"/>
      <c r="Q55" s="52"/>
      <c r="R55" s="52"/>
      <c r="S55" s="52"/>
      <c r="T55" s="52"/>
    </row>
    <row r="56" spans="1:20" ht="15" customHeight="1">
      <c r="A56" s="1867"/>
      <c r="B56" s="1867"/>
      <c r="C56" s="1867"/>
      <c r="D56" s="1867"/>
      <c r="E56" s="1867"/>
      <c r="F56" s="54"/>
      <c r="G56" s="1867"/>
      <c r="J56" s="49"/>
      <c r="K56" s="52"/>
      <c r="L56" s="52"/>
      <c r="M56" s="52"/>
      <c r="N56" s="52"/>
      <c r="O56" s="52"/>
      <c r="P56" s="52"/>
      <c r="Q56" s="52"/>
      <c r="R56" s="52"/>
      <c r="S56" s="52"/>
      <c r="T56" s="52"/>
    </row>
    <row r="57" spans="1:20" ht="15" customHeight="1">
      <c r="A57" s="1867"/>
      <c r="B57" s="1867"/>
      <c r="C57" s="1867"/>
      <c r="D57" s="1867"/>
      <c r="E57" s="1867"/>
      <c r="F57" s="54"/>
      <c r="G57" s="1867"/>
      <c r="J57" s="49"/>
      <c r="K57" s="52"/>
      <c r="L57" s="52"/>
      <c r="M57" s="52"/>
      <c r="N57" s="52"/>
      <c r="O57" s="52"/>
      <c r="P57" s="52"/>
      <c r="Q57" s="52"/>
      <c r="R57" s="52"/>
      <c r="S57" s="52"/>
      <c r="T57" s="52"/>
    </row>
    <row r="58" spans="1:20" ht="15">
      <c r="A58" s="3497" t="str">
        <f>CHENG</f>
        <v>CANO ARTHUR D. CADAVOS</v>
      </c>
      <c r="B58" s="3497"/>
      <c r="C58" s="55"/>
      <c r="D58" s="3497" t="str">
        <f>SURVEYOR</f>
        <v>MEHMET EROĞLU</v>
      </c>
      <c r="E58" s="3497"/>
      <c r="F58" s="54"/>
      <c r="G58" s="3497" t="str">
        <f>MASTER</f>
        <v>ESTORES KENNETH CABANIG</v>
      </c>
      <c r="H58" s="3497"/>
      <c r="J58" s="49"/>
      <c r="L58" s="52"/>
      <c r="M58" s="52"/>
      <c r="N58" s="52"/>
      <c r="O58" s="52"/>
      <c r="P58" s="52"/>
      <c r="Q58" s="52"/>
      <c r="R58" s="52"/>
      <c r="S58" s="52"/>
      <c r="T58" s="52"/>
    </row>
    <row r="59" spans="1:20" ht="15">
      <c r="A59" s="3498"/>
      <c r="B59" s="3498"/>
      <c r="C59" s="55"/>
      <c r="D59" s="3498"/>
      <c r="E59" s="3498"/>
      <c r="G59" s="3498"/>
      <c r="H59" s="3498"/>
      <c r="I59" s="53"/>
      <c r="J59" s="49"/>
      <c r="K59" s="50"/>
      <c r="L59" s="50"/>
      <c r="M59" s="50"/>
      <c r="N59" s="50"/>
      <c r="O59" s="50"/>
      <c r="P59" s="50"/>
      <c r="Q59" s="50"/>
      <c r="R59" s="50"/>
      <c r="S59" s="52"/>
      <c r="T59" s="52"/>
    </row>
    <row r="60" spans="1:20" ht="15" customHeight="1">
      <c r="A60" s="3489" t="s">
        <v>15</v>
      </c>
      <c r="B60" s="3490"/>
      <c r="C60" s="49"/>
      <c r="D60" s="3494" t="str">
        <f>"Bunker Surveyor"&amp;IF(SPORE=TRUE,",
 License No. "&amp;SURVLIC,"")</f>
        <v>Bunker Surveyor</v>
      </c>
      <c r="E60" s="3494"/>
      <c r="G60" s="3496" t="s">
        <v>1289</v>
      </c>
      <c r="H60" s="3496"/>
      <c r="I60" s="51"/>
      <c r="J60" s="49"/>
      <c r="L60" s="50"/>
      <c r="M60" s="50"/>
      <c r="N60" s="50"/>
      <c r="O60" s="50"/>
      <c r="P60" s="50"/>
      <c r="Q60" s="50"/>
      <c r="R60" s="50"/>
    </row>
    <row r="61" spans="1:20" ht="12.75" customHeight="1">
      <c r="A61" s="49"/>
      <c r="B61" s="49"/>
      <c r="C61" s="49"/>
      <c r="D61" s="3495"/>
      <c r="E61" s="3495"/>
      <c r="F61" s="49"/>
      <c r="G61" s="49"/>
      <c r="J61" s="49"/>
    </row>
    <row r="62" spans="1:20" ht="12.75" customHeight="1">
      <c r="A62" s="49"/>
      <c r="B62" s="49"/>
      <c r="C62" s="49"/>
      <c r="D62" s="49"/>
      <c r="E62" s="49"/>
      <c r="F62" s="49"/>
      <c r="G62" s="49"/>
      <c r="J62" s="49"/>
    </row>
    <row r="63" spans="1:20" ht="12.75" customHeight="1">
      <c r="A63" s="792" t="s">
        <v>179</v>
      </c>
      <c r="B63" s="48"/>
      <c r="C63" s="48"/>
      <c r="D63" s="48"/>
      <c r="E63" s="48"/>
      <c r="F63" s="46"/>
      <c r="G63" s="46"/>
      <c r="J63" s="49"/>
    </row>
    <row r="64" spans="1:20">
      <c r="A64" s="3493" t="str">
        <f>IF(REDEL=3,"If re-delivery (Offhire)","If delivery (Onhire)")&amp;" is after the time of survey; Master to confirm by email exact time and bunker ROB to all concerned parties and ship's"</f>
        <v>If delivery (Onhire) is after the time of survey; Master to confirm by email exact time and bunker ROB to all concerned parties and ship's</v>
      </c>
      <c r="B64" s="3493"/>
      <c r="C64" s="3493"/>
      <c r="D64" s="3493"/>
      <c r="E64" s="3493"/>
      <c r="F64" s="3493"/>
      <c r="G64" s="3493"/>
      <c r="H64" s="3493"/>
      <c r="J64" s="49"/>
    </row>
    <row r="65" spans="1:10">
      <c r="A65" s="3493" t="s">
        <v>55</v>
      </c>
      <c r="B65" s="3493"/>
      <c r="C65" s="3493"/>
      <c r="D65" s="3493"/>
      <c r="E65" s="3493"/>
      <c r="F65" s="3493"/>
      <c r="G65" s="3493"/>
      <c r="H65" s="3493"/>
      <c r="J65" s="49"/>
    </row>
    <row r="66" spans="1:10">
      <c r="A66" s="3487" t="s">
        <v>54</v>
      </c>
      <c r="B66" s="3487"/>
      <c r="C66" s="3487"/>
      <c r="D66" s="3487"/>
      <c r="E66" s="3487"/>
      <c r="F66" s="3487"/>
      <c r="G66" s="3487"/>
      <c r="H66" s="3487"/>
      <c r="J66" s="49"/>
    </row>
    <row r="67" spans="1:10">
      <c r="A67" s="3488"/>
      <c r="B67" s="3488"/>
      <c r="C67" s="3488"/>
      <c r="D67" s="3488"/>
      <c r="E67" s="3488"/>
      <c r="F67" s="3488"/>
      <c r="G67" s="3488"/>
      <c r="H67" s="3488"/>
      <c r="J67" s="49"/>
    </row>
    <row r="68" spans="1:10" ht="2.25" customHeight="1"/>
  </sheetData>
  <sheetProtection algorithmName="SHA-512" hashValue="Mp06/buSnNh95jhP4/9lYMhuwx6EWBqFT37V1eiirhtJaOzeWx/PFwdCDPATu4uzNeDup8AGj3vTPd0upW8Q0w==" saltValue="Ao3lYz11qUpEvTJ1uVHjbA==" spinCount="100000" sheet="1" objects="1" scenarios="1" autoFilter="0"/>
  <mergeCells count="45">
    <mergeCell ref="A66:H66"/>
    <mergeCell ref="A67:H67"/>
    <mergeCell ref="A60:B60"/>
    <mergeCell ref="B53:G53"/>
    <mergeCell ref="B52:G52"/>
    <mergeCell ref="B54:G54"/>
    <mergeCell ref="A64:H64"/>
    <mergeCell ref="A65:H65"/>
    <mergeCell ref="D60:E61"/>
    <mergeCell ref="G60:H60"/>
    <mergeCell ref="G58:H59"/>
    <mergeCell ref="A58:B59"/>
    <mergeCell ref="D58:E59"/>
    <mergeCell ref="B46:G46"/>
    <mergeCell ref="B48:G48"/>
    <mergeCell ref="B50:G50"/>
    <mergeCell ref="B21:D21"/>
    <mergeCell ref="B40:G40"/>
    <mergeCell ref="B42:G42"/>
    <mergeCell ref="B36:G36"/>
    <mergeCell ref="E22:F22"/>
    <mergeCell ref="G22:H22"/>
    <mergeCell ref="A24:H24"/>
    <mergeCell ref="A25:H25"/>
    <mergeCell ref="A26:H26"/>
    <mergeCell ref="A27:H27"/>
    <mergeCell ref="B30:D30"/>
    <mergeCell ref="E30:F30"/>
    <mergeCell ref="B19:D19"/>
    <mergeCell ref="B20:D20"/>
    <mergeCell ref="E21:F21"/>
    <mergeCell ref="G19:H19"/>
    <mergeCell ref="G20:H20"/>
    <mergeCell ref="G21:H21"/>
    <mergeCell ref="E19:F19"/>
    <mergeCell ref="E20:F20"/>
    <mergeCell ref="E17:F17"/>
    <mergeCell ref="G17:H17"/>
    <mergeCell ref="E18:F18"/>
    <mergeCell ref="G18:H18"/>
    <mergeCell ref="B16:D16"/>
    <mergeCell ref="E16:F16"/>
    <mergeCell ref="G16:H16"/>
    <mergeCell ref="B17:D17"/>
    <mergeCell ref="B18:D18"/>
  </mergeCells>
  <conditionalFormatting sqref="J60">
    <cfRule type="expression" dxfId="24" priority="2">
      <formula>$J$60&lt;&gt;""</formula>
    </cfRule>
  </conditionalFormatting>
  <dataValidations count="1">
    <dataValidation type="list" errorStyle="information" allowBlank="1" showInputMessage="1" showErrorMessage="1" promptTitle="Remarks" prompt="Choose remarks from list or edit yours." sqref="A66:H67" xr:uid="{00000000-0002-0000-2200-000000000000}">
      <formula1>REMCOL</formula1>
    </dataValidation>
  </dataValidations>
  <hyperlinks>
    <hyperlink ref="A63" location="REMCODE" display="Remarks:" xr:uid="{00000000-0004-0000-2200-000000000000}"/>
  </hyperlinks>
  <printOptions horizontalCentered="1"/>
  <pageMargins left="0.3" right="0.3" top="0.2" bottom="0.3" header="0.3" footer="0.1"/>
  <pageSetup paperSize="9" scale="86" firstPageNumber="0" orientation="portrait" cellComments="atEnd" r:id="rId1"/>
  <headerFooter scaleWithDoc="0">
    <oddFooter>&amp;L&amp;8BunkerManager, v1.06&amp;C&amp;8by AMS-Marine | www.ams-marine.com&amp;R&amp;8RefNo: BD/2015/00926 SG</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02">
    <tabColor rgb="FFFFFF00"/>
    <pageSetUpPr fitToPage="1"/>
  </sheetPr>
  <dimension ref="A1:M63"/>
  <sheetViews>
    <sheetView showGridLines="0" showRowColHeaders="0" topLeftCell="A8" zoomScaleNormal="100" zoomScaleSheetLayoutView="100" workbookViewId="0">
      <pane ySplit="12" topLeftCell="A20" activePane="bottomLeft" state="frozen"/>
      <selection pane="bottomLeft"/>
    </sheetView>
  </sheetViews>
  <sheetFormatPr defaultColWidth="0" defaultRowHeight="13.5" zeroHeight="1"/>
  <cols>
    <col min="1" max="1" width="9" customWidth="1"/>
    <col min="2" max="2" width="5.5" customWidth="1"/>
    <col min="3" max="3" width="15.625" customWidth="1"/>
    <col min="4" max="4" width="8.5" customWidth="1"/>
    <col min="5" max="5" width="7.25" customWidth="1"/>
    <col min="6" max="6" width="5.625" customWidth="1"/>
    <col min="7" max="9" width="6.875" customWidth="1"/>
    <col min="10" max="12" width="9.125" customWidth="1"/>
    <col min="13" max="13" width="0.375" customWidth="1"/>
    <col min="14" max="16384" width="9" hidden="1"/>
  </cols>
  <sheetData>
    <row r="1" spans="1:12">
      <c r="A1" s="180"/>
      <c r="B1" s="180"/>
      <c r="C1" s="180"/>
      <c r="D1" s="180"/>
      <c r="E1" s="180"/>
      <c r="F1" s="180"/>
      <c r="G1" s="180"/>
      <c r="H1" s="180"/>
      <c r="I1" s="180"/>
      <c r="J1" s="180"/>
      <c r="K1" s="180"/>
      <c r="L1" s="180"/>
    </row>
    <row r="2" spans="1:12">
      <c r="A2" s="180"/>
      <c r="B2" s="180"/>
      <c r="C2" s="180"/>
      <c r="D2" s="180"/>
      <c r="E2" s="180"/>
      <c r="F2" s="180"/>
      <c r="G2" s="180"/>
      <c r="H2" s="180"/>
      <c r="I2" s="180"/>
      <c r="J2" s="180"/>
      <c r="K2" s="180"/>
      <c r="L2" s="180"/>
    </row>
    <row r="3" spans="1:12">
      <c r="A3" s="180"/>
      <c r="B3" s="180"/>
      <c r="C3" s="180"/>
      <c r="D3" s="180"/>
      <c r="E3" s="180"/>
      <c r="F3" s="180"/>
      <c r="G3" s="180"/>
      <c r="H3" s="180"/>
      <c r="I3" s="180"/>
      <c r="J3" s="180"/>
      <c r="K3" s="180"/>
      <c r="L3" s="180"/>
    </row>
    <row r="4" spans="1:12" ht="18">
      <c r="A4" s="180"/>
      <c r="B4" s="180"/>
      <c r="C4" s="180"/>
      <c r="D4" s="180"/>
      <c r="E4" s="180"/>
      <c r="F4" s="180"/>
      <c r="G4" s="180"/>
      <c r="H4" s="180"/>
      <c r="I4" s="180"/>
      <c r="J4" s="180"/>
      <c r="K4" s="180"/>
      <c r="L4" s="178" t="str">
        <f>COMPANY1</f>
        <v>Petro Inspect International</v>
      </c>
    </row>
    <row r="5" spans="1:12">
      <c r="A5" s="180"/>
      <c r="B5" s="180"/>
      <c r="C5" s="180"/>
      <c r="D5" s="180"/>
      <c r="E5" s="180"/>
      <c r="F5" s="180"/>
      <c r="G5" s="180"/>
      <c r="H5" s="180"/>
      <c r="I5" s="180"/>
      <c r="J5" s="180"/>
      <c r="K5" s="180"/>
      <c r="L5" s="179" t="str">
        <f>COMPANY2</f>
        <v>ops@petro-inspect.com</v>
      </c>
    </row>
    <row r="6" spans="1:12">
      <c r="A6" s="180"/>
      <c r="B6" s="180"/>
      <c r="C6" s="180"/>
      <c r="D6" s="180"/>
      <c r="E6" s="180"/>
      <c r="F6" s="180"/>
      <c r="G6" s="180"/>
      <c r="H6" s="180"/>
      <c r="I6" s="180"/>
      <c r="J6" s="180"/>
      <c r="K6" s="180"/>
      <c r="L6" s="179" t="str">
        <f>COMPANY3</f>
        <v/>
      </c>
    </row>
    <row r="7" spans="1:12">
      <c r="A7" s="180"/>
      <c r="B7" s="180"/>
      <c r="C7" s="180"/>
      <c r="D7" s="180"/>
      <c r="E7" s="180"/>
      <c r="F7" s="180"/>
      <c r="G7" s="180"/>
      <c r="H7" s="180"/>
      <c r="I7" s="180"/>
      <c r="J7" s="180"/>
      <c r="K7" s="180"/>
      <c r="L7" s="179" t="str">
        <f>COMPANY4</f>
        <v/>
      </c>
    </row>
    <row r="8" spans="1:12" ht="3" customHeight="1" thickBot="1">
      <c r="A8" s="243"/>
      <c r="B8" s="243"/>
      <c r="C8" s="243"/>
      <c r="D8" s="243"/>
      <c r="E8" s="243"/>
      <c r="F8" s="243"/>
      <c r="G8" s="243"/>
      <c r="H8" s="243"/>
      <c r="I8" s="243"/>
      <c r="J8" s="243"/>
      <c r="K8" s="243"/>
      <c r="L8" s="243"/>
    </row>
    <row r="9" spans="1:12" ht="3.75" customHeight="1">
      <c r="A9" s="181"/>
      <c r="B9" s="181"/>
      <c r="C9" s="181"/>
      <c r="D9" s="181"/>
      <c r="E9" s="181"/>
      <c r="F9" s="181"/>
      <c r="G9" s="181"/>
      <c r="H9" s="181"/>
      <c r="I9" s="181"/>
      <c r="J9" s="181"/>
      <c r="K9" s="181"/>
      <c r="L9" s="181"/>
    </row>
    <row r="10" spans="1:12" ht="18">
      <c r="A10" s="175"/>
      <c r="B10" s="176"/>
      <c r="C10" s="176"/>
      <c r="D10" s="176"/>
      <c r="E10" s="176"/>
      <c r="F10" s="176" t="s">
        <v>320</v>
      </c>
      <c r="G10" s="176"/>
      <c r="H10" s="176"/>
      <c r="I10" s="176"/>
      <c r="J10" s="176"/>
      <c r="K10" s="176"/>
      <c r="L10" s="177"/>
    </row>
    <row r="11" spans="1:12">
      <c r="A11" s="182"/>
      <c r="B11" s="182"/>
      <c r="C11" s="182"/>
      <c r="D11" s="182"/>
      <c r="E11" s="182"/>
      <c r="F11" s="182"/>
      <c r="G11" s="182"/>
      <c r="H11" s="182"/>
      <c r="I11" s="182"/>
      <c r="J11" s="182"/>
      <c r="K11" s="182"/>
      <c r="L11" s="182"/>
    </row>
    <row r="12" spans="1:12">
      <c r="A12" s="3520" t="s">
        <v>160</v>
      </c>
      <c r="B12" s="3520"/>
      <c r="C12" s="348" t="str">
        <f>VESSEL</f>
        <v>MV PESSADA</v>
      </c>
      <c r="D12" s="183"/>
      <c r="E12" s="184"/>
      <c r="F12" s="184"/>
      <c r="G12" s="184"/>
      <c r="H12" s="184"/>
      <c r="I12" s="185"/>
      <c r="J12" s="185"/>
      <c r="K12" s="185"/>
      <c r="L12" s="185"/>
    </row>
    <row r="13" spans="1:12">
      <c r="A13" s="3520" t="s">
        <v>11</v>
      </c>
      <c r="B13" s="3520"/>
      <c r="C13" s="349" t="str">
        <f>PORT</f>
        <v>ISTANBUL / TURKEY</v>
      </c>
      <c r="D13" s="186"/>
      <c r="E13" s="184"/>
      <c r="F13" s="184"/>
      <c r="G13" s="184"/>
      <c r="H13" s="184"/>
      <c r="I13" s="184"/>
      <c r="J13" s="186"/>
      <c r="K13" s="186"/>
      <c r="L13" s="186"/>
    </row>
    <row r="14" spans="1:12">
      <c r="A14" s="3520" t="s">
        <v>174</v>
      </c>
      <c r="B14" s="3520"/>
      <c r="C14" s="350">
        <f>DATESURVC</f>
        <v>44792</v>
      </c>
      <c r="D14" s="187"/>
      <c r="E14" s="184"/>
      <c r="F14" s="184"/>
      <c r="G14" s="184"/>
      <c r="H14" s="184"/>
      <c r="I14" s="184"/>
      <c r="J14" s="186"/>
      <c r="K14" s="186"/>
      <c r="L14" s="186"/>
    </row>
    <row r="15" spans="1:12">
      <c r="A15" s="3520" t="s">
        <v>10</v>
      </c>
      <c r="B15" s="3520"/>
      <c r="C15" s="1443">
        <f>TIMESURVC</f>
        <v>0.27083333333333331</v>
      </c>
      <c r="D15" s="180"/>
      <c r="E15" s="180"/>
      <c r="F15" s="180"/>
      <c r="G15" s="180"/>
      <c r="H15" s="180"/>
      <c r="I15" s="180"/>
      <c r="J15" s="180"/>
      <c r="K15" s="180"/>
      <c r="L15" s="180"/>
    </row>
    <row r="16" spans="1:12">
      <c r="A16" s="180"/>
      <c r="B16" s="180"/>
      <c r="C16" s="180"/>
      <c r="D16" s="180"/>
      <c r="E16" s="180"/>
      <c r="F16" s="180"/>
      <c r="G16" s="180"/>
      <c r="H16" s="180"/>
      <c r="I16" s="180"/>
      <c r="J16" s="180"/>
      <c r="K16" s="180"/>
      <c r="L16" s="180"/>
    </row>
    <row r="17" spans="1:12" ht="18.75" customHeight="1">
      <c r="A17" s="244"/>
      <c r="B17" s="245"/>
      <c r="C17" s="246"/>
      <c r="D17" s="246"/>
      <c r="E17" s="246"/>
      <c r="F17" s="247" t="s">
        <v>1221</v>
      </c>
      <c r="G17" s="246"/>
      <c r="H17" s="246"/>
      <c r="I17" s="246"/>
      <c r="J17" s="246"/>
      <c r="K17" s="246"/>
      <c r="L17" s="248"/>
    </row>
    <row r="18" spans="1:12">
      <c r="A18" s="180"/>
      <c r="B18" s="180"/>
      <c r="C18" s="180"/>
      <c r="D18" s="180"/>
      <c r="E18" s="180"/>
      <c r="F18" s="180"/>
      <c r="G18" s="180"/>
      <c r="H18" s="180"/>
      <c r="I18" s="180"/>
      <c r="J18" s="180"/>
      <c r="K18" s="180"/>
      <c r="L18" s="180"/>
    </row>
    <row r="19" spans="1:12" ht="19.5" customHeight="1">
      <c r="A19" s="3518" t="s">
        <v>40</v>
      </c>
      <c r="B19" s="3518"/>
      <c r="C19" s="3518"/>
      <c r="D19" s="3518" t="s">
        <v>201</v>
      </c>
      <c r="E19" s="3518"/>
      <c r="F19" s="3518"/>
      <c r="G19" s="3518" t="s">
        <v>319</v>
      </c>
      <c r="H19" s="3518"/>
      <c r="I19" s="3518"/>
      <c r="J19" s="3518" t="s">
        <v>49</v>
      </c>
      <c r="K19" s="3518"/>
      <c r="L19" s="3518"/>
    </row>
    <row r="20" spans="1:12" ht="16.5" customHeight="1">
      <c r="A20" s="3519" t="s">
        <v>257</v>
      </c>
      <c r="B20" s="3519"/>
      <c r="C20" s="3517"/>
      <c r="D20" s="3507">
        <v>42023</v>
      </c>
      <c r="E20" s="3507"/>
      <c r="F20" s="3508"/>
      <c r="G20" s="3509">
        <v>15</v>
      </c>
      <c r="H20" s="3510"/>
      <c r="I20" s="3510"/>
      <c r="J20" s="3511"/>
      <c r="K20" s="3511"/>
      <c r="L20" s="3511"/>
    </row>
    <row r="21" spans="1:12" ht="16.5" customHeight="1">
      <c r="A21" s="3517"/>
      <c r="B21" s="3517"/>
      <c r="C21" s="3517"/>
      <c r="D21" s="3507">
        <v>42023</v>
      </c>
      <c r="E21" s="3507"/>
      <c r="F21" s="3508"/>
      <c r="G21" s="3509">
        <v>7.65</v>
      </c>
      <c r="H21" s="3510"/>
      <c r="I21" s="3510"/>
      <c r="J21" s="3511"/>
      <c r="K21" s="3511"/>
      <c r="L21" s="3511"/>
    </row>
    <row r="22" spans="1:12" ht="16.5" customHeight="1">
      <c r="A22" s="3517"/>
      <c r="B22" s="3517"/>
      <c r="C22" s="3517"/>
      <c r="D22" s="3507">
        <v>42023</v>
      </c>
      <c r="E22" s="3507"/>
      <c r="F22" s="3508"/>
      <c r="G22" s="3509"/>
      <c r="H22" s="3510"/>
      <c r="I22" s="3510"/>
      <c r="J22" s="3511"/>
      <c r="K22" s="3511"/>
      <c r="L22" s="3511"/>
    </row>
    <row r="23" spans="1:12" ht="16.5" customHeight="1">
      <c r="A23" s="3517"/>
      <c r="B23" s="3517"/>
      <c r="C23" s="3517"/>
      <c r="D23" s="3507">
        <v>42024</v>
      </c>
      <c r="E23" s="3507"/>
      <c r="F23" s="3508"/>
      <c r="G23" s="3509"/>
      <c r="H23" s="3510"/>
      <c r="I23" s="3510"/>
      <c r="J23" s="3511"/>
      <c r="K23" s="3511"/>
      <c r="L23" s="3511"/>
    </row>
    <row r="24" spans="1:12" ht="16.5" customHeight="1">
      <c r="A24" s="3506"/>
      <c r="B24" s="3506"/>
      <c r="C24" s="3506"/>
      <c r="D24" s="3507">
        <v>42025</v>
      </c>
      <c r="E24" s="3507"/>
      <c r="F24" s="3508"/>
      <c r="G24" s="3509"/>
      <c r="H24" s="3510"/>
      <c r="I24" s="3510"/>
      <c r="J24" s="3511"/>
      <c r="K24" s="3511"/>
      <c r="L24" s="3511"/>
    </row>
    <row r="25" spans="1:12" ht="16.5" customHeight="1">
      <c r="A25" s="3506"/>
      <c r="B25" s="3506"/>
      <c r="C25" s="3506"/>
      <c r="D25" s="3507">
        <v>42026</v>
      </c>
      <c r="E25" s="3507"/>
      <c r="F25" s="3508"/>
      <c r="G25" s="3509"/>
      <c r="H25" s="3510"/>
      <c r="I25" s="3510"/>
      <c r="J25" s="3511"/>
      <c r="K25" s="3511"/>
      <c r="L25" s="3511"/>
    </row>
    <row r="26" spans="1:12" ht="16.5" customHeight="1">
      <c r="A26" s="3506"/>
      <c r="B26" s="3506"/>
      <c r="C26" s="3506"/>
      <c r="D26" s="3507">
        <v>42027</v>
      </c>
      <c r="E26" s="3507"/>
      <c r="F26" s="3508"/>
      <c r="G26" s="3509"/>
      <c r="H26" s="3510"/>
      <c r="I26" s="3510"/>
      <c r="J26" s="3511"/>
      <c r="K26" s="3511"/>
      <c r="L26" s="3511"/>
    </row>
    <row r="27" spans="1:12" ht="16.5" customHeight="1">
      <c r="A27" s="3506"/>
      <c r="B27" s="3506"/>
      <c r="C27" s="3506"/>
      <c r="D27" s="3507">
        <v>42028</v>
      </c>
      <c r="E27" s="3507"/>
      <c r="F27" s="3508"/>
      <c r="G27" s="3509"/>
      <c r="H27" s="3510"/>
      <c r="I27" s="3510"/>
      <c r="J27" s="3511"/>
      <c r="K27" s="3511"/>
      <c r="L27" s="3511"/>
    </row>
    <row r="28" spans="1:12" ht="16.5" customHeight="1">
      <c r="A28" s="3506"/>
      <c r="B28" s="3506"/>
      <c r="C28" s="3506"/>
      <c r="D28" s="3507">
        <v>42029</v>
      </c>
      <c r="E28" s="3507"/>
      <c r="F28" s="3508"/>
      <c r="G28" s="3509"/>
      <c r="H28" s="3510"/>
      <c r="I28" s="3510"/>
      <c r="J28" s="3511"/>
      <c r="K28" s="3511"/>
      <c r="L28" s="3511"/>
    </row>
    <row r="29" spans="1:12" ht="16.5" customHeight="1">
      <c r="A29" s="3506"/>
      <c r="B29" s="3506"/>
      <c r="C29" s="3506"/>
      <c r="D29" s="3507">
        <v>42030</v>
      </c>
      <c r="E29" s="3507"/>
      <c r="F29" s="3508"/>
      <c r="G29" s="3509"/>
      <c r="H29" s="3510"/>
      <c r="I29" s="3510"/>
      <c r="J29" s="3511"/>
      <c r="K29" s="3511"/>
      <c r="L29" s="3511"/>
    </row>
    <row r="30" spans="1:12" ht="16.5" customHeight="1">
      <c r="A30" s="3506"/>
      <c r="B30" s="3506"/>
      <c r="C30" s="3506"/>
      <c r="D30" s="3507">
        <v>42031</v>
      </c>
      <c r="E30" s="3507"/>
      <c r="F30" s="3508"/>
      <c r="G30" s="3509"/>
      <c r="H30" s="3510"/>
      <c r="I30" s="3510"/>
      <c r="J30" s="3511"/>
      <c r="K30" s="3511"/>
      <c r="L30" s="3511"/>
    </row>
    <row r="31" spans="1:12" ht="16.5" customHeight="1">
      <c r="A31" s="3506"/>
      <c r="B31" s="3506"/>
      <c r="C31" s="3506"/>
      <c r="D31" s="3507">
        <v>42032</v>
      </c>
      <c r="E31" s="3507"/>
      <c r="F31" s="3508"/>
      <c r="G31" s="3509"/>
      <c r="H31" s="3510"/>
      <c r="I31" s="3510"/>
      <c r="J31" s="3511"/>
      <c r="K31" s="3511"/>
      <c r="L31" s="3511"/>
    </row>
    <row r="32" spans="1:12" ht="16.5" customHeight="1">
      <c r="A32" s="3506"/>
      <c r="B32" s="3506"/>
      <c r="C32" s="3506"/>
      <c r="D32" s="3507">
        <v>42033</v>
      </c>
      <c r="E32" s="3507"/>
      <c r="F32" s="3508"/>
      <c r="G32" s="3509"/>
      <c r="H32" s="3510"/>
      <c r="I32" s="3510"/>
      <c r="J32" s="3511"/>
      <c r="K32" s="3511"/>
      <c r="L32" s="3511"/>
    </row>
    <row r="33" spans="1:12" ht="16.5" customHeight="1">
      <c r="A33" s="3506"/>
      <c r="B33" s="3506"/>
      <c r="C33" s="3506"/>
      <c r="D33" s="3507">
        <v>42034</v>
      </c>
      <c r="E33" s="3507"/>
      <c r="F33" s="3508"/>
      <c r="G33" s="3509"/>
      <c r="H33" s="3510"/>
      <c r="I33" s="3510"/>
      <c r="J33" s="3511"/>
      <c r="K33" s="3511"/>
      <c r="L33" s="3511"/>
    </row>
    <row r="34" spans="1:12" ht="16.5" customHeight="1">
      <c r="A34" s="3506"/>
      <c r="B34" s="3506"/>
      <c r="C34" s="3506"/>
      <c r="D34" s="3507">
        <v>42035</v>
      </c>
      <c r="E34" s="3507"/>
      <c r="F34" s="3508"/>
      <c r="G34" s="3509">
        <v>12.45</v>
      </c>
      <c r="H34" s="3510"/>
      <c r="I34" s="3510"/>
      <c r="J34" s="3511"/>
      <c r="K34" s="3511"/>
      <c r="L34" s="3511"/>
    </row>
    <row r="35" spans="1:12" ht="16.5" customHeight="1">
      <c r="A35" s="3506"/>
      <c r="B35" s="3506"/>
      <c r="C35" s="3506"/>
      <c r="D35" s="3507">
        <v>42036</v>
      </c>
      <c r="E35" s="3507"/>
      <c r="F35" s="3508"/>
      <c r="G35" s="3509"/>
      <c r="H35" s="3510"/>
      <c r="I35" s="3510"/>
      <c r="J35" s="3511"/>
      <c r="K35" s="3511"/>
      <c r="L35" s="3511"/>
    </row>
    <row r="36" spans="1:12" ht="16.5" customHeight="1">
      <c r="A36" s="3506"/>
      <c r="B36" s="3506"/>
      <c r="C36" s="3506"/>
      <c r="D36" s="3507">
        <v>42037</v>
      </c>
      <c r="E36" s="3507"/>
      <c r="F36" s="3508"/>
      <c r="G36" s="3509"/>
      <c r="H36" s="3510"/>
      <c r="I36" s="3510"/>
      <c r="J36" s="3511"/>
      <c r="K36" s="3511"/>
      <c r="L36" s="3511"/>
    </row>
    <row r="37" spans="1:12" ht="16.5" customHeight="1">
      <c r="A37" s="3506"/>
      <c r="B37" s="3506"/>
      <c r="C37" s="3506"/>
      <c r="D37" s="3507">
        <v>42038</v>
      </c>
      <c r="E37" s="3507"/>
      <c r="F37" s="3508"/>
      <c r="G37" s="3509"/>
      <c r="H37" s="3510"/>
      <c r="I37" s="3510"/>
      <c r="J37" s="3511"/>
      <c r="K37" s="3511"/>
      <c r="L37" s="3511"/>
    </row>
    <row r="38" spans="1:12" ht="16.5" customHeight="1">
      <c r="A38" s="3506"/>
      <c r="B38" s="3506"/>
      <c r="C38" s="3506"/>
      <c r="D38" s="3507">
        <v>42039</v>
      </c>
      <c r="E38" s="3507"/>
      <c r="F38" s="3508"/>
      <c r="G38" s="3509"/>
      <c r="H38" s="3510"/>
      <c r="I38" s="3510"/>
      <c r="J38" s="3511"/>
      <c r="K38" s="3511"/>
      <c r="L38" s="3511"/>
    </row>
    <row r="39" spans="1:12" ht="16.5" customHeight="1">
      <c r="A39" s="3506"/>
      <c r="B39" s="3506"/>
      <c r="C39" s="3506"/>
      <c r="D39" s="3507">
        <v>42040</v>
      </c>
      <c r="E39" s="3507"/>
      <c r="F39" s="3508"/>
      <c r="G39" s="3509"/>
      <c r="H39" s="3510"/>
      <c r="I39" s="3510"/>
      <c r="J39" s="3511"/>
      <c r="K39" s="3511"/>
      <c r="L39" s="3511"/>
    </row>
    <row r="40" spans="1:12" ht="16.5" customHeight="1">
      <c r="A40" s="3506"/>
      <c r="B40" s="3506"/>
      <c r="C40" s="3506"/>
      <c r="D40" s="3507">
        <v>42041</v>
      </c>
      <c r="E40" s="3507"/>
      <c r="F40" s="3508"/>
      <c r="G40" s="3509"/>
      <c r="H40" s="3510"/>
      <c r="I40" s="3510"/>
      <c r="J40" s="3511"/>
      <c r="K40" s="3511"/>
      <c r="L40" s="3511"/>
    </row>
    <row r="41" spans="1:12" ht="16.5" customHeight="1">
      <c r="A41" s="3506"/>
      <c r="B41" s="3506"/>
      <c r="C41" s="3506"/>
      <c r="D41" s="3507">
        <v>42042</v>
      </c>
      <c r="E41" s="3507"/>
      <c r="F41" s="3508"/>
      <c r="G41" s="3509"/>
      <c r="H41" s="3510"/>
      <c r="I41" s="3510"/>
      <c r="J41" s="3511"/>
      <c r="K41" s="3511"/>
      <c r="L41" s="3511"/>
    </row>
    <row r="42" spans="1:12" ht="16.5" customHeight="1">
      <c r="A42" s="3506"/>
      <c r="B42" s="3506"/>
      <c r="C42" s="3506"/>
      <c r="D42" s="3507">
        <v>42043</v>
      </c>
      <c r="E42" s="3507"/>
      <c r="F42" s="3508"/>
      <c r="G42" s="3509"/>
      <c r="H42" s="3510"/>
      <c r="I42" s="3510"/>
      <c r="J42" s="3511"/>
      <c r="K42" s="3511"/>
      <c r="L42" s="3511"/>
    </row>
    <row r="43" spans="1:12" ht="16.5" customHeight="1">
      <c r="A43" s="3506"/>
      <c r="B43" s="3506"/>
      <c r="C43" s="3506"/>
      <c r="D43" s="3507">
        <v>42044</v>
      </c>
      <c r="E43" s="3507"/>
      <c r="F43" s="3508"/>
      <c r="G43" s="3509"/>
      <c r="H43" s="3510"/>
      <c r="I43" s="3510"/>
      <c r="J43" s="3511"/>
      <c r="K43" s="3511"/>
      <c r="L43" s="3511"/>
    </row>
    <row r="44" spans="1:12" ht="16.5" customHeight="1">
      <c r="A44" s="3506"/>
      <c r="B44" s="3506"/>
      <c r="C44" s="3506"/>
      <c r="D44" s="3507">
        <v>42045</v>
      </c>
      <c r="E44" s="3507"/>
      <c r="F44" s="3508"/>
      <c r="G44" s="3509">
        <v>13.9</v>
      </c>
      <c r="H44" s="3510"/>
      <c r="I44" s="3510"/>
      <c r="J44" s="3511"/>
      <c r="K44" s="3511"/>
      <c r="L44" s="3511"/>
    </row>
    <row r="45" spans="1:12" ht="16.5" customHeight="1">
      <c r="A45" s="3506"/>
      <c r="B45" s="3506"/>
      <c r="C45" s="3506"/>
      <c r="D45" s="3507">
        <v>42047</v>
      </c>
      <c r="E45" s="3507"/>
      <c r="F45" s="3508"/>
      <c r="G45" s="3509"/>
      <c r="H45" s="3510"/>
      <c r="I45" s="3510"/>
      <c r="J45" s="3511"/>
      <c r="K45" s="3511"/>
      <c r="L45" s="3511"/>
    </row>
    <row r="46" spans="1:12" ht="16.5" customHeight="1">
      <c r="A46" s="3506"/>
      <c r="B46" s="3506"/>
      <c r="C46" s="3506"/>
      <c r="D46" s="3507">
        <v>42048</v>
      </c>
      <c r="E46" s="3507"/>
      <c r="F46" s="3508"/>
      <c r="G46" s="3509"/>
      <c r="H46" s="3510"/>
      <c r="I46" s="3510"/>
      <c r="J46" s="3511"/>
      <c r="K46" s="3511"/>
      <c r="L46" s="3511"/>
    </row>
    <row r="47" spans="1:12" ht="16.5" customHeight="1">
      <c r="A47" s="3506"/>
      <c r="B47" s="3506"/>
      <c r="C47" s="3506"/>
      <c r="D47" s="3507">
        <v>42049</v>
      </c>
      <c r="E47" s="3507"/>
      <c r="F47" s="3508"/>
      <c r="G47" s="3509"/>
      <c r="H47" s="3510"/>
      <c r="I47" s="3510"/>
      <c r="J47" s="3511"/>
      <c r="K47" s="3511"/>
      <c r="L47" s="3511"/>
    </row>
    <row r="48" spans="1:12" ht="16.5" customHeight="1">
      <c r="A48" s="3506"/>
      <c r="B48" s="3506"/>
      <c r="C48" s="3506"/>
      <c r="D48" s="3507">
        <v>42050</v>
      </c>
      <c r="E48" s="3507"/>
      <c r="F48" s="3508"/>
      <c r="G48" s="3509"/>
      <c r="H48" s="3510"/>
      <c r="I48" s="3510"/>
      <c r="J48" s="3511"/>
      <c r="K48" s="3511"/>
      <c r="L48" s="3511"/>
    </row>
    <row r="49" spans="1:12" ht="16.5" customHeight="1">
      <c r="A49" s="3506"/>
      <c r="B49" s="3506"/>
      <c r="C49" s="3506"/>
      <c r="D49" s="3507"/>
      <c r="E49" s="3507"/>
      <c r="F49" s="3508"/>
      <c r="G49" s="3509"/>
      <c r="H49" s="3510"/>
      <c r="I49" s="3510"/>
      <c r="J49" s="3511"/>
      <c r="K49" s="3511"/>
      <c r="L49" s="3511"/>
    </row>
    <row r="50" spans="1:12" ht="18">
      <c r="A50" s="180"/>
      <c r="B50" s="180"/>
      <c r="C50" s="180"/>
      <c r="D50" s="180"/>
      <c r="E50" s="180"/>
      <c r="F50" s="188" t="s">
        <v>422</v>
      </c>
      <c r="G50" s="3512">
        <f>SUM(G20:G49)</f>
        <v>48.999999999999993</v>
      </c>
      <c r="H50" s="3513"/>
      <c r="I50" s="3513"/>
      <c r="J50" s="3514" t="s">
        <v>322</v>
      </c>
      <c r="K50" s="3515"/>
      <c r="L50" s="3515"/>
    </row>
    <row r="51" spans="1:12">
      <c r="A51" s="180"/>
      <c r="B51" s="180"/>
      <c r="C51" s="180"/>
      <c r="D51" s="180"/>
      <c r="E51" s="180"/>
      <c r="F51" s="180"/>
      <c r="G51" s="180"/>
      <c r="H51" s="180"/>
      <c r="I51" s="180"/>
      <c r="J51" s="180"/>
      <c r="K51" s="180"/>
      <c r="L51" s="180"/>
    </row>
    <row r="52" spans="1:12">
      <c r="A52" s="180"/>
      <c r="B52" s="180"/>
      <c r="C52" s="180"/>
      <c r="D52" s="180"/>
      <c r="E52" s="180"/>
      <c r="F52" s="180"/>
      <c r="G52" s="180"/>
      <c r="H52" s="180"/>
      <c r="I52" s="180"/>
      <c r="J52" s="180"/>
      <c r="K52" s="180"/>
      <c r="L52" s="180"/>
    </row>
    <row r="53" spans="1:12" ht="16.5" customHeight="1">
      <c r="A53" s="618" t="s">
        <v>179</v>
      </c>
      <c r="B53" s="3501"/>
      <c r="C53" s="3502"/>
      <c r="D53" s="3502"/>
      <c r="E53" s="3502"/>
      <c r="F53" s="3502"/>
      <c r="G53" s="3502"/>
      <c r="H53" s="3502"/>
      <c r="I53" s="3502"/>
      <c r="J53" s="3502"/>
      <c r="K53" s="3503"/>
      <c r="L53" s="180"/>
    </row>
    <row r="54" spans="1:12" ht="16.5" customHeight="1">
      <c r="A54" s="180"/>
      <c r="B54" s="3501"/>
      <c r="C54" s="3502"/>
      <c r="D54" s="3502"/>
      <c r="E54" s="3502"/>
      <c r="F54" s="3502"/>
      <c r="G54" s="3502"/>
      <c r="H54" s="3502"/>
      <c r="I54" s="3502"/>
      <c r="J54" s="3502"/>
      <c r="K54" s="3503"/>
      <c r="L54" s="180"/>
    </row>
    <row r="55" spans="1:12" ht="16.5" customHeight="1">
      <c r="A55" s="180"/>
      <c r="B55" s="3501"/>
      <c r="C55" s="3502"/>
      <c r="D55" s="3502"/>
      <c r="E55" s="3502"/>
      <c r="F55" s="3502"/>
      <c r="G55" s="3502"/>
      <c r="H55" s="3502"/>
      <c r="I55" s="3502"/>
      <c r="J55" s="3502"/>
      <c r="K55" s="3503"/>
      <c r="L55" s="180"/>
    </row>
    <row r="56" spans="1:12" ht="16.5" customHeight="1">
      <c r="A56" s="180"/>
      <c r="B56" s="3501"/>
      <c r="C56" s="3502"/>
      <c r="D56" s="3502"/>
      <c r="E56" s="3502"/>
      <c r="F56" s="3502"/>
      <c r="G56" s="3502"/>
      <c r="H56" s="3502"/>
      <c r="I56" s="3502"/>
      <c r="J56" s="3502"/>
      <c r="K56" s="3503"/>
      <c r="L56" s="180"/>
    </row>
    <row r="57" spans="1:12" ht="16.5" customHeight="1">
      <c r="A57" s="180"/>
      <c r="L57" s="180"/>
    </row>
    <row r="58" spans="1:12">
      <c r="A58" s="180"/>
      <c r="B58" s="180"/>
      <c r="C58" s="180"/>
      <c r="D58" s="180"/>
      <c r="E58" s="180"/>
      <c r="F58" s="180"/>
      <c r="G58" s="180"/>
      <c r="H58" s="180"/>
      <c r="I58" s="180"/>
      <c r="J58" s="180"/>
      <c r="K58" s="180"/>
      <c r="L58" s="180"/>
    </row>
    <row r="59" spans="1:12">
      <c r="A59" s="180"/>
      <c r="B59" s="180"/>
      <c r="C59" s="180"/>
      <c r="D59" s="180"/>
      <c r="E59" s="180"/>
      <c r="F59" s="180"/>
      <c r="G59" s="180"/>
      <c r="H59" s="180"/>
      <c r="I59" s="180"/>
      <c r="J59" s="180"/>
      <c r="K59" s="180"/>
      <c r="L59" s="180"/>
    </row>
    <row r="60" spans="1:12">
      <c r="A60" s="180"/>
      <c r="B60" s="180"/>
      <c r="C60" s="180"/>
      <c r="D60" s="180"/>
      <c r="E60" s="180"/>
      <c r="F60" s="180"/>
      <c r="G60" s="180"/>
      <c r="H60" s="180"/>
      <c r="I60" s="180"/>
      <c r="J60" s="180"/>
      <c r="K60" s="180"/>
      <c r="L60" s="180"/>
    </row>
    <row r="61" spans="1:12" ht="16.5" customHeight="1">
      <c r="A61" s="3504" t="str">
        <f>CHENG</f>
        <v>CANO ARTHUR D. CADAVOS</v>
      </c>
      <c r="B61" s="3505"/>
      <c r="C61" s="3505"/>
      <c r="D61" s="180"/>
      <c r="E61" s="180"/>
      <c r="F61" s="180"/>
      <c r="G61" s="180"/>
      <c r="H61" s="180"/>
      <c r="I61" s="3504" t="str">
        <f>SURVEYOR</f>
        <v>MEHMET EROĞLU</v>
      </c>
      <c r="J61" s="3504"/>
      <c r="K61" s="3504"/>
      <c r="L61" s="3504"/>
    </row>
    <row r="62" spans="1:12" ht="16.5" customHeight="1">
      <c r="A62" s="3499" t="s">
        <v>15</v>
      </c>
      <c r="B62" s="3500"/>
      <c r="C62" s="3500"/>
      <c r="D62" s="180"/>
      <c r="E62" s="180"/>
      <c r="F62" s="180"/>
      <c r="G62" s="180"/>
      <c r="H62" s="180"/>
      <c r="I62" s="3516" t="str">
        <f>"Bunker Surveyor"&amp;IF(SPORE=TRUE,", License No. "&amp;SURVLIC,"")</f>
        <v>Bunker Surveyor</v>
      </c>
      <c r="J62" s="3516"/>
      <c r="K62" s="3516"/>
      <c r="L62" s="3516"/>
    </row>
    <row r="63" spans="1:12" ht="2.25" customHeight="1"/>
  </sheetData>
  <sheetProtection algorithmName="SHA-512" hashValue="AysOTCeht6B0NWuOJhqX8DcFzKAyIXW1cDKQHeS6LpFC6fcL4MObgbXgYuU3TMUI+EIV7UxGQ6tMYHwSpiDPfA==" saltValue="Lt8YdEBn5XOwlLX+JIO9ig==" spinCount="100000" sheet="1" objects="1" scenarios="1" autoFilter="0"/>
  <mergeCells count="138">
    <mergeCell ref="G19:I19"/>
    <mergeCell ref="J19:L19"/>
    <mergeCell ref="A20:C20"/>
    <mergeCell ref="D20:F20"/>
    <mergeCell ref="G20:I20"/>
    <mergeCell ref="J20:L20"/>
    <mergeCell ref="A12:B12"/>
    <mergeCell ref="A13:B13"/>
    <mergeCell ref="A14:B14"/>
    <mergeCell ref="A15:B15"/>
    <mergeCell ref="A19:C19"/>
    <mergeCell ref="D19:F19"/>
    <mergeCell ref="A23:C23"/>
    <mergeCell ref="D23:F23"/>
    <mergeCell ref="G23:I23"/>
    <mergeCell ref="J23:L23"/>
    <mergeCell ref="A24:C24"/>
    <mergeCell ref="D24:F24"/>
    <mergeCell ref="G24:I24"/>
    <mergeCell ref="J24:L24"/>
    <mergeCell ref="A21:C21"/>
    <mergeCell ref="D21:F21"/>
    <mergeCell ref="G21:I21"/>
    <mergeCell ref="J21:L21"/>
    <mergeCell ref="A22:C22"/>
    <mergeCell ref="D22:F22"/>
    <mergeCell ref="G22:I22"/>
    <mergeCell ref="J22:L22"/>
    <mergeCell ref="A27:C27"/>
    <mergeCell ref="D27:F27"/>
    <mergeCell ref="G27:I27"/>
    <mergeCell ref="J27:L27"/>
    <mergeCell ref="A28:C28"/>
    <mergeCell ref="D28:F28"/>
    <mergeCell ref="G28:I28"/>
    <mergeCell ref="J28:L28"/>
    <mergeCell ref="A25:C25"/>
    <mergeCell ref="D25:F25"/>
    <mergeCell ref="G25:I25"/>
    <mergeCell ref="J25:L25"/>
    <mergeCell ref="A26:C26"/>
    <mergeCell ref="D26:F26"/>
    <mergeCell ref="G26:I26"/>
    <mergeCell ref="J26:L26"/>
    <mergeCell ref="A31:C31"/>
    <mergeCell ref="D31:F31"/>
    <mergeCell ref="G31:I31"/>
    <mergeCell ref="J31:L31"/>
    <mergeCell ref="A32:C32"/>
    <mergeCell ref="D32:F32"/>
    <mergeCell ref="G32:I32"/>
    <mergeCell ref="J32:L32"/>
    <mergeCell ref="A29:C29"/>
    <mergeCell ref="D29:F29"/>
    <mergeCell ref="G29:I29"/>
    <mergeCell ref="J29:L29"/>
    <mergeCell ref="A30:C30"/>
    <mergeCell ref="D30:F30"/>
    <mergeCell ref="G30:I30"/>
    <mergeCell ref="J30:L30"/>
    <mergeCell ref="A35:C35"/>
    <mergeCell ref="D35:F35"/>
    <mergeCell ref="G35:I35"/>
    <mergeCell ref="J35:L35"/>
    <mergeCell ref="A36:C36"/>
    <mergeCell ref="D36:F36"/>
    <mergeCell ref="G36:I36"/>
    <mergeCell ref="J36:L36"/>
    <mergeCell ref="A33:C33"/>
    <mergeCell ref="D33:F33"/>
    <mergeCell ref="G33:I33"/>
    <mergeCell ref="J33:L33"/>
    <mergeCell ref="A34:C34"/>
    <mergeCell ref="D34:F34"/>
    <mergeCell ref="G34:I34"/>
    <mergeCell ref="J34:L34"/>
    <mergeCell ref="A39:C39"/>
    <mergeCell ref="D39:F39"/>
    <mergeCell ref="G39:I39"/>
    <mergeCell ref="J39:L39"/>
    <mergeCell ref="A40:C40"/>
    <mergeCell ref="D40:F40"/>
    <mergeCell ref="G40:I40"/>
    <mergeCell ref="J40:L40"/>
    <mergeCell ref="A37:C37"/>
    <mergeCell ref="D37:F37"/>
    <mergeCell ref="G37:I37"/>
    <mergeCell ref="J37:L37"/>
    <mergeCell ref="A38:C38"/>
    <mergeCell ref="D38:F38"/>
    <mergeCell ref="G38:I38"/>
    <mergeCell ref="J38:L38"/>
    <mergeCell ref="A43:C43"/>
    <mergeCell ref="D43:F43"/>
    <mergeCell ref="G43:I43"/>
    <mergeCell ref="J43:L43"/>
    <mergeCell ref="A44:C44"/>
    <mergeCell ref="D44:F44"/>
    <mergeCell ref="G44:I44"/>
    <mergeCell ref="J44:L44"/>
    <mergeCell ref="A41:C41"/>
    <mergeCell ref="D41:F41"/>
    <mergeCell ref="G41:I41"/>
    <mergeCell ref="J41:L41"/>
    <mergeCell ref="A42:C42"/>
    <mergeCell ref="D42:F42"/>
    <mergeCell ref="G42:I42"/>
    <mergeCell ref="J42:L42"/>
    <mergeCell ref="A47:C47"/>
    <mergeCell ref="D47:F47"/>
    <mergeCell ref="G47:I47"/>
    <mergeCell ref="J47:L47"/>
    <mergeCell ref="A48:C48"/>
    <mergeCell ref="D48:F48"/>
    <mergeCell ref="G48:I48"/>
    <mergeCell ref="J48:L48"/>
    <mergeCell ref="A45:C45"/>
    <mergeCell ref="D45:F45"/>
    <mergeCell ref="G45:I45"/>
    <mergeCell ref="J45:L45"/>
    <mergeCell ref="A46:C46"/>
    <mergeCell ref="D46:F46"/>
    <mergeCell ref="G46:I46"/>
    <mergeCell ref="J46:L46"/>
    <mergeCell ref="A62:C62"/>
    <mergeCell ref="B53:K53"/>
    <mergeCell ref="B54:K54"/>
    <mergeCell ref="B55:K55"/>
    <mergeCell ref="B56:K56"/>
    <mergeCell ref="A61:C61"/>
    <mergeCell ref="A49:C49"/>
    <mergeCell ref="D49:F49"/>
    <mergeCell ref="G49:I49"/>
    <mergeCell ref="J49:L49"/>
    <mergeCell ref="G50:I50"/>
    <mergeCell ref="J50:L50"/>
    <mergeCell ref="I61:L61"/>
    <mergeCell ref="I62:L62"/>
  </mergeCells>
  <dataValidations count="1">
    <dataValidation type="list" errorStyle="information" allowBlank="1" showInputMessage="1" showErrorMessage="1" prompt="Choose remarks from list or edit yours." sqref="B53:K56" xr:uid="{00000000-0002-0000-2300-000000000000}">
      <formula1>REMCOL</formula1>
    </dataValidation>
  </dataValidations>
  <hyperlinks>
    <hyperlink ref="A53" location="REMCODE" display="Remarks:" xr:uid="{00000000-0004-0000-2300-000000000000}"/>
  </hyperlinks>
  <printOptions horizontalCentered="1"/>
  <pageMargins left="0.3" right="0.3" top="0.2" bottom="0.3" header="0.3" footer="0.1"/>
  <pageSetup paperSize="9" scale="91" orientation="portrait" cellComments="atEnd" r:id="rId1"/>
  <headerFooter scaleWithDoc="0">
    <oddFooter>&amp;L&amp;8BunkerManager, v1.06&amp;C&amp;8by AMS-Marine | www.ams-marine.com&amp;R&amp;8RefNo: BD/2015/00926 SG</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03">
    <tabColor rgb="FFFFFF00"/>
    <pageSetUpPr fitToPage="1"/>
  </sheetPr>
  <dimension ref="A1:N69"/>
  <sheetViews>
    <sheetView showGridLines="0" showRowColHeaders="0" topLeftCell="A8" zoomScaleNormal="100" zoomScaleSheetLayoutView="100" workbookViewId="0">
      <pane ySplit="16" topLeftCell="A24" activePane="bottomLeft" state="frozen"/>
      <selection pane="bottomLeft" activeCell="M68" sqref="M68"/>
    </sheetView>
  </sheetViews>
  <sheetFormatPr defaultColWidth="0" defaultRowHeight="12.75" zeroHeight="1"/>
  <cols>
    <col min="1" max="1" width="2.375" style="262" bestFit="1" customWidth="1"/>
    <col min="2" max="2" width="15.125" style="262" customWidth="1"/>
    <col min="3" max="4" width="6.25" style="262" customWidth="1"/>
    <col min="5" max="5" width="3.75" style="262" customWidth="1"/>
    <col min="6" max="7" width="6.25" style="262" customWidth="1"/>
    <col min="8" max="8" width="3.75" style="262" customWidth="1"/>
    <col min="9" max="9" width="8.125" style="262" customWidth="1"/>
    <col min="10" max="10" width="12.875" style="262" customWidth="1"/>
    <col min="11" max="11" width="11" style="262" customWidth="1"/>
    <col min="12" max="12" width="11.375" style="262" customWidth="1"/>
    <col min="13" max="13" width="11.75" style="262" customWidth="1"/>
    <col min="14" max="14" width="0.375" style="262" customWidth="1"/>
    <col min="15" max="16384" width="9" style="262" hidden="1"/>
  </cols>
  <sheetData>
    <row r="1" spans="1:13">
      <c r="A1" s="261"/>
      <c r="B1" s="261"/>
      <c r="C1" s="261"/>
      <c r="D1" s="261"/>
      <c r="E1" s="261"/>
      <c r="F1" s="261"/>
      <c r="G1" s="261"/>
      <c r="H1" s="261"/>
      <c r="I1" s="261"/>
      <c r="J1" s="261"/>
      <c r="K1" s="261"/>
      <c r="M1" s="261"/>
    </row>
    <row r="2" spans="1:13">
      <c r="A2" s="261"/>
      <c r="B2" s="261"/>
      <c r="C2" s="261"/>
      <c r="D2" s="261"/>
      <c r="E2" s="261"/>
      <c r="F2" s="261"/>
      <c r="G2" s="261"/>
      <c r="H2" s="261"/>
      <c r="I2" s="261"/>
      <c r="J2" s="261"/>
      <c r="K2" s="261"/>
      <c r="M2" s="261"/>
    </row>
    <row r="3" spans="1:13">
      <c r="A3" s="261"/>
      <c r="B3" s="261"/>
      <c r="C3" s="261"/>
      <c r="D3" s="261"/>
      <c r="E3" s="261"/>
      <c r="F3" s="261"/>
      <c r="G3" s="261"/>
      <c r="H3" s="261"/>
      <c r="I3" s="261"/>
      <c r="J3" s="261"/>
      <c r="K3" s="261"/>
      <c r="M3" s="261"/>
    </row>
    <row r="4" spans="1:13" ht="18">
      <c r="A4" s="261"/>
      <c r="B4" s="261"/>
      <c r="C4" s="261"/>
      <c r="D4" s="261"/>
      <c r="E4" s="261"/>
      <c r="F4" s="261"/>
      <c r="G4" s="261"/>
      <c r="H4" s="261"/>
      <c r="I4" s="261"/>
      <c r="J4" s="261"/>
      <c r="K4" s="261"/>
      <c r="M4" s="263" t="str">
        <f>COMPANY1</f>
        <v>Petro Inspect International</v>
      </c>
    </row>
    <row r="5" spans="1:13">
      <c r="A5" s="261"/>
      <c r="B5" s="261"/>
      <c r="C5" s="261"/>
      <c r="D5" s="261"/>
      <c r="E5" s="261"/>
      <c r="F5" s="261"/>
      <c r="G5" s="261"/>
      <c r="H5" s="261"/>
      <c r="I5" s="261"/>
      <c r="J5" s="261"/>
      <c r="K5" s="261"/>
      <c r="M5" s="264" t="str">
        <f>COMPANY2</f>
        <v>ops@petro-inspect.com</v>
      </c>
    </row>
    <row r="6" spans="1:13">
      <c r="A6" s="261"/>
      <c r="B6" s="261"/>
      <c r="C6" s="261"/>
      <c r="D6" s="261"/>
      <c r="E6" s="261"/>
      <c r="F6" s="261"/>
      <c r="G6" s="261"/>
      <c r="H6" s="261"/>
      <c r="I6" s="261"/>
      <c r="J6" s="261"/>
      <c r="K6" s="261"/>
      <c r="M6" s="264" t="str">
        <f>COMPANY3</f>
        <v/>
      </c>
    </row>
    <row r="7" spans="1:13">
      <c r="A7" s="261"/>
      <c r="B7" s="261"/>
      <c r="C7" s="261"/>
      <c r="D7" s="261"/>
      <c r="E7" s="261"/>
      <c r="F7" s="261"/>
      <c r="G7" s="261"/>
      <c r="H7" s="261"/>
      <c r="I7" s="261"/>
      <c r="J7" s="261"/>
      <c r="K7" s="261"/>
      <c r="M7" s="264" t="str">
        <f>COMPANY4</f>
        <v/>
      </c>
    </row>
    <row r="8" spans="1:13" ht="3.75" customHeight="1" thickBot="1">
      <c r="A8" s="265"/>
      <c r="B8" s="265"/>
      <c r="C8" s="265"/>
      <c r="D8" s="265"/>
      <c r="E8" s="265"/>
      <c r="F8" s="265"/>
      <c r="G8" s="265"/>
      <c r="H8" s="265"/>
      <c r="I8" s="265"/>
      <c r="J8" s="265"/>
      <c r="K8" s="265"/>
      <c r="L8" s="265"/>
      <c r="M8" s="265"/>
    </row>
    <row r="9" spans="1:13" ht="4.5" customHeight="1">
      <c r="A9" s="181"/>
      <c r="B9" s="181"/>
      <c r="C9" s="181"/>
      <c r="D9" s="181"/>
      <c r="E9" s="181"/>
      <c r="F9" s="181"/>
      <c r="G9" s="181"/>
      <c r="H9" s="181"/>
      <c r="I9" s="181"/>
      <c r="J9" s="181"/>
      <c r="K9" s="181"/>
    </row>
    <row r="10" spans="1:13" ht="18">
      <c r="A10" s="951"/>
      <c r="B10" s="952"/>
      <c r="C10" s="952"/>
      <c r="D10" s="952"/>
      <c r="E10" s="952"/>
      <c r="F10" s="952"/>
      <c r="G10" s="952"/>
      <c r="H10" s="952"/>
      <c r="I10" s="952" t="s">
        <v>530</v>
      </c>
      <c r="J10" s="952"/>
      <c r="K10" s="952"/>
      <c r="L10" s="952"/>
      <c r="M10" s="953"/>
    </row>
    <row r="11" spans="1:13" ht="6.75" customHeight="1"/>
    <row r="12" spans="1:13" ht="13.5" customHeight="1">
      <c r="A12" s="504"/>
      <c r="B12" s="3566" t="s">
        <v>541</v>
      </c>
      <c r="C12" s="3567"/>
      <c r="D12" s="954" t="s">
        <v>475</v>
      </c>
      <c r="E12" s="3578" t="s">
        <v>521</v>
      </c>
      <c r="F12" s="3573"/>
      <c r="G12" s="3572" t="s">
        <v>522</v>
      </c>
      <c r="H12" s="3573"/>
    </row>
    <row r="13" spans="1:13" s="500" customFormat="1" ht="11.25">
      <c r="B13" s="3568"/>
      <c r="C13" s="3569"/>
      <c r="D13" s="955" t="s">
        <v>483</v>
      </c>
      <c r="E13" s="3570" t="s">
        <v>433</v>
      </c>
      <c r="F13" s="3571"/>
      <c r="G13" s="3570" t="s">
        <v>433</v>
      </c>
      <c r="H13" s="3571"/>
    </row>
    <row r="14" spans="1:13" ht="14.25">
      <c r="A14" s="504"/>
      <c r="B14" s="3576" t="s">
        <v>519</v>
      </c>
      <c r="C14" s="3577"/>
      <c r="D14" s="501">
        <f>IF($B14=0,"",INDEX('Ships Declaration'!$N$20:$R$31,MATCH($B14,'Ships Declaration'!$N$20:$N$31,0),2))</f>
        <v>13</v>
      </c>
      <c r="E14" s="3579">
        <f>IF($B14=0,"",INDEX('Ships Declaration'!$N$20:$R$31,MATCH($B14,'Ships Declaration'!$N$20:$N$31,0),4))</f>
        <v>20.8</v>
      </c>
      <c r="F14" s="3575"/>
      <c r="G14" s="3574">
        <f>IF($B14=0,"",INDEX('Ships Declaration'!$N$20:$R$31,MATCH($B14,'Ships Declaration'!$N$20:$N$31,0),5))</f>
        <v>23</v>
      </c>
      <c r="H14" s="3575"/>
      <c r="J14" s="611" t="s">
        <v>160</v>
      </c>
      <c r="K14" s="611"/>
      <c r="L14" s="3521" t="str">
        <f>VESSEL</f>
        <v>MV PESSADA</v>
      </c>
      <c r="M14" s="3521"/>
    </row>
    <row r="15" spans="1:13" ht="14.25">
      <c r="A15" s="504"/>
      <c r="B15" s="3549" t="s">
        <v>520</v>
      </c>
      <c r="C15" s="3550"/>
      <c r="D15" s="502">
        <f>IF($B15=0,"",INDEX('Ships Declaration'!$N$20:$R$31,MATCH($B15,'Ships Declaration'!$N$20:$N$31,0),2))</f>
        <v>14</v>
      </c>
      <c r="E15" s="3543">
        <f>IF($B15=0,"",INDEX('Ships Declaration'!$N$20:$R$31,MATCH($B15,'Ships Declaration'!$N$20:$N$31,0),4))</f>
        <v>19</v>
      </c>
      <c r="F15" s="3544"/>
      <c r="G15" s="3547">
        <f>IF($B15=0,"",INDEX('Ships Declaration'!$N$20:$R$31,MATCH($B15,'Ships Declaration'!$N$20:$N$31,0),5))</f>
        <v>20</v>
      </c>
      <c r="H15" s="3544"/>
      <c r="J15" s="611" t="s">
        <v>11</v>
      </c>
      <c r="K15" s="611"/>
      <c r="L15" s="3522" t="str">
        <f>PORT</f>
        <v>ISTANBUL / TURKEY</v>
      </c>
      <c r="M15" s="3522"/>
    </row>
    <row r="16" spans="1:13" ht="14.25">
      <c r="A16" s="504"/>
      <c r="B16" s="3549" t="s">
        <v>518</v>
      </c>
      <c r="C16" s="3550"/>
      <c r="D16" s="502">
        <f>IF($B16=0,"",INDEX('Ships Declaration'!$N$20:$R$31,MATCH($B16,'Ships Declaration'!$N$20:$N$31,0),2))</f>
        <v>0</v>
      </c>
      <c r="E16" s="3543">
        <f>IF($B16=0,"",INDEX('Ships Declaration'!$N$20:$R$31,MATCH($B16,'Ships Declaration'!$N$20:$N$31,0),4))</f>
        <v>6</v>
      </c>
      <c r="F16" s="3544"/>
      <c r="G16" s="3547">
        <f>IF($B16=0,"",INDEX('Ships Declaration'!$N$20:$R$31,MATCH($B16,'Ships Declaration'!$N$20:$N$31,0),5))</f>
        <v>17</v>
      </c>
      <c r="H16" s="3544"/>
      <c r="J16" s="611" t="s">
        <v>174</v>
      </c>
      <c r="K16" s="611"/>
      <c r="L16" s="3523">
        <f>DATESURVC</f>
        <v>44792</v>
      </c>
      <c r="M16" s="3523"/>
    </row>
    <row r="17" spans="1:13" ht="14.25">
      <c r="A17" s="504"/>
      <c r="B17" s="3549" t="s">
        <v>479</v>
      </c>
      <c r="C17" s="3550"/>
      <c r="D17" s="502">
        <f>IF($B17=0,"",INDEX('Ships Declaration'!$N$20:$R$31,MATCH($B17,'Ships Declaration'!$N$20:$N$31,0),2))</f>
        <v>0</v>
      </c>
      <c r="E17" s="3543">
        <f>IF($B17=0,"",INDEX('Ships Declaration'!$N$20:$R$31,MATCH($B17,'Ships Declaration'!$N$20:$N$31,0),4))</f>
        <v>3</v>
      </c>
      <c r="F17" s="3544"/>
      <c r="G17" s="3547">
        <f>IF($B17=0,"",INDEX('Ships Declaration'!$N$20:$R$31,MATCH($B17,'Ships Declaration'!$N$20:$N$31,0),5))</f>
        <v>7</v>
      </c>
      <c r="H17" s="3544"/>
      <c r="J17" s="611" t="s">
        <v>10</v>
      </c>
      <c r="K17" s="611"/>
      <c r="L17" s="3524">
        <f>TIMESURVC</f>
        <v>0.27083333333333331</v>
      </c>
      <c r="M17" s="3524"/>
    </row>
    <row r="18" spans="1:13" ht="14.25">
      <c r="A18" s="504"/>
      <c r="B18" s="3549"/>
      <c r="C18" s="3550"/>
      <c r="D18" s="502" t="str">
        <f>IF($B18=0,"",INDEX('Ships Declaration'!$N$20:$R$31,MATCH($B18,'Ships Declaration'!$N$20:$N$31,0),2))</f>
        <v/>
      </c>
      <c r="E18" s="3543" t="str">
        <f>IF($B18=0,"",INDEX('Ships Declaration'!$N$20:$R$31,MATCH($B18,'Ships Declaration'!$N$20:$N$31,0),4))</f>
        <v/>
      </c>
      <c r="F18" s="3544"/>
      <c r="G18" s="3547" t="str">
        <f>IF($B18=0,"",INDEX('Ships Declaration'!$N$20:$R$31,MATCH($B18,'Ships Declaration'!$N$20:$N$31,0),5))</f>
        <v/>
      </c>
      <c r="H18" s="3544"/>
    </row>
    <row r="19" spans="1:13" ht="14.25">
      <c r="A19" s="504"/>
      <c r="B19" s="3563"/>
      <c r="C19" s="3564"/>
      <c r="D19" s="503" t="str">
        <f>IF($B19=0,"",INDEX('Ships Declaration'!$N$20:$R$31,MATCH($B19,'Ships Declaration'!$N$20:$N$31,0),2))</f>
        <v/>
      </c>
      <c r="E19" s="3545" t="str">
        <f>IF($B19=0,"",INDEX('Ships Declaration'!$N$20:$R$31,MATCH($B19,'Ships Declaration'!$N$20:$N$31,0),4))</f>
        <v/>
      </c>
      <c r="F19" s="3546"/>
      <c r="G19" s="3548" t="str">
        <f>IF($B19=0,"",INDEX('Ships Declaration'!$N$20:$R$31,MATCH($B19,'Ships Declaration'!$N$20:$N$31,0),5))</f>
        <v/>
      </c>
      <c r="H19" s="3546"/>
    </row>
    <row r="20" spans="1:13" ht="6.75" customHeight="1"/>
    <row r="21" spans="1:13">
      <c r="A21" s="3525" t="s">
        <v>542</v>
      </c>
      <c r="B21" s="3528" t="s">
        <v>281</v>
      </c>
      <c r="C21" s="3534" t="s">
        <v>280</v>
      </c>
      <c r="D21" s="3535"/>
      <c r="E21" s="3535"/>
      <c r="F21" s="3535"/>
      <c r="G21" s="3535"/>
      <c r="H21" s="3536"/>
      <c r="I21" s="3531" t="s">
        <v>279</v>
      </c>
      <c r="J21" s="3539" t="s">
        <v>283</v>
      </c>
      <c r="K21" s="3540"/>
      <c r="L21" s="3539" t="s">
        <v>282</v>
      </c>
      <c r="M21" s="3540"/>
    </row>
    <row r="22" spans="1:13">
      <c r="A22" s="3526"/>
      <c r="B22" s="3529"/>
      <c r="C22" s="3537" t="s">
        <v>431</v>
      </c>
      <c r="D22" s="3538"/>
      <c r="E22" s="3538"/>
      <c r="F22" s="3538" t="s">
        <v>432</v>
      </c>
      <c r="G22" s="3538"/>
      <c r="H22" s="3565"/>
      <c r="I22" s="3532"/>
      <c r="J22" s="3541"/>
      <c r="K22" s="3542"/>
      <c r="L22" s="3541"/>
      <c r="M22" s="3542"/>
    </row>
    <row r="23" spans="1:13">
      <c r="A23" s="3527"/>
      <c r="B23" s="3530"/>
      <c r="C23" s="956" t="s">
        <v>427</v>
      </c>
      <c r="D23" s="957" t="s">
        <v>428</v>
      </c>
      <c r="E23" s="958" t="s">
        <v>429</v>
      </c>
      <c r="F23" s="956" t="s">
        <v>427</v>
      </c>
      <c r="G23" s="957" t="s">
        <v>428</v>
      </c>
      <c r="H23" s="958" t="s">
        <v>430</v>
      </c>
      <c r="I23" s="3533"/>
      <c r="J23" s="959" t="s">
        <v>278</v>
      </c>
      <c r="K23" s="960" t="s">
        <v>277</v>
      </c>
      <c r="L23" s="959" t="s">
        <v>278</v>
      </c>
      <c r="M23" s="960" t="s">
        <v>277</v>
      </c>
    </row>
    <row r="24" spans="1:13" ht="16.5" customHeight="1">
      <c r="A24" s="975">
        <v>1</v>
      </c>
      <c r="B24" s="266">
        <v>42098</v>
      </c>
      <c r="C24" s="267" t="s">
        <v>272</v>
      </c>
      <c r="D24" s="268"/>
      <c r="E24" s="269"/>
      <c r="F24" s="270"/>
      <c r="G24" s="268"/>
      <c r="H24" s="271"/>
      <c r="I24" s="272">
        <v>7.1</v>
      </c>
      <c r="J24" s="1415">
        <v>2.4</v>
      </c>
      <c r="K24" s="1416">
        <v>1.46</v>
      </c>
      <c r="L24" s="1415">
        <v>2.56</v>
      </c>
      <c r="M24" s="1416">
        <v>1.55</v>
      </c>
    </row>
    <row r="25" spans="1:13" ht="16.5" customHeight="1">
      <c r="A25" s="975">
        <v>2</v>
      </c>
      <c r="B25" s="273">
        <v>42099</v>
      </c>
      <c r="C25" s="267" t="s">
        <v>272</v>
      </c>
      <c r="D25" s="274"/>
      <c r="E25" s="275"/>
      <c r="F25" s="270"/>
      <c r="G25" s="274"/>
      <c r="H25" s="275"/>
      <c r="I25" s="276">
        <v>5.8</v>
      </c>
      <c r="J25" s="1417">
        <v>16.12</v>
      </c>
      <c r="K25" s="1418">
        <v>4.5</v>
      </c>
      <c r="L25" s="1417">
        <v>17.21</v>
      </c>
      <c r="M25" s="1418">
        <v>4.8099999999999996</v>
      </c>
    </row>
    <row r="26" spans="1:13" ht="16.5" customHeight="1">
      <c r="A26" s="975">
        <v>3</v>
      </c>
      <c r="B26" s="273">
        <v>42100</v>
      </c>
      <c r="C26" s="267" t="s">
        <v>271</v>
      </c>
      <c r="D26" s="274"/>
      <c r="E26" s="275"/>
      <c r="F26" s="270"/>
      <c r="G26" s="274"/>
      <c r="H26" s="275"/>
      <c r="I26" s="276">
        <v>0</v>
      </c>
      <c r="J26" s="1417">
        <v>3.22</v>
      </c>
      <c r="K26" s="1418">
        <v>3.86</v>
      </c>
      <c r="L26" s="1417">
        <v>3.43</v>
      </c>
      <c r="M26" s="1418">
        <v>4.12</v>
      </c>
    </row>
    <row r="27" spans="1:13" ht="16.5" customHeight="1">
      <c r="A27" s="975">
        <v>4</v>
      </c>
      <c r="B27" s="273">
        <v>42101</v>
      </c>
      <c r="C27" s="267">
        <v>25</v>
      </c>
      <c r="D27" s="274">
        <v>50</v>
      </c>
      <c r="E27" s="275" t="s">
        <v>270</v>
      </c>
      <c r="F27" s="270">
        <v>120</v>
      </c>
      <c r="G27" s="274">
        <v>54</v>
      </c>
      <c r="H27" s="275" t="s">
        <v>269</v>
      </c>
      <c r="I27" s="276">
        <v>12</v>
      </c>
      <c r="J27" s="1417">
        <v>28.9</v>
      </c>
      <c r="K27" s="1418">
        <v>4.34</v>
      </c>
      <c r="L27" s="1417">
        <v>30.85</v>
      </c>
      <c r="M27" s="1418">
        <v>4.63</v>
      </c>
    </row>
    <row r="28" spans="1:13" ht="16.5" customHeight="1">
      <c r="A28" s="975">
        <v>5</v>
      </c>
      <c r="B28" s="273">
        <v>42102</v>
      </c>
      <c r="C28" s="267">
        <v>19</v>
      </c>
      <c r="D28" s="274">
        <v>37</v>
      </c>
      <c r="E28" s="275" t="s">
        <v>270</v>
      </c>
      <c r="F28" s="270">
        <v>115</v>
      </c>
      <c r="G28" s="274">
        <v>44</v>
      </c>
      <c r="H28" s="275" t="s">
        <v>269</v>
      </c>
      <c r="I28" s="276">
        <v>25</v>
      </c>
      <c r="J28" s="1417">
        <v>56.01</v>
      </c>
      <c r="K28" s="1418">
        <v>4.8499999999999996</v>
      </c>
      <c r="L28" s="1417">
        <v>59.78</v>
      </c>
      <c r="M28" s="1418">
        <v>5.17</v>
      </c>
    </row>
    <row r="29" spans="1:13" ht="16.5" customHeight="1">
      <c r="A29" s="975">
        <v>6</v>
      </c>
      <c r="B29" s="273">
        <v>42103</v>
      </c>
      <c r="C29" s="267">
        <v>13</v>
      </c>
      <c r="D29" s="274">
        <v>27</v>
      </c>
      <c r="E29" s="275" t="s">
        <v>270</v>
      </c>
      <c r="F29" s="270">
        <v>111</v>
      </c>
      <c r="G29" s="274">
        <v>14</v>
      </c>
      <c r="H29" s="275" t="s">
        <v>269</v>
      </c>
      <c r="I29" s="276">
        <v>24</v>
      </c>
      <c r="J29" s="1417">
        <v>55.41</v>
      </c>
      <c r="K29" s="1418">
        <v>4.87</v>
      </c>
      <c r="L29" s="1417">
        <v>59.14</v>
      </c>
      <c r="M29" s="1418">
        <v>5.2</v>
      </c>
    </row>
    <row r="30" spans="1:13" ht="16.5" customHeight="1">
      <c r="A30" s="975">
        <v>7</v>
      </c>
      <c r="B30" s="273">
        <v>42104</v>
      </c>
      <c r="C30" s="267" t="s">
        <v>276</v>
      </c>
      <c r="D30" s="274"/>
      <c r="E30" s="275"/>
      <c r="F30" s="270"/>
      <c r="G30" s="274"/>
      <c r="H30" s="275"/>
      <c r="I30" s="276">
        <v>20.5</v>
      </c>
      <c r="J30" s="1417">
        <v>49.81</v>
      </c>
      <c r="K30" s="1418">
        <v>4.96</v>
      </c>
      <c r="L30" s="1417">
        <v>53.16</v>
      </c>
      <c r="M30" s="1418">
        <v>5.29</v>
      </c>
    </row>
    <row r="31" spans="1:13" ht="16.5" customHeight="1">
      <c r="A31" s="975">
        <v>8</v>
      </c>
      <c r="B31" s="273">
        <v>42105</v>
      </c>
      <c r="C31" s="267">
        <v>9</v>
      </c>
      <c r="D31" s="277">
        <v>28</v>
      </c>
      <c r="E31" s="275" t="s">
        <v>270</v>
      </c>
      <c r="F31" s="270">
        <v>107</v>
      </c>
      <c r="G31" s="277">
        <v>6</v>
      </c>
      <c r="H31" s="275" t="s">
        <v>269</v>
      </c>
      <c r="I31" s="276">
        <v>4.3</v>
      </c>
      <c r="J31" s="1417">
        <v>5.78</v>
      </c>
      <c r="K31" s="1418">
        <v>4.62</v>
      </c>
      <c r="L31" s="1417">
        <v>6.17</v>
      </c>
      <c r="M31" s="1418">
        <v>4.93</v>
      </c>
    </row>
    <row r="32" spans="1:13" ht="16.5" customHeight="1">
      <c r="A32" s="975">
        <v>9</v>
      </c>
      <c r="B32" s="273">
        <v>42106</v>
      </c>
      <c r="C32" s="267">
        <v>8</v>
      </c>
      <c r="D32" s="277">
        <v>30</v>
      </c>
      <c r="E32" s="275" t="s">
        <v>270</v>
      </c>
      <c r="F32" s="270">
        <v>103</v>
      </c>
      <c r="G32" s="277">
        <v>54</v>
      </c>
      <c r="H32" s="275" t="s">
        <v>269</v>
      </c>
      <c r="I32" s="276">
        <v>24</v>
      </c>
      <c r="J32" s="1417">
        <v>14.86</v>
      </c>
      <c r="K32" s="1418">
        <v>4.8899999999999997</v>
      </c>
      <c r="L32" s="1417">
        <v>15.86</v>
      </c>
      <c r="M32" s="1418">
        <v>5.22</v>
      </c>
    </row>
    <row r="33" spans="1:13" ht="16.5" customHeight="1">
      <c r="A33" s="975">
        <v>10</v>
      </c>
      <c r="B33" s="273">
        <v>42107</v>
      </c>
      <c r="C33" s="267">
        <v>12</v>
      </c>
      <c r="D33" s="277">
        <v>4</v>
      </c>
      <c r="E33" s="275" t="s">
        <v>270</v>
      </c>
      <c r="F33" s="270">
        <v>100</v>
      </c>
      <c r="G33" s="277">
        <v>53</v>
      </c>
      <c r="H33" s="275" t="s">
        <v>269</v>
      </c>
      <c r="I33" s="276">
        <v>24</v>
      </c>
      <c r="J33" s="1417">
        <v>15.91</v>
      </c>
      <c r="K33" s="1418">
        <v>4.79</v>
      </c>
      <c r="L33" s="1417">
        <v>16.98</v>
      </c>
      <c r="M33" s="1418">
        <v>5.12</v>
      </c>
    </row>
    <row r="34" spans="1:13" ht="16.5" customHeight="1">
      <c r="A34" s="975">
        <v>11</v>
      </c>
      <c r="B34" s="273">
        <v>42108</v>
      </c>
      <c r="C34" s="267" t="s">
        <v>275</v>
      </c>
      <c r="D34" s="274"/>
      <c r="E34" s="275"/>
      <c r="F34" s="270"/>
      <c r="G34" s="274"/>
      <c r="H34" s="275"/>
      <c r="I34" s="276">
        <v>8</v>
      </c>
      <c r="J34" s="1417">
        <v>2.2599999999999998</v>
      </c>
      <c r="K34" s="1418">
        <v>4.74</v>
      </c>
      <c r="L34" s="1417">
        <v>2.41</v>
      </c>
      <c r="M34" s="1418">
        <v>5.0599999999999996</v>
      </c>
    </row>
    <row r="35" spans="1:13" ht="16.5" customHeight="1">
      <c r="A35" s="975">
        <v>12</v>
      </c>
      <c r="B35" s="273">
        <v>42109</v>
      </c>
      <c r="C35" s="267">
        <v>11</v>
      </c>
      <c r="D35" s="277">
        <v>40</v>
      </c>
      <c r="E35" s="275" t="s">
        <v>270</v>
      </c>
      <c r="F35" s="270">
        <v>101</v>
      </c>
      <c r="G35" s="277">
        <v>11</v>
      </c>
      <c r="H35" s="275" t="s">
        <v>269</v>
      </c>
      <c r="I35" s="276">
        <v>5.7</v>
      </c>
      <c r="J35" s="1417">
        <v>10.210000000000001</v>
      </c>
      <c r="K35" s="1418">
        <v>4.8099999999999996</v>
      </c>
      <c r="L35" s="1417">
        <v>10.9</v>
      </c>
      <c r="M35" s="1418">
        <v>5.13</v>
      </c>
    </row>
    <row r="36" spans="1:13" ht="16.5" customHeight="1">
      <c r="A36" s="975">
        <v>13</v>
      </c>
      <c r="B36" s="273">
        <v>42110</v>
      </c>
      <c r="C36" s="267">
        <v>8</v>
      </c>
      <c r="D36" s="277">
        <v>21</v>
      </c>
      <c r="E36" s="275" t="s">
        <v>270</v>
      </c>
      <c r="F36" s="270">
        <v>106</v>
      </c>
      <c r="G36" s="277">
        <v>46</v>
      </c>
      <c r="H36" s="275" t="s">
        <v>269</v>
      </c>
      <c r="I36" s="276">
        <v>24</v>
      </c>
      <c r="J36" s="1417">
        <v>58.05</v>
      </c>
      <c r="K36" s="1418">
        <v>4.62</v>
      </c>
      <c r="L36" s="1417">
        <v>61.95</v>
      </c>
      <c r="M36" s="1418">
        <v>4.93</v>
      </c>
    </row>
    <row r="37" spans="1:13" ht="16.5" customHeight="1">
      <c r="A37" s="975">
        <v>14</v>
      </c>
      <c r="B37" s="273">
        <v>42111</v>
      </c>
      <c r="C37" s="267">
        <v>10</v>
      </c>
      <c r="D37" s="277">
        <v>34</v>
      </c>
      <c r="E37" s="275" t="s">
        <v>270</v>
      </c>
      <c r="F37" s="270">
        <v>108</v>
      </c>
      <c r="G37" s="277">
        <v>13</v>
      </c>
      <c r="H37" s="275" t="s">
        <v>269</v>
      </c>
      <c r="I37" s="276">
        <v>9.6</v>
      </c>
      <c r="J37" s="1417">
        <v>25.43</v>
      </c>
      <c r="K37" s="1418">
        <v>4.9800000000000004</v>
      </c>
      <c r="L37" s="1417">
        <v>27.14</v>
      </c>
      <c r="M37" s="1418">
        <v>5.31</v>
      </c>
    </row>
    <row r="38" spans="1:13" ht="16.5" customHeight="1">
      <c r="A38" s="975">
        <v>15</v>
      </c>
      <c r="B38" s="273">
        <v>42112</v>
      </c>
      <c r="C38" s="267">
        <v>18</v>
      </c>
      <c r="D38" s="277">
        <v>31</v>
      </c>
      <c r="E38" s="275" t="s">
        <v>270</v>
      </c>
      <c r="F38" s="270">
        <v>112</v>
      </c>
      <c r="G38" s="277">
        <v>13</v>
      </c>
      <c r="H38" s="275" t="s">
        <v>269</v>
      </c>
      <c r="I38" s="276">
        <v>23</v>
      </c>
      <c r="J38" s="1417">
        <v>44.21</v>
      </c>
      <c r="K38" s="1418">
        <v>4.6100000000000003</v>
      </c>
      <c r="L38" s="1417">
        <v>47.18</v>
      </c>
      <c r="M38" s="1418">
        <v>4.92</v>
      </c>
    </row>
    <row r="39" spans="1:13" ht="16.5" customHeight="1">
      <c r="A39" s="975">
        <v>16</v>
      </c>
      <c r="B39" s="273">
        <v>42113</v>
      </c>
      <c r="C39" s="267">
        <v>21</v>
      </c>
      <c r="D39" s="277">
        <v>41</v>
      </c>
      <c r="E39" s="275" t="s">
        <v>270</v>
      </c>
      <c r="F39" s="270">
        <v>113</v>
      </c>
      <c r="G39" s="277">
        <v>51</v>
      </c>
      <c r="H39" s="275" t="s">
        <v>269</v>
      </c>
      <c r="I39" s="276">
        <v>24</v>
      </c>
      <c r="J39" s="1417">
        <v>32.770000000000003</v>
      </c>
      <c r="K39" s="1418">
        <v>5.31</v>
      </c>
      <c r="L39" s="1417">
        <v>34.97</v>
      </c>
      <c r="M39" s="1418">
        <v>5.66</v>
      </c>
    </row>
    <row r="40" spans="1:13" ht="16.5" customHeight="1">
      <c r="A40" s="975">
        <v>17</v>
      </c>
      <c r="B40" s="273">
        <v>42114</v>
      </c>
      <c r="C40" s="267" t="s">
        <v>274</v>
      </c>
      <c r="D40" s="274"/>
      <c r="E40" s="275"/>
      <c r="F40" s="270"/>
      <c r="G40" s="274"/>
      <c r="H40" s="275"/>
      <c r="I40" s="276">
        <v>1.7</v>
      </c>
      <c r="J40" s="1417">
        <v>9.09</v>
      </c>
      <c r="K40" s="1418">
        <v>5.12</v>
      </c>
      <c r="L40" s="1417">
        <v>9.7100000000000009</v>
      </c>
      <c r="M40" s="1418">
        <v>5.47</v>
      </c>
    </row>
    <row r="41" spans="1:13" ht="16.5" customHeight="1">
      <c r="A41" s="975">
        <v>18</v>
      </c>
      <c r="B41" s="273">
        <v>42115</v>
      </c>
      <c r="C41" s="267">
        <v>22</v>
      </c>
      <c r="D41" s="277">
        <v>36</v>
      </c>
      <c r="E41" s="275" t="s">
        <v>270</v>
      </c>
      <c r="F41" s="270">
        <v>116</v>
      </c>
      <c r="G41" s="277">
        <v>35</v>
      </c>
      <c r="H41" s="275" t="s">
        <v>269</v>
      </c>
      <c r="I41" s="276">
        <v>8.6999999999999993</v>
      </c>
      <c r="J41" s="1417">
        <v>18.649999999999999</v>
      </c>
      <c r="K41" s="1418">
        <v>4.99</v>
      </c>
      <c r="L41" s="1417">
        <v>19.91</v>
      </c>
      <c r="M41" s="1418">
        <v>5.32</v>
      </c>
    </row>
    <row r="42" spans="1:13" ht="16.5" customHeight="1">
      <c r="A42" s="975">
        <v>19</v>
      </c>
      <c r="B42" s="273">
        <v>42116</v>
      </c>
      <c r="C42" s="267">
        <v>26</v>
      </c>
      <c r="D42" s="277">
        <v>13</v>
      </c>
      <c r="E42" s="275" t="s">
        <v>270</v>
      </c>
      <c r="F42" s="270">
        <v>121</v>
      </c>
      <c r="G42" s="277">
        <v>16</v>
      </c>
      <c r="H42" s="275" t="s">
        <v>269</v>
      </c>
      <c r="I42" s="276">
        <v>24</v>
      </c>
      <c r="J42" s="1417">
        <v>40.46</v>
      </c>
      <c r="K42" s="1418">
        <v>5.35</v>
      </c>
      <c r="L42" s="1417">
        <v>43.18</v>
      </c>
      <c r="M42" s="1418">
        <v>5.71</v>
      </c>
    </row>
    <row r="43" spans="1:13" ht="16.5" customHeight="1">
      <c r="A43" s="975">
        <v>20</v>
      </c>
      <c r="B43" s="273">
        <v>42117</v>
      </c>
      <c r="C43" s="267">
        <v>31</v>
      </c>
      <c r="D43" s="277">
        <v>44</v>
      </c>
      <c r="E43" s="275" t="s">
        <v>270</v>
      </c>
      <c r="F43" s="270">
        <v>121</v>
      </c>
      <c r="G43" s="277">
        <v>1</v>
      </c>
      <c r="H43" s="275" t="s">
        <v>269</v>
      </c>
      <c r="I43" s="276">
        <v>24</v>
      </c>
      <c r="J43" s="1417">
        <v>38.840000000000003</v>
      </c>
      <c r="K43" s="1418">
        <v>4.8600000000000003</v>
      </c>
      <c r="L43" s="1417">
        <v>41.45</v>
      </c>
      <c r="M43" s="1418">
        <v>5.19</v>
      </c>
    </row>
    <row r="44" spans="1:13" ht="16.5" customHeight="1">
      <c r="A44" s="975">
        <v>21</v>
      </c>
      <c r="B44" s="273">
        <v>42118</v>
      </c>
      <c r="C44" s="267" t="s">
        <v>273</v>
      </c>
      <c r="D44" s="274"/>
      <c r="E44" s="275"/>
      <c r="F44" s="270"/>
      <c r="G44" s="274"/>
      <c r="H44" s="275"/>
      <c r="I44" s="276">
        <v>20.100000000000001</v>
      </c>
      <c r="J44" s="1417">
        <v>34.01</v>
      </c>
      <c r="K44" s="1418">
        <v>4.9000000000000004</v>
      </c>
      <c r="L44" s="1417">
        <v>36.29</v>
      </c>
      <c r="M44" s="1418">
        <v>5.23</v>
      </c>
    </row>
    <row r="45" spans="1:13" ht="16.5" customHeight="1">
      <c r="A45" s="975">
        <v>22</v>
      </c>
      <c r="B45" s="273">
        <v>42119</v>
      </c>
      <c r="C45" s="267">
        <v>33</v>
      </c>
      <c r="D45" s="277">
        <v>46</v>
      </c>
      <c r="E45" s="275" t="s">
        <v>270</v>
      </c>
      <c r="F45" s="270">
        <v>122</v>
      </c>
      <c r="G45" s="277">
        <v>44</v>
      </c>
      <c r="H45" s="275" t="s">
        <v>269</v>
      </c>
      <c r="I45" s="276">
        <v>8.5</v>
      </c>
      <c r="J45" s="1417">
        <v>28.29</v>
      </c>
      <c r="K45" s="1418">
        <v>5.25</v>
      </c>
      <c r="L45" s="1417">
        <v>30.17</v>
      </c>
      <c r="M45" s="1418">
        <v>5.61</v>
      </c>
    </row>
    <row r="46" spans="1:13" ht="16.5" customHeight="1">
      <c r="A46" s="975">
        <v>23</v>
      </c>
      <c r="B46" s="273">
        <v>42120</v>
      </c>
      <c r="C46" s="267" t="s">
        <v>272</v>
      </c>
      <c r="D46" s="274"/>
      <c r="E46" s="275"/>
      <c r="F46" s="270"/>
      <c r="G46" s="274"/>
      <c r="H46" s="275"/>
      <c r="I46" s="276">
        <v>9</v>
      </c>
      <c r="J46" s="1417">
        <v>29.44</v>
      </c>
      <c r="K46" s="1418">
        <v>4.1100000000000003</v>
      </c>
      <c r="L46" s="1417">
        <v>31.39</v>
      </c>
      <c r="M46" s="1418">
        <v>4.3689999999999998</v>
      </c>
    </row>
    <row r="47" spans="1:13" ht="16.5" customHeight="1">
      <c r="A47" s="975">
        <v>24</v>
      </c>
      <c r="B47" s="273">
        <v>42121</v>
      </c>
      <c r="C47" s="267" t="s">
        <v>271</v>
      </c>
      <c r="D47" s="274"/>
      <c r="E47" s="275"/>
      <c r="F47" s="270"/>
      <c r="G47" s="274"/>
      <c r="H47" s="275"/>
      <c r="I47" s="276">
        <v>9.6999999999999993</v>
      </c>
      <c r="J47" s="1417">
        <v>11.96</v>
      </c>
      <c r="K47" s="1418">
        <v>5.48</v>
      </c>
      <c r="L47" s="1417">
        <v>12.72</v>
      </c>
      <c r="M47" s="1418">
        <v>5.86</v>
      </c>
    </row>
    <row r="48" spans="1:13" ht="16.5" customHeight="1">
      <c r="A48" s="975">
        <v>25</v>
      </c>
      <c r="B48" s="273">
        <v>42122</v>
      </c>
      <c r="C48" s="267" t="s">
        <v>271</v>
      </c>
      <c r="D48" s="274"/>
      <c r="E48" s="275"/>
      <c r="F48" s="270"/>
      <c r="G48" s="274"/>
      <c r="H48" s="275"/>
      <c r="I48" s="276"/>
      <c r="J48" s="1417">
        <v>3.93</v>
      </c>
      <c r="K48" s="1418">
        <v>6.05</v>
      </c>
      <c r="L48" s="1417">
        <v>4.1399999999999997</v>
      </c>
      <c r="M48" s="1418">
        <v>6.48</v>
      </c>
    </row>
    <row r="49" spans="1:13" ht="16.5" customHeight="1">
      <c r="A49" s="975">
        <v>26</v>
      </c>
      <c r="B49" s="273">
        <v>42123</v>
      </c>
      <c r="C49" s="267">
        <v>24</v>
      </c>
      <c r="D49" s="277">
        <v>54</v>
      </c>
      <c r="E49" s="275" t="s">
        <v>270</v>
      </c>
      <c r="F49" s="270">
        <v>119</v>
      </c>
      <c r="G49" s="277">
        <v>38</v>
      </c>
      <c r="H49" s="275" t="s">
        <v>269</v>
      </c>
      <c r="I49" s="276">
        <v>20.399999999999999</v>
      </c>
      <c r="J49" s="1417">
        <v>45.36</v>
      </c>
      <c r="K49" s="1418">
        <v>5.19</v>
      </c>
      <c r="L49" s="1417">
        <v>48.17</v>
      </c>
      <c r="M49" s="1418">
        <v>5.57</v>
      </c>
    </row>
    <row r="50" spans="1:13" ht="16.5" customHeight="1">
      <c r="A50" s="975">
        <v>27</v>
      </c>
      <c r="B50" s="273">
        <v>42124</v>
      </c>
      <c r="C50" s="267">
        <v>22</v>
      </c>
      <c r="D50" s="277">
        <v>15</v>
      </c>
      <c r="E50" s="275" t="s">
        <v>270</v>
      </c>
      <c r="F50" s="270">
        <v>117</v>
      </c>
      <c r="G50" s="277">
        <v>42</v>
      </c>
      <c r="H50" s="275" t="s">
        <v>269</v>
      </c>
      <c r="I50" s="276">
        <v>13</v>
      </c>
      <c r="J50" s="1417">
        <v>31.42</v>
      </c>
      <c r="K50" s="1418">
        <v>5.36</v>
      </c>
      <c r="L50" s="1417">
        <v>33.409999999999997</v>
      </c>
      <c r="M50" s="1418">
        <v>5.76</v>
      </c>
    </row>
    <row r="51" spans="1:13" ht="16.5" customHeight="1">
      <c r="A51" s="975">
        <v>28</v>
      </c>
      <c r="B51" s="273">
        <v>42125</v>
      </c>
      <c r="C51" s="267">
        <v>16</v>
      </c>
      <c r="D51" s="277">
        <v>10</v>
      </c>
      <c r="E51" s="275" t="s">
        <v>270</v>
      </c>
      <c r="F51" s="270">
        <v>119</v>
      </c>
      <c r="G51" s="277">
        <v>17</v>
      </c>
      <c r="H51" s="275" t="s">
        <v>269</v>
      </c>
      <c r="I51" s="276">
        <v>24</v>
      </c>
      <c r="J51" s="1417">
        <v>39.869999999999997</v>
      </c>
      <c r="K51" s="1418">
        <v>5.69</v>
      </c>
      <c r="L51" s="1417">
        <v>42.65</v>
      </c>
      <c r="M51" s="1418">
        <v>6.11</v>
      </c>
    </row>
    <row r="52" spans="1:13" ht="16.5" customHeight="1">
      <c r="A52" s="975">
        <v>29</v>
      </c>
      <c r="B52" s="273">
        <v>42126</v>
      </c>
      <c r="C52" s="267" t="s">
        <v>268</v>
      </c>
      <c r="D52" s="274"/>
      <c r="E52" s="278"/>
      <c r="F52" s="270"/>
      <c r="G52" s="274"/>
      <c r="H52" s="275"/>
      <c r="I52" s="276">
        <v>10.5</v>
      </c>
      <c r="J52" s="1417">
        <v>12.61</v>
      </c>
      <c r="K52" s="1418">
        <v>5.51</v>
      </c>
      <c r="L52" s="1417">
        <v>13.46</v>
      </c>
      <c r="M52" s="1418">
        <v>5.91</v>
      </c>
    </row>
    <row r="53" spans="1:13" ht="16.5" customHeight="1">
      <c r="A53" s="976">
        <v>30</v>
      </c>
      <c r="B53" s="279">
        <v>42127</v>
      </c>
      <c r="C53" s="280" t="s">
        <v>268</v>
      </c>
      <c r="D53" s="281"/>
      <c r="E53" s="282"/>
      <c r="F53" s="283"/>
      <c r="G53" s="281"/>
      <c r="H53" s="282"/>
      <c r="I53" s="284"/>
      <c r="J53" s="1419">
        <v>0.43</v>
      </c>
      <c r="K53" s="1420">
        <v>4.9000000000000004</v>
      </c>
      <c r="L53" s="1419">
        <v>0.46</v>
      </c>
      <c r="M53" s="1420">
        <v>5.25</v>
      </c>
    </row>
    <row r="54" spans="1:13" ht="15" customHeight="1"/>
    <row r="55" spans="1:13" ht="16.5" customHeight="1">
      <c r="B55" s="250" t="s">
        <v>267</v>
      </c>
      <c r="C55" s="251"/>
      <c r="D55" s="251"/>
      <c r="E55" s="251"/>
      <c r="F55" s="251"/>
      <c r="G55" s="251"/>
      <c r="H55" s="251"/>
      <c r="I55" s="252" t="s">
        <v>266</v>
      </c>
      <c r="J55" s="3556">
        <f>SUM(I24:I53)</f>
        <v>414.59999999999997</v>
      </c>
      <c r="K55" s="3557"/>
      <c r="L55" s="3556">
        <f>J55</f>
        <v>414.59999999999997</v>
      </c>
      <c r="M55" s="3557"/>
    </row>
    <row r="56" spans="1:13" ht="16.5" customHeight="1">
      <c r="B56" s="253" t="s">
        <v>265</v>
      </c>
      <c r="C56" s="249"/>
      <c r="D56" s="249"/>
      <c r="E56" s="249"/>
      <c r="F56" s="249"/>
      <c r="G56" s="249"/>
      <c r="H56" s="249"/>
      <c r="I56" s="254" t="s">
        <v>31</v>
      </c>
      <c r="J56" s="3558">
        <f>SUM(J24:J53)</f>
        <v>765.70999999999981</v>
      </c>
      <c r="K56" s="3559"/>
      <c r="L56" s="3558">
        <f>SUM(L24:L53)</f>
        <v>816.79999999999984</v>
      </c>
      <c r="M56" s="3559"/>
    </row>
    <row r="57" spans="1:13" ht="16.5" customHeight="1">
      <c r="B57" s="253" t="s">
        <v>264</v>
      </c>
      <c r="C57" s="249"/>
      <c r="D57" s="249"/>
      <c r="E57" s="249"/>
      <c r="F57" s="249"/>
      <c r="G57" s="249"/>
      <c r="H57" s="249"/>
      <c r="I57" s="254" t="s">
        <v>31</v>
      </c>
      <c r="J57" s="3558">
        <f>SUM(K24:K53)</f>
        <v>144.97</v>
      </c>
      <c r="K57" s="3559"/>
      <c r="L57" s="3558">
        <f>SUM(M24:M53)</f>
        <v>154.88900000000001</v>
      </c>
      <c r="M57" s="3559"/>
    </row>
    <row r="58" spans="1:13" ht="16.5" customHeight="1">
      <c r="B58" s="255" t="s">
        <v>263</v>
      </c>
      <c r="C58" s="256"/>
      <c r="D58" s="256"/>
      <c r="E58" s="256"/>
      <c r="F58" s="256"/>
      <c r="G58" s="256"/>
      <c r="H58" s="256"/>
      <c r="I58" s="257" t="s">
        <v>31</v>
      </c>
      <c r="J58" s="3554">
        <f>J56+J57</f>
        <v>910.67999999999984</v>
      </c>
      <c r="K58" s="3555"/>
      <c r="L58" s="3554">
        <f>L56+L57</f>
        <v>971.68899999999985</v>
      </c>
      <c r="M58" s="3555"/>
    </row>
    <row r="59" spans="1:13" ht="16.5" customHeight="1">
      <c r="B59" s="258" t="s">
        <v>262</v>
      </c>
      <c r="C59" s="259"/>
      <c r="D59" s="259"/>
      <c r="E59" s="259"/>
      <c r="F59" s="259"/>
      <c r="G59" s="259"/>
      <c r="H59" s="259"/>
      <c r="I59" s="260" t="s">
        <v>31</v>
      </c>
      <c r="J59" s="3551">
        <f>J58/(J55/24)</f>
        <v>52.716642547033281</v>
      </c>
      <c r="K59" s="3552"/>
      <c r="L59" s="3551">
        <f>L58/(L55/24)</f>
        <v>56.24827785817655</v>
      </c>
      <c r="M59" s="3552"/>
    </row>
    <row r="60" spans="1:13" ht="15" customHeight="1">
      <c r="J60" s="3553" t="s">
        <v>426</v>
      </c>
      <c r="K60" s="3553"/>
      <c r="L60" s="3553" t="s">
        <v>425</v>
      </c>
      <c r="M60" s="3553"/>
    </row>
    <row r="61" spans="1:13"/>
    <row r="62" spans="1:13" ht="15" customHeight="1">
      <c r="B62" s="612" t="s">
        <v>179</v>
      </c>
      <c r="C62" s="3560" t="s">
        <v>423</v>
      </c>
      <c r="D62" s="3561"/>
      <c r="E62" s="3561"/>
      <c r="F62" s="3561"/>
      <c r="G62" s="3561"/>
      <c r="H62" s="3561"/>
      <c r="I62" s="3561"/>
      <c r="J62" s="3561"/>
      <c r="K62" s="3561"/>
      <c r="L62" s="3562"/>
    </row>
    <row r="63" spans="1:13" ht="15" customHeight="1">
      <c r="C63" s="3560"/>
      <c r="D63" s="3561"/>
      <c r="E63" s="3561"/>
      <c r="F63" s="3561"/>
      <c r="G63" s="3561"/>
      <c r="H63" s="3561"/>
      <c r="I63" s="3561"/>
      <c r="J63" s="3561"/>
      <c r="K63" s="3561"/>
      <c r="L63" s="3562"/>
    </row>
    <row r="64" spans="1:13" ht="15" customHeight="1">
      <c r="C64" s="3560"/>
      <c r="D64" s="3561"/>
      <c r="E64" s="3561"/>
      <c r="F64" s="3561"/>
      <c r="G64" s="3561"/>
      <c r="H64" s="3561"/>
      <c r="I64" s="3561"/>
      <c r="J64" s="3561"/>
      <c r="K64" s="3561"/>
      <c r="L64" s="3562"/>
    </row>
    <row r="65" spans="3:13" ht="15" customHeight="1">
      <c r="C65" s="3560"/>
      <c r="D65" s="3561"/>
      <c r="E65" s="3561"/>
      <c r="F65" s="3561"/>
      <c r="G65" s="3561"/>
      <c r="H65" s="3561"/>
      <c r="I65" s="3561"/>
      <c r="J65" s="3561"/>
      <c r="K65" s="3561"/>
      <c r="L65" s="3562"/>
    </row>
    <row r="66" spans="3:13"/>
    <row r="67" spans="3:13"/>
    <row r="68" spans="3:13">
      <c r="K68" s="285"/>
      <c r="L68" s="286" t="s">
        <v>261</v>
      </c>
      <c r="M68" s="287">
        <f>DATESURVC</f>
        <v>44792</v>
      </c>
    </row>
    <row r="69" spans="3:13" ht="2.25" customHeight="1"/>
  </sheetData>
  <sheetProtection algorithmName="SHA-512" hashValue="+pOYY8RUb4TrxP0N5tuVAsuZLOlITcVyUjOpiVq3DrRndpBfowXuU+11VEsjufPvRpvsZlW2gImZaU2snVRqaA==" saltValue="q4LuQNr5V9QNj9N6c533Bw==" spinCount="100000" sheet="1" objects="1" scenarios="1" autoFilter="0"/>
  <mergeCells count="51">
    <mergeCell ref="B12:C13"/>
    <mergeCell ref="E13:F13"/>
    <mergeCell ref="G13:H13"/>
    <mergeCell ref="G12:H12"/>
    <mergeCell ref="G14:H14"/>
    <mergeCell ref="B14:C14"/>
    <mergeCell ref="E12:F12"/>
    <mergeCell ref="E14:F14"/>
    <mergeCell ref="J21:K22"/>
    <mergeCell ref="G15:H15"/>
    <mergeCell ref="G16:H16"/>
    <mergeCell ref="G17:H17"/>
    <mergeCell ref="B19:C19"/>
    <mergeCell ref="B15:C15"/>
    <mergeCell ref="E15:F15"/>
    <mergeCell ref="E16:F16"/>
    <mergeCell ref="E17:F17"/>
    <mergeCell ref="B18:C18"/>
    <mergeCell ref="F22:H22"/>
    <mergeCell ref="C65:L65"/>
    <mergeCell ref="C62:L62"/>
    <mergeCell ref="C63:L63"/>
    <mergeCell ref="C64:L64"/>
    <mergeCell ref="L60:M60"/>
    <mergeCell ref="L59:M59"/>
    <mergeCell ref="J60:K60"/>
    <mergeCell ref="J58:K58"/>
    <mergeCell ref="J59:K59"/>
    <mergeCell ref="L55:M55"/>
    <mergeCell ref="L56:M56"/>
    <mergeCell ref="L57:M57"/>
    <mergeCell ref="L58:M58"/>
    <mergeCell ref="J55:K55"/>
    <mergeCell ref="J56:K56"/>
    <mergeCell ref="J57:K57"/>
    <mergeCell ref="L14:M14"/>
    <mergeCell ref="L15:M15"/>
    <mergeCell ref="L16:M16"/>
    <mergeCell ref="L17:M17"/>
    <mergeCell ref="A21:A23"/>
    <mergeCell ref="B21:B23"/>
    <mergeCell ref="I21:I23"/>
    <mergeCell ref="C21:H21"/>
    <mergeCell ref="C22:E22"/>
    <mergeCell ref="L21:M22"/>
    <mergeCell ref="E18:F18"/>
    <mergeCell ref="E19:F19"/>
    <mergeCell ref="G18:H18"/>
    <mergeCell ref="G19:H19"/>
    <mergeCell ref="B16:C16"/>
    <mergeCell ref="B17:C17"/>
  </mergeCells>
  <conditionalFormatting sqref="B14:C19">
    <cfRule type="expression" dxfId="23" priority="2">
      <formula>COUNTIF($B$14:$C$19,$B14)&gt;1</formula>
    </cfRule>
  </conditionalFormatting>
  <conditionalFormatting sqref="D24:D53 E24:E53 F24:F53 G24:G53">
    <cfRule type="expression" dxfId="22" priority="1">
      <formula>ISTEXT($C24)</formula>
    </cfRule>
  </conditionalFormatting>
  <dataValidations count="4">
    <dataValidation type="list" errorStyle="information" allowBlank="1" showInputMessage="1" showErrorMessage="1" prompt="Choose remarks from list or edit yours." sqref="C62:L65" xr:uid="{00000000-0002-0000-2400-000000000000}">
      <formula1>REMCOL</formula1>
    </dataValidation>
    <dataValidation type="list" allowBlank="1" showInputMessage="1" showErrorMessage="1" sqref="E24:E53" xr:uid="{00000000-0002-0000-2400-000001000000}">
      <formula1>"N,S"</formula1>
    </dataValidation>
    <dataValidation type="list" allowBlank="1" showInputMessage="1" showErrorMessage="1" sqref="H24:H53" xr:uid="{00000000-0002-0000-2400-000002000000}">
      <formula1>"E,W"</formula1>
    </dataValidation>
    <dataValidation allowBlank="1" showInputMessage="1" showErrorMessage="1" prompt="Click on &quot;Ship's Declaration&quot; button to change these values." sqref="D14:H19" xr:uid="{00000000-0002-0000-2400-000003000000}"/>
  </dataValidations>
  <hyperlinks>
    <hyperlink ref="B62" location="REMCODE" display="Remarks:" xr:uid="{00000000-0004-0000-2400-000000000000}"/>
  </hyperlinks>
  <printOptions horizontalCentered="1"/>
  <pageMargins left="0.3" right="0.3" top="0.2" bottom="0.3" header="0.3" footer="0.1"/>
  <pageSetup paperSize="9" scale="86" orientation="portrait" cellComments="atEnd" r:id="rId1"/>
  <headerFooter scaleWithDoc="0">
    <oddFooter>&amp;L&amp;8BunkerManager, v1.06&amp;C&amp;8by AMS-Marine | www.ams-marine.com&amp;R&amp;8RefNo: BD/2015/00926 SG</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error="Choose Consumption Status from List." prompt="Choose Consumption Status from List." xr:uid="{00000000-0002-0000-2400-000004000000}">
          <x14:formula1>
            <xm:f>'Ships Declaration'!$N$20:$N$31</xm:f>
          </x14:formula1>
          <xm:sqref>B14:B19</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04" filterMode="1">
    <tabColor rgb="FFFFFF00"/>
    <pageSetUpPr fitToPage="1"/>
  </sheetPr>
  <dimension ref="A1:AM162"/>
  <sheetViews>
    <sheetView showGridLines="0" showRowColHeaders="0" topLeftCell="D8" zoomScale="90" zoomScaleNormal="90" zoomScaleSheetLayoutView="100" workbookViewId="0">
      <pane ySplit="18" topLeftCell="A26" activePane="bottomLeft" state="frozen"/>
      <selection pane="bottomLeft" activeCell="N28" sqref="N28"/>
    </sheetView>
  </sheetViews>
  <sheetFormatPr defaultColWidth="0" defaultRowHeight="15" zeroHeight="1"/>
  <cols>
    <col min="1" max="1" width="4.375" style="325" hidden="1" customWidth="1"/>
    <col min="2" max="2" width="3.875" style="325" hidden="1" customWidth="1"/>
    <col min="3" max="3" width="3.5" style="325" hidden="1" customWidth="1"/>
    <col min="4" max="4" width="8.5" style="325" customWidth="1"/>
    <col min="5" max="5" width="7.875" style="325" customWidth="1"/>
    <col min="6" max="6" width="9.375" style="325" customWidth="1"/>
    <col min="7" max="7" width="2" style="325" customWidth="1"/>
    <col min="8" max="19" width="7.375" style="325" customWidth="1"/>
    <col min="20" max="20" width="0.375" style="325" customWidth="1"/>
    <col min="21" max="21" width="9" style="325" hidden="1" customWidth="1"/>
    <col min="22" max="22" width="17.625" style="325" hidden="1" customWidth="1"/>
    <col min="23" max="23" width="4.25" style="325" hidden="1" customWidth="1"/>
    <col min="24" max="26" width="6.375" style="325" hidden="1" customWidth="1"/>
    <col min="27" max="27" width="3.125" style="325" hidden="1" customWidth="1"/>
    <col min="28" max="39" width="0" style="325" hidden="1" customWidth="1"/>
    <col min="40" max="16384" width="9" style="325" hidden="1"/>
  </cols>
  <sheetData>
    <row r="1" spans="4:22" ht="11.25" hidden="1" customHeight="1"/>
    <row r="2" spans="4:22" ht="15" customHeight="1"/>
    <row r="3" spans="4:22" ht="15" customHeight="1"/>
    <row r="4" spans="4:22" ht="18">
      <c r="S4" s="326" t="str">
        <f>COMPANY1</f>
        <v>Petro Inspect International</v>
      </c>
    </row>
    <row r="5" spans="4:22">
      <c r="S5" s="327" t="str">
        <f>COMPANY2</f>
        <v>ops@petro-inspect.com</v>
      </c>
    </row>
    <row r="6" spans="4:22">
      <c r="S6" s="327" t="str">
        <f>COMPANY3</f>
        <v/>
      </c>
    </row>
    <row r="7" spans="4:22">
      <c r="S7" s="327" t="str">
        <f>COMPANY4</f>
        <v/>
      </c>
    </row>
    <row r="8" spans="4:22" ht="3" customHeight="1" thickBot="1">
      <c r="D8" s="328"/>
      <c r="E8" s="328"/>
      <c r="F8" s="328"/>
      <c r="G8" s="328"/>
      <c r="H8" s="329"/>
      <c r="I8" s="330"/>
      <c r="J8" s="330"/>
      <c r="K8" s="330"/>
      <c r="L8" s="330"/>
      <c r="M8" s="330"/>
      <c r="N8" s="329"/>
      <c r="O8" s="330"/>
      <c r="P8" s="329"/>
      <c r="Q8" s="330"/>
      <c r="R8" s="329"/>
      <c r="S8" s="330"/>
    </row>
    <row r="9" spans="4:22" ht="2.25" customHeight="1"/>
    <row r="10" spans="4:22" ht="18.75">
      <c r="D10" s="908"/>
      <c r="E10" s="908"/>
      <c r="F10" s="908"/>
      <c r="G10" s="908"/>
      <c r="H10" s="908"/>
      <c r="I10" s="908"/>
      <c r="J10" s="908"/>
      <c r="K10" s="908" t="s">
        <v>203</v>
      </c>
      <c r="L10" s="908"/>
      <c r="M10" s="908"/>
      <c r="N10" s="908"/>
      <c r="O10" s="908"/>
      <c r="P10" s="908"/>
      <c r="Q10" s="908"/>
      <c r="R10" s="908"/>
      <c r="S10" s="908"/>
    </row>
    <row r="11" spans="4:22" s="918" customFormat="1" ht="2.25" customHeight="1"/>
    <row r="12" spans="4:22" s="918" customFormat="1" ht="2.25" customHeight="1"/>
    <row r="13" spans="4:22">
      <c r="D13" s="331" t="s">
        <v>160</v>
      </c>
      <c r="E13" s="331"/>
      <c r="F13" s="332" t="str">
        <f>VESSEL</f>
        <v>MV PESSADA</v>
      </c>
      <c r="N13" s="3654" t="s">
        <v>680</v>
      </c>
      <c r="O13" s="3655"/>
      <c r="P13" s="3655"/>
      <c r="Q13" s="3656"/>
      <c r="R13" s="906" t="s">
        <v>201</v>
      </c>
      <c r="S13" s="907" t="s">
        <v>200</v>
      </c>
      <c r="V13" s="1352">
        <v>1</v>
      </c>
    </row>
    <row r="14" spans="4:22">
      <c r="D14" s="331" t="s">
        <v>1086</v>
      </c>
      <c r="E14" s="331"/>
      <c r="F14" s="607" t="str">
        <f>IF(TIMELOGCH=2,MYBARGENAME,'Summary Report'!E15)</f>
        <v>M/T YALÇIN 2</v>
      </c>
      <c r="N14" s="3661" t="s">
        <v>987</v>
      </c>
      <c r="O14" s="3662"/>
      <c r="P14" s="3662"/>
      <c r="Q14" s="3663"/>
      <c r="R14" s="1195">
        <v>44792</v>
      </c>
      <c r="S14" s="1444">
        <v>0.10416666666666667</v>
      </c>
      <c r="V14" s="1899">
        <f>IF(V13=1,IF(COUNTIF(H23:S23,"&gt;""0")&gt;3,2,1),V13-1)</f>
        <v>1</v>
      </c>
    </row>
    <row r="15" spans="4:22">
      <c r="D15" s="331" t="s">
        <v>174</v>
      </c>
      <c r="E15" s="331"/>
      <c r="F15" s="346">
        <f>DATESURVC</f>
        <v>44792</v>
      </c>
      <c r="N15" s="3665" t="s">
        <v>618</v>
      </c>
      <c r="O15" s="3666"/>
      <c r="P15" s="3666"/>
      <c r="Q15" s="3667"/>
      <c r="R15" s="1195">
        <v>44792</v>
      </c>
      <c r="S15" s="1445">
        <v>0.22500000000000001</v>
      </c>
      <c r="V15" s="1899" t="s">
        <v>1295</v>
      </c>
    </row>
    <row r="16" spans="4:22">
      <c r="D16" s="331" t="s">
        <v>11</v>
      </c>
      <c r="E16" s="331"/>
      <c r="F16" s="346" t="str">
        <f>PORT</f>
        <v>ISTANBUL / TURKEY</v>
      </c>
      <c r="N16" s="3642" t="s">
        <v>617</v>
      </c>
      <c r="O16" s="3643"/>
      <c r="P16" s="3643"/>
      <c r="Q16" s="3644"/>
      <c r="R16" s="1193"/>
      <c r="S16" s="1445"/>
      <c r="V16" s="1893" t="s">
        <v>1290</v>
      </c>
    </row>
    <row r="17" spans="1:39">
      <c r="D17" s="331" t="s">
        <v>496</v>
      </c>
      <c r="E17" s="331"/>
      <c r="F17" s="347" t="str">
        <f>IF(BARGECALC=1,IF(TIMELOGCH=1,ALLBARGEGRADES,SELBARGEGRADES),SELBARGEGRADES)</f>
        <v>LSFO, LSMGO</v>
      </c>
      <c r="N17" s="3642" t="s">
        <v>986</v>
      </c>
      <c r="O17" s="3643"/>
      <c r="P17" s="3643"/>
      <c r="Q17" s="3644"/>
      <c r="R17" s="1193">
        <v>44792</v>
      </c>
      <c r="S17" s="1445">
        <v>0.22569444444444445</v>
      </c>
      <c r="V17" s="1893" t="s">
        <v>1291</v>
      </c>
    </row>
    <row r="18" spans="1:39">
      <c r="N18" s="3642" t="s">
        <v>989</v>
      </c>
      <c r="O18" s="3643"/>
      <c r="P18" s="3643"/>
      <c r="Q18" s="3644"/>
      <c r="R18" s="1193">
        <v>44792</v>
      </c>
      <c r="S18" s="1445">
        <v>0.45833333333333331</v>
      </c>
    </row>
    <row r="19" spans="1:39">
      <c r="N19" s="3642" t="s">
        <v>189</v>
      </c>
      <c r="O19" s="3643"/>
      <c r="P19" s="3643"/>
      <c r="Q19" s="3644"/>
      <c r="R19" s="1193">
        <v>44792</v>
      </c>
      <c r="S19" s="1445">
        <v>0.5</v>
      </c>
      <c r="V19" s="1352">
        <v>1</v>
      </c>
    </row>
    <row r="20" spans="1:39">
      <c r="N20" s="3651"/>
      <c r="O20" s="3643"/>
      <c r="P20" s="3643"/>
      <c r="Q20" s="3644"/>
      <c r="R20" s="1193"/>
      <c r="S20" s="1445"/>
      <c r="V20" s="1351" t="s">
        <v>1208</v>
      </c>
    </row>
    <row r="21" spans="1:39">
      <c r="N21" s="3657"/>
      <c r="O21" s="3648"/>
      <c r="P21" s="3648"/>
      <c r="Q21" s="3649"/>
      <c r="R21" s="1194"/>
      <c r="S21" s="1446"/>
      <c r="V21" s="1351" t="s">
        <v>1209</v>
      </c>
    </row>
    <row r="22" spans="1:39" ht="19.5" customHeight="1">
      <c r="N22" s="909"/>
      <c r="O22" s="909"/>
      <c r="P22" s="909"/>
      <c r="Q22" s="909"/>
      <c r="R22" s="909"/>
      <c r="S22" s="909"/>
    </row>
    <row r="23" spans="1:39" hidden="1">
      <c r="A23" s="325" t="str">
        <f>IF(BARGESEL=1,"N","Y")</f>
        <v>N</v>
      </c>
      <c r="D23" s="3668"/>
      <c r="E23" s="3669"/>
      <c r="F23" s="3670" t="s">
        <v>994</v>
      </c>
      <c r="G23" s="3671"/>
      <c r="H23" s="3641" t="str">
        <f>IF(H$24="","",'Cover Page'!I$89)</f>
        <v/>
      </c>
      <c r="I23" s="3640"/>
      <c r="J23" s="3641" t="str">
        <f>IF(J$24="","",'Cover Page'!J$89)</f>
        <v>M/T YALÇIN 2</v>
      </c>
      <c r="K23" s="3640"/>
      <c r="L23" s="3641" t="str">
        <f>IF(L$24="","",'Cover Page'!K$89)</f>
        <v/>
      </c>
      <c r="M23" s="3640"/>
      <c r="N23" s="3641" t="str">
        <f>IF(N$24="","",'Cover Page'!L$89)</f>
        <v/>
      </c>
      <c r="O23" s="3640"/>
      <c r="P23" s="3641" t="str">
        <f>IF(P$24="","",'Cover Page'!M$89)</f>
        <v/>
      </c>
      <c r="Q23" s="3640"/>
      <c r="R23" s="3639" t="str">
        <f>IF(R$24="","",'Cover Page'!N$89)</f>
        <v>M/T YALÇIN 2</v>
      </c>
      <c r="S23" s="3640"/>
    </row>
    <row r="24" spans="1:39" ht="18" customHeight="1">
      <c r="A24" s="1214" t="s">
        <v>284</v>
      </c>
      <c r="D24" s="3641"/>
      <c r="E24" s="3658"/>
      <c r="F24" s="3659" t="s">
        <v>313</v>
      </c>
      <c r="G24" s="3660"/>
      <c r="H24" s="3641" t="str">
        <f>IF(AND(TIMELOGCH=2,'Cover Page'!I$89&lt;&gt;MYBARGENAME),"",'Preliminary Report'!C31)</f>
        <v/>
      </c>
      <c r="I24" s="3640"/>
      <c r="J24" s="3641" t="str">
        <f>IF(AND(TIMELOGCH=2,'Cover Page'!J$89&lt;&gt;MYBARGENAME),"",'Preliminary Report'!C36)</f>
        <v>LSFO</v>
      </c>
      <c r="K24" s="3640"/>
      <c r="L24" s="3641" t="str">
        <f>IF(AND(TIMELOGCH=2,'Cover Page'!K$89&lt;&gt;MYBARGENAME),"",'Preliminary Report'!C41)</f>
        <v/>
      </c>
      <c r="M24" s="3640"/>
      <c r="N24" s="3641" t="str">
        <f>IF(AND(TIMELOGCH=2,'Cover Page'!L$89&lt;&gt;MYBARGENAME),"",'Preliminary Report'!C46)</f>
        <v/>
      </c>
      <c r="O24" s="3640"/>
      <c r="P24" s="3641" t="str">
        <f>IF(AND(TIMELOGCH=2,'Cover Page'!M$89&lt;&gt;MYBARGENAME),"",'Preliminary Report'!C51)</f>
        <v/>
      </c>
      <c r="Q24" s="3640"/>
      <c r="R24" s="3639" t="str">
        <f>IF(AND(TIMELOGCH=2,'Cover Page'!N$89&lt;&gt;MYBARGENAME),"",'Preliminary Report'!C56)</f>
        <v>LSMGO</v>
      </c>
      <c r="S24" s="3640"/>
      <c r="X24" s="1377"/>
      <c r="Y24" s="1378"/>
      <c r="Z24" s="1379" t="s">
        <v>313</v>
      </c>
      <c r="AA24" s="1380"/>
      <c r="AB24" s="1377" t="s">
        <v>30</v>
      </c>
      <c r="AC24" s="1381"/>
      <c r="AD24" s="1377" t="s">
        <v>354</v>
      </c>
      <c r="AE24" s="1381"/>
      <c r="AF24" s="1377" t="s">
        <v>354</v>
      </c>
      <c r="AG24" s="1381"/>
      <c r="AH24" s="1377" t="s">
        <v>354</v>
      </c>
      <c r="AI24" s="1381"/>
      <c r="AJ24" s="1377" t="s">
        <v>354</v>
      </c>
      <c r="AK24" s="1381"/>
      <c r="AL24" s="1382" t="s">
        <v>17</v>
      </c>
      <c r="AM24" s="1381"/>
    </row>
    <row r="25" spans="1:39" ht="18" customHeight="1">
      <c r="A25" s="325" t="s">
        <v>284</v>
      </c>
      <c r="D25" s="3664" t="s">
        <v>680</v>
      </c>
      <c r="E25" s="3664"/>
      <c r="F25" s="3664"/>
      <c r="G25" s="3664"/>
      <c r="H25" s="910" t="str">
        <f>IF(H$24="","","Date")</f>
        <v/>
      </c>
      <c r="I25" s="911" t="str">
        <f>IF(H$24="","","Time")</f>
        <v/>
      </c>
      <c r="J25" s="910" t="str">
        <f>IF(J$24="","","Date")</f>
        <v>Date</v>
      </c>
      <c r="K25" s="911" t="str">
        <f>IF(J$24="","","Time")</f>
        <v>Time</v>
      </c>
      <c r="L25" s="910" t="str">
        <f>IF(L$24="","","Date")</f>
        <v/>
      </c>
      <c r="M25" s="911" t="str">
        <f>IF(L$24="","","Time")</f>
        <v/>
      </c>
      <c r="N25" s="910" t="str">
        <f t="shared" ref="N25" si="0">IF(N$24="","","Date")</f>
        <v/>
      </c>
      <c r="O25" s="911" t="str">
        <f t="shared" ref="O25" si="1">IF(N$24="","","Time")</f>
        <v/>
      </c>
      <c r="P25" s="910" t="str">
        <f t="shared" ref="P25:R25" si="2">IF(P$24="","","Date")</f>
        <v/>
      </c>
      <c r="Q25" s="911" t="str">
        <f t="shared" ref="Q25:S25" si="3">IF(P$24="","","Time")</f>
        <v/>
      </c>
      <c r="R25" s="910" t="str">
        <f t="shared" si="2"/>
        <v>Date</v>
      </c>
      <c r="S25" s="911" t="str">
        <f t="shared" si="3"/>
        <v>Time</v>
      </c>
      <c r="X25" s="1383" t="s">
        <v>680</v>
      </c>
      <c r="Y25" s="1384"/>
      <c r="Z25" s="1384"/>
      <c r="AA25" s="1385"/>
      <c r="AB25" s="1386" t="s">
        <v>201</v>
      </c>
      <c r="AC25" s="1387" t="s">
        <v>200</v>
      </c>
      <c r="AD25" s="1386" t="s">
        <v>354</v>
      </c>
      <c r="AE25" s="1387" t="s">
        <v>354</v>
      </c>
      <c r="AF25" s="1386" t="s">
        <v>354</v>
      </c>
      <c r="AG25" s="1387" t="s">
        <v>354</v>
      </c>
      <c r="AH25" s="1386" t="s">
        <v>354</v>
      </c>
      <c r="AI25" s="1387" t="s">
        <v>354</v>
      </c>
      <c r="AJ25" s="1386" t="s">
        <v>354</v>
      </c>
      <c r="AK25" s="1387" t="s">
        <v>354</v>
      </c>
      <c r="AL25" s="1386" t="s">
        <v>201</v>
      </c>
      <c r="AM25" s="1387" t="s">
        <v>200</v>
      </c>
    </row>
    <row r="26" spans="1:39">
      <c r="A26" s="325" t="s">
        <v>284</v>
      </c>
      <c r="D26" s="3642" t="s">
        <v>199</v>
      </c>
      <c r="E26" s="3643"/>
      <c r="F26" s="3643"/>
      <c r="G26" s="3644"/>
      <c r="H26" s="1193"/>
      <c r="I26" s="1445"/>
      <c r="J26" s="1193">
        <v>44792</v>
      </c>
      <c r="K26" s="1445">
        <v>0.22569444444444445</v>
      </c>
      <c r="L26" s="1193"/>
      <c r="M26" s="1445"/>
      <c r="N26" s="1193"/>
      <c r="O26" s="1445"/>
      <c r="P26" s="1193"/>
      <c r="Q26" s="1445"/>
      <c r="R26" s="1193">
        <v>44792</v>
      </c>
      <c r="S26" s="1445">
        <v>0.22569444444444445</v>
      </c>
      <c r="X26" s="1353" t="s">
        <v>199</v>
      </c>
      <c r="Y26" s="1354"/>
      <c r="Z26" s="1354"/>
      <c r="AA26" s="1355"/>
      <c r="AB26" s="1356">
        <v>42372</v>
      </c>
      <c r="AC26" s="1357">
        <v>0.84027777777777779</v>
      </c>
      <c r="AD26" s="1356"/>
      <c r="AE26" s="1357"/>
      <c r="AF26" s="1356"/>
      <c r="AG26" s="1357"/>
      <c r="AH26" s="1356"/>
      <c r="AI26" s="1357"/>
      <c r="AJ26" s="1356"/>
      <c r="AK26" s="1357"/>
      <c r="AL26" s="1356">
        <v>42372</v>
      </c>
      <c r="AM26" s="1357">
        <v>0.67708333333333337</v>
      </c>
    </row>
    <row r="27" spans="1:39">
      <c r="A27" s="325" t="s">
        <v>284</v>
      </c>
      <c r="D27" s="3642" t="s">
        <v>990</v>
      </c>
      <c r="E27" s="3643"/>
      <c r="F27" s="3643"/>
      <c r="G27" s="3644"/>
      <c r="H27" s="1193"/>
      <c r="I27" s="1445"/>
      <c r="J27" s="1193">
        <v>44792</v>
      </c>
      <c r="K27" s="1445">
        <v>0.27430555555555552</v>
      </c>
      <c r="L27" s="1193"/>
      <c r="M27" s="1445"/>
      <c r="N27" s="1193"/>
      <c r="O27" s="1445"/>
      <c r="P27" s="1193"/>
      <c r="Q27" s="1445"/>
      <c r="R27" s="1193">
        <v>44792</v>
      </c>
      <c r="S27" s="1445">
        <v>0.27430555555555552</v>
      </c>
      <c r="X27" s="1353" t="s">
        <v>990</v>
      </c>
      <c r="Y27" s="1354"/>
      <c r="Z27" s="1354"/>
      <c r="AA27" s="1355"/>
      <c r="AB27" s="1356">
        <v>42372</v>
      </c>
      <c r="AC27" s="1357">
        <v>0.84375</v>
      </c>
      <c r="AD27" s="1356"/>
      <c r="AE27" s="1357"/>
      <c r="AF27" s="1356"/>
      <c r="AG27" s="1357"/>
      <c r="AH27" s="1356"/>
      <c r="AI27" s="1357"/>
      <c r="AJ27" s="1356"/>
      <c r="AK27" s="1357"/>
      <c r="AL27" s="1356">
        <v>42372</v>
      </c>
      <c r="AM27" s="1357">
        <v>0.66319444444444442</v>
      </c>
    </row>
    <row r="28" spans="1:39">
      <c r="A28" s="1513" t="str">
        <f>IF(AND(COUNTA(D28:S28)=0,COUNTA(D27:S27)=0,COUNTA(D29:G$46)=0),"N","Y")</f>
        <v>Y</v>
      </c>
      <c r="D28" s="3642" t="s">
        <v>991</v>
      </c>
      <c r="E28" s="3643"/>
      <c r="F28" s="3643"/>
      <c r="G28" s="3644"/>
      <c r="H28" s="1193"/>
      <c r="I28" s="1445"/>
      <c r="J28" s="1193">
        <v>44792</v>
      </c>
      <c r="K28" s="1445">
        <v>0.22916666666666666</v>
      </c>
      <c r="L28" s="1193"/>
      <c r="M28" s="1445"/>
      <c r="N28" s="1193"/>
      <c r="O28" s="1445"/>
      <c r="P28" s="1193"/>
      <c r="Q28" s="1445"/>
      <c r="R28" s="1193">
        <v>44792</v>
      </c>
      <c r="S28" s="1445">
        <v>0.22916666666666666</v>
      </c>
      <c r="X28" s="1353" t="s">
        <v>991</v>
      </c>
      <c r="Y28" s="1354"/>
      <c r="Z28" s="1354"/>
      <c r="AA28" s="1355"/>
      <c r="AB28" s="1356">
        <v>42372</v>
      </c>
      <c r="AC28" s="1357">
        <v>0.87430555555555556</v>
      </c>
      <c r="AD28" s="1356"/>
      <c r="AE28" s="1357"/>
      <c r="AF28" s="1356"/>
      <c r="AG28" s="1357"/>
      <c r="AH28" s="1356"/>
      <c r="AI28" s="1357"/>
      <c r="AJ28" s="1356"/>
      <c r="AK28" s="1357"/>
      <c r="AL28" s="1356">
        <v>42372</v>
      </c>
      <c r="AM28" s="1357">
        <v>0.66666666666666663</v>
      </c>
    </row>
    <row r="29" spans="1:39">
      <c r="A29" s="1513" t="str">
        <f>IF(AND(COUNTA(D29:S29)=0,COUNTA(D28:S28)=0,COUNTA(D30:G$46)=0),"N","Y")</f>
        <v>Y</v>
      </c>
      <c r="D29" s="3642" t="s">
        <v>992</v>
      </c>
      <c r="E29" s="3643"/>
      <c r="F29" s="3643"/>
      <c r="G29" s="3644"/>
      <c r="H29" s="1193"/>
      <c r="I29" s="1445"/>
      <c r="J29" s="1193">
        <v>44792</v>
      </c>
      <c r="K29" s="1445">
        <v>0.27430555555555552</v>
      </c>
      <c r="L29" s="1193"/>
      <c r="M29" s="1445"/>
      <c r="N29" s="1193"/>
      <c r="O29" s="1445"/>
      <c r="P29" s="1193"/>
      <c r="Q29" s="1445"/>
      <c r="R29" s="1193">
        <v>44792</v>
      </c>
      <c r="S29" s="1445">
        <v>0.27430555555555552</v>
      </c>
      <c r="X29" s="1353" t="s">
        <v>992</v>
      </c>
      <c r="Y29" s="1354"/>
      <c r="Z29" s="1354"/>
      <c r="AA29" s="1355"/>
      <c r="AB29" s="1356">
        <v>42373</v>
      </c>
      <c r="AC29" s="1357">
        <v>1.6666666666666666E-2</v>
      </c>
      <c r="AD29" s="1356"/>
      <c r="AE29" s="1357"/>
      <c r="AF29" s="1356"/>
      <c r="AG29" s="1357"/>
      <c r="AH29" s="1356"/>
      <c r="AI29" s="1357"/>
      <c r="AJ29" s="1356"/>
      <c r="AK29" s="1357"/>
      <c r="AL29" s="1356">
        <v>42372</v>
      </c>
      <c r="AM29" s="1357">
        <v>0.70833333333333337</v>
      </c>
    </row>
    <row r="30" spans="1:39">
      <c r="A30" s="1513" t="str">
        <f>IF(AND(COUNTA(D30:S30)=0,COUNTA(D29:S29)=0,COUNTA(D31:G$46)=0),"N","Y")</f>
        <v>Y</v>
      </c>
      <c r="D30" s="3642" t="s">
        <v>198</v>
      </c>
      <c r="E30" s="3643"/>
      <c r="F30" s="3643"/>
      <c r="G30" s="3644"/>
      <c r="H30" s="1193"/>
      <c r="I30" s="1445"/>
      <c r="J30" s="1193">
        <v>44792</v>
      </c>
      <c r="K30" s="1445">
        <v>0.33333333333333331</v>
      </c>
      <c r="L30" s="1193"/>
      <c r="M30" s="1445"/>
      <c r="N30" s="1193"/>
      <c r="O30" s="1445"/>
      <c r="P30" s="1193"/>
      <c r="Q30" s="1445"/>
      <c r="R30" s="1193">
        <v>44792</v>
      </c>
      <c r="S30" s="1445">
        <v>0.27430555555555552</v>
      </c>
      <c r="X30" s="1353" t="s">
        <v>198</v>
      </c>
      <c r="Y30" s="1354"/>
      <c r="Z30" s="1354"/>
      <c r="AA30" s="1355"/>
      <c r="AB30" s="1356">
        <v>42373</v>
      </c>
      <c r="AC30" s="1357">
        <v>3.4722222222222224E-2</v>
      </c>
      <c r="AD30" s="1356"/>
      <c r="AE30" s="1357"/>
      <c r="AF30" s="1356"/>
      <c r="AG30" s="1357"/>
      <c r="AH30" s="1356"/>
      <c r="AI30" s="1357"/>
      <c r="AJ30" s="1356"/>
      <c r="AK30" s="1357"/>
      <c r="AL30" s="1356">
        <v>42372</v>
      </c>
      <c r="AM30" s="1357">
        <v>0.71527777777777779</v>
      </c>
    </row>
    <row r="31" spans="1:39">
      <c r="A31" s="1513" t="str">
        <f>IF(AND(COUNTA(D31:S31)=0,COUNTA(D30:S30)=0,COUNTA(D32:G$46)=0),"N","Y")</f>
        <v>Y</v>
      </c>
      <c r="D31" s="3642" t="s">
        <v>197</v>
      </c>
      <c r="E31" s="3643"/>
      <c r="F31" s="3643"/>
      <c r="G31" s="3644"/>
      <c r="H31" s="1193"/>
      <c r="I31" s="1445"/>
      <c r="J31" s="1193">
        <v>44792</v>
      </c>
      <c r="K31" s="1445">
        <v>0.33333333333333331</v>
      </c>
      <c r="L31" s="1193"/>
      <c r="M31" s="1445"/>
      <c r="N31" s="1193"/>
      <c r="O31" s="1445"/>
      <c r="P31" s="1193"/>
      <c r="Q31" s="1445"/>
      <c r="R31" s="1193">
        <v>44792</v>
      </c>
      <c r="S31" s="1445">
        <v>0.2951388888888889</v>
      </c>
      <c r="X31" s="1353" t="s">
        <v>197</v>
      </c>
      <c r="Y31" s="1354"/>
      <c r="Z31" s="1354"/>
      <c r="AA31" s="1355"/>
      <c r="AB31" s="1356">
        <v>42373</v>
      </c>
      <c r="AC31" s="1357">
        <v>2.7777777777777776E-2</v>
      </c>
      <c r="AD31" s="1356"/>
      <c r="AE31" s="1357"/>
      <c r="AF31" s="1356"/>
      <c r="AG31" s="1357"/>
      <c r="AH31" s="1356"/>
      <c r="AI31" s="1357"/>
      <c r="AJ31" s="1356"/>
      <c r="AK31" s="1357"/>
      <c r="AL31" s="1356">
        <v>42372</v>
      </c>
      <c r="AM31" s="1357">
        <v>0.72916666666666663</v>
      </c>
    </row>
    <row r="32" spans="1:39">
      <c r="A32" s="1513" t="str">
        <f>IF(AND(COUNTA(D32:S32)=0,COUNTA(D31:S31)=0,COUNTA(D33:G$46)=0),"N","Y")</f>
        <v>Y</v>
      </c>
      <c r="D32" s="3642" t="s">
        <v>196</v>
      </c>
      <c r="E32" s="3643"/>
      <c r="F32" s="3643"/>
      <c r="G32" s="3644"/>
      <c r="H32" s="1193"/>
      <c r="I32" s="1445"/>
      <c r="J32" s="1193">
        <v>44792</v>
      </c>
      <c r="K32" s="1445">
        <v>0.3923611111111111</v>
      </c>
      <c r="L32" s="1193"/>
      <c r="M32" s="1445"/>
      <c r="N32" s="1193"/>
      <c r="O32" s="1445"/>
      <c r="P32" s="1193"/>
      <c r="Q32" s="1445"/>
      <c r="R32" s="1193">
        <v>44792</v>
      </c>
      <c r="S32" s="1445">
        <v>0.31944444444444448</v>
      </c>
      <c r="X32" s="1353" t="s">
        <v>196</v>
      </c>
      <c r="Y32" s="1354"/>
      <c r="Z32" s="1354"/>
      <c r="AA32" s="1355"/>
      <c r="AB32" s="1356"/>
      <c r="AC32" s="1357"/>
      <c r="AD32" s="1356"/>
      <c r="AE32" s="1357"/>
      <c r="AF32" s="1356"/>
      <c r="AG32" s="1357"/>
      <c r="AH32" s="1356"/>
      <c r="AI32" s="1357"/>
      <c r="AJ32" s="1356"/>
      <c r="AK32" s="1357"/>
      <c r="AL32" s="1356">
        <v>42372</v>
      </c>
      <c r="AM32" s="1357">
        <v>0.77083333333333337</v>
      </c>
    </row>
    <row r="33" spans="1:39">
      <c r="A33" s="1513" t="str">
        <f>IF(AND(COUNTA(D33:S33)=0,COUNTA(D32:S32)=0,COUNTA(D34:G$46)=0),"N","Y")</f>
        <v>Y</v>
      </c>
      <c r="D33" s="3642" t="s">
        <v>195</v>
      </c>
      <c r="E33" s="3643"/>
      <c r="F33" s="3643"/>
      <c r="G33" s="3644"/>
      <c r="H33" s="1193"/>
      <c r="I33" s="1445"/>
      <c r="J33" s="1193">
        <v>44792</v>
      </c>
      <c r="K33" s="1445">
        <v>0.3923611111111111</v>
      </c>
      <c r="L33" s="1193"/>
      <c r="M33" s="1445"/>
      <c r="N33" s="1193"/>
      <c r="O33" s="1445"/>
      <c r="P33" s="1193"/>
      <c r="Q33" s="1445"/>
      <c r="R33" s="1193">
        <v>44792</v>
      </c>
      <c r="S33" s="1445">
        <v>0.31944444444444448</v>
      </c>
      <c r="X33" s="1353" t="s">
        <v>195</v>
      </c>
      <c r="Y33" s="1354"/>
      <c r="Z33" s="1354"/>
      <c r="AA33" s="1355"/>
      <c r="AB33" s="1356">
        <v>42373</v>
      </c>
      <c r="AC33" s="1357">
        <v>4.5138888888888888E-2</v>
      </c>
      <c r="AD33" s="1356"/>
      <c r="AE33" s="1357"/>
      <c r="AF33" s="1356"/>
      <c r="AG33" s="1357"/>
      <c r="AH33" s="1356"/>
      <c r="AI33" s="1357"/>
      <c r="AJ33" s="1356"/>
      <c r="AK33" s="1357"/>
      <c r="AL33" s="1356">
        <v>42372</v>
      </c>
      <c r="AM33" s="1357">
        <v>0.79166666666666663</v>
      </c>
    </row>
    <row r="34" spans="1:39">
      <c r="A34" s="1513" t="str">
        <f>IF(AND(COUNTA(D34:S34)=0,COUNTA(D33:S33)=0,COUNTA(D35:G$46)=0),"N","Y")</f>
        <v>Y</v>
      </c>
      <c r="D34" s="3642" t="s">
        <v>194</v>
      </c>
      <c r="E34" s="3643"/>
      <c r="F34" s="3643"/>
      <c r="G34" s="3644"/>
      <c r="H34" s="1193"/>
      <c r="I34" s="1445"/>
      <c r="J34" s="1193">
        <v>44792</v>
      </c>
      <c r="K34" s="1445">
        <v>0.39930555555555558</v>
      </c>
      <c r="L34" s="1193"/>
      <c r="M34" s="1445"/>
      <c r="N34" s="1193"/>
      <c r="O34" s="1445"/>
      <c r="P34" s="1193"/>
      <c r="Q34" s="1445"/>
      <c r="R34" s="1193">
        <v>44792</v>
      </c>
      <c r="S34" s="1445">
        <v>0.32291666666666669</v>
      </c>
      <c r="X34" s="1353" t="s">
        <v>194</v>
      </c>
      <c r="Y34" s="1354"/>
      <c r="Z34" s="1354"/>
      <c r="AA34" s="1355"/>
      <c r="AB34" s="1356">
        <v>42373</v>
      </c>
      <c r="AC34" s="1357">
        <v>6.25E-2</v>
      </c>
      <c r="AD34" s="1356"/>
      <c r="AE34" s="1357"/>
      <c r="AF34" s="1356"/>
      <c r="AG34" s="1357"/>
      <c r="AH34" s="1356"/>
      <c r="AI34" s="1357"/>
      <c r="AJ34" s="1356"/>
      <c r="AK34" s="1357"/>
      <c r="AL34" s="1356">
        <v>42372</v>
      </c>
      <c r="AM34" s="1357">
        <v>0.78472222222222221</v>
      </c>
    </row>
    <row r="35" spans="1:39">
      <c r="A35" s="1513" t="str">
        <f>IF(AND(COUNTA(D35:S35)=0,COUNTA(D34:S34)=0,COUNTA(D36:G$46)=0),"N","Y")</f>
        <v>Y</v>
      </c>
      <c r="D35" s="3642" t="s">
        <v>193</v>
      </c>
      <c r="E35" s="3643"/>
      <c r="F35" s="3643"/>
      <c r="G35" s="3644"/>
      <c r="H35" s="1193"/>
      <c r="I35" s="1445"/>
      <c r="J35" s="1193"/>
      <c r="K35" s="1445"/>
      <c r="L35" s="1193"/>
      <c r="M35" s="1445"/>
      <c r="N35" s="1193"/>
      <c r="O35" s="1445"/>
      <c r="P35" s="1193"/>
      <c r="Q35" s="1445"/>
      <c r="R35" s="1193"/>
      <c r="S35" s="1445"/>
      <c r="X35" s="1353" t="s">
        <v>193</v>
      </c>
      <c r="Y35" s="1354"/>
      <c r="Z35" s="1354"/>
      <c r="AA35" s="1355"/>
      <c r="AB35" s="1356">
        <v>42373</v>
      </c>
      <c r="AC35" s="1357">
        <v>8.3333333333333329E-2</v>
      </c>
      <c r="AD35" s="1356"/>
      <c r="AE35" s="1357"/>
      <c r="AF35" s="1356"/>
      <c r="AG35" s="1357"/>
      <c r="AH35" s="1356"/>
      <c r="AI35" s="1357"/>
      <c r="AJ35" s="1356"/>
      <c r="AK35" s="1357"/>
      <c r="AL35" s="1356"/>
      <c r="AM35" s="1357"/>
    </row>
    <row r="36" spans="1:39">
      <c r="A36" s="1513" t="str">
        <f>IF(AND(COUNTA(D36:S36)=0,COUNTA(D35:S35)=0,COUNTA(D37:G$46)=0),"N","Y")</f>
        <v>Y</v>
      </c>
      <c r="D36" s="3642" t="s">
        <v>192</v>
      </c>
      <c r="E36" s="3643"/>
      <c r="F36" s="3643"/>
      <c r="G36" s="3644"/>
      <c r="H36" s="1193"/>
      <c r="I36" s="1445"/>
      <c r="J36" s="1193">
        <v>44792</v>
      </c>
      <c r="K36" s="1445">
        <v>0.40625</v>
      </c>
      <c r="L36" s="1193"/>
      <c r="M36" s="1445"/>
      <c r="N36" s="1193"/>
      <c r="O36" s="1445"/>
      <c r="P36" s="1193"/>
      <c r="Q36" s="1445"/>
      <c r="R36" s="1193">
        <v>44792</v>
      </c>
      <c r="S36" s="1445">
        <v>0.3263888888888889</v>
      </c>
      <c r="X36" s="1353" t="s">
        <v>192</v>
      </c>
      <c r="Y36" s="1354"/>
      <c r="Z36" s="1354"/>
      <c r="AA36" s="1355"/>
      <c r="AB36" s="1356">
        <v>42373</v>
      </c>
      <c r="AC36" s="1357">
        <v>8.3333333333333329E-2</v>
      </c>
      <c r="AD36" s="1356"/>
      <c r="AE36" s="1357"/>
      <c r="AF36" s="1356"/>
      <c r="AG36" s="1357"/>
      <c r="AH36" s="1356"/>
      <c r="AI36" s="1357"/>
      <c r="AJ36" s="1356"/>
      <c r="AK36" s="1357"/>
      <c r="AL36" s="1356">
        <v>42372</v>
      </c>
      <c r="AM36" s="1357">
        <v>0.79513888888888884</v>
      </c>
    </row>
    <row r="37" spans="1:39">
      <c r="A37" s="1513" t="str">
        <f>IF(AND(COUNTA(D37:S37)=0,COUNTA(D36:S36)=0,COUNTA(D38:G$46)=0),"N","Y")</f>
        <v>Y</v>
      </c>
      <c r="D37" s="3646" t="s">
        <v>191</v>
      </c>
      <c r="E37" s="3643"/>
      <c r="F37" s="3643"/>
      <c r="G37" s="3644"/>
      <c r="H37" s="1193"/>
      <c r="I37" s="1445"/>
      <c r="J37" s="1193">
        <v>44792</v>
      </c>
      <c r="K37" s="1445">
        <v>0.40972222222222227</v>
      </c>
      <c r="L37" s="1193"/>
      <c r="M37" s="1445"/>
      <c r="N37" s="1193"/>
      <c r="O37" s="1445"/>
      <c r="P37" s="1193"/>
      <c r="Q37" s="1445"/>
      <c r="R37" s="1193">
        <v>44792</v>
      </c>
      <c r="S37" s="1445">
        <v>0.3298611111111111</v>
      </c>
      <c r="X37" s="1358" t="s">
        <v>191</v>
      </c>
      <c r="Y37" s="1354"/>
      <c r="Z37" s="1354"/>
      <c r="AA37" s="1355"/>
      <c r="AB37" s="1356">
        <v>42373</v>
      </c>
      <c r="AC37" s="1357">
        <v>0.14583333333333334</v>
      </c>
      <c r="AD37" s="1356"/>
      <c r="AE37" s="1357"/>
      <c r="AF37" s="1356"/>
      <c r="AG37" s="1357"/>
      <c r="AH37" s="1356"/>
      <c r="AI37" s="1357"/>
      <c r="AJ37" s="1356"/>
      <c r="AK37" s="1357"/>
      <c r="AL37" s="1356">
        <v>42372</v>
      </c>
      <c r="AM37" s="1357">
        <v>0.80208333333333337</v>
      </c>
    </row>
    <row r="38" spans="1:39">
      <c r="A38" s="1513" t="str">
        <f>IF(AND(COUNTA(D38:S38)=0,COUNTA(D37:S37)=0,COUNTA(D39:G$46)=0),"N","Y")</f>
        <v>Y</v>
      </c>
      <c r="D38" s="3646" t="s">
        <v>190</v>
      </c>
      <c r="E38" s="3643"/>
      <c r="F38" s="3643"/>
      <c r="G38" s="3644"/>
      <c r="H38" s="1193"/>
      <c r="I38" s="1445"/>
      <c r="J38" s="1193">
        <v>44792</v>
      </c>
      <c r="K38" s="1445">
        <v>0.41666666666666669</v>
      </c>
      <c r="L38" s="1193"/>
      <c r="M38" s="1445"/>
      <c r="N38" s="1193"/>
      <c r="O38" s="1445"/>
      <c r="P38" s="1193"/>
      <c r="Q38" s="1445"/>
      <c r="R38" s="1193">
        <v>44792</v>
      </c>
      <c r="S38" s="1445">
        <v>0.41666666666666669</v>
      </c>
      <c r="X38" s="1358" t="s">
        <v>190</v>
      </c>
      <c r="Y38" s="1354"/>
      <c r="Z38" s="1354"/>
      <c r="AA38" s="1355"/>
      <c r="AB38" s="1356"/>
      <c r="AC38" s="1357"/>
      <c r="AD38" s="1356"/>
      <c r="AE38" s="1357"/>
      <c r="AF38" s="1356"/>
      <c r="AG38" s="1357"/>
      <c r="AH38" s="1356"/>
      <c r="AI38" s="1357"/>
      <c r="AJ38" s="1356"/>
      <c r="AK38" s="1357"/>
      <c r="AL38" s="1356">
        <v>42372</v>
      </c>
      <c r="AM38" s="1357">
        <v>0.81597222222222221</v>
      </c>
    </row>
    <row r="39" spans="1:39">
      <c r="A39" s="1513" t="str">
        <f>IF(AND(COUNTA(D39:S39)=0,COUNTA(D38:S38)=0,COUNTA(D40:G$46)=0),"N","Y")</f>
        <v>Y</v>
      </c>
      <c r="D39" s="3646" t="s">
        <v>989</v>
      </c>
      <c r="E39" s="3643"/>
      <c r="F39" s="3643"/>
      <c r="G39" s="3644"/>
      <c r="H39" s="1193"/>
      <c r="I39" s="1445"/>
      <c r="J39" s="1193">
        <v>44792</v>
      </c>
      <c r="K39" s="1445">
        <v>0.45833333333333331</v>
      </c>
      <c r="L39" s="1193"/>
      <c r="M39" s="1445"/>
      <c r="N39" s="1193"/>
      <c r="O39" s="1445"/>
      <c r="P39" s="1193"/>
      <c r="Q39" s="1445"/>
      <c r="R39" s="1193">
        <v>44792</v>
      </c>
      <c r="S39" s="1445">
        <v>0.45833333333333331</v>
      </c>
      <c r="X39" s="1358" t="s">
        <v>989</v>
      </c>
      <c r="Y39" s="1354"/>
      <c r="Z39" s="1354"/>
      <c r="AA39" s="1355"/>
      <c r="AB39" s="1356"/>
      <c r="AC39" s="1357"/>
      <c r="AD39" s="1356"/>
      <c r="AE39" s="1357"/>
      <c r="AF39" s="1356"/>
      <c r="AG39" s="1357"/>
      <c r="AH39" s="1356"/>
      <c r="AI39" s="1357"/>
      <c r="AJ39" s="1356"/>
      <c r="AK39" s="1357"/>
      <c r="AL39" s="1356">
        <v>42372</v>
      </c>
      <c r="AM39" s="1357">
        <v>0</v>
      </c>
    </row>
    <row r="40" spans="1:39">
      <c r="A40" s="1513" t="str">
        <f>IF(AND(COUNTA(D40:S40)=0,COUNTA(D39:S39)=0,COUNTA(D41:G$46)=0),"N","Y")</f>
        <v>Y</v>
      </c>
      <c r="D40" s="3642"/>
      <c r="E40" s="3643"/>
      <c r="F40" s="3643"/>
      <c r="G40" s="3644"/>
      <c r="H40" s="1193"/>
      <c r="I40" s="1445"/>
      <c r="J40" s="1193"/>
      <c r="K40" s="1445"/>
      <c r="L40" s="1193"/>
      <c r="M40" s="1445"/>
      <c r="N40" s="1193"/>
      <c r="O40" s="1445"/>
      <c r="P40" s="1193"/>
      <c r="Q40" s="1445"/>
      <c r="R40" s="1193"/>
      <c r="S40" s="1445"/>
      <c r="X40" s="1353" t="s">
        <v>189</v>
      </c>
      <c r="Y40" s="1354"/>
      <c r="Z40" s="1354"/>
      <c r="AA40" s="1355"/>
      <c r="AB40" s="1356"/>
      <c r="AC40" s="1357"/>
      <c r="AD40" s="1356"/>
      <c r="AE40" s="1357"/>
      <c r="AF40" s="1356"/>
      <c r="AG40" s="1357"/>
      <c r="AH40" s="1356"/>
      <c r="AI40" s="1357"/>
      <c r="AJ40" s="1356"/>
      <c r="AK40" s="1357"/>
      <c r="AL40" s="1356">
        <v>42372</v>
      </c>
      <c r="AM40" s="1357">
        <v>0</v>
      </c>
    </row>
    <row r="41" spans="1:39" hidden="1">
      <c r="A41" s="1513" t="str">
        <f>IF(AND(COUNTA(D41:S41)=0,COUNTA(D40:S40)=0,COUNTA(D42:G$46)=0),"N","Y")</f>
        <v>N</v>
      </c>
      <c r="D41" s="3651"/>
      <c r="E41" s="3643"/>
      <c r="F41" s="3643"/>
      <c r="G41" s="3644"/>
      <c r="H41" s="1194"/>
      <c r="I41" s="1446"/>
      <c r="J41" s="1194"/>
      <c r="K41" s="1446"/>
      <c r="L41" s="1194"/>
      <c r="M41" s="1446"/>
      <c r="N41" s="1194"/>
      <c r="O41" s="1446"/>
      <c r="P41" s="1194"/>
      <c r="Q41" s="1446"/>
      <c r="R41" s="1194"/>
      <c r="S41" s="1446"/>
      <c r="X41" s="1359"/>
      <c r="Y41" s="1360"/>
      <c r="Z41" s="1360"/>
      <c r="AA41" s="1361"/>
      <c r="AB41" s="1362"/>
      <c r="AC41" s="1363"/>
      <c r="AD41" s="1362"/>
      <c r="AE41" s="1363"/>
      <c r="AF41" s="1362"/>
      <c r="AG41" s="1363"/>
      <c r="AH41" s="1362"/>
      <c r="AI41" s="1363"/>
      <c r="AJ41" s="1362"/>
      <c r="AK41" s="1363"/>
      <c r="AL41" s="1362"/>
      <c r="AM41" s="1363"/>
    </row>
    <row r="42" spans="1:39" hidden="1">
      <c r="A42" s="1513" t="str">
        <f>IF(AND(COUNTA(D42:S42)=0,COUNTA(D41:S41)=0,COUNTA(D43:G$46)=0),"N","Y")</f>
        <v>N</v>
      </c>
      <c r="D42" s="3642"/>
      <c r="E42" s="3643"/>
      <c r="F42" s="3643"/>
      <c r="G42" s="3644"/>
      <c r="H42" s="1194"/>
      <c r="I42" s="1446"/>
      <c r="J42" s="1194"/>
      <c r="K42" s="1446"/>
      <c r="L42" s="1194"/>
      <c r="M42" s="1446"/>
      <c r="N42" s="1194"/>
      <c r="O42" s="1446"/>
      <c r="P42" s="1194"/>
      <c r="Q42" s="1446"/>
      <c r="R42" s="1194"/>
      <c r="S42" s="1446"/>
      <c r="X42" s="1359"/>
      <c r="Y42" s="1360"/>
      <c r="Z42" s="1360"/>
      <c r="AA42" s="1361"/>
      <c r="AB42" s="1362"/>
      <c r="AC42" s="1363"/>
      <c r="AD42" s="1362"/>
      <c r="AE42" s="1363"/>
      <c r="AF42" s="1362"/>
      <c r="AG42" s="1363"/>
      <c r="AH42" s="1362"/>
      <c r="AI42" s="1363"/>
      <c r="AJ42" s="1362"/>
      <c r="AK42" s="1363"/>
      <c r="AL42" s="1362"/>
      <c r="AM42" s="1363"/>
    </row>
    <row r="43" spans="1:39" hidden="1">
      <c r="A43" s="1513" t="str">
        <f>IF(AND(COUNTA(D43:S43)=0,COUNTA(D42:S42)=0,COUNTA(D44:G$46)=0),"N","Y")</f>
        <v>N</v>
      </c>
      <c r="D43" s="3651"/>
      <c r="E43" s="3643"/>
      <c r="F43" s="3643"/>
      <c r="G43" s="3644"/>
      <c r="H43" s="1194"/>
      <c r="I43" s="1446"/>
      <c r="J43" s="1194"/>
      <c r="K43" s="1446"/>
      <c r="L43" s="1194"/>
      <c r="M43" s="1446"/>
      <c r="N43" s="1194"/>
      <c r="O43" s="1446"/>
      <c r="P43" s="1194"/>
      <c r="Q43" s="1446"/>
      <c r="R43" s="1194"/>
      <c r="S43" s="1446"/>
      <c r="X43" s="1359"/>
      <c r="Y43" s="1360"/>
      <c r="Z43" s="1360"/>
      <c r="AA43" s="1361"/>
      <c r="AB43" s="1362"/>
      <c r="AC43" s="1363"/>
      <c r="AD43" s="1362"/>
      <c r="AE43" s="1363"/>
      <c r="AF43" s="1362"/>
      <c r="AG43" s="1363"/>
      <c r="AH43" s="1362"/>
      <c r="AI43" s="1363"/>
      <c r="AJ43" s="1362"/>
      <c r="AK43" s="1363"/>
      <c r="AL43" s="1362"/>
      <c r="AM43" s="1363"/>
    </row>
    <row r="44" spans="1:39" hidden="1">
      <c r="A44" s="1513" t="str">
        <f>IF(AND(COUNTA(D44:S44)=0,COUNTA(D43:S43)=0,COUNTA(D45:G$46)=0),"N","Y")</f>
        <v>N</v>
      </c>
      <c r="D44" s="3642"/>
      <c r="E44" s="3643"/>
      <c r="F44" s="3643"/>
      <c r="G44" s="3644"/>
      <c r="H44" s="1194"/>
      <c r="I44" s="1446"/>
      <c r="J44" s="1194"/>
      <c r="K44" s="1446"/>
      <c r="L44" s="1194"/>
      <c r="M44" s="1446"/>
      <c r="N44" s="1194"/>
      <c r="O44" s="1446"/>
      <c r="P44" s="1194"/>
      <c r="Q44" s="1446"/>
      <c r="R44" s="1194"/>
      <c r="S44" s="1446"/>
      <c r="X44" s="1359"/>
      <c r="Y44" s="1360"/>
      <c r="Z44" s="1360"/>
      <c r="AA44" s="1361"/>
      <c r="AB44" s="1362"/>
      <c r="AC44" s="1363"/>
      <c r="AD44" s="1362"/>
      <c r="AE44" s="1363"/>
      <c r="AF44" s="1362"/>
      <c r="AG44" s="1363"/>
      <c r="AH44" s="1362"/>
      <c r="AI44" s="1363"/>
      <c r="AJ44" s="1362"/>
      <c r="AK44" s="1363"/>
      <c r="AL44" s="1362"/>
      <c r="AM44" s="1363"/>
    </row>
    <row r="45" spans="1:39" hidden="1">
      <c r="A45" s="1513" t="str">
        <f>IF(AND(COUNTA(D45:S45)=0,COUNTA(D44:S44)=0,COUNTA(D46:G$46)=0),"N","Y")</f>
        <v>N</v>
      </c>
      <c r="D45" s="3642"/>
      <c r="E45" s="3643"/>
      <c r="F45" s="3643"/>
      <c r="G45" s="3644"/>
      <c r="H45" s="1194"/>
      <c r="I45" s="1446"/>
      <c r="J45" s="1194"/>
      <c r="K45" s="1446"/>
      <c r="L45" s="1194"/>
      <c r="M45" s="1446"/>
      <c r="N45" s="1194"/>
      <c r="O45" s="1446"/>
      <c r="P45" s="1194"/>
      <c r="Q45" s="1446"/>
      <c r="R45" s="1194"/>
      <c r="S45" s="1446"/>
      <c r="X45" s="1359"/>
      <c r="Y45" s="1360"/>
      <c r="Z45" s="1360"/>
      <c r="AA45" s="1361"/>
      <c r="AB45" s="1362"/>
      <c r="AC45" s="1363"/>
      <c r="AD45" s="1362"/>
      <c r="AE45" s="1363"/>
      <c r="AF45" s="1362"/>
      <c r="AG45" s="1363"/>
      <c r="AH45" s="1362"/>
      <c r="AI45" s="1363"/>
      <c r="AJ45" s="1362"/>
      <c r="AK45" s="1363"/>
      <c r="AL45" s="1362"/>
      <c r="AM45" s="1363"/>
    </row>
    <row r="46" spans="1:39" hidden="1">
      <c r="A46" s="1513" t="str">
        <f>IF(AND(COUNTA(D46:S46)=0,COUNTA(D45:S45)=0),"N","Y")</f>
        <v>N</v>
      </c>
      <c r="D46" s="3647"/>
      <c r="E46" s="3648"/>
      <c r="F46" s="3648"/>
      <c r="G46" s="3649"/>
      <c r="H46" s="1194"/>
      <c r="I46" s="1446"/>
      <c r="J46" s="1194"/>
      <c r="K46" s="1446"/>
      <c r="L46" s="1194"/>
      <c r="M46" s="1446"/>
      <c r="N46" s="1194"/>
      <c r="O46" s="1446"/>
      <c r="P46" s="1194"/>
      <c r="Q46" s="1446"/>
      <c r="R46" s="1194"/>
      <c r="S46" s="1446"/>
      <c r="X46" s="1359"/>
      <c r="Y46" s="1360"/>
      <c r="Z46" s="1360"/>
      <c r="AA46" s="1361"/>
      <c r="AB46" s="1362"/>
      <c r="AC46" s="1363"/>
      <c r="AD46" s="1362"/>
      <c r="AE46" s="1363"/>
      <c r="AF46" s="1362"/>
      <c r="AG46" s="1363"/>
      <c r="AH46" s="1362"/>
      <c r="AI46" s="1363"/>
      <c r="AJ46" s="1362"/>
      <c r="AK46" s="1363"/>
      <c r="AL46" s="1362"/>
      <c r="AM46" s="1363"/>
    </row>
    <row r="47" spans="1:39">
      <c r="A47" s="325" t="s">
        <v>284</v>
      </c>
      <c r="D47" s="3650" t="s">
        <v>1016</v>
      </c>
      <c r="E47" s="3650"/>
      <c r="F47" s="3650"/>
      <c r="G47" s="3650"/>
      <c r="H47" s="906" t="str">
        <f>IF(H$24="","","Date")</f>
        <v/>
      </c>
      <c r="I47" s="907" t="str">
        <f>IF(H$24="","","Time")</f>
        <v/>
      </c>
      <c r="J47" s="906" t="str">
        <f>IF(J$24="","","Date")</f>
        <v>Date</v>
      </c>
      <c r="K47" s="907" t="str">
        <f>IF(J$24="","","Time")</f>
        <v>Time</v>
      </c>
      <c r="L47" s="906" t="str">
        <f>IF(L$24="","","Date")</f>
        <v/>
      </c>
      <c r="M47" s="907" t="str">
        <f>IF(L$24="","","Time")</f>
        <v/>
      </c>
      <c r="N47" s="906" t="str">
        <f t="shared" ref="N47" si="4">IF(N$24="","","Date")</f>
        <v/>
      </c>
      <c r="O47" s="907" t="str">
        <f t="shared" ref="O47" si="5">IF(N$24="","","Time")</f>
        <v/>
      </c>
      <c r="P47" s="906" t="str">
        <f t="shared" ref="P47:R47" si="6">IF(P$24="","","Date")</f>
        <v/>
      </c>
      <c r="Q47" s="907" t="str">
        <f t="shared" ref="Q47:S47" si="7">IF(P$24="","","Time")</f>
        <v/>
      </c>
      <c r="R47" s="906" t="str">
        <f t="shared" si="6"/>
        <v>Date</v>
      </c>
      <c r="S47" s="907" t="str">
        <f t="shared" si="7"/>
        <v>Time</v>
      </c>
      <c r="X47" s="1388" t="s">
        <v>1016</v>
      </c>
      <c r="Y47" s="1389"/>
      <c r="Z47" s="1389"/>
      <c r="AA47" s="1390"/>
      <c r="AB47" s="1391" t="s">
        <v>201</v>
      </c>
      <c r="AC47" s="1392" t="s">
        <v>200</v>
      </c>
      <c r="AD47" s="1391" t="s">
        <v>354</v>
      </c>
      <c r="AE47" s="1392" t="s">
        <v>354</v>
      </c>
      <c r="AF47" s="1391" t="s">
        <v>354</v>
      </c>
      <c r="AG47" s="1392" t="s">
        <v>354</v>
      </c>
      <c r="AH47" s="1391" t="s">
        <v>354</v>
      </c>
      <c r="AI47" s="1392" t="s">
        <v>354</v>
      </c>
      <c r="AJ47" s="1391" t="s">
        <v>354</v>
      </c>
      <c r="AK47" s="1392" t="s">
        <v>354</v>
      </c>
      <c r="AL47" s="1391" t="s">
        <v>201</v>
      </c>
      <c r="AM47" s="1392" t="s">
        <v>200</v>
      </c>
    </row>
    <row r="48" spans="1:39">
      <c r="A48" s="325" t="s">
        <v>284</v>
      </c>
      <c r="D48" s="3645" t="s">
        <v>1023</v>
      </c>
      <c r="E48" s="3643"/>
      <c r="F48" s="3643"/>
      <c r="G48" s="3644"/>
      <c r="H48" s="1193"/>
      <c r="I48" s="1445"/>
      <c r="J48" s="1193"/>
      <c r="K48" s="1445"/>
      <c r="L48" s="1193"/>
      <c r="M48" s="1445"/>
      <c r="N48" s="1193"/>
      <c r="O48" s="1445"/>
      <c r="P48" s="1193"/>
      <c r="Q48" s="1445"/>
      <c r="R48" s="1193"/>
      <c r="S48" s="1445"/>
      <c r="X48" s="1364" t="s">
        <v>1023</v>
      </c>
      <c r="Y48" s="1354"/>
      <c r="Z48" s="1354"/>
      <c r="AA48" s="1355"/>
      <c r="AB48" s="1356"/>
      <c r="AC48" s="1357"/>
      <c r="AD48" s="1356"/>
      <c r="AE48" s="1357"/>
      <c r="AF48" s="1356"/>
      <c r="AG48" s="1357"/>
      <c r="AH48" s="1356"/>
      <c r="AI48" s="1357"/>
      <c r="AJ48" s="1356"/>
      <c r="AK48" s="1357"/>
      <c r="AL48" s="1356"/>
      <c r="AM48" s="1357"/>
    </row>
    <row r="49" spans="1:39">
      <c r="A49" s="325" t="s">
        <v>284</v>
      </c>
      <c r="D49" s="3583" t="s">
        <v>1024</v>
      </c>
      <c r="E49" s="3584"/>
      <c r="F49" s="3584"/>
      <c r="G49" s="3585"/>
      <c r="H49" s="1206"/>
      <c r="I49" s="1447"/>
      <c r="J49" s="1206"/>
      <c r="K49" s="1447"/>
      <c r="L49" s="1206"/>
      <c r="M49" s="1447"/>
      <c r="N49" s="1206"/>
      <c r="O49" s="1447"/>
      <c r="P49" s="1206"/>
      <c r="Q49" s="1447"/>
      <c r="R49" s="1206"/>
      <c r="S49" s="1447"/>
      <c r="X49" s="1365" t="s">
        <v>1024</v>
      </c>
      <c r="Y49" s="1366"/>
      <c r="Z49" s="1366"/>
      <c r="AA49" s="1367"/>
      <c r="AB49" s="1368"/>
      <c r="AC49" s="1369"/>
      <c r="AD49" s="1368"/>
      <c r="AE49" s="1369"/>
      <c r="AF49" s="1368"/>
      <c r="AG49" s="1369"/>
      <c r="AH49" s="1368"/>
      <c r="AI49" s="1369"/>
      <c r="AJ49" s="1368"/>
      <c r="AK49" s="1369"/>
      <c r="AL49" s="1368"/>
      <c r="AM49" s="1369"/>
    </row>
    <row r="50" spans="1:39" ht="12" hidden="1" customHeight="1">
      <c r="A50" s="325" t="str">
        <f>IF(COUNTA($H48:$S49)&gt;0,"Y","N")</f>
        <v>N</v>
      </c>
      <c r="D50" s="3586" t="s">
        <v>1025</v>
      </c>
      <c r="E50" s="3581"/>
      <c r="F50" s="3581"/>
      <c r="G50" s="3582"/>
      <c r="H50" s="1207"/>
      <c r="I50" s="1448"/>
      <c r="J50" s="1207"/>
      <c r="K50" s="1448"/>
      <c r="L50" s="1207"/>
      <c r="M50" s="1448"/>
      <c r="N50" s="1207"/>
      <c r="O50" s="1448"/>
      <c r="P50" s="1207"/>
      <c r="Q50" s="1448"/>
      <c r="R50" s="1207"/>
      <c r="S50" s="1448"/>
      <c r="X50" s="1370" t="s">
        <v>1025</v>
      </c>
      <c r="Y50" s="1371"/>
      <c r="Z50" s="1371"/>
      <c r="AA50" s="1372"/>
      <c r="AB50" s="1373"/>
      <c r="AC50" s="1374"/>
      <c r="AD50" s="1373"/>
      <c r="AE50" s="1374"/>
      <c r="AF50" s="1373"/>
      <c r="AG50" s="1374"/>
      <c r="AH50" s="1373"/>
      <c r="AI50" s="1374"/>
      <c r="AJ50" s="1373"/>
      <c r="AK50" s="1374"/>
      <c r="AL50" s="1373"/>
      <c r="AM50" s="1374"/>
    </row>
    <row r="51" spans="1:39" hidden="1">
      <c r="A51" s="325" t="str">
        <f>A50</f>
        <v>N</v>
      </c>
      <c r="D51" s="3583" t="s">
        <v>1026</v>
      </c>
      <c r="E51" s="3584"/>
      <c r="F51" s="3584"/>
      <c r="G51" s="3585"/>
      <c r="H51" s="1206"/>
      <c r="I51" s="1447"/>
      <c r="J51" s="1206"/>
      <c r="K51" s="1447"/>
      <c r="L51" s="1206"/>
      <c r="M51" s="1447"/>
      <c r="N51" s="1206"/>
      <c r="O51" s="1447"/>
      <c r="P51" s="1206"/>
      <c r="Q51" s="1447"/>
      <c r="R51" s="1206"/>
      <c r="S51" s="1447"/>
      <c r="X51" s="1365" t="s">
        <v>1026</v>
      </c>
      <c r="Y51" s="1366"/>
      <c r="Z51" s="1366"/>
      <c r="AA51" s="1367"/>
      <c r="AB51" s="1368"/>
      <c r="AC51" s="1369"/>
      <c r="AD51" s="1368"/>
      <c r="AE51" s="1369"/>
      <c r="AF51" s="1368"/>
      <c r="AG51" s="1369"/>
      <c r="AH51" s="1368"/>
      <c r="AI51" s="1369"/>
      <c r="AJ51" s="1368"/>
      <c r="AK51" s="1369"/>
      <c r="AL51" s="1368"/>
      <c r="AM51" s="1369"/>
    </row>
    <row r="52" spans="1:39" hidden="1">
      <c r="A52" s="325" t="str">
        <f t="shared" ref="A52" si="8">IF(COUNTA($H50:$S51)&gt;0,"Y","N")</f>
        <v>N</v>
      </c>
      <c r="D52" s="3586" t="s">
        <v>1027</v>
      </c>
      <c r="E52" s="3581"/>
      <c r="F52" s="3581"/>
      <c r="G52" s="3582"/>
      <c r="H52" s="1207"/>
      <c r="I52" s="1448"/>
      <c r="J52" s="1207"/>
      <c r="K52" s="1448"/>
      <c r="L52" s="1207"/>
      <c r="M52" s="1448"/>
      <c r="N52" s="1207"/>
      <c r="O52" s="1448"/>
      <c r="P52" s="1207"/>
      <c r="Q52" s="1448"/>
      <c r="R52" s="1207"/>
      <c r="S52" s="1448"/>
      <c r="X52" s="1370" t="s">
        <v>1027</v>
      </c>
      <c r="Y52" s="1371"/>
      <c r="Z52" s="1371"/>
      <c r="AA52" s="1372"/>
      <c r="AB52" s="1373"/>
      <c r="AC52" s="1374"/>
      <c r="AD52" s="1373"/>
      <c r="AE52" s="1374"/>
      <c r="AF52" s="1373"/>
      <c r="AG52" s="1374"/>
      <c r="AH52" s="1373"/>
      <c r="AI52" s="1374"/>
      <c r="AJ52" s="1373"/>
      <c r="AK52" s="1374"/>
      <c r="AL52" s="1373"/>
      <c r="AM52" s="1374"/>
    </row>
    <row r="53" spans="1:39" hidden="1">
      <c r="A53" s="325" t="str">
        <f t="shared" ref="A53" si="9">A52</f>
        <v>N</v>
      </c>
      <c r="D53" s="3583" t="s">
        <v>1028</v>
      </c>
      <c r="E53" s="3584"/>
      <c r="F53" s="3584"/>
      <c r="G53" s="3585"/>
      <c r="H53" s="1206"/>
      <c r="I53" s="1447"/>
      <c r="J53" s="1206"/>
      <c r="K53" s="1447"/>
      <c r="L53" s="1206"/>
      <c r="M53" s="1447"/>
      <c r="N53" s="1206"/>
      <c r="O53" s="1447"/>
      <c r="P53" s="1206"/>
      <c r="Q53" s="1447"/>
      <c r="R53" s="1206"/>
      <c r="S53" s="1447"/>
      <c r="X53" s="1365" t="s">
        <v>1028</v>
      </c>
      <c r="Y53" s="1366"/>
      <c r="Z53" s="1366"/>
      <c r="AA53" s="1367"/>
      <c r="AB53" s="1368"/>
      <c r="AC53" s="1369"/>
      <c r="AD53" s="1368"/>
      <c r="AE53" s="1369"/>
      <c r="AF53" s="1368"/>
      <c r="AG53" s="1369"/>
      <c r="AH53" s="1368"/>
      <c r="AI53" s="1369"/>
      <c r="AJ53" s="1368"/>
      <c r="AK53" s="1369"/>
      <c r="AL53" s="1368"/>
      <c r="AM53" s="1369"/>
    </row>
    <row r="54" spans="1:39" hidden="1">
      <c r="A54" s="325" t="str">
        <f t="shared" ref="A54" si="10">IF(COUNTA($H52:$S53)&gt;0,"Y","N")</f>
        <v>N</v>
      </c>
      <c r="D54" s="3586" t="s">
        <v>1029</v>
      </c>
      <c r="E54" s="3581"/>
      <c r="F54" s="3581"/>
      <c r="G54" s="3582"/>
      <c r="H54" s="1207"/>
      <c r="I54" s="1448"/>
      <c r="J54" s="1207"/>
      <c r="K54" s="1448"/>
      <c r="L54" s="1207"/>
      <c r="M54" s="1448"/>
      <c r="N54" s="1207"/>
      <c r="O54" s="1448"/>
      <c r="P54" s="1207"/>
      <c r="Q54" s="1448"/>
      <c r="R54" s="1207"/>
      <c r="S54" s="1448"/>
      <c r="X54" s="1370" t="s">
        <v>1029</v>
      </c>
      <c r="Y54" s="1371"/>
      <c r="Z54" s="1371"/>
      <c r="AA54" s="1372"/>
      <c r="AB54" s="1373"/>
      <c r="AC54" s="1374"/>
      <c r="AD54" s="1373"/>
      <c r="AE54" s="1374"/>
      <c r="AF54" s="1373"/>
      <c r="AG54" s="1374"/>
      <c r="AH54" s="1373"/>
      <c r="AI54" s="1374"/>
      <c r="AJ54" s="1373"/>
      <c r="AK54" s="1374"/>
      <c r="AL54" s="1373"/>
      <c r="AM54" s="1374"/>
    </row>
    <row r="55" spans="1:39" hidden="1">
      <c r="A55" s="325" t="str">
        <f t="shared" ref="A55" si="11">A54</f>
        <v>N</v>
      </c>
      <c r="D55" s="3583" t="s">
        <v>1030</v>
      </c>
      <c r="E55" s="3584"/>
      <c r="F55" s="3584"/>
      <c r="G55" s="3585"/>
      <c r="H55" s="1206"/>
      <c r="I55" s="1447"/>
      <c r="J55" s="1206"/>
      <c r="K55" s="1447"/>
      <c r="L55" s="1206"/>
      <c r="M55" s="1447"/>
      <c r="N55" s="1206"/>
      <c r="O55" s="1447"/>
      <c r="P55" s="1206"/>
      <c r="Q55" s="1447"/>
      <c r="R55" s="1206"/>
      <c r="S55" s="1447"/>
      <c r="X55" s="1365" t="s">
        <v>1030</v>
      </c>
      <c r="Y55" s="1366"/>
      <c r="Z55" s="1366"/>
      <c r="AA55" s="1367"/>
      <c r="AB55" s="1368"/>
      <c r="AC55" s="1369">
        <v>6.458333333333334E-2</v>
      </c>
      <c r="AD55" s="1368"/>
      <c r="AE55" s="1369"/>
      <c r="AF55" s="1368"/>
      <c r="AG55" s="1369"/>
      <c r="AH55" s="1368"/>
      <c r="AI55" s="1369"/>
      <c r="AJ55" s="1368"/>
      <c r="AK55" s="1369"/>
      <c r="AL55" s="1368"/>
      <c r="AM55" s="1369"/>
    </row>
    <row r="56" spans="1:39" hidden="1">
      <c r="A56" s="325" t="str">
        <f t="shared" ref="A56" si="12">IF(COUNTA($H54:$S55)&gt;0,"Y","N")</f>
        <v>N</v>
      </c>
      <c r="D56" s="3580" t="s">
        <v>1031</v>
      </c>
      <c r="E56" s="3581"/>
      <c r="F56" s="3581"/>
      <c r="G56" s="3582"/>
      <c r="H56" s="1207"/>
      <c r="I56" s="1448"/>
      <c r="J56" s="1207"/>
      <c r="K56" s="1448"/>
      <c r="L56" s="1207"/>
      <c r="M56" s="1448"/>
      <c r="N56" s="1207"/>
      <c r="O56" s="1448"/>
      <c r="P56" s="1207"/>
      <c r="Q56" s="1448"/>
      <c r="R56" s="1207"/>
      <c r="S56" s="1448"/>
      <c r="X56" s="1375" t="s">
        <v>1031</v>
      </c>
      <c r="Y56" s="1371"/>
      <c r="Z56" s="1371"/>
      <c r="AA56" s="1372"/>
      <c r="AB56" s="1373"/>
      <c r="AC56" s="1374"/>
      <c r="AD56" s="1373"/>
      <c r="AE56" s="1374"/>
      <c r="AF56" s="1373"/>
      <c r="AG56" s="1374"/>
      <c r="AH56" s="1373"/>
      <c r="AI56" s="1374"/>
      <c r="AJ56" s="1373"/>
      <c r="AK56" s="1374"/>
      <c r="AL56" s="1373"/>
      <c r="AM56" s="1374"/>
    </row>
    <row r="57" spans="1:39" hidden="1">
      <c r="A57" s="325" t="str">
        <f t="shared" ref="A57" si="13">A56</f>
        <v>N</v>
      </c>
      <c r="D57" s="3653" t="s">
        <v>1032</v>
      </c>
      <c r="E57" s="3584"/>
      <c r="F57" s="3584"/>
      <c r="G57" s="3585"/>
      <c r="H57" s="1206"/>
      <c r="I57" s="1447"/>
      <c r="J57" s="1206"/>
      <c r="K57" s="1447"/>
      <c r="L57" s="1206"/>
      <c r="M57" s="1447"/>
      <c r="N57" s="1206"/>
      <c r="O57" s="1447"/>
      <c r="P57" s="1206"/>
      <c r="Q57" s="1447"/>
      <c r="R57" s="1206"/>
      <c r="S57" s="1447"/>
      <c r="X57" s="1376" t="s">
        <v>1032</v>
      </c>
      <c r="Y57" s="1366"/>
      <c r="Z57" s="1366"/>
      <c r="AA57" s="1367"/>
      <c r="AB57" s="1368"/>
      <c r="AC57" s="1369"/>
      <c r="AD57" s="1368"/>
      <c r="AE57" s="1369"/>
      <c r="AF57" s="1368"/>
      <c r="AG57" s="1369"/>
      <c r="AH57" s="1368"/>
      <c r="AI57" s="1369"/>
      <c r="AJ57" s="1368"/>
      <c r="AK57" s="1369"/>
      <c r="AL57" s="1368"/>
      <c r="AM57" s="1369"/>
    </row>
    <row r="58" spans="1:39">
      <c r="A58" s="912" t="s">
        <v>284</v>
      </c>
      <c r="D58" s="913"/>
      <c r="E58" s="343"/>
      <c r="F58" s="343"/>
      <c r="G58" s="343"/>
      <c r="H58" s="343"/>
      <c r="I58" s="343"/>
      <c r="J58" s="343"/>
      <c r="K58" s="343"/>
      <c r="L58" s="916"/>
      <c r="M58" s="917"/>
      <c r="N58" s="343"/>
      <c r="O58" s="343"/>
      <c r="P58" s="343"/>
      <c r="Q58" s="343"/>
      <c r="R58" s="343"/>
      <c r="S58" s="343"/>
    </row>
    <row r="59" spans="1:39">
      <c r="A59" s="912" t="s">
        <v>284</v>
      </c>
      <c r="D59" s="617" t="s">
        <v>179</v>
      </c>
    </row>
    <row r="60" spans="1:39">
      <c r="A60" s="912" t="s">
        <v>284</v>
      </c>
      <c r="D60" s="3594"/>
      <c r="E60" s="3595"/>
      <c r="F60" s="3595"/>
      <c r="G60" s="3595"/>
      <c r="H60" s="3595"/>
      <c r="I60" s="3595"/>
      <c r="J60" s="3595"/>
      <c r="K60" s="3595"/>
      <c r="L60" s="3595"/>
      <c r="M60" s="3595"/>
      <c r="N60" s="3595"/>
      <c r="O60" s="3595"/>
      <c r="P60" s="3595"/>
      <c r="Q60" s="3595"/>
      <c r="R60" s="3595"/>
      <c r="S60" s="3596"/>
    </row>
    <row r="61" spans="1:39">
      <c r="A61" s="912" t="s">
        <v>284</v>
      </c>
      <c r="D61" s="3597"/>
      <c r="E61" s="3595"/>
      <c r="F61" s="3595"/>
      <c r="G61" s="3595"/>
      <c r="H61" s="3595"/>
      <c r="I61" s="3595"/>
      <c r="J61" s="3595"/>
      <c r="K61" s="3595"/>
      <c r="L61" s="3595"/>
      <c r="M61" s="3595"/>
      <c r="N61" s="3595"/>
      <c r="O61" s="3595"/>
      <c r="P61" s="3595"/>
      <c r="Q61" s="3595"/>
      <c r="R61" s="3595"/>
      <c r="S61" s="3596"/>
    </row>
    <row r="62" spans="1:39">
      <c r="A62" s="912" t="s">
        <v>284</v>
      </c>
      <c r="D62" s="3597"/>
      <c r="E62" s="3595"/>
      <c r="F62" s="3595"/>
      <c r="G62" s="3595"/>
      <c r="H62" s="3595"/>
      <c r="I62" s="3595"/>
      <c r="J62" s="3595"/>
      <c r="K62" s="3595"/>
      <c r="L62" s="3595"/>
      <c r="M62" s="3595"/>
      <c r="N62" s="3595"/>
      <c r="O62" s="3595"/>
      <c r="P62" s="3595"/>
      <c r="Q62" s="3595"/>
      <c r="R62" s="3595"/>
      <c r="S62" s="3596"/>
    </row>
    <row r="63" spans="1:39">
      <c r="A63" s="912" t="s">
        <v>284</v>
      </c>
      <c r="D63" s="3597"/>
      <c r="E63" s="3595"/>
      <c r="F63" s="3595"/>
      <c r="G63" s="3595"/>
      <c r="H63" s="3595"/>
      <c r="I63" s="3595"/>
      <c r="J63" s="3595"/>
      <c r="K63" s="3595"/>
      <c r="L63" s="3595"/>
      <c r="M63" s="3595"/>
      <c r="N63" s="3595"/>
      <c r="O63" s="3595"/>
      <c r="P63" s="3595"/>
      <c r="Q63" s="3595"/>
      <c r="R63" s="3595"/>
      <c r="S63" s="3596"/>
    </row>
    <row r="64" spans="1:39">
      <c r="A64" s="912" t="s">
        <v>284</v>
      </c>
    </row>
    <row r="65" spans="1:19">
      <c r="A65" s="912" t="s">
        <v>284</v>
      </c>
      <c r="D65" s="3602"/>
      <c r="E65" s="3603"/>
      <c r="F65" s="3604" t="s">
        <v>994</v>
      </c>
      <c r="G65" s="3605"/>
      <c r="H65" s="3602" t="str">
        <f>IF(H$24="","",'Cover Page'!I$89)</f>
        <v/>
      </c>
      <c r="I65" s="3606"/>
      <c r="J65" s="3602" t="str">
        <f>IF(J$24="","",'Cover Page'!J$89)</f>
        <v>M/T YALÇIN 2</v>
      </c>
      <c r="K65" s="3606"/>
      <c r="L65" s="3602" t="str">
        <f>IF(L$24="","",'Cover Page'!K$89)</f>
        <v/>
      </c>
      <c r="M65" s="3606"/>
      <c r="N65" s="3602" t="str">
        <f>IF(N$24="","",'Cover Page'!L$89)</f>
        <v/>
      </c>
      <c r="O65" s="3606"/>
      <c r="P65" s="3602" t="str">
        <f>IF(P$24="","",'Cover Page'!M$89)</f>
        <v/>
      </c>
      <c r="Q65" s="3606"/>
      <c r="R65" s="3638" t="str">
        <f>IF(R$24="","",'Cover Page'!N$89)</f>
        <v>M/T YALÇIN 2</v>
      </c>
      <c r="S65" s="3606"/>
    </row>
    <row r="66" spans="1:19">
      <c r="A66" s="1219" t="s">
        <v>284</v>
      </c>
    </row>
    <row r="67" spans="1:19">
      <c r="A67" s="1219" t="s">
        <v>284</v>
      </c>
    </row>
    <row r="68" spans="1:19">
      <c r="A68" s="912" t="s">
        <v>284</v>
      </c>
      <c r="G68" s="1220" t="s">
        <v>1293</v>
      </c>
      <c r="H68" s="3587" t="str">
        <f>IF(H69="","","____________________")</f>
        <v/>
      </c>
      <c r="I68" s="3587"/>
      <c r="J68" s="3587" t="str">
        <f t="shared" ref="J68" si="14">IF(J69="","","____________________")</f>
        <v>____________________</v>
      </c>
      <c r="K68" s="3587"/>
      <c r="L68" s="3587" t="str">
        <f t="shared" ref="L68" si="15">IF(L69="","","____________________")</f>
        <v/>
      </c>
      <c r="M68" s="3587"/>
      <c r="N68" s="3587" t="str">
        <f t="shared" ref="N68" si="16">IF(N69="","","____________________")</f>
        <v/>
      </c>
      <c r="O68" s="3587"/>
      <c r="P68" s="3587" t="str">
        <f t="shared" ref="P68" si="17">IF(P69="","","____________________")</f>
        <v/>
      </c>
      <c r="Q68" s="3587"/>
      <c r="R68" s="3587" t="str">
        <f t="shared" ref="R68" si="18">IF(R69="","","____________________")</f>
        <v>____________________</v>
      </c>
      <c r="S68" s="3587"/>
    </row>
    <row r="69" spans="1:19">
      <c r="A69" s="1219" t="s">
        <v>284</v>
      </c>
      <c r="D69" s="343"/>
      <c r="E69" s="343"/>
      <c r="F69" s="343"/>
      <c r="G69" s="343"/>
      <c r="H69" s="3607" t="str">
        <f>IF(H65="","",INDEX(MAIN!$BF$2:$BF$7,MATCH(H65,MAIN!$BD$2:$BD$7,0),1))</f>
        <v/>
      </c>
      <c r="I69" s="3607"/>
      <c r="J69" s="3607" t="str">
        <f>IF(J65="","",INDEX(MAIN!$BF$2:$BF$7,MATCH(J65,MAIN!$BD$2:$BD$7,0),1))</f>
        <v>TEMEL KALYONCU</v>
      </c>
      <c r="K69" s="3607"/>
      <c r="L69" s="3607" t="str">
        <f>IF(L65="","",INDEX(MAIN!$BF$2:$BF$7,MATCH(L65,MAIN!$BD$2:$BD$7,0),1))</f>
        <v/>
      </c>
      <c r="M69" s="3607"/>
      <c r="N69" s="3607" t="str">
        <f>IF(N65="","",INDEX(MAIN!$BF$2:$BF$7,MATCH(N65,MAIN!$BD$2:$BD$7,0),1))</f>
        <v/>
      </c>
      <c r="O69" s="3607"/>
      <c r="P69" s="3607" t="str">
        <f>IF(P65="","",INDEX(MAIN!$BF$2:$BF$7,MATCH(P65,MAIN!$BD$2:$BD$7,0),1))</f>
        <v/>
      </c>
      <c r="Q69" s="3607"/>
      <c r="R69" s="3607" t="str">
        <f>IF(R65="","",INDEX(MAIN!$BF$2:$BF$7,MATCH(R65,MAIN!$BD$2:$BD$7,0),1))</f>
        <v>TEMEL KALYONCU</v>
      </c>
      <c r="S69" s="3607"/>
    </row>
    <row r="70" spans="1:19">
      <c r="A70" s="1219" t="s">
        <v>284</v>
      </c>
      <c r="D70" s="343"/>
      <c r="E70" s="343"/>
      <c r="F70" s="343"/>
      <c r="G70" s="343"/>
      <c r="H70" s="3607"/>
      <c r="I70" s="3607"/>
      <c r="J70" s="3607"/>
      <c r="K70" s="3607"/>
      <c r="L70" s="3607"/>
      <c r="M70" s="3607"/>
      <c r="N70" s="3607"/>
      <c r="O70" s="3607"/>
      <c r="P70" s="3607"/>
      <c r="Q70" s="3607"/>
      <c r="R70" s="3607"/>
      <c r="S70" s="3607"/>
    </row>
    <row r="71" spans="1:19" hidden="1">
      <c r="A71" s="1219" t="str">
        <f>IF(TIMELOGPAGES=1,"N","Y")</f>
        <v>N</v>
      </c>
      <c r="D71" s="343"/>
      <c r="E71" s="343"/>
      <c r="F71" s="343"/>
      <c r="G71" s="343"/>
      <c r="H71" s="1305"/>
      <c r="I71" s="1305"/>
      <c r="J71" s="1305"/>
      <c r="K71" s="1305"/>
      <c r="L71" s="1305"/>
      <c r="M71" s="1305"/>
      <c r="N71" s="1305"/>
      <c r="O71" s="1305"/>
      <c r="P71" s="1305"/>
      <c r="Q71" s="1305"/>
      <c r="R71" s="1305"/>
      <c r="S71" s="1305"/>
    </row>
    <row r="72" spans="1:19" hidden="1">
      <c r="A72" s="1219" t="str">
        <f>A71</f>
        <v>N</v>
      </c>
      <c r="D72" s="343"/>
      <c r="E72" s="343"/>
      <c r="F72" s="343"/>
      <c r="G72" s="343"/>
      <c r="H72" s="343"/>
      <c r="I72" s="343"/>
      <c r="J72" s="343"/>
      <c r="K72" s="343"/>
      <c r="L72" s="343"/>
      <c r="M72" s="343"/>
      <c r="N72" s="343"/>
      <c r="O72" s="343"/>
      <c r="P72" s="343"/>
      <c r="Q72" s="343"/>
      <c r="R72" s="343"/>
      <c r="S72" s="343"/>
    </row>
    <row r="73" spans="1:19" hidden="1">
      <c r="A73" s="912" t="str">
        <f>A72</f>
        <v>N</v>
      </c>
      <c r="D73" s="3589" t="str">
        <f>CHENG</f>
        <v>CANO ARTHUR D. CADAVOS</v>
      </c>
      <c r="E73" s="3589"/>
      <c r="F73" s="3589"/>
      <c r="G73" s="3589"/>
      <c r="P73" s="3589" t="str">
        <f>SURVEYOR</f>
        <v>MEHMET EROĞLU</v>
      </c>
      <c r="Q73" s="3589"/>
      <c r="R73" s="3589"/>
      <c r="S73" s="3589"/>
    </row>
    <row r="74" spans="1:19" hidden="1">
      <c r="A74" s="912" t="str">
        <f>A73</f>
        <v>N</v>
      </c>
      <c r="D74" s="3588" t="s">
        <v>1294</v>
      </c>
      <c r="E74" s="3588"/>
      <c r="F74" s="3588"/>
      <c r="G74" s="3588"/>
      <c r="P74" s="3637" t="str">
        <f>"Bunker Surveyor"&amp;IF(SPORE=TRUE,", License No. "&amp;SURVLIC,"")</f>
        <v>Bunker Surveyor</v>
      </c>
      <c r="Q74" s="3637"/>
      <c r="R74" s="3637"/>
      <c r="S74" s="3637"/>
    </row>
    <row r="75" spans="1:19" s="1298" customFormat="1" ht="8.25">
      <c r="A75" s="1298" t="s">
        <v>284</v>
      </c>
      <c r="D75" s="1303"/>
      <c r="E75" s="1303"/>
      <c r="F75" s="1303"/>
      <c r="G75" s="1303"/>
      <c r="H75" s="1303"/>
      <c r="I75" s="1303"/>
      <c r="J75" s="1303"/>
      <c r="K75" s="1303"/>
      <c r="L75" s="1303"/>
      <c r="M75" s="1303"/>
      <c r="N75" s="1303"/>
      <c r="O75" s="1303"/>
      <c r="P75" s="1303"/>
      <c r="Q75" s="1303"/>
      <c r="R75" s="1303"/>
      <c r="S75" s="1303"/>
    </row>
    <row r="76" spans="1:19">
      <c r="A76" s="912" t="s">
        <v>284</v>
      </c>
      <c r="D76" s="3598" t="s">
        <v>710</v>
      </c>
      <c r="E76" s="3599"/>
      <c r="F76" s="3599"/>
      <c r="G76" s="3600"/>
      <c r="H76" s="3601" t="s">
        <v>686</v>
      </c>
      <c r="I76" s="3601"/>
      <c r="J76" s="3601" t="s">
        <v>682</v>
      </c>
      <c r="K76" s="3601"/>
      <c r="L76" s="3598" t="s">
        <v>687</v>
      </c>
      <c r="M76" s="3600"/>
      <c r="N76" s="948"/>
      <c r="O76" s="949"/>
      <c r="P76" s="949"/>
      <c r="Q76" s="949"/>
      <c r="R76" s="949"/>
      <c r="S76" s="950"/>
    </row>
    <row r="77" spans="1:19" s="918" customFormat="1" ht="5.25">
      <c r="A77" s="918" t="s">
        <v>284</v>
      </c>
      <c r="D77" s="919"/>
      <c r="E77" s="919"/>
      <c r="F77" s="919"/>
      <c r="G77" s="919"/>
      <c r="H77" s="919"/>
      <c r="I77" s="919"/>
      <c r="J77" s="919"/>
      <c r="K77" s="919"/>
      <c r="L77" s="919"/>
      <c r="M77" s="919"/>
      <c r="N77" s="919"/>
      <c r="O77" s="919"/>
      <c r="P77" s="919"/>
      <c r="Q77" s="919"/>
      <c r="R77" s="919"/>
      <c r="S77" s="919"/>
    </row>
    <row r="78" spans="1:19" hidden="1">
      <c r="A78" s="325" t="str">
        <f>IF($F78="","N","Y")</f>
        <v>N</v>
      </c>
      <c r="C78" s="325">
        <v>1</v>
      </c>
      <c r="D78" s="3598" t="s">
        <v>685</v>
      </c>
      <c r="E78" s="3599"/>
      <c r="F78" s="3600" t="str">
        <f>H24</f>
        <v/>
      </c>
      <c r="G78" s="3601"/>
      <c r="H78" s="914" t="s">
        <v>201</v>
      </c>
      <c r="I78" s="950" t="s">
        <v>200</v>
      </c>
      <c r="J78" s="914" t="s">
        <v>201</v>
      </c>
      <c r="K78" s="950" t="s">
        <v>200</v>
      </c>
      <c r="L78" s="914" t="s">
        <v>664</v>
      </c>
      <c r="M78" s="950" t="s">
        <v>266</v>
      </c>
      <c r="N78" s="1199" t="s">
        <v>681</v>
      </c>
      <c r="O78" s="1200" t="str">
        <f>IF(P78="","","for Barge")</f>
        <v/>
      </c>
      <c r="P78" s="3630" t="str">
        <f>IF(H$23=0,"",H$23)</f>
        <v/>
      </c>
      <c r="Q78" s="3630"/>
      <c r="R78" s="3630"/>
      <c r="S78" s="3631"/>
    </row>
    <row r="79" spans="1:19" hidden="1">
      <c r="A79" s="325" t="str">
        <f>A78</f>
        <v>N</v>
      </c>
      <c r="D79" s="3591" t="s">
        <v>663</v>
      </c>
      <c r="E79" s="3591"/>
      <c r="F79" s="3591"/>
      <c r="G79" s="3591"/>
      <c r="H79" s="1196">
        <f>INDEX($R$14:$R$21,MATCH('STANDARD SETT'!$K$6,$N$14:$N$21,0),1)</f>
        <v>44792</v>
      </c>
      <c r="I79" s="1449">
        <f>INDEX($S$14:$S$21,MATCH('STANDARD SETT'!$K$6,$N$14:$N$21,0),1)</f>
        <v>0.10416666666666667</v>
      </c>
      <c r="J79" s="1196">
        <f>INDEX($R$14:$R$21,MATCH('STANDARD SETT'!$L$6,$N$14:$N$21,0),1)</f>
        <v>44792</v>
      </c>
      <c r="K79" s="1449">
        <f>INDEX($S$14:$S$21,MATCH('STANDARD SETT'!$L$6,$N$14:$N$21,0),1)</f>
        <v>0.5</v>
      </c>
      <c r="L79" s="1452">
        <f>IF(ISERROR(J79+K79-H79-I79),"",IF(OR(J79=0,H79=0),"",J79+K79-H79-I79))</f>
        <v>0.39583333333333331</v>
      </c>
      <c r="M79" s="924">
        <f>IF(ISERROR(J79+K79-H79-I79),"",IF(OR(J79=0,H79=0),"",(J79+K79-H79-I79)*24))</f>
        <v>9.5</v>
      </c>
      <c r="N79" s="3627"/>
      <c r="O79" s="3628"/>
      <c r="P79" s="3628"/>
      <c r="Q79" s="3628"/>
      <c r="R79" s="3628"/>
      <c r="S79" s="3629"/>
    </row>
    <row r="80" spans="1:19" hidden="1">
      <c r="A80" s="325" t="str">
        <f>A78</f>
        <v>N</v>
      </c>
      <c r="D80" s="3592" t="s">
        <v>662</v>
      </c>
      <c r="E80" s="3592"/>
      <c r="F80" s="3592"/>
      <c r="G80" s="3592"/>
      <c r="H80" s="1197">
        <f>INDEX($H$26:$S$57,MATCH('STANDARD SETT'!$K$7,$D$26:$D$57,0),($C78*2)-1)</f>
        <v>0</v>
      </c>
      <c r="I80" s="1450">
        <f>INDEX($H$26:$S$57,MATCH('STANDARD SETT'!$K$7,$D$26:$D$57,0),$C78*2)</f>
        <v>0</v>
      </c>
      <c r="J80" s="1197">
        <f>INDEX($H$26:$S$57,MATCH('STANDARD SETT'!$L$7,$D$26:$D$57,0),($C78*2)-1)</f>
        <v>0</v>
      </c>
      <c r="K80" s="1450">
        <f>INDEX($H$26:$S$57,MATCH('STANDARD SETT'!$L$7,$D$26:$D$57,0),$C78*2)</f>
        <v>0</v>
      </c>
      <c r="L80" s="1453" t="str">
        <f>IF(ISERROR(J80+K80-H80-I80),"",IF(OR(J80=0,H80=0),"",J80+K80-H80-I80))</f>
        <v/>
      </c>
      <c r="M80" s="925" t="str">
        <f>IF(ISERROR(J80+K80-H80-I80),"",IF(OR(J80=0,H80=0),"",(J80+K80-H80-I80)*24))</f>
        <v/>
      </c>
      <c r="N80" s="3608"/>
      <c r="O80" s="3609"/>
      <c r="P80" s="3609"/>
      <c r="Q80" s="3609"/>
      <c r="R80" s="3609"/>
      <c r="S80" s="3610"/>
    </row>
    <row r="81" spans="1:19" hidden="1">
      <c r="A81" s="325" t="str">
        <f>IF(A78="N","N",IF(ISERROR(MATCH('STANDARD SETT'!$K$8,$D$26:$D$57,0)),"N",IF(OR(J81=0,H81=0),"N","Y")))</f>
        <v>N</v>
      </c>
      <c r="D81" s="3636" t="s">
        <v>1033</v>
      </c>
      <c r="E81" s="3593"/>
      <c r="F81" s="3593"/>
      <c r="G81" s="3593"/>
      <c r="H81" s="1197">
        <f>INDEX($H$26:$S$57,MATCH('STANDARD SETT'!$K$8,$D$26:$D$57,0),($C78*2)-1)</f>
        <v>0</v>
      </c>
      <c r="I81" s="1450">
        <f>INDEX($H$26:$S$57,MATCH('STANDARD SETT'!$K$8,$D$26:$D$57,0),$C78*2)</f>
        <v>0</v>
      </c>
      <c r="J81" s="1197">
        <f>INDEX($H$26:$S$57,MATCH('STANDARD SETT'!$L$8,$D$26:$D$57,0),($C78*2)-1)</f>
        <v>0</v>
      </c>
      <c r="K81" s="1450">
        <f>INDEX($H$26:$S$57,MATCH('STANDARD SETT'!$L$8,$D$26:$D$57,0),$C78*2)</f>
        <v>0</v>
      </c>
      <c r="L81" s="1453" t="str">
        <f t="shared" ref="L81:L85" si="19">IF(ISERROR(J81+K81-H81-I81),"",IF(OR(J81=0,H81=0),"",J81+K81-H81-I81))</f>
        <v/>
      </c>
      <c r="M81" s="925" t="str">
        <f t="shared" ref="M81:M85" si="20">IF(ISERROR(J81+K81-H81-I81),"",IF(OR(J81=0,H81=0),"",(J81+K81-H81-I81)*24))</f>
        <v/>
      </c>
      <c r="N81" s="3608" t="s">
        <v>683</v>
      </c>
      <c r="O81" s="3609"/>
      <c r="P81" s="3609"/>
      <c r="Q81" s="3609"/>
      <c r="R81" s="3609"/>
      <c r="S81" s="3610"/>
    </row>
    <row r="82" spans="1:19" hidden="1">
      <c r="A82" s="325" t="str">
        <f>IF(A78="N","N",IF(ISERROR(MATCH('STANDARD SETT'!$K$8,$D$26:$D$57,0)),"N",IF(OR(J82=0,H82=0),"N","Y")))</f>
        <v>N</v>
      </c>
      <c r="D82" s="3592" t="s">
        <v>1033</v>
      </c>
      <c r="E82" s="3592"/>
      <c r="F82" s="3592"/>
      <c r="G82" s="3592"/>
      <c r="H82" s="1197">
        <f>INDEX($H$26:$S$57,MATCH('STANDARD SETT'!$K$9,$D$26:$D$57,0),($C78*2)-1)</f>
        <v>0</v>
      </c>
      <c r="I82" s="1450">
        <f>INDEX($H$26:$S$57,MATCH('STANDARD SETT'!$K$9,$D$26:$D$57,0),$C78*2)</f>
        <v>0</v>
      </c>
      <c r="J82" s="1197">
        <f>INDEX($H$26:$S$57,MATCH('STANDARD SETT'!$L$9,$D$26:$D$57,0),($C78*2)-1)</f>
        <v>0</v>
      </c>
      <c r="K82" s="1450">
        <f>INDEX($H$26:$S$57,MATCH('STANDARD SETT'!$L$9,$D$26:$D$57,0),$C78*2)</f>
        <v>0</v>
      </c>
      <c r="L82" s="1453" t="str">
        <f t="shared" si="19"/>
        <v/>
      </c>
      <c r="M82" s="925" t="str">
        <f t="shared" si="20"/>
        <v/>
      </c>
      <c r="N82" s="3608" t="s">
        <v>684</v>
      </c>
      <c r="O82" s="3609"/>
      <c r="P82" s="3609"/>
      <c r="Q82" s="3609"/>
      <c r="R82" s="3609"/>
      <c r="S82" s="3610"/>
    </row>
    <row r="83" spans="1:19" hidden="1">
      <c r="A83" s="325" t="str">
        <f>IF(A78="N","N",IF(ISERROR(MATCH('STANDARD SETT'!$K$8,$D$26:$D$57,0)),"N",IF(OR(J83=0,H83=0),"N","Y")))</f>
        <v>N</v>
      </c>
      <c r="D83" s="3592" t="s">
        <v>1033</v>
      </c>
      <c r="E83" s="3592"/>
      <c r="F83" s="3592"/>
      <c r="G83" s="3592"/>
      <c r="H83" s="1197">
        <f>INDEX($H$26:$S$57,MATCH('STANDARD SETT'!$K$10,$D$26:$D$57,0),($C78*2)-1)</f>
        <v>0</v>
      </c>
      <c r="I83" s="1450">
        <f>INDEX($H$26:$S$57,MATCH('STANDARD SETT'!$K$10,$D$26:$D$57,0),$C78*2)</f>
        <v>0</v>
      </c>
      <c r="J83" s="1197">
        <f>INDEX($H$26:$S$57,MATCH('STANDARD SETT'!$L$10,$D$26:$D$57,0),($C78*2)-1)</f>
        <v>0</v>
      </c>
      <c r="K83" s="1450">
        <f>INDEX($H$26:$S$57,MATCH('STANDARD SETT'!$L$10,$D$26:$D$57,0),$C78*2)</f>
        <v>0</v>
      </c>
      <c r="L83" s="1453" t="str">
        <f t="shared" si="19"/>
        <v/>
      </c>
      <c r="M83" s="925" t="str">
        <f t="shared" si="20"/>
        <v/>
      </c>
      <c r="N83" s="3608"/>
      <c r="O83" s="3609"/>
      <c r="P83" s="3609"/>
      <c r="Q83" s="3609"/>
      <c r="R83" s="3609"/>
      <c r="S83" s="3610"/>
    </row>
    <row r="84" spans="1:19" hidden="1">
      <c r="A84" s="325" t="str">
        <f>IF(A78="N","N",IF(ISERROR(MATCH('STANDARD SETT'!$K$8,$D$26:$D$57,0)),"N",IF(OR(J84=0,H84=0),"N","Y")))</f>
        <v>N</v>
      </c>
      <c r="D84" s="3592" t="s">
        <v>1033</v>
      </c>
      <c r="E84" s="3592"/>
      <c r="F84" s="3592"/>
      <c r="G84" s="3592"/>
      <c r="H84" s="1197">
        <f>INDEX($H$26:$S$57,MATCH('STANDARD SETT'!$K$11,$D$26:$D$57,0),($C78*2)-1)</f>
        <v>0</v>
      </c>
      <c r="I84" s="1450">
        <f>INDEX($H$26:$S$57,MATCH('STANDARD SETT'!$K$11,$D$26:$D$57,0),$C78*2)</f>
        <v>0</v>
      </c>
      <c r="J84" s="1197">
        <f>INDEX($H$26:$S$57,MATCH('STANDARD SETT'!$L$11,$D$26:$D$57,0),($C78*2)-1)</f>
        <v>0</v>
      </c>
      <c r="K84" s="1450">
        <f>INDEX($H$26:$S$57,MATCH('STANDARD SETT'!$L$11,$D$26:$D$57,0),$C78*2)</f>
        <v>0</v>
      </c>
      <c r="L84" s="1453" t="str">
        <f t="shared" si="19"/>
        <v/>
      </c>
      <c r="M84" s="925" t="str">
        <f t="shared" si="20"/>
        <v/>
      </c>
      <c r="N84" s="3608"/>
      <c r="O84" s="3609"/>
      <c r="P84" s="3609"/>
      <c r="Q84" s="3609"/>
      <c r="R84" s="3609"/>
      <c r="S84" s="3610"/>
    </row>
    <row r="85" spans="1:19" hidden="1">
      <c r="A85" s="325" t="str">
        <f>IF(A78="N","N",IF(ISERROR(MATCH('STANDARD SETT'!$K$8,$D$26:$D$57,0)),"N",IF(OR(J85=0,H85=0),"N","Y")))</f>
        <v>N</v>
      </c>
      <c r="D85" s="3652" t="s">
        <v>1033</v>
      </c>
      <c r="E85" s="3652"/>
      <c r="F85" s="3652"/>
      <c r="G85" s="3652"/>
      <c r="H85" s="1198">
        <f>INDEX($H$26:$S$57,MATCH('STANDARD SETT'!$K$12,$D$26:$D$57,0),($C78*2)-1)</f>
        <v>0</v>
      </c>
      <c r="I85" s="1451">
        <f>INDEX($H$26:$S$57,MATCH('STANDARD SETT'!$K$12,$D$26:$D$57,0),$C78*2)</f>
        <v>0</v>
      </c>
      <c r="J85" s="1198">
        <f>INDEX($H$26:$S$57,MATCH('STANDARD SETT'!$L$12,$D$26:$D$57,0),($C78*2)-1)</f>
        <v>0</v>
      </c>
      <c r="K85" s="1451">
        <f>INDEX($H$26:$S$57,MATCH('STANDARD SETT'!$L$12,$D$26:$D$57,0),$C78*2)</f>
        <v>0</v>
      </c>
      <c r="L85" s="1454" t="str">
        <f t="shared" si="19"/>
        <v/>
      </c>
      <c r="M85" s="926" t="str">
        <f t="shared" si="20"/>
        <v/>
      </c>
      <c r="N85" s="3624"/>
      <c r="O85" s="3625"/>
      <c r="P85" s="3625"/>
      <c r="Q85" s="3625"/>
      <c r="R85" s="3625"/>
      <c r="S85" s="3626"/>
    </row>
    <row r="86" spans="1:19" hidden="1">
      <c r="A86" s="325" t="str">
        <f>A78</f>
        <v>N</v>
      </c>
      <c r="D86" s="333"/>
      <c r="E86" s="333"/>
      <c r="F86" s="333"/>
      <c r="G86" s="333"/>
      <c r="H86" s="333"/>
      <c r="I86" s="942"/>
      <c r="J86" s="3632" t="s">
        <v>712</v>
      </c>
      <c r="K86" s="3633"/>
      <c r="L86" s="927" t="str">
        <f>IF(L80="","",L80-L87)</f>
        <v/>
      </c>
      <c r="M86" s="928" t="str">
        <f>IF(M80="","",M80-M87)</f>
        <v/>
      </c>
      <c r="N86" s="931"/>
      <c r="O86" s="333"/>
      <c r="P86" s="333"/>
      <c r="Q86" s="333"/>
      <c r="R86" s="333"/>
      <c r="S86" s="333"/>
    </row>
    <row r="87" spans="1:19" hidden="1">
      <c r="A87" s="325" t="str">
        <f>A78</f>
        <v>N</v>
      </c>
      <c r="J87" s="3634" t="str">
        <f>"Total Stoppages ("&amp;COUNTIF($A81:$A85,"Y")&amp;"):"</f>
        <v>Total Stoppages (0):</v>
      </c>
      <c r="K87" s="3635"/>
      <c r="L87" s="929">
        <f>SUM(L81:L85)</f>
        <v>0</v>
      </c>
      <c r="M87" s="930">
        <f>SUM(M81:M85)</f>
        <v>0</v>
      </c>
      <c r="N87" s="343"/>
      <c r="O87" s="343"/>
      <c r="P87" s="343"/>
      <c r="Q87" s="343"/>
      <c r="R87" s="343"/>
      <c r="S87" s="343"/>
    </row>
    <row r="88" spans="1:19" s="1298" customFormat="1" ht="8.25">
      <c r="A88" s="1298" t="str">
        <f>A89</f>
        <v>Y</v>
      </c>
      <c r="D88" s="1300"/>
      <c r="E88" s="1300"/>
      <c r="F88" s="1300"/>
      <c r="G88" s="1300"/>
      <c r="H88" s="1300"/>
      <c r="I88" s="1300"/>
      <c r="J88" s="1300"/>
      <c r="K88" s="1300"/>
      <c r="L88" s="1300"/>
      <c r="M88" s="1300"/>
      <c r="N88" s="1300"/>
      <c r="O88" s="1300"/>
      <c r="P88" s="1300"/>
      <c r="Q88" s="1300"/>
      <c r="R88" s="1300"/>
      <c r="S88" s="1300"/>
    </row>
    <row r="89" spans="1:19">
      <c r="A89" s="325" t="str">
        <f>IF($F89="","N","Y")</f>
        <v>Y</v>
      </c>
      <c r="C89" s="325">
        <v>2</v>
      </c>
      <c r="D89" s="3598" t="s">
        <v>685</v>
      </c>
      <c r="E89" s="3599"/>
      <c r="F89" s="3600" t="str">
        <f>J24</f>
        <v>LSFO</v>
      </c>
      <c r="G89" s="3601"/>
      <c r="H89" s="914" t="s">
        <v>201</v>
      </c>
      <c r="I89" s="950" t="s">
        <v>200</v>
      </c>
      <c r="J89" s="914" t="s">
        <v>201</v>
      </c>
      <c r="K89" s="950" t="s">
        <v>200</v>
      </c>
      <c r="L89" s="914" t="s">
        <v>664</v>
      </c>
      <c r="M89" s="950" t="s">
        <v>266</v>
      </c>
      <c r="N89" s="1199" t="s">
        <v>681</v>
      </c>
      <c r="O89" s="1200" t="str">
        <f>IF(P89="","","for Barge")</f>
        <v>for Barge</v>
      </c>
      <c r="P89" s="3630" t="str">
        <f>IF(J$23=0,"",J$23)</f>
        <v>M/T YALÇIN 2</v>
      </c>
      <c r="Q89" s="3630"/>
      <c r="R89" s="3630"/>
      <c r="S89" s="3631"/>
    </row>
    <row r="90" spans="1:19">
      <c r="A90" s="325" t="str">
        <f>A89</f>
        <v>Y</v>
      </c>
      <c r="D90" s="3591" t="s">
        <v>663</v>
      </c>
      <c r="E90" s="3591"/>
      <c r="F90" s="3591"/>
      <c r="G90" s="3591"/>
      <c r="H90" s="1196">
        <f>INDEX($R$14:$R$21,MATCH('STANDARD SETT'!$K$6,$N$14:$N$21,0),1)</f>
        <v>44792</v>
      </c>
      <c r="I90" s="1449">
        <f>INDEX($S$14:$S$21,MATCH('STANDARD SETT'!$K$6,$N$14:$N$21,0),1)</f>
        <v>0.10416666666666667</v>
      </c>
      <c r="J90" s="1196">
        <f>INDEX($R$14:$R$21,MATCH('STANDARD SETT'!$L$6,$N$14:$N$21,0),1)</f>
        <v>44792</v>
      </c>
      <c r="K90" s="1449">
        <f>INDEX($S$14:$S$21,MATCH('STANDARD SETT'!$L$6,$N$14:$N$21,0),1)</f>
        <v>0.5</v>
      </c>
      <c r="L90" s="1452">
        <f>IF(ISERROR(J90+K90-H90-I90),"",IF(OR(J90=0,H90=0),"",J90+K90-H90-I90))</f>
        <v>0.39583333333333331</v>
      </c>
      <c r="M90" s="924">
        <f>IF(ISERROR(J90+K90-H90-I90),"",IF(OR(J90=0,H90=0),"",(J90+K90-H90-I90)*24))</f>
        <v>9.5</v>
      </c>
      <c r="N90" s="3627"/>
      <c r="O90" s="3628"/>
      <c r="P90" s="3628"/>
      <c r="Q90" s="3628"/>
      <c r="R90" s="3628"/>
      <c r="S90" s="3629"/>
    </row>
    <row r="91" spans="1:19">
      <c r="A91" s="325" t="str">
        <f>A89</f>
        <v>Y</v>
      </c>
      <c r="D91" s="3592" t="s">
        <v>662</v>
      </c>
      <c r="E91" s="3592"/>
      <c r="F91" s="3592"/>
      <c r="G91" s="3592"/>
      <c r="H91" s="1197">
        <f>INDEX($H$26:$S$57,MATCH('STANDARD SETT'!$K$7,$D$26:$D$57,0),($C89*2)-1)</f>
        <v>44792</v>
      </c>
      <c r="I91" s="1450">
        <f>INDEX($H$26:$S$57,MATCH('STANDARD SETT'!$K$7,$D$26:$D$57,0),$C89*2)</f>
        <v>0.33333333333333331</v>
      </c>
      <c r="J91" s="1197">
        <f>INDEX($H$26:$S$57,MATCH('STANDARD SETT'!$L$7,$D$26:$D$57,0),($C89*2)-1)</f>
        <v>44792</v>
      </c>
      <c r="K91" s="1450">
        <f>INDEX($H$26:$S$57,MATCH('STANDARD SETT'!$L$7,$D$26:$D$57,0),$C89*2)</f>
        <v>0.3923611111111111</v>
      </c>
      <c r="L91" s="1453">
        <f>IF(ISERROR(J91+K91-H91-I91),"",IF(OR(J91=0,H91=0),"",J91+K91-H91-I91))</f>
        <v>5.9027777776160917E-2</v>
      </c>
      <c r="M91" s="925">
        <f>IF(ISERROR(J91+K91-H91-I91),"",IF(OR(J91=0,H91=0),"",(J91+K91-H91-I91)*24))</f>
        <v>1.416666666627862</v>
      </c>
      <c r="N91" s="3608"/>
      <c r="O91" s="3609"/>
      <c r="P91" s="3609"/>
      <c r="Q91" s="3609"/>
      <c r="R91" s="3609"/>
      <c r="S91" s="3610"/>
    </row>
    <row r="92" spans="1:19" hidden="1">
      <c r="A92" s="325" t="str">
        <f>IF(A89="N","N",IF(ISERROR(MATCH('STANDARD SETT'!$K$8,$D$26:$D$57,0)),"N",IF(OR(J92=0,H92=0),"N","Y")))</f>
        <v>N</v>
      </c>
      <c r="D92" s="3593" t="s">
        <v>1033</v>
      </c>
      <c r="E92" s="3593"/>
      <c r="F92" s="3593"/>
      <c r="G92" s="3593"/>
      <c r="H92" s="1197">
        <f>INDEX($H$26:$S$57,MATCH('STANDARD SETT'!$K$8,$D$26:$D$57,0),($C89*2)-1)</f>
        <v>0</v>
      </c>
      <c r="I92" s="1450">
        <f>INDEX($H$26:$S$57,MATCH('STANDARD SETT'!$K$8,$D$26:$D$57,0),$C89*2)</f>
        <v>0</v>
      </c>
      <c r="J92" s="1197">
        <f>INDEX($H$26:$S$57,MATCH('STANDARD SETT'!$L$8,$D$26:$D$57,0),($C89*2)-1)</f>
        <v>0</v>
      </c>
      <c r="K92" s="1450">
        <f>INDEX($H$26:$S$57,MATCH('STANDARD SETT'!$L$8,$D$26:$D$57,0),$C89*2)</f>
        <v>0</v>
      </c>
      <c r="L92" s="1453" t="str">
        <f t="shared" ref="L92:L96" si="21">IF(ISERROR(J92+K92-H92-I92),"",IF(OR(J92=0,H92=0),"",J92+K92-H92-I92))</f>
        <v/>
      </c>
      <c r="M92" s="925" t="str">
        <f t="shared" ref="M92:M96" si="22">IF(ISERROR(J92+K92-H92-I92),"",IF(OR(J92=0,H92=0),"",(J92+K92-H92-I92)*24))</f>
        <v/>
      </c>
      <c r="N92" s="3608" t="s">
        <v>683</v>
      </c>
      <c r="O92" s="3609"/>
      <c r="P92" s="3609"/>
      <c r="Q92" s="3609"/>
      <c r="R92" s="3609"/>
      <c r="S92" s="3610"/>
    </row>
    <row r="93" spans="1:19" hidden="1">
      <c r="A93" s="325" t="str">
        <f>IF(A89="N","N",IF(ISERROR(MATCH('STANDARD SETT'!$K$8,$D$26:$D$57,0)),"N",IF(OR(J93=0,H93=0),"N","Y")))</f>
        <v>N</v>
      </c>
      <c r="D93" s="3592" t="s">
        <v>1033</v>
      </c>
      <c r="E93" s="3592"/>
      <c r="F93" s="3592"/>
      <c r="G93" s="3592"/>
      <c r="H93" s="1197">
        <f>INDEX($H$26:$S$57,MATCH('STANDARD SETT'!$K$9,$D$26:$D$57,0),($C89*2)-1)</f>
        <v>0</v>
      </c>
      <c r="I93" s="1450">
        <f>INDEX($H$26:$S$57,MATCH('STANDARD SETT'!$K$9,$D$26:$D$57,0),$C89*2)</f>
        <v>0</v>
      </c>
      <c r="J93" s="1197">
        <f>INDEX($H$26:$S$57,MATCH('STANDARD SETT'!$L$9,$D$26:$D$57,0),($C89*2)-1)</f>
        <v>0</v>
      </c>
      <c r="K93" s="1450">
        <f>INDEX($H$26:$S$57,MATCH('STANDARD SETT'!$L$9,$D$26:$D$57,0),$C89*2)</f>
        <v>0</v>
      </c>
      <c r="L93" s="1453" t="str">
        <f t="shared" si="21"/>
        <v/>
      </c>
      <c r="M93" s="925" t="str">
        <f t="shared" si="22"/>
        <v/>
      </c>
      <c r="N93" s="3608" t="s">
        <v>684</v>
      </c>
      <c r="O93" s="3609"/>
      <c r="P93" s="3609"/>
      <c r="Q93" s="3609"/>
      <c r="R93" s="3609"/>
      <c r="S93" s="3610"/>
    </row>
    <row r="94" spans="1:19" hidden="1">
      <c r="A94" s="325" t="str">
        <f>IF(A89="N","N",IF(ISERROR(MATCH('STANDARD SETT'!$K$8,$D$26:$D$57,0)),"N",IF(OR(J94=0,H94=0),"N","Y")))</f>
        <v>N</v>
      </c>
      <c r="D94" s="3592" t="s">
        <v>1033</v>
      </c>
      <c r="E94" s="3592"/>
      <c r="F94" s="3592"/>
      <c r="G94" s="3592"/>
      <c r="H94" s="1197">
        <f>INDEX($H$26:$S$57,MATCH('STANDARD SETT'!$K$10,$D$26:$D$57,0),($C89*2)-1)</f>
        <v>0</v>
      </c>
      <c r="I94" s="1450">
        <f>INDEX($H$26:$S$57,MATCH('STANDARD SETT'!$K$10,$D$26:$D$57,0),$C89*2)</f>
        <v>0</v>
      </c>
      <c r="J94" s="1197">
        <f>INDEX($H$26:$S$57,MATCH('STANDARD SETT'!$L$10,$D$26:$D$57,0),($C89*2)-1)</f>
        <v>0</v>
      </c>
      <c r="K94" s="1450">
        <f>INDEX($H$26:$S$57,MATCH('STANDARD SETT'!$L$10,$D$26:$D$57,0),$C89*2)</f>
        <v>0</v>
      </c>
      <c r="L94" s="1453" t="str">
        <f t="shared" si="21"/>
        <v/>
      </c>
      <c r="M94" s="925" t="str">
        <f t="shared" si="22"/>
        <v/>
      </c>
      <c r="N94" s="3608"/>
      <c r="O94" s="3609"/>
      <c r="P94" s="3609"/>
      <c r="Q94" s="3609"/>
      <c r="R94" s="3609"/>
      <c r="S94" s="3610"/>
    </row>
    <row r="95" spans="1:19" hidden="1">
      <c r="A95" s="325" t="str">
        <f>IF(A89="N","N",IF(ISERROR(MATCH('STANDARD SETT'!$K$8,$D$26:$D$57,0)),"N",IF(OR(J95=0,H95=0),"N","Y")))</f>
        <v>N</v>
      </c>
      <c r="D95" s="3592" t="s">
        <v>1033</v>
      </c>
      <c r="E95" s="3592"/>
      <c r="F95" s="3592"/>
      <c r="G95" s="3592"/>
      <c r="H95" s="1197">
        <f>INDEX($H$26:$S$57,MATCH('STANDARD SETT'!$K$11,$D$26:$D$57,0),($C89*2)-1)</f>
        <v>0</v>
      </c>
      <c r="I95" s="1450">
        <f>INDEX($H$26:$S$57,MATCH('STANDARD SETT'!$K$11,$D$26:$D$57,0),$C89*2)</f>
        <v>0</v>
      </c>
      <c r="J95" s="1197">
        <f>INDEX($H$26:$S$57,MATCH('STANDARD SETT'!$L$11,$D$26:$D$57,0),($C89*2)-1)</f>
        <v>0</v>
      </c>
      <c r="K95" s="1450">
        <f>INDEX($H$26:$S$57,MATCH('STANDARD SETT'!$L$11,$D$26:$D$57,0),$C89*2)</f>
        <v>0</v>
      </c>
      <c r="L95" s="1453" t="str">
        <f t="shared" si="21"/>
        <v/>
      </c>
      <c r="M95" s="925" t="str">
        <f t="shared" si="22"/>
        <v/>
      </c>
      <c r="N95" s="3608"/>
      <c r="O95" s="3609"/>
      <c r="P95" s="3609"/>
      <c r="Q95" s="3609"/>
      <c r="R95" s="3609"/>
      <c r="S95" s="3610"/>
    </row>
    <row r="96" spans="1:19" hidden="1">
      <c r="A96" s="325" t="str">
        <f>IF(A89="N","N",IF(ISERROR(MATCH('STANDARD SETT'!$K$8,$D$26:$D$57,0)),"N",IF(OR(J96=0,H96=0),"N","Y")))</f>
        <v>N</v>
      </c>
      <c r="D96" s="3652" t="s">
        <v>1033</v>
      </c>
      <c r="E96" s="3652"/>
      <c r="F96" s="3652"/>
      <c r="G96" s="3652"/>
      <c r="H96" s="1198">
        <f>INDEX($H$26:$S$57,MATCH('STANDARD SETT'!$K$12,$D$26:$D$57,0),($C89*2)-1)</f>
        <v>0</v>
      </c>
      <c r="I96" s="1451">
        <f>INDEX($H$26:$S$57,MATCH('STANDARD SETT'!$K$12,$D$26:$D$57,0),$C89*2)</f>
        <v>0</v>
      </c>
      <c r="J96" s="1198">
        <f>INDEX($H$26:$S$57,MATCH('STANDARD SETT'!$L$12,$D$26:$D$57,0),($C89*2)-1)</f>
        <v>0</v>
      </c>
      <c r="K96" s="1451">
        <f>INDEX($H$26:$S$57,MATCH('STANDARD SETT'!$L$12,$D$26:$D$57,0),$C89*2)</f>
        <v>0</v>
      </c>
      <c r="L96" s="1454" t="str">
        <f t="shared" si="21"/>
        <v/>
      </c>
      <c r="M96" s="926" t="str">
        <f t="shared" si="22"/>
        <v/>
      </c>
      <c r="N96" s="3624"/>
      <c r="O96" s="3625"/>
      <c r="P96" s="3625"/>
      <c r="Q96" s="3625"/>
      <c r="R96" s="3625"/>
      <c r="S96" s="3626"/>
    </row>
    <row r="97" spans="1:19">
      <c r="A97" s="325" t="str">
        <f>A89</f>
        <v>Y</v>
      </c>
      <c r="D97" s="333"/>
      <c r="E97" s="333"/>
      <c r="F97" s="333"/>
      <c r="G97" s="333"/>
      <c r="H97" s="333"/>
      <c r="I97" s="942"/>
      <c r="J97" s="3632" t="s">
        <v>712</v>
      </c>
      <c r="K97" s="3633"/>
      <c r="L97" s="927">
        <f>IF(L91="","",L91-L98)</f>
        <v>5.9027777776160917E-2</v>
      </c>
      <c r="M97" s="928">
        <f>IF(M91="","",M91-M98)</f>
        <v>1.416666666627862</v>
      </c>
      <c r="N97" s="931"/>
      <c r="O97" s="333"/>
      <c r="P97" s="333"/>
      <c r="Q97" s="333"/>
      <c r="R97" s="333"/>
      <c r="S97" s="333"/>
    </row>
    <row r="98" spans="1:19">
      <c r="A98" s="325" t="str">
        <f>A89</f>
        <v>Y</v>
      </c>
      <c r="J98" s="3634" t="str">
        <f>"Total Stoppages ("&amp;COUNTIF($A92:$A96,"Y")&amp;"):"</f>
        <v>Total Stoppages (0):</v>
      </c>
      <c r="K98" s="3635"/>
      <c r="L98" s="929">
        <f>SUM(L92:L96)</f>
        <v>0</v>
      </c>
      <c r="M98" s="930">
        <f>SUM(M92:M96)</f>
        <v>0</v>
      </c>
      <c r="N98" s="343"/>
      <c r="O98" s="343"/>
      <c r="P98" s="343"/>
      <c r="Q98" s="343"/>
      <c r="R98" s="343"/>
      <c r="S98" s="343"/>
    </row>
    <row r="99" spans="1:19" s="1298" customFormat="1" ht="8.25" hidden="1">
      <c r="A99" s="1298" t="str">
        <f>A100</f>
        <v>N</v>
      </c>
      <c r="D99" s="1300"/>
      <c r="E99" s="1300"/>
      <c r="F99" s="1300"/>
      <c r="G99" s="1300"/>
      <c r="H99" s="1300"/>
      <c r="I99" s="1300"/>
      <c r="J99" s="1300"/>
      <c r="K99" s="1300"/>
      <c r="L99" s="1300"/>
      <c r="M99" s="1300"/>
      <c r="N99" s="1300"/>
      <c r="O99" s="1300"/>
      <c r="P99" s="1300"/>
      <c r="Q99" s="1300"/>
      <c r="R99" s="1300"/>
      <c r="S99" s="1300"/>
    </row>
    <row r="100" spans="1:19" hidden="1">
      <c r="A100" s="325" t="str">
        <f>IF($F100="","N","Y")</f>
        <v>N</v>
      </c>
      <c r="C100" s="325">
        <v>3</v>
      </c>
      <c r="D100" s="3598" t="s">
        <v>685</v>
      </c>
      <c r="E100" s="3599"/>
      <c r="F100" s="3600" t="str">
        <f>L24</f>
        <v/>
      </c>
      <c r="G100" s="3601"/>
      <c r="H100" s="914" t="s">
        <v>201</v>
      </c>
      <c r="I100" s="915" t="s">
        <v>200</v>
      </c>
      <c r="J100" s="914" t="s">
        <v>201</v>
      </c>
      <c r="K100" s="915" t="s">
        <v>200</v>
      </c>
      <c r="L100" s="914" t="s">
        <v>664</v>
      </c>
      <c r="M100" s="915" t="s">
        <v>266</v>
      </c>
      <c r="N100" s="1199" t="s">
        <v>681</v>
      </c>
      <c r="O100" s="1200" t="str">
        <f>IF(P100="","","for Barge")</f>
        <v/>
      </c>
      <c r="P100" s="3630" t="str">
        <f>IF(L$23=0,"",L$23)</f>
        <v/>
      </c>
      <c r="Q100" s="3630"/>
      <c r="R100" s="3630"/>
      <c r="S100" s="3631"/>
    </row>
    <row r="101" spans="1:19" hidden="1">
      <c r="A101" s="325" t="str">
        <f>A100</f>
        <v>N</v>
      </c>
      <c r="D101" s="3591" t="s">
        <v>663</v>
      </c>
      <c r="E101" s="3591"/>
      <c r="F101" s="3591"/>
      <c r="G101" s="3591"/>
      <c r="H101" s="1196">
        <f>INDEX($R$14:$R$21,MATCH('STANDARD SETT'!$K$6,$N$14:$N$21,0),1)</f>
        <v>44792</v>
      </c>
      <c r="I101" s="1449">
        <f>INDEX($S$14:$S$21,MATCH('STANDARD SETT'!$K$6,$N$14:$N$21,0),1)</f>
        <v>0.10416666666666667</v>
      </c>
      <c r="J101" s="1196">
        <f>INDEX($R$14:$R$21,MATCH('STANDARD SETT'!$L$6,$N$14:$N$21,0),1)</f>
        <v>44792</v>
      </c>
      <c r="K101" s="1449">
        <f>INDEX($S$14:$S$21,MATCH('STANDARD SETT'!$L$6,$N$14:$N$21,0),1)</f>
        <v>0.5</v>
      </c>
      <c r="L101" s="1452">
        <f>IF(ISERROR(J101+K101-H101-I101),"",IF(OR(J101=0,H101=0),"",J101+K101-H101-I101))</f>
        <v>0.39583333333333331</v>
      </c>
      <c r="M101" s="924">
        <f>IF(ISERROR(J101+K101-H101-I101),"",IF(OR(J101=0,H101=0),"",(J101+K101-H101-I101)*24))</f>
        <v>9.5</v>
      </c>
      <c r="N101" s="3627"/>
      <c r="O101" s="3628"/>
      <c r="P101" s="3628"/>
      <c r="Q101" s="3628"/>
      <c r="R101" s="3628"/>
      <c r="S101" s="3629"/>
    </row>
    <row r="102" spans="1:19" hidden="1">
      <c r="A102" s="325" t="str">
        <f>A100</f>
        <v>N</v>
      </c>
      <c r="D102" s="3592" t="s">
        <v>662</v>
      </c>
      <c r="E102" s="3592"/>
      <c r="F102" s="3592"/>
      <c r="G102" s="3592"/>
      <c r="H102" s="1197">
        <f>INDEX($H$26:$S$57,MATCH('STANDARD SETT'!$K$7,$D$26:$D$57,0),($C100*2)-1)</f>
        <v>0</v>
      </c>
      <c r="I102" s="1450">
        <f>INDEX($H$26:$S$57,MATCH('STANDARD SETT'!$K$7,$D$26:$D$57,0),$C100*2)</f>
        <v>0</v>
      </c>
      <c r="J102" s="1197">
        <f>INDEX($H$26:$S$57,MATCH('STANDARD SETT'!$L$7,$D$26:$D$57,0),($C100*2)-1)</f>
        <v>0</v>
      </c>
      <c r="K102" s="1450">
        <f>INDEX($H$26:$S$57,MATCH('STANDARD SETT'!$L$7,$D$26:$D$57,0),$C100*2)</f>
        <v>0</v>
      </c>
      <c r="L102" s="1453" t="str">
        <f>IF(ISERROR(J102+K102-H102-I102),"",IF(OR(J102=0,H102=0),"",J102+K102-H102-I102))</f>
        <v/>
      </c>
      <c r="M102" s="925" t="str">
        <f>IF(ISERROR(J102+K102-H102-I102),"",IF(OR(J102=0,H102=0),"",(J102+K102-H102-I102)*24))</f>
        <v/>
      </c>
      <c r="N102" s="3608"/>
      <c r="O102" s="3609"/>
      <c r="P102" s="3609"/>
      <c r="Q102" s="3609"/>
      <c r="R102" s="3609"/>
      <c r="S102" s="3610"/>
    </row>
    <row r="103" spans="1:19" hidden="1">
      <c r="A103" s="325" t="str">
        <f>IF(A100="N","N",IF(ISERROR(MATCH('STANDARD SETT'!$K$8,$D$26:$D$57,0)),"N",IF(OR(J103=0,H103=0),"N","Y")))</f>
        <v>N</v>
      </c>
      <c r="D103" s="3593" t="s">
        <v>1033</v>
      </c>
      <c r="E103" s="3593"/>
      <c r="F103" s="3593"/>
      <c r="G103" s="3593"/>
      <c r="H103" s="1197">
        <f>INDEX($H$26:$S$57,MATCH('STANDARD SETT'!$K$8,$D$26:$D$57,0),($C100*2)-1)</f>
        <v>0</v>
      </c>
      <c r="I103" s="1450">
        <f>INDEX($H$26:$S$57,MATCH('STANDARD SETT'!$K$8,$D$26:$D$57,0),$C100*2)</f>
        <v>0</v>
      </c>
      <c r="J103" s="1197">
        <f>INDEX($H$26:$S$57,MATCH('STANDARD SETT'!$L$8,$D$26:$D$57,0),($C100*2)-1)</f>
        <v>0</v>
      </c>
      <c r="K103" s="1450">
        <f>INDEX($H$26:$S$57,MATCH('STANDARD SETT'!$L$8,$D$26:$D$57,0),$C100*2)</f>
        <v>0</v>
      </c>
      <c r="L103" s="1453" t="str">
        <f t="shared" ref="L103:L107" si="23">IF(ISERROR(J103+K103-H103-I103),"",IF(OR(J103=0,H103=0),"",J103+K103-H103-I103))</f>
        <v/>
      </c>
      <c r="M103" s="925" t="str">
        <f t="shared" ref="M103:M107" si="24">IF(ISERROR(J103+K103-H103-I103),"",IF(OR(J103=0,H103=0),"",(J103+K103-H103-I103)*24))</f>
        <v/>
      </c>
      <c r="N103" s="3608" t="s">
        <v>683</v>
      </c>
      <c r="O103" s="3609"/>
      <c r="P103" s="3609"/>
      <c r="Q103" s="3609"/>
      <c r="R103" s="3609"/>
      <c r="S103" s="3610"/>
    </row>
    <row r="104" spans="1:19" hidden="1">
      <c r="A104" s="325" t="str">
        <f>IF(A100="N","N",IF(ISERROR(MATCH('STANDARD SETT'!$K$8,$D$26:$D$57,0)),"N",IF(OR(J104=0,H104=0),"N","Y")))</f>
        <v>N</v>
      </c>
      <c r="D104" s="3592" t="s">
        <v>1033</v>
      </c>
      <c r="E104" s="3592"/>
      <c r="F104" s="3592"/>
      <c r="G104" s="3592"/>
      <c r="H104" s="1197">
        <f>INDEX($H$26:$S$57,MATCH('STANDARD SETT'!$K$9,$D$26:$D$57,0),($C100*2)-1)</f>
        <v>0</v>
      </c>
      <c r="I104" s="1450">
        <f>INDEX($H$26:$S$57,MATCH('STANDARD SETT'!$K$9,$D$26:$D$57,0),$C100*2)</f>
        <v>0</v>
      </c>
      <c r="J104" s="1197">
        <f>INDEX($H$26:$S$57,MATCH('STANDARD SETT'!$L$9,$D$26:$D$57,0),($C100*2)-1)</f>
        <v>0</v>
      </c>
      <c r="K104" s="1450">
        <f>INDEX($H$26:$S$57,MATCH('STANDARD SETT'!$L$9,$D$26:$D$57,0),$C100*2)</f>
        <v>0</v>
      </c>
      <c r="L104" s="1453" t="str">
        <f t="shared" si="23"/>
        <v/>
      </c>
      <c r="M104" s="925" t="str">
        <f t="shared" si="24"/>
        <v/>
      </c>
      <c r="N104" s="3608" t="s">
        <v>684</v>
      </c>
      <c r="O104" s="3609"/>
      <c r="P104" s="3609"/>
      <c r="Q104" s="3609"/>
      <c r="R104" s="3609"/>
      <c r="S104" s="3610"/>
    </row>
    <row r="105" spans="1:19" hidden="1">
      <c r="A105" s="325" t="str">
        <f>IF(A100="N","N",IF(ISERROR(MATCH('STANDARD SETT'!$K$8,$D$26:$D$57,0)),"N",IF(OR(J105=0,H105=0),"N","Y")))</f>
        <v>N</v>
      </c>
      <c r="D105" s="3592" t="s">
        <v>1033</v>
      </c>
      <c r="E105" s="3592"/>
      <c r="F105" s="3592"/>
      <c r="G105" s="3592"/>
      <c r="H105" s="1197">
        <f>INDEX($H$26:$S$57,MATCH('STANDARD SETT'!$K$10,$D$26:$D$57,0),($C100*2)-1)</f>
        <v>0</v>
      </c>
      <c r="I105" s="1450">
        <f>INDEX($H$26:$S$57,MATCH('STANDARD SETT'!$K$10,$D$26:$D$57,0),$C100*2)</f>
        <v>0</v>
      </c>
      <c r="J105" s="1197">
        <f>INDEX($H$26:$S$57,MATCH('STANDARD SETT'!$L$10,$D$26:$D$57,0),($C100*2)-1)</f>
        <v>0</v>
      </c>
      <c r="K105" s="1450">
        <f>INDEX($H$26:$S$57,MATCH('STANDARD SETT'!$L$10,$D$26:$D$57,0),$C100*2)</f>
        <v>0</v>
      </c>
      <c r="L105" s="1453" t="str">
        <f t="shared" si="23"/>
        <v/>
      </c>
      <c r="M105" s="925" t="str">
        <f t="shared" si="24"/>
        <v/>
      </c>
      <c r="N105" s="3608"/>
      <c r="O105" s="3609"/>
      <c r="P105" s="3609"/>
      <c r="Q105" s="3609"/>
      <c r="R105" s="3609"/>
      <c r="S105" s="3610"/>
    </row>
    <row r="106" spans="1:19" hidden="1">
      <c r="A106" s="325" t="str">
        <f>IF(A100="N","N",IF(ISERROR(MATCH('STANDARD SETT'!$K$8,$D$26:$D$57,0)),"N",IF(OR(J106=0,H106=0),"N","Y")))</f>
        <v>N</v>
      </c>
      <c r="D106" s="3592" t="s">
        <v>1033</v>
      </c>
      <c r="E106" s="3592"/>
      <c r="F106" s="3592"/>
      <c r="G106" s="3592"/>
      <c r="H106" s="1197">
        <f>INDEX($H$26:$S$57,MATCH('STANDARD SETT'!$K$11,$D$26:$D$57,0),($C100*2)-1)</f>
        <v>0</v>
      </c>
      <c r="I106" s="1450">
        <f>INDEX($H$26:$S$57,MATCH('STANDARD SETT'!$K$11,$D$26:$D$57,0),$C100*2)</f>
        <v>0</v>
      </c>
      <c r="J106" s="1197">
        <f>INDEX($H$26:$S$57,MATCH('STANDARD SETT'!$L$11,$D$26:$D$57,0),($C100*2)-1)</f>
        <v>0</v>
      </c>
      <c r="K106" s="1450">
        <f>INDEX($H$26:$S$57,MATCH('STANDARD SETT'!$L$11,$D$26:$D$57,0),$C100*2)</f>
        <v>0</v>
      </c>
      <c r="L106" s="1453" t="str">
        <f t="shared" si="23"/>
        <v/>
      </c>
      <c r="M106" s="925" t="str">
        <f t="shared" si="24"/>
        <v/>
      </c>
      <c r="N106" s="3608"/>
      <c r="O106" s="3609"/>
      <c r="P106" s="3609"/>
      <c r="Q106" s="3609"/>
      <c r="R106" s="3609"/>
      <c r="S106" s="3610"/>
    </row>
    <row r="107" spans="1:19" hidden="1">
      <c r="A107" s="325" t="str">
        <f>IF(A100="N","N",IF(ISERROR(MATCH('STANDARD SETT'!$K$8,$D$26:$D$57,0)),"N",IF(OR(J107=0,H107=0),"N","Y")))</f>
        <v>N</v>
      </c>
      <c r="D107" s="3652" t="s">
        <v>1033</v>
      </c>
      <c r="E107" s="3652"/>
      <c r="F107" s="3652"/>
      <c r="G107" s="3652"/>
      <c r="H107" s="1198">
        <f>INDEX($H$26:$S$57,MATCH('STANDARD SETT'!$K$12,$D$26:$D$57,0),($C100*2)-1)</f>
        <v>0</v>
      </c>
      <c r="I107" s="1451">
        <f>INDEX($H$26:$S$57,MATCH('STANDARD SETT'!$K$12,$D$26:$D$57,0),$C100*2)</f>
        <v>0</v>
      </c>
      <c r="J107" s="1198">
        <f>INDEX($H$26:$S$57,MATCH('STANDARD SETT'!$L$12,$D$26:$D$57,0),($C100*2)-1)</f>
        <v>0</v>
      </c>
      <c r="K107" s="1451">
        <f>INDEX($H$26:$S$57,MATCH('STANDARD SETT'!$L$12,$D$26:$D$57,0),$C100*2)</f>
        <v>0</v>
      </c>
      <c r="L107" s="1454" t="str">
        <f t="shared" si="23"/>
        <v/>
      </c>
      <c r="M107" s="926" t="str">
        <f t="shared" si="24"/>
        <v/>
      </c>
      <c r="N107" s="3624"/>
      <c r="O107" s="3625"/>
      <c r="P107" s="3625"/>
      <c r="Q107" s="3625"/>
      <c r="R107" s="3625"/>
      <c r="S107" s="3626"/>
    </row>
    <row r="108" spans="1:19" hidden="1">
      <c r="A108" s="325" t="str">
        <f>A100</f>
        <v>N</v>
      </c>
      <c r="D108" s="333"/>
      <c r="E108" s="333"/>
      <c r="F108" s="333"/>
      <c r="G108" s="333"/>
      <c r="H108" s="333"/>
      <c r="I108" s="942"/>
      <c r="J108" s="3632" t="s">
        <v>712</v>
      </c>
      <c r="K108" s="3633"/>
      <c r="L108" s="927" t="str">
        <f>IF(L102="","",L102-L109)</f>
        <v/>
      </c>
      <c r="M108" s="928" t="str">
        <f>IF(M102="","",M102-M109)</f>
        <v/>
      </c>
      <c r="N108" s="931"/>
      <c r="O108" s="333"/>
      <c r="P108" s="333"/>
      <c r="Q108" s="333"/>
      <c r="R108" s="333"/>
      <c r="S108" s="333"/>
    </row>
    <row r="109" spans="1:19" hidden="1">
      <c r="A109" s="325" t="str">
        <f>A100</f>
        <v>N</v>
      </c>
      <c r="J109" s="3634" t="str">
        <f>"Total Stoppages ("&amp;COUNTIF($A103:$A107,"Y")&amp;"):"</f>
        <v>Total Stoppages (0):</v>
      </c>
      <c r="K109" s="3635"/>
      <c r="L109" s="929">
        <f>SUM(L103:L107)</f>
        <v>0</v>
      </c>
      <c r="M109" s="930">
        <f>SUM(M103:M107)</f>
        <v>0</v>
      </c>
      <c r="N109" s="343"/>
      <c r="O109" s="343"/>
      <c r="P109" s="343"/>
      <c r="Q109" s="343"/>
      <c r="R109" s="343"/>
      <c r="S109" s="343"/>
    </row>
    <row r="110" spans="1:19" s="1298" customFormat="1" ht="8.25" hidden="1">
      <c r="A110" s="1298" t="str">
        <f>A111</f>
        <v>N</v>
      </c>
      <c r="D110" s="1300"/>
      <c r="E110" s="1300"/>
      <c r="F110" s="1300"/>
      <c r="G110" s="1300"/>
      <c r="H110" s="1300"/>
      <c r="I110" s="1300"/>
      <c r="J110" s="1300"/>
      <c r="K110" s="1300"/>
      <c r="L110" s="1300"/>
      <c r="M110" s="1300"/>
      <c r="N110" s="1300"/>
      <c r="O110" s="1300"/>
      <c r="P110" s="1300"/>
      <c r="Q110" s="1300"/>
      <c r="R110" s="1300"/>
      <c r="S110" s="1300"/>
    </row>
    <row r="111" spans="1:19" hidden="1">
      <c r="A111" s="325" t="str">
        <f>IF($F111="","N","Y")</f>
        <v>N</v>
      </c>
      <c r="C111" s="325">
        <v>4</v>
      </c>
      <c r="D111" s="3598" t="s">
        <v>685</v>
      </c>
      <c r="E111" s="3599"/>
      <c r="F111" s="3600" t="str">
        <f>N24</f>
        <v/>
      </c>
      <c r="G111" s="3601"/>
      <c r="H111" s="914" t="s">
        <v>201</v>
      </c>
      <c r="I111" s="950" t="s">
        <v>200</v>
      </c>
      <c r="J111" s="914" t="s">
        <v>201</v>
      </c>
      <c r="K111" s="950" t="s">
        <v>200</v>
      </c>
      <c r="L111" s="914" t="s">
        <v>664</v>
      </c>
      <c r="M111" s="950" t="s">
        <v>266</v>
      </c>
      <c r="N111" s="1199" t="s">
        <v>681</v>
      </c>
      <c r="O111" s="1200" t="str">
        <f>IF(P111="","","for Barge")</f>
        <v/>
      </c>
      <c r="P111" s="3630" t="str">
        <f>IF(N$23=0,"",N$23)</f>
        <v/>
      </c>
      <c r="Q111" s="3630"/>
      <c r="R111" s="3630"/>
      <c r="S111" s="3631"/>
    </row>
    <row r="112" spans="1:19" hidden="1">
      <c r="A112" s="325" t="str">
        <f>A111</f>
        <v>N</v>
      </c>
      <c r="D112" s="3591" t="s">
        <v>663</v>
      </c>
      <c r="E112" s="3591"/>
      <c r="F112" s="3591"/>
      <c r="G112" s="3591"/>
      <c r="H112" s="1196">
        <f>INDEX($R$14:$R$21,MATCH('STANDARD SETT'!$K$6,$N$14:$N$21,0),1)</f>
        <v>44792</v>
      </c>
      <c r="I112" s="1449">
        <f>INDEX($S$14:$S$21,MATCH('STANDARD SETT'!$K$6,$N$14:$N$21,0),1)</f>
        <v>0.10416666666666667</v>
      </c>
      <c r="J112" s="1196">
        <f>INDEX($R$14:$R$21,MATCH('STANDARD SETT'!$L$6,$N$14:$N$21,0),1)</f>
        <v>44792</v>
      </c>
      <c r="K112" s="1449">
        <f>INDEX($S$14:$S$21,MATCH('STANDARD SETT'!$L$6,$N$14:$N$21,0),1)</f>
        <v>0.5</v>
      </c>
      <c r="L112" s="1452">
        <f>IF(ISERROR(J112+K112-H112-I112),"",IF(OR(J112=0,H112=0),"",J112+K112-H112-I112))</f>
        <v>0.39583333333333331</v>
      </c>
      <c r="M112" s="924">
        <f>IF(ISERROR(J112+K112-H112-I112),"",IF(OR(J112=0,H112=0),"",(J112+K112-H112-I112)*24))</f>
        <v>9.5</v>
      </c>
      <c r="N112" s="3627"/>
      <c r="O112" s="3628"/>
      <c r="P112" s="3628"/>
      <c r="Q112" s="3628"/>
      <c r="R112" s="3628"/>
      <c r="S112" s="3629"/>
    </row>
    <row r="113" spans="1:19" hidden="1">
      <c r="A113" s="325" t="str">
        <f>A111</f>
        <v>N</v>
      </c>
      <c r="D113" s="3592" t="s">
        <v>662</v>
      </c>
      <c r="E113" s="3592"/>
      <c r="F113" s="3592"/>
      <c r="G113" s="3592"/>
      <c r="H113" s="1197">
        <f>INDEX($H$26:$S$57,MATCH('STANDARD SETT'!$K$7,$D$26:$D$57,0),($C111*2)-1)</f>
        <v>0</v>
      </c>
      <c r="I113" s="1450">
        <f>INDEX($H$26:$S$57,MATCH('STANDARD SETT'!$K$7,$D$26:$D$57,0),$C111*2)</f>
        <v>0</v>
      </c>
      <c r="J113" s="1197">
        <f>INDEX($H$26:$S$57,MATCH('STANDARD SETT'!$L$7,$D$26:$D$57,0),($C111*2)-1)</f>
        <v>0</v>
      </c>
      <c r="K113" s="1450">
        <f>INDEX($H$26:$S$57,MATCH('STANDARD SETT'!$L$7,$D$26:$D$57,0),$C111*2)</f>
        <v>0</v>
      </c>
      <c r="L113" s="1453" t="str">
        <f>IF(ISERROR(J113+K113-H113-I113),"",IF(OR(J113=0,H113=0),"",J113+K113-H113-I113))</f>
        <v/>
      </c>
      <c r="M113" s="925" t="str">
        <f>IF(ISERROR(J113+K113-H113-I113),"",IF(OR(J113=0,H113=0),"",(J113+K113-H113-I113)*24))</f>
        <v/>
      </c>
      <c r="N113" s="3608"/>
      <c r="O113" s="3609"/>
      <c r="P113" s="3609"/>
      <c r="Q113" s="3609"/>
      <c r="R113" s="3609"/>
      <c r="S113" s="3610"/>
    </row>
    <row r="114" spans="1:19" hidden="1">
      <c r="A114" s="325" t="str">
        <f>IF(A111="N","N",IF(ISERROR(MATCH('STANDARD SETT'!$K$8,$D$26:$D$57,0)),"N",IF(OR(J114=0,H114=0),"N","Y")))</f>
        <v>N</v>
      </c>
      <c r="D114" s="3593" t="s">
        <v>1033</v>
      </c>
      <c r="E114" s="3593"/>
      <c r="F114" s="3593"/>
      <c r="G114" s="3593"/>
      <c r="H114" s="1197">
        <f>INDEX($H$26:$S$57,MATCH('STANDARD SETT'!$K$8,$D$26:$D$57,0),($C111*2)-1)</f>
        <v>0</v>
      </c>
      <c r="I114" s="1450">
        <f>INDEX($H$26:$S$57,MATCH('STANDARD SETT'!$K$8,$D$26:$D$57,0),$C111*2)</f>
        <v>0</v>
      </c>
      <c r="J114" s="1197">
        <f>INDEX($H$26:$S$57,MATCH('STANDARD SETT'!$L$8,$D$26:$D$57,0),($C111*2)-1)</f>
        <v>0</v>
      </c>
      <c r="K114" s="1450">
        <f>INDEX($H$26:$S$57,MATCH('STANDARD SETT'!$L$8,$D$26:$D$57,0),$C111*2)</f>
        <v>0</v>
      </c>
      <c r="L114" s="1453" t="str">
        <f t="shared" ref="L114:L118" si="25">IF(ISERROR(J114+K114-H114-I114),"",IF(OR(J114=0,H114=0),"",J114+K114-H114-I114))</f>
        <v/>
      </c>
      <c r="M114" s="925" t="str">
        <f t="shared" ref="M114:M118" si="26">IF(ISERROR(J114+K114-H114-I114),"",IF(OR(J114=0,H114=0),"",(J114+K114-H114-I114)*24))</f>
        <v/>
      </c>
      <c r="N114" s="3608" t="s">
        <v>683</v>
      </c>
      <c r="O114" s="3609"/>
      <c r="P114" s="3609"/>
      <c r="Q114" s="3609"/>
      <c r="R114" s="3609"/>
      <c r="S114" s="3610"/>
    </row>
    <row r="115" spans="1:19" hidden="1">
      <c r="A115" s="325" t="str">
        <f>IF(A111="N","N",IF(ISERROR(MATCH('STANDARD SETT'!$K$8,$D$26:$D$57,0)),"N",IF(OR(J115=0,H115=0),"N","Y")))</f>
        <v>N</v>
      </c>
      <c r="D115" s="3592" t="s">
        <v>1033</v>
      </c>
      <c r="E115" s="3592"/>
      <c r="F115" s="3592"/>
      <c r="G115" s="3592"/>
      <c r="H115" s="1197">
        <f>INDEX($H$26:$S$57,MATCH('STANDARD SETT'!$K$9,$D$26:$D$57,0),($C111*2)-1)</f>
        <v>0</v>
      </c>
      <c r="I115" s="1450">
        <f>INDEX($H$26:$S$57,MATCH('STANDARD SETT'!$K$9,$D$26:$D$57,0),$C111*2)</f>
        <v>0</v>
      </c>
      <c r="J115" s="1197">
        <f>INDEX($H$26:$S$57,MATCH('STANDARD SETT'!$L$9,$D$26:$D$57,0),($C111*2)-1)</f>
        <v>0</v>
      </c>
      <c r="K115" s="1450">
        <f>INDEX($H$26:$S$57,MATCH('STANDARD SETT'!$L$9,$D$26:$D$57,0),$C111*2)</f>
        <v>0</v>
      </c>
      <c r="L115" s="1453" t="str">
        <f t="shared" si="25"/>
        <v/>
      </c>
      <c r="M115" s="925" t="str">
        <f t="shared" si="26"/>
        <v/>
      </c>
      <c r="N115" s="3608" t="s">
        <v>684</v>
      </c>
      <c r="O115" s="3609"/>
      <c r="P115" s="3609"/>
      <c r="Q115" s="3609"/>
      <c r="R115" s="3609"/>
      <c r="S115" s="3610"/>
    </row>
    <row r="116" spans="1:19" hidden="1">
      <c r="A116" s="325" t="str">
        <f>IF(A111="N","N",IF(ISERROR(MATCH('STANDARD SETT'!$K$8,$D$26:$D$57,0)),"N",IF(OR(J116=0,H116=0),"N","Y")))</f>
        <v>N</v>
      </c>
      <c r="D116" s="3592" t="s">
        <v>1033</v>
      </c>
      <c r="E116" s="3592"/>
      <c r="F116" s="3592"/>
      <c r="G116" s="3592"/>
      <c r="H116" s="1197">
        <f>INDEX($H$26:$S$57,MATCH('STANDARD SETT'!$K$10,$D$26:$D$57,0),($C111*2)-1)</f>
        <v>0</v>
      </c>
      <c r="I116" s="1450">
        <f>INDEX($H$26:$S$57,MATCH('STANDARD SETT'!$K$10,$D$26:$D$57,0),$C111*2)</f>
        <v>0</v>
      </c>
      <c r="J116" s="1197">
        <f>INDEX($H$26:$S$57,MATCH('STANDARD SETT'!$L$10,$D$26:$D$57,0),($C111*2)-1)</f>
        <v>0</v>
      </c>
      <c r="K116" s="1450">
        <f>INDEX($H$26:$S$57,MATCH('STANDARD SETT'!$L$10,$D$26:$D$57,0),$C111*2)</f>
        <v>0</v>
      </c>
      <c r="L116" s="1453" t="str">
        <f t="shared" si="25"/>
        <v/>
      </c>
      <c r="M116" s="925" t="str">
        <f t="shared" si="26"/>
        <v/>
      </c>
      <c r="N116" s="3608"/>
      <c r="O116" s="3609"/>
      <c r="P116" s="3609"/>
      <c r="Q116" s="3609"/>
      <c r="R116" s="3609"/>
      <c r="S116" s="3610"/>
    </row>
    <row r="117" spans="1:19" hidden="1">
      <c r="A117" s="325" t="str">
        <f>IF(A111="N","N",IF(ISERROR(MATCH('STANDARD SETT'!$K$8,$D$26:$D$57,0)),"N",IF(OR(J117=0,H117=0),"N","Y")))</f>
        <v>N</v>
      </c>
      <c r="D117" s="3592" t="s">
        <v>1033</v>
      </c>
      <c r="E117" s="3592"/>
      <c r="F117" s="3592"/>
      <c r="G117" s="3592"/>
      <c r="H117" s="1197">
        <f>INDEX($H$26:$S$57,MATCH('STANDARD SETT'!$K$11,$D$26:$D$57,0),($C111*2)-1)</f>
        <v>0</v>
      </c>
      <c r="I117" s="1450">
        <f>INDEX($H$26:$S$57,MATCH('STANDARD SETT'!$K$11,$D$26:$D$57,0),$C111*2)</f>
        <v>0</v>
      </c>
      <c r="J117" s="1197">
        <f>INDEX($H$26:$S$57,MATCH('STANDARD SETT'!$L$11,$D$26:$D$57,0),($C111*2)-1)</f>
        <v>0</v>
      </c>
      <c r="K117" s="1450">
        <f>INDEX($H$26:$S$57,MATCH('STANDARD SETT'!$L$11,$D$26:$D$57,0),$C111*2)</f>
        <v>0</v>
      </c>
      <c r="L117" s="1453" t="str">
        <f t="shared" si="25"/>
        <v/>
      </c>
      <c r="M117" s="925" t="str">
        <f t="shared" si="26"/>
        <v/>
      </c>
      <c r="N117" s="3608"/>
      <c r="O117" s="3609"/>
      <c r="P117" s="3609"/>
      <c r="Q117" s="3609"/>
      <c r="R117" s="3609"/>
      <c r="S117" s="3610"/>
    </row>
    <row r="118" spans="1:19" hidden="1">
      <c r="A118" s="325" t="str">
        <f>IF(A111="N","N",IF(ISERROR(MATCH('STANDARD SETT'!$K$8,$D$26:$D$57,0)),"N",IF(OR(J118=0,H118=0),"N","Y")))</f>
        <v>N</v>
      </c>
      <c r="D118" s="3652" t="s">
        <v>1033</v>
      </c>
      <c r="E118" s="3652"/>
      <c r="F118" s="3652"/>
      <c r="G118" s="3652"/>
      <c r="H118" s="1198">
        <f>INDEX($H$26:$S$57,MATCH('STANDARD SETT'!$K$12,$D$26:$D$57,0),($C111*2)-1)</f>
        <v>0</v>
      </c>
      <c r="I118" s="1451">
        <f>INDEX($H$26:$S$57,MATCH('STANDARD SETT'!$K$12,$D$26:$D$57,0),$C111*2)</f>
        <v>0</v>
      </c>
      <c r="J118" s="1198">
        <f>INDEX($H$26:$S$57,MATCH('STANDARD SETT'!$L$12,$D$26:$D$57,0),($C111*2)-1)</f>
        <v>0</v>
      </c>
      <c r="K118" s="1451">
        <f>INDEX($H$26:$S$57,MATCH('STANDARD SETT'!$L$12,$D$26:$D$57,0),$C111*2)</f>
        <v>0</v>
      </c>
      <c r="L118" s="1454" t="str">
        <f t="shared" si="25"/>
        <v/>
      </c>
      <c r="M118" s="926" t="str">
        <f t="shared" si="26"/>
        <v/>
      </c>
      <c r="N118" s="3624"/>
      <c r="O118" s="3625"/>
      <c r="P118" s="3625"/>
      <c r="Q118" s="3625"/>
      <c r="R118" s="3625"/>
      <c r="S118" s="3626"/>
    </row>
    <row r="119" spans="1:19" hidden="1">
      <c r="A119" s="325" t="str">
        <f>A111</f>
        <v>N</v>
      </c>
      <c r="D119" s="333"/>
      <c r="E119" s="333"/>
      <c r="F119" s="333"/>
      <c r="G119" s="333"/>
      <c r="H119" s="333"/>
      <c r="I119" s="942"/>
      <c r="J119" s="3632" t="s">
        <v>712</v>
      </c>
      <c r="K119" s="3633"/>
      <c r="L119" s="927" t="str">
        <f>IF(L113="","",L113-L120)</f>
        <v/>
      </c>
      <c r="M119" s="928" t="str">
        <f>IF(M113="","",M113-M120)</f>
        <v/>
      </c>
      <c r="N119" s="931"/>
      <c r="O119" s="333"/>
      <c r="P119" s="333"/>
      <c r="Q119" s="333"/>
      <c r="R119" s="333"/>
      <c r="S119" s="333"/>
    </row>
    <row r="120" spans="1:19" hidden="1">
      <c r="A120" s="325" t="str">
        <f>A111</f>
        <v>N</v>
      </c>
      <c r="J120" s="3634" t="str">
        <f>"Total Stoppages ("&amp;COUNTIF($A114:$A118,"Y")&amp;"):"</f>
        <v>Total Stoppages (0):</v>
      </c>
      <c r="K120" s="3635"/>
      <c r="L120" s="929">
        <f>SUM(L114:L118)</f>
        <v>0</v>
      </c>
      <c r="M120" s="930">
        <f>SUM(M114:M118)</f>
        <v>0</v>
      </c>
      <c r="N120" s="343"/>
      <c r="O120" s="343"/>
      <c r="P120" s="343"/>
      <c r="Q120" s="343"/>
      <c r="R120" s="343"/>
      <c r="S120" s="343"/>
    </row>
    <row r="121" spans="1:19" s="1298" customFormat="1" ht="8.25" hidden="1">
      <c r="A121" s="1298" t="str">
        <f>A122</f>
        <v>N</v>
      </c>
      <c r="D121" s="1299"/>
      <c r="E121" s="1300"/>
      <c r="F121" s="1300"/>
      <c r="G121" s="1300"/>
      <c r="H121" s="1300"/>
      <c r="I121" s="1300"/>
      <c r="J121" s="1300"/>
      <c r="K121" s="1300"/>
      <c r="L121" s="1301"/>
      <c r="M121" s="1302"/>
      <c r="N121" s="1300"/>
      <c r="O121" s="1300"/>
      <c r="P121" s="1300"/>
      <c r="Q121" s="1300"/>
      <c r="R121" s="1300"/>
      <c r="S121" s="1300"/>
    </row>
    <row r="122" spans="1:19" hidden="1">
      <c r="A122" s="325" t="str">
        <f>IF($F122="","N","Y")</f>
        <v>N</v>
      </c>
      <c r="C122" s="325">
        <v>5</v>
      </c>
      <c r="D122" s="3598" t="s">
        <v>685</v>
      </c>
      <c r="E122" s="3599"/>
      <c r="F122" s="3600" t="str">
        <f>P24</f>
        <v/>
      </c>
      <c r="G122" s="3601"/>
      <c r="H122" s="914" t="s">
        <v>201</v>
      </c>
      <c r="I122" s="950" t="s">
        <v>200</v>
      </c>
      <c r="J122" s="914" t="s">
        <v>201</v>
      </c>
      <c r="K122" s="950" t="s">
        <v>200</v>
      </c>
      <c r="L122" s="914" t="s">
        <v>664</v>
      </c>
      <c r="M122" s="950" t="s">
        <v>266</v>
      </c>
      <c r="N122" s="1199" t="s">
        <v>681</v>
      </c>
      <c r="O122" s="1200" t="str">
        <f>IF(P122="","","for Barge")</f>
        <v/>
      </c>
      <c r="P122" s="3630" t="str">
        <f>IF(P$23=0,"",P$23)</f>
        <v/>
      </c>
      <c r="Q122" s="3630"/>
      <c r="R122" s="3630"/>
      <c r="S122" s="3631"/>
    </row>
    <row r="123" spans="1:19" hidden="1">
      <c r="A123" s="325" t="str">
        <f>A122</f>
        <v>N</v>
      </c>
      <c r="D123" s="3591" t="s">
        <v>663</v>
      </c>
      <c r="E123" s="3591"/>
      <c r="F123" s="3591"/>
      <c r="G123" s="3591"/>
      <c r="H123" s="1196">
        <f>INDEX($R$14:$R$21,MATCH('STANDARD SETT'!$K$6,$N$14:$N$21,0),1)</f>
        <v>44792</v>
      </c>
      <c r="I123" s="1449">
        <f>INDEX($S$14:$S$21,MATCH('STANDARD SETT'!$K$6,$N$14:$N$21,0),1)</f>
        <v>0.10416666666666667</v>
      </c>
      <c r="J123" s="1196">
        <f>INDEX($R$14:$R$21,MATCH('STANDARD SETT'!$L$6,$N$14:$N$21,0),1)</f>
        <v>44792</v>
      </c>
      <c r="K123" s="1449">
        <f>INDEX($S$14:$S$21,MATCH('STANDARD SETT'!$L$6,$N$14:$N$21,0),1)</f>
        <v>0.5</v>
      </c>
      <c r="L123" s="1452">
        <f>IF(ISERROR(J123+K123-H123-I123),"",IF(OR(J123=0,H123=0),"",J123+K123-H123-I123))</f>
        <v>0.39583333333333331</v>
      </c>
      <c r="M123" s="924">
        <f>IF(ISERROR(J123+K123-H123-I123),"",IF(OR(J123=0,H123=0),"",(J123+K123-H123-I123)*24))</f>
        <v>9.5</v>
      </c>
      <c r="N123" s="3627"/>
      <c r="O123" s="3628"/>
      <c r="P123" s="3628"/>
      <c r="Q123" s="3628"/>
      <c r="R123" s="3628"/>
      <c r="S123" s="3629"/>
    </row>
    <row r="124" spans="1:19" hidden="1">
      <c r="A124" s="325" t="str">
        <f>A122</f>
        <v>N</v>
      </c>
      <c r="D124" s="3592" t="s">
        <v>662</v>
      </c>
      <c r="E124" s="3592"/>
      <c r="F124" s="3592"/>
      <c r="G124" s="3592"/>
      <c r="H124" s="1197">
        <f>INDEX($H$26:$S$57,MATCH('STANDARD SETT'!$K$7,$D$26:$D$57,0),($C122*2)-1)</f>
        <v>0</v>
      </c>
      <c r="I124" s="1450">
        <f>INDEX($H$26:$S$57,MATCH('STANDARD SETT'!$K$7,$D$26:$D$57,0),$C122*2)</f>
        <v>0</v>
      </c>
      <c r="J124" s="1197">
        <f>INDEX($H$26:$S$57,MATCH('STANDARD SETT'!$L$7,$D$26:$D$57,0),($C122*2)-1)</f>
        <v>0</v>
      </c>
      <c r="K124" s="1450">
        <f>INDEX($H$26:$S$57,MATCH('STANDARD SETT'!$L$7,$D$26:$D$57,0),$C122*2)</f>
        <v>0</v>
      </c>
      <c r="L124" s="1453" t="str">
        <f>IF(ISERROR(J124+K124-H124-I124),"",IF(OR(J124=0,H124=0),"",J124+K124-H124-I124))</f>
        <v/>
      </c>
      <c r="M124" s="925" t="str">
        <f>IF(ISERROR(J124+K124-H124-I124),"",IF(OR(J124=0,H124=0),"",(J124+K124-H124-I124)*24))</f>
        <v/>
      </c>
      <c r="N124" s="3608"/>
      <c r="O124" s="3609"/>
      <c r="P124" s="3609"/>
      <c r="Q124" s="3609"/>
      <c r="R124" s="3609"/>
      <c r="S124" s="3610"/>
    </row>
    <row r="125" spans="1:19" hidden="1">
      <c r="A125" s="325" t="str">
        <f>IF(A122="N","N",IF(ISERROR(MATCH('STANDARD SETT'!$K$8,$D$26:$D$57,0)),"N",IF(OR(J125=0,H125=0),"N","Y")))</f>
        <v>N</v>
      </c>
      <c r="D125" s="3593" t="s">
        <v>1033</v>
      </c>
      <c r="E125" s="3593"/>
      <c r="F125" s="3593"/>
      <c r="G125" s="3593"/>
      <c r="H125" s="1197">
        <f>INDEX($H$26:$S$57,MATCH('STANDARD SETT'!$K$8,$D$26:$D$57,0),($C122*2)-1)</f>
        <v>0</v>
      </c>
      <c r="I125" s="1450">
        <f>INDEX($H$26:$S$57,MATCH('STANDARD SETT'!$K$8,$D$26:$D$57,0),$C122*2)</f>
        <v>0</v>
      </c>
      <c r="J125" s="1197">
        <f>INDEX($H$26:$S$57,MATCH('STANDARD SETT'!$L$8,$D$26:$D$57,0),($C122*2)-1)</f>
        <v>0</v>
      </c>
      <c r="K125" s="1450">
        <f>INDEX($H$26:$S$57,MATCH('STANDARD SETT'!$L$8,$D$26:$D$57,0),$C122*2)</f>
        <v>0</v>
      </c>
      <c r="L125" s="1453" t="str">
        <f t="shared" ref="L125:L129" si="27">IF(ISERROR(J125+K125-H125-I125),"",IF(OR(J125=0,H125=0),"",J125+K125-H125-I125))</f>
        <v/>
      </c>
      <c r="M125" s="925" t="str">
        <f t="shared" ref="M125:M129" si="28">IF(ISERROR(J125+K125-H125-I125),"",IF(OR(J125=0,H125=0),"",(J125+K125-H125-I125)*24))</f>
        <v/>
      </c>
      <c r="N125" s="3608" t="s">
        <v>683</v>
      </c>
      <c r="O125" s="3609"/>
      <c r="P125" s="3609"/>
      <c r="Q125" s="3609"/>
      <c r="R125" s="3609"/>
      <c r="S125" s="3610"/>
    </row>
    <row r="126" spans="1:19" hidden="1">
      <c r="A126" s="325" t="str">
        <f>IF(A122="N","N",IF(ISERROR(MATCH('STANDARD SETT'!$K$8,$D$26:$D$57,0)),"N",IF(OR(J126=0,H126=0),"N","Y")))</f>
        <v>N</v>
      </c>
      <c r="D126" s="3592" t="s">
        <v>1033</v>
      </c>
      <c r="E126" s="3592"/>
      <c r="F126" s="3592"/>
      <c r="G126" s="3592"/>
      <c r="H126" s="1197">
        <f>INDEX($H$26:$S$57,MATCH('STANDARD SETT'!$K$9,$D$26:$D$57,0),($C122*2)-1)</f>
        <v>0</v>
      </c>
      <c r="I126" s="1450">
        <f>INDEX($H$26:$S$57,MATCH('STANDARD SETT'!$K$9,$D$26:$D$57,0),$C122*2)</f>
        <v>0</v>
      </c>
      <c r="J126" s="1197">
        <f>INDEX($H$26:$S$57,MATCH('STANDARD SETT'!$L$9,$D$26:$D$57,0),($C122*2)-1)</f>
        <v>0</v>
      </c>
      <c r="K126" s="1450">
        <f>INDEX($H$26:$S$57,MATCH('STANDARD SETT'!$L$9,$D$26:$D$57,0),$C122*2)</f>
        <v>0</v>
      </c>
      <c r="L126" s="1453" t="str">
        <f t="shared" si="27"/>
        <v/>
      </c>
      <c r="M126" s="925" t="str">
        <f t="shared" si="28"/>
        <v/>
      </c>
      <c r="N126" s="3608" t="s">
        <v>684</v>
      </c>
      <c r="O126" s="3609"/>
      <c r="P126" s="3609"/>
      <c r="Q126" s="3609"/>
      <c r="R126" s="3609"/>
      <c r="S126" s="3610"/>
    </row>
    <row r="127" spans="1:19" hidden="1">
      <c r="A127" s="325" t="str">
        <f>IF(A122="N","N",IF(ISERROR(MATCH('STANDARD SETT'!$K$8,$D$26:$D$57,0)),"N",IF(OR(J127=0,H127=0),"N","Y")))</f>
        <v>N</v>
      </c>
      <c r="D127" s="3592" t="s">
        <v>1033</v>
      </c>
      <c r="E127" s="3592"/>
      <c r="F127" s="3592"/>
      <c r="G127" s="3592"/>
      <c r="H127" s="1197">
        <f>INDEX($H$26:$S$57,MATCH('STANDARD SETT'!$K$10,$D$26:$D$57,0),($C122*2)-1)</f>
        <v>0</v>
      </c>
      <c r="I127" s="1450">
        <f>INDEX($H$26:$S$57,MATCH('STANDARD SETT'!$K$10,$D$26:$D$57,0),$C122*2)</f>
        <v>0</v>
      </c>
      <c r="J127" s="1197">
        <f>INDEX($H$26:$S$57,MATCH('STANDARD SETT'!$L$10,$D$26:$D$57,0),($C122*2)-1)</f>
        <v>0</v>
      </c>
      <c r="K127" s="1450">
        <f>INDEX($H$26:$S$57,MATCH('STANDARD SETT'!$L$10,$D$26:$D$57,0),$C122*2)</f>
        <v>0</v>
      </c>
      <c r="L127" s="1453" t="str">
        <f t="shared" si="27"/>
        <v/>
      </c>
      <c r="M127" s="925" t="str">
        <f t="shared" si="28"/>
        <v/>
      </c>
      <c r="N127" s="3608"/>
      <c r="O127" s="3609"/>
      <c r="P127" s="3609"/>
      <c r="Q127" s="3609"/>
      <c r="R127" s="3609"/>
      <c r="S127" s="3610"/>
    </row>
    <row r="128" spans="1:19" hidden="1">
      <c r="A128" s="325" t="str">
        <f>IF(A122="N","N",IF(ISERROR(MATCH('STANDARD SETT'!$K$8,$D$26:$D$57,0)),"N",IF(OR(J128=0,H128=0),"N","Y")))</f>
        <v>N</v>
      </c>
      <c r="D128" s="3592" t="s">
        <v>1033</v>
      </c>
      <c r="E128" s="3592"/>
      <c r="F128" s="3592"/>
      <c r="G128" s="3592"/>
      <c r="H128" s="1197">
        <f>INDEX($H$26:$S$57,MATCH('STANDARD SETT'!$K$11,$D$26:$D$57,0),($C122*2)-1)</f>
        <v>0</v>
      </c>
      <c r="I128" s="1450">
        <f>INDEX($H$26:$S$57,MATCH('STANDARD SETT'!$K$11,$D$26:$D$57,0),$C122*2)</f>
        <v>0</v>
      </c>
      <c r="J128" s="1197">
        <f>INDEX($H$26:$S$57,MATCH('STANDARD SETT'!$L$11,$D$26:$D$57,0),($C122*2)-1)</f>
        <v>0</v>
      </c>
      <c r="K128" s="1450">
        <f>INDEX($H$26:$S$57,MATCH('STANDARD SETT'!$L$11,$D$26:$D$57,0),$C122*2)</f>
        <v>0</v>
      </c>
      <c r="L128" s="1453" t="str">
        <f t="shared" si="27"/>
        <v/>
      </c>
      <c r="M128" s="925" t="str">
        <f t="shared" si="28"/>
        <v/>
      </c>
      <c r="N128" s="3608"/>
      <c r="O128" s="3609"/>
      <c r="P128" s="3609"/>
      <c r="Q128" s="3609"/>
      <c r="R128" s="3609"/>
      <c r="S128" s="3610"/>
    </row>
    <row r="129" spans="1:19" hidden="1">
      <c r="A129" s="325" t="str">
        <f>IF(A122="N","N",IF(ISERROR(MATCH('STANDARD SETT'!$K$8,$D$26:$D$57,0)),"N",IF(OR(J129=0,H129=0),"N","Y")))</f>
        <v>N</v>
      </c>
      <c r="D129" s="3652" t="s">
        <v>1033</v>
      </c>
      <c r="E129" s="3652"/>
      <c r="F129" s="3652"/>
      <c r="G129" s="3652"/>
      <c r="H129" s="1198">
        <f>INDEX($H$26:$S$57,MATCH('STANDARD SETT'!$K$12,$D$26:$D$57,0),($C122*2)-1)</f>
        <v>0</v>
      </c>
      <c r="I129" s="1451">
        <f>INDEX($H$26:$S$57,MATCH('STANDARD SETT'!$K$12,$D$26:$D$57,0),$C122*2)</f>
        <v>0</v>
      </c>
      <c r="J129" s="1198">
        <f>INDEX($H$26:$S$57,MATCH('STANDARD SETT'!$L$12,$D$26:$D$57,0),($C122*2)-1)</f>
        <v>0</v>
      </c>
      <c r="K129" s="1451">
        <f>INDEX($H$26:$S$57,MATCH('STANDARD SETT'!$L$12,$D$26:$D$57,0),$C122*2)</f>
        <v>0</v>
      </c>
      <c r="L129" s="1454" t="str">
        <f t="shared" si="27"/>
        <v/>
      </c>
      <c r="M129" s="926" t="str">
        <f t="shared" si="28"/>
        <v/>
      </c>
      <c r="N129" s="3624"/>
      <c r="O129" s="3625"/>
      <c r="P129" s="3625"/>
      <c r="Q129" s="3625"/>
      <c r="R129" s="3625"/>
      <c r="S129" s="3626"/>
    </row>
    <row r="130" spans="1:19" hidden="1">
      <c r="A130" s="325" t="str">
        <f>A122</f>
        <v>N</v>
      </c>
      <c r="D130" s="333"/>
      <c r="E130" s="333"/>
      <c r="F130" s="333"/>
      <c r="G130" s="333"/>
      <c r="H130" s="333"/>
      <c r="I130" s="942"/>
      <c r="J130" s="3632" t="s">
        <v>712</v>
      </c>
      <c r="K130" s="3633"/>
      <c r="L130" s="927" t="str">
        <f>IF(L124="","",L124-L131)</f>
        <v/>
      </c>
      <c r="M130" s="928" t="str">
        <f>IF(M124="","",M124-M131)</f>
        <v/>
      </c>
      <c r="N130" s="931"/>
      <c r="O130" s="333"/>
      <c r="P130" s="333"/>
      <c r="Q130" s="333"/>
      <c r="R130" s="333"/>
      <c r="S130" s="333"/>
    </row>
    <row r="131" spans="1:19" hidden="1">
      <c r="A131" s="325" t="str">
        <f>A122</f>
        <v>N</v>
      </c>
      <c r="J131" s="3634" t="str">
        <f>"Total Stoppages ("&amp;COUNTIF($A125:$A129,"Y")&amp;"):"</f>
        <v>Total Stoppages (0):</v>
      </c>
      <c r="K131" s="3635"/>
      <c r="L131" s="929">
        <f>SUM(L125:L129)</f>
        <v>0</v>
      </c>
      <c r="M131" s="930">
        <f>SUM(M125:M129)</f>
        <v>0</v>
      </c>
      <c r="N131" s="343"/>
      <c r="O131" s="343"/>
      <c r="P131" s="343"/>
      <c r="Q131" s="343"/>
      <c r="R131" s="343"/>
      <c r="S131" s="343"/>
    </row>
    <row r="132" spans="1:19" s="1298" customFormat="1" ht="8.25">
      <c r="A132" s="1298" t="str">
        <f>A133</f>
        <v>Y</v>
      </c>
      <c r="D132" s="1299"/>
      <c r="E132" s="1300"/>
      <c r="F132" s="1300"/>
      <c r="G132" s="1300"/>
      <c r="H132" s="1300"/>
      <c r="I132" s="1300"/>
      <c r="J132" s="1300"/>
      <c r="K132" s="1300"/>
      <c r="L132" s="1301"/>
      <c r="M132" s="1302"/>
      <c r="N132" s="1300"/>
      <c r="O132" s="1300"/>
      <c r="P132" s="1300"/>
      <c r="Q132" s="1300"/>
      <c r="R132" s="1300"/>
      <c r="S132" s="1300"/>
    </row>
    <row r="133" spans="1:19">
      <c r="A133" s="325" t="str">
        <f>IF($F133="","N","Y")</f>
        <v>Y</v>
      </c>
      <c r="C133" s="325">
        <v>6</v>
      </c>
      <c r="D133" s="3598" t="s">
        <v>685</v>
      </c>
      <c r="E133" s="3599"/>
      <c r="F133" s="3672" t="str">
        <f>R24</f>
        <v>LSMGO</v>
      </c>
      <c r="G133" s="3601"/>
      <c r="H133" s="914" t="s">
        <v>201</v>
      </c>
      <c r="I133" s="950" t="s">
        <v>200</v>
      </c>
      <c r="J133" s="914" t="s">
        <v>201</v>
      </c>
      <c r="K133" s="950" t="s">
        <v>200</v>
      </c>
      <c r="L133" s="914" t="s">
        <v>664</v>
      </c>
      <c r="M133" s="950" t="s">
        <v>266</v>
      </c>
      <c r="N133" s="1199" t="s">
        <v>681</v>
      </c>
      <c r="O133" s="1200" t="str">
        <f>IF(P133="","","for Barge")</f>
        <v>for Barge</v>
      </c>
      <c r="P133" s="3630" t="str">
        <f>IF(R$23=0,"",R$23)</f>
        <v>M/T YALÇIN 2</v>
      </c>
      <c r="Q133" s="3630"/>
      <c r="R133" s="3630"/>
      <c r="S133" s="3631"/>
    </row>
    <row r="134" spans="1:19">
      <c r="A134" s="325" t="str">
        <f>A133</f>
        <v>Y</v>
      </c>
      <c r="D134" s="3591" t="s">
        <v>663</v>
      </c>
      <c r="E134" s="3591"/>
      <c r="F134" s="3591"/>
      <c r="G134" s="3591"/>
      <c r="H134" s="1196">
        <f>INDEX($R$14:$R$21,MATCH('STANDARD SETT'!$K$6,$N$14:$N$21,0),1)</f>
        <v>44792</v>
      </c>
      <c r="I134" s="1449">
        <f>INDEX($S$14:$S$21,MATCH('STANDARD SETT'!$K$6,$N$14:$N$21,0),1)</f>
        <v>0.10416666666666667</v>
      </c>
      <c r="J134" s="1196">
        <f>INDEX($R$14:$R$21,MATCH('STANDARD SETT'!$L$6,$N$14:$N$21,0),1)</f>
        <v>44792</v>
      </c>
      <c r="K134" s="1449">
        <f>INDEX($S$14:$S$21,MATCH('STANDARD SETT'!$L$6,$N$14:$N$21,0),1)</f>
        <v>0.5</v>
      </c>
      <c r="L134" s="1452">
        <f>IF(ISERROR(J134+K134-H134-I134),"",IF(OR(J134=0,H134=0),"",J134+K134-H134-I134))</f>
        <v>0.39583333333333331</v>
      </c>
      <c r="M134" s="924">
        <f>IF(ISERROR(J134+K134-H134-I134),"",IF(OR(J134=0,H134=0),"",(J134+K134-H134-I134)*24))</f>
        <v>9.5</v>
      </c>
      <c r="N134" s="3627"/>
      <c r="O134" s="3628"/>
      <c r="P134" s="3628"/>
      <c r="Q134" s="3628"/>
      <c r="R134" s="3628"/>
      <c r="S134" s="3629"/>
    </row>
    <row r="135" spans="1:19">
      <c r="A135" s="325" t="str">
        <f>A133</f>
        <v>Y</v>
      </c>
      <c r="D135" s="3592" t="s">
        <v>662</v>
      </c>
      <c r="E135" s="3592"/>
      <c r="F135" s="3592"/>
      <c r="G135" s="3592"/>
      <c r="H135" s="1197">
        <f>INDEX($H$26:$S$57,MATCH('STANDARD SETT'!$K$7,$D$26:$D$57,0),($C133*2)-1)</f>
        <v>44792</v>
      </c>
      <c r="I135" s="1450">
        <f>INDEX($H$26:$S$57,MATCH('STANDARD SETT'!$K$7,$D$26:$D$57,0),$C133*2)</f>
        <v>0.2951388888888889</v>
      </c>
      <c r="J135" s="1197">
        <f>INDEX($H$26:$S$57,MATCH('STANDARD SETT'!$L$7,$D$26:$D$57,0),($C133*2)-1)</f>
        <v>44792</v>
      </c>
      <c r="K135" s="1450">
        <f>INDEX($H$26:$S$57,MATCH('STANDARD SETT'!$L$7,$D$26:$D$57,0),$C133*2)</f>
        <v>0.31944444444444448</v>
      </c>
      <c r="L135" s="1453">
        <f>IF(ISERROR(J135+K135-H135-I135),"",IF(OR(J135=0,H135=0),"",J135+K135-H135-I135))</f>
        <v>2.4305555556363989E-2</v>
      </c>
      <c r="M135" s="925">
        <f>IF(ISERROR(J135+K135-H135-I135),"",IF(OR(J135=0,H135=0),"",(J135+K135-H135-I135)*24))</f>
        <v>0.58333333335273574</v>
      </c>
      <c r="N135" s="3608"/>
      <c r="O135" s="3609"/>
      <c r="P135" s="3609"/>
      <c r="Q135" s="3609"/>
      <c r="R135" s="3609"/>
      <c r="S135" s="3610"/>
    </row>
    <row r="136" spans="1:19" hidden="1">
      <c r="A136" s="325" t="str">
        <f>IF(A133="N","N",IF(ISERROR(MATCH('STANDARD SETT'!$K$8,$D$26:$D$57,0)),"N",IF(OR(J136=0,H136=0),"N","Y")))</f>
        <v>N</v>
      </c>
      <c r="D136" s="3593" t="s">
        <v>1033</v>
      </c>
      <c r="E136" s="3593"/>
      <c r="F136" s="3593"/>
      <c r="G136" s="3593"/>
      <c r="H136" s="1197">
        <f>INDEX($H$26:$S$57,MATCH('STANDARD SETT'!$K$8,$D$26:$D$57,0),($C133*2)-1)</f>
        <v>0</v>
      </c>
      <c r="I136" s="1450">
        <f>INDEX($H$26:$S$57,MATCH('STANDARD SETT'!$K$8,$D$26:$D$57,0),$C133*2)</f>
        <v>0</v>
      </c>
      <c r="J136" s="1197">
        <f>INDEX($H$26:$S$57,MATCH('STANDARD SETT'!$L$8,$D$26:$D$57,0),($C133*2)-1)</f>
        <v>0</v>
      </c>
      <c r="K136" s="1450">
        <f>INDEX($H$26:$S$57,MATCH('STANDARD SETT'!$L$8,$D$26:$D$57,0),$C133*2)</f>
        <v>0</v>
      </c>
      <c r="L136" s="1453" t="str">
        <f t="shared" ref="L136:L140" si="29">IF(ISERROR(J136+K136-H136-I136),"",IF(OR(J136=0,H136=0),"",J136+K136-H136-I136))</f>
        <v/>
      </c>
      <c r="M136" s="925" t="str">
        <f t="shared" ref="M136:M140" si="30">IF(ISERROR(J136+K136-H136-I136),"",IF(OR(J136=0,H136=0),"",(J136+K136-H136-I136)*24))</f>
        <v/>
      </c>
      <c r="N136" s="3608" t="s">
        <v>683</v>
      </c>
      <c r="O136" s="3609"/>
      <c r="P136" s="3609"/>
      <c r="Q136" s="3609"/>
      <c r="R136" s="3609"/>
      <c r="S136" s="3610"/>
    </row>
    <row r="137" spans="1:19" hidden="1">
      <c r="A137" s="325" t="str">
        <f>IF(A133="N","N",IF(ISERROR(MATCH('STANDARD SETT'!$K$8,$D$26:$D$57,0)),"N",IF(OR(J137=0,H137=0),"N","Y")))</f>
        <v>N</v>
      </c>
      <c r="D137" s="3592" t="s">
        <v>1033</v>
      </c>
      <c r="E137" s="3592"/>
      <c r="F137" s="3592"/>
      <c r="G137" s="3592"/>
      <c r="H137" s="1197">
        <f>INDEX($H$26:$S$57,MATCH('STANDARD SETT'!$K$9,$D$26:$D$57,0),($C133*2)-1)</f>
        <v>0</v>
      </c>
      <c r="I137" s="1450">
        <f>INDEX($H$26:$S$57,MATCH('STANDARD SETT'!$K$9,$D$26:$D$57,0),$C133*2)</f>
        <v>0</v>
      </c>
      <c r="J137" s="1197">
        <f>INDEX($H$26:$S$57,MATCH('STANDARD SETT'!$L$9,$D$26:$D$57,0),($C133*2)-1)</f>
        <v>0</v>
      </c>
      <c r="K137" s="1450">
        <f>INDEX($H$26:$S$57,MATCH('STANDARD SETT'!$L$9,$D$26:$D$57,0),$C133*2)</f>
        <v>0</v>
      </c>
      <c r="L137" s="1453" t="str">
        <f t="shared" si="29"/>
        <v/>
      </c>
      <c r="M137" s="925" t="str">
        <f t="shared" si="30"/>
        <v/>
      </c>
      <c r="N137" s="3608" t="s">
        <v>684</v>
      </c>
      <c r="O137" s="3609"/>
      <c r="P137" s="3609"/>
      <c r="Q137" s="3609"/>
      <c r="R137" s="3609"/>
      <c r="S137" s="3610"/>
    </row>
    <row r="138" spans="1:19" hidden="1">
      <c r="A138" s="325" t="str">
        <f>IF(A133="N","N",IF(ISERROR(MATCH('STANDARD SETT'!$K$8,$D$26:$D$57,0)),"N",IF(OR(J138=0,H138=0),"N","Y")))</f>
        <v>N</v>
      </c>
      <c r="D138" s="3592" t="s">
        <v>1033</v>
      </c>
      <c r="E138" s="3592"/>
      <c r="F138" s="3592"/>
      <c r="G138" s="3592"/>
      <c r="H138" s="1197">
        <f>INDEX($H$26:$S$57,MATCH('STANDARD SETT'!$K$10,$D$26:$D$57,0),($C133*2)-1)</f>
        <v>0</v>
      </c>
      <c r="I138" s="1450">
        <f>INDEX($H$26:$S$57,MATCH('STANDARD SETT'!$K$10,$D$26:$D$57,0),$C133*2)</f>
        <v>0</v>
      </c>
      <c r="J138" s="1197">
        <f>INDEX($H$26:$S$57,MATCH('STANDARD SETT'!$L$10,$D$26:$D$57,0),($C133*2)-1)</f>
        <v>0</v>
      </c>
      <c r="K138" s="1450">
        <f>INDEX($H$26:$S$57,MATCH('STANDARD SETT'!$L$10,$D$26:$D$57,0),$C133*2)</f>
        <v>0</v>
      </c>
      <c r="L138" s="1453" t="str">
        <f t="shared" si="29"/>
        <v/>
      </c>
      <c r="M138" s="925" t="str">
        <f t="shared" si="30"/>
        <v/>
      </c>
      <c r="N138" s="3608"/>
      <c r="O138" s="3609"/>
      <c r="P138" s="3609"/>
      <c r="Q138" s="3609"/>
      <c r="R138" s="3609"/>
      <c r="S138" s="3610"/>
    </row>
    <row r="139" spans="1:19" hidden="1">
      <c r="A139" s="325" t="str">
        <f>IF(A133="N","N",IF(ISERROR(MATCH('STANDARD SETT'!$K$8,$D$26:$D$57,0)),"N",IF(OR(J139=0,H139=0),"N","Y")))</f>
        <v>N</v>
      </c>
      <c r="D139" s="3592" t="s">
        <v>1033</v>
      </c>
      <c r="E139" s="3592"/>
      <c r="F139" s="3592"/>
      <c r="G139" s="3592"/>
      <c r="H139" s="1197">
        <f>INDEX($H$26:$S$57,MATCH('STANDARD SETT'!$K$11,$D$26:$D$57,0),($C133*2)-1)</f>
        <v>0</v>
      </c>
      <c r="I139" s="1450">
        <f>INDEX($H$26:$S$57,MATCH('STANDARD SETT'!$K$11,$D$26:$D$57,0),$C133*2)</f>
        <v>0</v>
      </c>
      <c r="J139" s="1197">
        <f>INDEX($H$26:$S$57,MATCH('STANDARD SETT'!$L$11,$D$26:$D$57,0),($C133*2)-1)</f>
        <v>0</v>
      </c>
      <c r="K139" s="1450">
        <f>INDEX($H$26:$S$57,MATCH('STANDARD SETT'!$L$11,$D$26:$D$57,0),$C133*2)</f>
        <v>0</v>
      </c>
      <c r="L139" s="1453" t="str">
        <f t="shared" si="29"/>
        <v/>
      </c>
      <c r="M139" s="925" t="str">
        <f t="shared" si="30"/>
        <v/>
      </c>
      <c r="N139" s="3608"/>
      <c r="O139" s="3609"/>
      <c r="P139" s="3609"/>
      <c r="Q139" s="3609"/>
      <c r="R139" s="3609"/>
      <c r="S139" s="3610"/>
    </row>
    <row r="140" spans="1:19" hidden="1">
      <c r="A140" s="325" t="str">
        <f>IF(A133="N","N",IF(ISERROR(MATCH('STANDARD SETT'!$K$8,$D$26:$D$57,0)),"N",IF(OR(J140=0,H140=0),"N","Y")))</f>
        <v>N</v>
      </c>
      <c r="D140" s="3652" t="s">
        <v>1033</v>
      </c>
      <c r="E140" s="3652"/>
      <c r="F140" s="3652"/>
      <c r="G140" s="3652"/>
      <c r="H140" s="1198">
        <f>INDEX($H$26:$S$57,MATCH('STANDARD SETT'!$K$12,$D$26:$D$57,0),($C133*2)-1)</f>
        <v>0</v>
      </c>
      <c r="I140" s="1451">
        <f>INDEX($H$26:$S$57,MATCH('STANDARD SETT'!$K$12,$D$26:$D$57,0),$C133*2)</f>
        <v>0</v>
      </c>
      <c r="J140" s="1198">
        <f>INDEX($H$26:$S$57,MATCH('STANDARD SETT'!$L$12,$D$26:$D$57,0),($C133*2)-1)</f>
        <v>0</v>
      </c>
      <c r="K140" s="1451">
        <f>INDEX($H$26:$S$57,MATCH('STANDARD SETT'!$L$12,$D$26:$D$57,0),$C133*2)</f>
        <v>0</v>
      </c>
      <c r="L140" s="1454" t="str">
        <f t="shared" si="29"/>
        <v/>
      </c>
      <c r="M140" s="926" t="str">
        <f t="shared" si="30"/>
        <v/>
      </c>
      <c r="N140" s="3624"/>
      <c r="O140" s="3625"/>
      <c r="P140" s="3625"/>
      <c r="Q140" s="3625"/>
      <c r="R140" s="3625"/>
      <c r="S140" s="3626"/>
    </row>
    <row r="141" spans="1:19">
      <c r="A141" s="325" t="str">
        <f>A133</f>
        <v>Y</v>
      </c>
      <c r="D141" s="333"/>
      <c r="E141" s="333"/>
      <c r="F141" s="333"/>
      <c r="G141" s="333"/>
      <c r="H141" s="333"/>
      <c r="I141" s="942"/>
      <c r="J141" s="3632" t="s">
        <v>712</v>
      </c>
      <c r="K141" s="3633"/>
      <c r="L141" s="927">
        <f>IF(L135="","",L135-L142)</f>
        <v>2.4305555556363989E-2</v>
      </c>
      <c r="M141" s="928">
        <f>IF(M135="","",M135-M142)</f>
        <v>0.58333333335273574</v>
      </c>
      <c r="N141" s="931"/>
      <c r="O141" s="333"/>
      <c r="P141" s="333"/>
      <c r="Q141" s="333"/>
      <c r="R141" s="333"/>
      <c r="S141" s="333"/>
    </row>
    <row r="142" spans="1:19">
      <c r="A142" s="325" t="str">
        <f>A133</f>
        <v>Y</v>
      </c>
      <c r="J142" s="3634" t="str">
        <f>"Total Stoppages ("&amp;COUNTIF($A136:$A140,"Y")&amp;"):"</f>
        <v>Total Stoppages (0):</v>
      </c>
      <c r="K142" s="3635"/>
      <c r="L142" s="929">
        <f>SUM(L136:L140)</f>
        <v>0</v>
      </c>
      <c r="M142" s="930">
        <f>SUM(M136:M140)</f>
        <v>0</v>
      </c>
      <c r="N142" s="343"/>
      <c r="O142" s="343"/>
      <c r="P142" s="343"/>
      <c r="Q142" s="343"/>
      <c r="R142" s="343"/>
      <c r="S142" s="343"/>
    </row>
    <row r="143" spans="1:19" s="1298" customFormat="1" ht="8.25">
      <c r="A143" s="1298" t="s">
        <v>284</v>
      </c>
      <c r="D143" s="1299"/>
      <c r="E143" s="1300"/>
      <c r="F143" s="1300"/>
      <c r="G143" s="1300"/>
      <c r="H143" s="1300"/>
      <c r="I143" s="1300"/>
      <c r="J143" s="1300"/>
      <c r="K143" s="1300"/>
      <c r="L143" s="1301"/>
      <c r="M143" s="1302"/>
      <c r="N143" s="1300"/>
      <c r="O143" s="1300"/>
      <c r="P143" s="1300"/>
      <c r="Q143" s="1300"/>
      <c r="R143" s="1300"/>
      <c r="S143" s="1300"/>
    </row>
    <row r="144" spans="1:19">
      <c r="A144" s="912" t="s">
        <v>284</v>
      </c>
    </row>
    <row r="145" spans="1:19" hidden="1">
      <c r="A145" s="1304" t="s">
        <v>270</v>
      </c>
      <c r="D145" s="3602"/>
      <c r="E145" s="3603"/>
      <c r="F145" s="3604" t="s">
        <v>994</v>
      </c>
      <c r="G145" s="3605"/>
      <c r="H145" s="3602" t="str">
        <f>IF(H$24="","",'Cover Page'!I$89)</f>
        <v/>
      </c>
      <c r="I145" s="3606"/>
      <c r="J145" s="3602" t="str">
        <f>IF(J$24="","",'Cover Page'!J$89)</f>
        <v>M/T YALÇIN 2</v>
      </c>
      <c r="K145" s="3606"/>
      <c r="L145" s="3602" t="str">
        <f>IF(L$24="","",'Cover Page'!K$89)</f>
        <v/>
      </c>
      <c r="M145" s="3606"/>
      <c r="N145" s="3602" t="str">
        <f>IF(N$24="","",'Cover Page'!L$89)</f>
        <v/>
      </c>
      <c r="O145" s="3606"/>
      <c r="P145" s="3602" t="str">
        <f>IF(P$24="","",'Cover Page'!M$89)</f>
        <v/>
      </c>
      <c r="Q145" s="3606"/>
      <c r="R145" s="3638" t="str">
        <f>IF(R$24="","",'Cover Page'!N$89)</f>
        <v>M/T YALÇIN 2</v>
      </c>
      <c r="S145" s="3606"/>
    </row>
    <row r="146" spans="1:19" hidden="1">
      <c r="A146" s="1304" t="s">
        <v>270</v>
      </c>
    </row>
    <row r="147" spans="1:19" hidden="1">
      <c r="A147" s="1304" t="s">
        <v>270</v>
      </c>
    </row>
    <row r="148" spans="1:19" hidden="1">
      <c r="A148" s="1304" t="s">
        <v>270</v>
      </c>
      <c r="G148" s="1220" t="s">
        <v>1093</v>
      </c>
      <c r="H148" s="3587"/>
      <c r="I148" s="3587"/>
      <c r="J148" s="3587"/>
      <c r="K148" s="3587"/>
      <c r="L148" s="3587"/>
      <c r="M148" s="3587"/>
      <c r="N148" s="3587"/>
      <c r="O148" s="3587"/>
      <c r="P148" s="3587"/>
      <c r="Q148" s="3587"/>
      <c r="R148" s="3587"/>
      <c r="S148" s="3587"/>
    </row>
    <row r="149" spans="1:19" hidden="1">
      <c r="A149" s="1304" t="s">
        <v>270</v>
      </c>
      <c r="D149" s="343"/>
      <c r="E149" s="343"/>
      <c r="F149" s="343"/>
      <c r="G149" s="343"/>
      <c r="H149" s="3607" t="str">
        <f>IF(H145="","",INDEX(MAIN!$BF$2:$BF$7,MATCH(H145,MAIN!$BD$2:$BD$7,0),1))</f>
        <v/>
      </c>
      <c r="I149" s="3607"/>
      <c r="J149" s="3607" t="str">
        <f>IF(J145="","",INDEX(MAIN!$BF$2:$BF$7,MATCH(J145,MAIN!$BD$2:$BD$7,0),1))</f>
        <v>TEMEL KALYONCU</v>
      </c>
      <c r="K149" s="3607"/>
      <c r="L149" s="3607" t="str">
        <f>IF(L145="","",INDEX(MAIN!$BF$2:$BF$7,MATCH(L145,MAIN!$BD$2:$BD$7,0),1))</f>
        <v/>
      </c>
      <c r="M149" s="3607"/>
      <c r="N149" s="3607" t="str">
        <f>IF(N145="","",INDEX(MAIN!$BF$2:$BF$7,MATCH(N145,MAIN!$BD$2:$BD$7,0),1))</f>
        <v/>
      </c>
      <c r="O149" s="3607"/>
      <c r="P149" s="3607" t="str">
        <f>IF(P145="","",INDEX(MAIN!$BF$2:$BF$7,MATCH(P145,MAIN!$BD$2:$BD$7,0),1))</f>
        <v/>
      </c>
      <c r="Q149" s="3607"/>
      <c r="R149" s="3607" t="str">
        <f>IF(R145="","",INDEX(MAIN!$BF$2:$BF$7,MATCH(R145,MAIN!$BD$2:$BD$7,0),1))</f>
        <v>TEMEL KALYONCU</v>
      </c>
      <c r="S149" s="3607"/>
    </row>
    <row r="150" spans="1:19" hidden="1">
      <c r="A150" s="1304" t="s">
        <v>270</v>
      </c>
      <c r="D150" s="343"/>
      <c r="E150" s="343"/>
      <c r="F150" s="343"/>
      <c r="G150" s="343"/>
      <c r="H150" s="3607"/>
      <c r="I150" s="3607"/>
      <c r="J150" s="3607"/>
      <c r="K150" s="3607"/>
      <c r="L150" s="3607"/>
      <c r="M150" s="3607"/>
      <c r="N150" s="3607"/>
      <c r="O150" s="3607"/>
      <c r="P150" s="3607"/>
      <c r="Q150" s="3607"/>
      <c r="R150" s="3607"/>
      <c r="S150" s="3607"/>
    </row>
    <row r="151" spans="1:19">
      <c r="A151" s="1219" t="s">
        <v>284</v>
      </c>
      <c r="D151" s="343"/>
      <c r="E151" s="343"/>
      <c r="F151" s="343"/>
      <c r="G151" s="343"/>
      <c r="H151" s="343"/>
      <c r="I151" s="343"/>
      <c r="J151" s="343"/>
      <c r="K151" s="343"/>
      <c r="L151" s="343"/>
      <c r="M151" s="343"/>
      <c r="N151" s="343"/>
      <c r="O151" s="343"/>
      <c r="P151" s="343"/>
      <c r="Q151" s="343"/>
      <c r="R151" s="343"/>
      <c r="S151" s="343"/>
    </row>
    <row r="152" spans="1:19">
      <c r="A152" s="1219" t="s">
        <v>284</v>
      </c>
      <c r="D152" s="343"/>
      <c r="E152" s="343"/>
      <c r="F152" s="343"/>
      <c r="G152" s="343"/>
      <c r="H152" s="343"/>
      <c r="I152" s="343"/>
      <c r="J152" s="343"/>
      <c r="K152" s="343"/>
      <c r="L152" s="343"/>
      <c r="M152" s="343"/>
      <c r="N152" s="343"/>
      <c r="O152" s="343"/>
      <c r="P152" s="343"/>
      <c r="Q152" s="343"/>
      <c r="R152" s="343"/>
      <c r="S152" s="343"/>
    </row>
    <row r="153" spans="1:19">
      <c r="A153" s="912" t="s">
        <v>284</v>
      </c>
      <c r="D153" s="3589" t="str">
        <f>CHENG</f>
        <v>CANO ARTHUR D. CADAVOS</v>
      </c>
      <c r="E153" s="3589"/>
      <c r="F153" s="3589"/>
      <c r="G153" s="3589"/>
      <c r="J153" s="3589" t="str">
        <f>SURVEYOR</f>
        <v>MEHMET EROĞLU</v>
      </c>
      <c r="K153" s="3589"/>
      <c r="L153" s="3589"/>
      <c r="M153" s="3589"/>
      <c r="P153" s="3589" t="str">
        <f>MASTER</f>
        <v>ESTORES KENNETH CABANIG</v>
      </c>
      <c r="Q153" s="3589"/>
      <c r="R153" s="3589"/>
      <c r="S153" s="3589"/>
    </row>
    <row r="154" spans="1:19">
      <c r="A154" s="912" t="s">
        <v>284</v>
      </c>
      <c r="D154" s="3588" t="s">
        <v>15</v>
      </c>
      <c r="E154" s="3588"/>
      <c r="F154" s="3588"/>
      <c r="G154" s="3588"/>
      <c r="J154" s="3590" t="str">
        <f>"Bunker Surveyor"&amp;IF(SPORE=TRUE,", License No. "&amp;SURVLIC,"")</f>
        <v>Bunker Surveyor</v>
      </c>
      <c r="K154" s="3590"/>
      <c r="L154" s="3590"/>
      <c r="M154" s="3590"/>
      <c r="P154" s="3617" t="s">
        <v>1289</v>
      </c>
      <c r="Q154" s="3617"/>
      <c r="R154" s="3617"/>
      <c r="S154" s="3617"/>
    </row>
    <row r="155" spans="1:19">
      <c r="A155" s="1394" t="s">
        <v>284</v>
      </c>
    </row>
    <row r="156" spans="1:19" s="1393" customFormat="1" ht="9" customHeight="1">
      <c r="A156" s="1393" t="s">
        <v>284</v>
      </c>
      <c r="D156" s="3618" t="str">
        <f>PR_LIABILITY</f>
        <v>The liability of Petro Inspect International () for any loss or damage whatsoever and howsoever caused by its bodies, officers or employees or caused by others who are instrumental in carrying out  contractual obligations according to the client, whether or not such person has acted negligently or otherwise and whether or not the loss or damage has affected the Client or any third party who without having any contractual relations with  has acted or made arrangements in reliance on decisions made or information given by or on behalf of , shall be limited to the agreed fee to be charged for the service in question.</v>
      </c>
      <c r="E156" s="3619"/>
      <c r="F156" s="3619"/>
      <c r="G156" s="3619"/>
      <c r="H156" s="3619"/>
      <c r="I156" s="3619"/>
      <c r="J156" s="3619"/>
      <c r="K156" s="3619"/>
      <c r="L156" s="3619"/>
      <c r="M156" s="3619"/>
      <c r="N156" s="3619"/>
      <c r="O156" s="3619"/>
      <c r="P156" s="3619"/>
      <c r="Q156" s="3619"/>
      <c r="R156" s="3611"/>
      <c r="S156" s="3612"/>
    </row>
    <row r="157" spans="1:19" s="1393" customFormat="1" ht="9" customHeight="1">
      <c r="A157" s="1393" t="s">
        <v>284</v>
      </c>
      <c r="D157" s="3620"/>
      <c r="E157" s="3621"/>
      <c r="F157" s="3621"/>
      <c r="G157" s="3621"/>
      <c r="H157" s="3621"/>
      <c r="I157" s="3621"/>
      <c r="J157" s="3621"/>
      <c r="K157" s="3621"/>
      <c r="L157" s="3621"/>
      <c r="M157" s="3621"/>
      <c r="N157" s="3621"/>
      <c r="O157" s="3621"/>
      <c r="P157" s="3621"/>
      <c r="Q157" s="3621"/>
      <c r="R157" s="3613"/>
      <c r="S157" s="3614"/>
    </row>
    <row r="158" spans="1:19" s="1393" customFormat="1" ht="9" customHeight="1">
      <c r="A158" s="1393" t="s">
        <v>284</v>
      </c>
      <c r="D158" s="3620"/>
      <c r="E158" s="3621"/>
      <c r="F158" s="3621"/>
      <c r="G158" s="3621"/>
      <c r="H158" s="3621"/>
      <c r="I158" s="3621"/>
      <c r="J158" s="3621"/>
      <c r="K158" s="3621"/>
      <c r="L158" s="3621"/>
      <c r="M158" s="3621"/>
      <c r="N158" s="3621"/>
      <c r="O158" s="3621"/>
      <c r="P158" s="3621"/>
      <c r="Q158" s="3621"/>
      <c r="R158" s="3613"/>
      <c r="S158" s="3614"/>
    </row>
    <row r="159" spans="1:19" s="1393" customFormat="1" ht="9" customHeight="1">
      <c r="A159" s="1393" t="s">
        <v>284</v>
      </c>
      <c r="D159" s="3620"/>
      <c r="E159" s="3621"/>
      <c r="F159" s="3621"/>
      <c r="G159" s="3621"/>
      <c r="H159" s="3621"/>
      <c r="I159" s="3621"/>
      <c r="J159" s="3621"/>
      <c r="K159" s="3621"/>
      <c r="L159" s="3621"/>
      <c r="M159" s="3621"/>
      <c r="N159" s="3621"/>
      <c r="O159" s="3621"/>
      <c r="P159" s="3621"/>
      <c r="Q159" s="3621"/>
      <c r="R159" s="3613"/>
      <c r="S159" s="3614"/>
    </row>
    <row r="160" spans="1:19" s="1393" customFormat="1" ht="9" customHeight="1">
      <c r="A160" s="1393" t="s">
        <v>284</v>
      </c>
      <c r="D160" s="3620"/>
      <c r="E160" s="3621"/>
      <c r="F160" s="3621"/>
      <c r="G160" s="3621"/>
      <c r="H160" s="3621"/>
      <c r="I160" s="3621"/>
      <c r="J160" s="3621"/>
      <c r="K160" s="3621"/>
      <c r="L160" s="3621"/>
      <c r="M160" s="3621"/>
      <c r="N160" s="3621"/>
      <c r="O160" s="3621"/>
      <c r="P160" s="3621"/>
      <c r="Q160" s="3621"/>
      <c r="R160" s="3613"/>
      <c r="S160" s="3614"/>
    </row>
    <row r="161" spans="1:19" s="1393" customFormat="1" ht="9" customHeight="1">
      <c r="A161" s="1393" t="s">
        <v>284</v>
      </c>
      <c r="D161" s="3622"/>
      <c r="E161" s="3623"/>
      <c r="F161" s="3623"/>
      <c r="G161" s="3623"/>
      <c r="H161" s="3623"/>
      <c r="I161" s="3623"/>
      <c r="J161" s="3623"/>
      <c r="K161" s="3623"/>
      <c r="L161" s="3623"/>
      <c r="M161" s="3623"/>
      <c r="N161" s="3623"/>
      <c r="O161" s="3623"/>
      <c r="P161" s="3623"/>
      <c r="Q161" s="3623"/>
      <c r="R161" s="3615"/>
      <c r="S161" s="3616"/>
    </row>
    <row r="162" spans="1:19" ht="2.25" customHeight="1"/>
  </sheetData>
  <sheetProtection algorithmName="SHA-512" hashValue="ke7E4siiz0CkB5lSWIL5SFzeVan2yT+iggx+FdUeMWuylXv4KkEQPQz4Fo3aJDV89t9rNfMgHMzLe/xRbqC7jw==" saltValue="EBEPGSCh9UQrG4jGJ4h2tQ==" spinCount="100000" sheet="1" objects="1" scenarios="1" autoFilter="0"/>
  <autoFilter ref="A22:A161" xr:uid="{00000000-0009-0000-0000-000025000000}">
    <filterColumn colId="0">
      <filters>
        <filter val="Y"/>
      </filters>
    </filterColumn>
  </autoFilter>
  <mergeCells count="232">
    <mergeCell ref="D145:E145"/>
    <mergeCell ref="F145:G145"/>
    <mergeCell ref="H145:I145"/>
    <mergeCell ref="J145:K145"/>
    <mergeCell ref="L145:M145"/>
    <mergeCell ref="N145:O145"/>
    <mergeCell ref="P145:Q145"/>
    <mergeCell ref="R145:S145"/>
    <mergeCell ref="H149:I150"/>
    <mergeCell ref="J149:K150"/>
    <mergeCell ref="L149:M150"/>
    <mergeCell ref="N149:O150"/>
    <mergeCell ref="P149:Q150"/>
    <mergeCell ref="R149:S150"/>
    <mergeCell ref="P148:Q148"/>
    <mergeCell ref="R148:S148"/>
    <mergeCell ref="N148:O148"/>
    <mergeCell ref="L148:M148"/>
    <mergeCell ref="J148:K148"/>
    <mergeCell ref="H148:I148"/>
    <mergeCell ref="R23:S23"/>
    <mergeCell ref="D133:E133"/>
    <mergeCell ref="F133:G133"/>
    <mergeCell ref="N124:S124"/>
    <mergeCell ref="D125:G125"/>
    <mergeCell ref="N125:S125"/>
    <mergeCell ref="D126:G126"/>
    <mergeCell ref="N126:S126"/>
    <mergeCell ref="D118:G118"/>
    <mergeCell ref="N118:S118"/>
    <mergeCell ref="D122:E122"/>
    <mergeCell ref="F122:G122"/>
    <mergeCell ref="L69:M70"/>
    <mergeCell ref="N69:O70"/>
    <mergeCell ref="P69:Q70"/>
    <mergeCell ref="R69:S70"/>
    <mergeCell ref="D73:G73"/>
    <mergeCell ref="N105:S105"/>
    <mergeCell ref="J108:K108"/>
    <mergeCell ref="J109:K109"/>
    <mergeCell ref="D123:G123"/>
    <mergeCell ref="N123:S123"/>
    <mergeCell ref="J119:K119"/>
    <mergeCell ref="J120:K120"/>
    <mergeCell ref="D140:G140"/>
    <mergeCell ref="N140:S140"/>
    <mergeCell ref="D136:G136"/>
    <mergeCell ref="N136:S136"/>
    <mergeCell ref="D137:G137"/>
    <mergeCell ref="N137:S137"/>
    <mergeCell ref="D138:G138"/>
    <mergeCell ref="N138:S138"/>
    <mergeCell ref="N134:S134"/>
    <mergeCell ref="D135:G135"/>
    <mergeCell ref="N135:S135"/>
    <mergeCell ref="P122:S122"/>
    <mergeCell ref="N106:S106"/>
    <mergeCell ref="D107:G107"/>
    <mergeCell ref="N107:S107"/>
    <mergeCell ref="D112:G112"/>
    <mergeCell ref="N112:S112"/>
    <mergeCell ref="D114:G114"/>
    <mergeCell ref="N114:S114"/>
    <mergeCell ref="N139:S139"/>
    <mergeCell ref="D127:G127"/>
    <mergeCell ref="N127:S127"/>
    <mergeCell ref="D128:G128"/>
    <mergeCell ref="N128:S128"/>
    <mergeCell ref="N129:S129"/>
    <mergeCell ref="J130:K130"/>
    <mergeCell ref="J131:K131"/>
    <mergeCell ref="P133:S133"/>
    <mergeCell ref="F100:G100"/>
    <mergeCell ref="N104:S104"/>
    <mergeCell ref="D105:G105"/>
    <mergeCell ref="N115:S115"/>
    <mergeCell ref="D116:G116"/>
    <mergeCell ref="N116:S116"/>
    <mergeCell ref="D117:G117"/>
    <mergeCell ref="N117:S117"/>
    <mergeCell ref="P111:S111"/>
    <mergeCell ref="L23:M23"/>
    <mergeCell ref="N23:O23"/>
    <mergeCell ref="P23:Q23"/>
    <mergeCell ref="N101:S101"/>
    <mergeCell ref="D102:G102"/>
    <mergeCell ref="D113:G113"/>
    <mergeCell ref="N113:S113"/>
    <mergeCell ref="D101:G101"/>
    <mergeCell ref="D111:E111"/>
    <mergeCell ref="F111:G111"/>
    <mergeCell ref="N102:S102"/>
    <mergeCell ref="D94:G94"/>
    <mergeCell ref="N94:S94"/>
    <mergeCell ref="D95:G95"/>
    <mergeCell ref="N95:S95"/>
    <mergeCell ref="D96:G96"/>
    <mergeCell ref="N96:S96"/>
    <mergeCell ref="P100:S100"/>
    <mergeCell ref="D104:G104"/>
    <mergeCell ref="D103:G103"/>
    <mergeCell ref="N103:S103"/>
    <mergeCell ref="J97:K97"/>
    <mergeCell ref="J98:K98"/>
    <mergeCell ref="D100:E100"/>
    <mergeCell ref="D52:G52"/>
    <mergeCell ref="D49:G49"/>
    <mergeCell ref="D93:G93"/>
    <mergeCell ref="N13:Q13"/>
    <mergeCell ref="N21:Q21"/>
    <mergeCell ref="D24:E24"/>
    <mergeCell ref="F24:G24"/>
    <mergeCell ref="D28:G28"/>
    <mergeCell ref="N14:Q14"/>
    <mergeCell ref="D30:G30"/>
    <mergeCell ref="H24:I24"/>
    <mergeCell ref="D25:G25"/>
    <mergeCell ref="P24:Q24"/>
    <mergeCell ref="N15:Q15"/>
    <mergeCell ref="N19:Q19"/>
    <mergeCell ref="N16:Q16"/>
    <mergeCell ref="N17:Q17"/>
    <mergeCell ref="N18:Q18"/>
    <mergeCell ref="N20:Q20"/>
    <mergeCell ref="D29:G29"/>
    <mergeCell ref="D23:E23"/>
    <mergeCell ref="F23:G23"/>
    <mergeCell ref="H23:I23"/>
    <mergeCell ref="J23:K23"/>
    <mergeCell ref="D50:G50"/>
    <mergeCell ref="D51:G51"/>
    <mergeCell ref="D55:G55"/>
    <mergeCell ref="D41:G41"/>
    <mergeCell ref="D42:G42"/>
    <mergeCell ref="D43:G43"/>
    <mergeCell ref="D44:G44"/>
    <mergeCell ref="D45:G45"/>
    <mergeCell ref="J142:K142"/>
    <mergeCell ref="D106:G106"/>
    <mergeCell ref="D115:G115"/>
    <mergeCell ref="D129:G129"/>
    <mergeCell ref="D124:G124"/>
    <mergeCell ref="D139:G139"/>
    <mergeCell ref="J141:K141"/>
    <mergeCell ref="D89:E89"/>
    <mergeCell ref="F89:G89"/>
    <mergeCell ref="D90:G90"/>
    <mergeCell ref="D74:G74"/>
    <mergeCell ref="D91:G91"/>
    <mergeCell ref="D84:G84"/>
    <mergeCell ref="D85:G85"/>
    <mergeCell ref="D134:G134"/>
    <mergeCell ref="D57:G57"/>
    <mergeCell ref="R24:S24"/>
    <mergeCell ref="N24:O24"/>
    <mergeCell ref="J24:K24"/>
    <mergeCell ref="L24:M24"/>
    <mergeCell ref="D31:G31"/>
    <mergeCell ref="D32:G32"/>
    <mergeCell ref="D34:G34"/>
    <mergeCell ref="D40:G40"/>
    <mergeCell ref="D48:G48"/>
    <mergeCell ref="D33:G33"/>
    <mergeCell ref="D36:G36"/>
    <mergeCell ref="D37:G37"/>
    <mergeCell ref="D38:G38"/>
    <mergeCell ref="D39:G39"/>
    <mergeCell ref="D26:G26"/>
    <mergeCell ref="D27:G27"/>
    <mergeCell ref="D46:G46"/>
    <mergeCell ref="D47:G47"/>
    <mergeCell ref="D35:G35"/>
    <mergeCell ref="P73:S73"/>
    <mergeCell ref="P74:S74"/>
    <mergeCell ref="L65:M65"/>
    <mergeCell ref="N65:O65"/>
    <mergeCell ref="P65:Q65"/>
    <mergeCell ref="R65:S65"/>
    <mergeCell ref="L68:M68"/>
    <mergeCell ref="N68:O68"/>
    <mergeCell ref="N79:S79"/>
    <mergeCell ref="P78:S78"/>
    <mergeCell ref="P68:Q68"/>
    <mergeCell ref="R68:S68"/>
    <mergeCell ref="N92:S92"/>
    <mergeCell ref="N80:S80"/>
    <mergeCell ref="N81:S81"/>
    <mergeCell ref="N82:S82"/>
    <mergeCell ref="N83:S83"/>
    <mergeCell ref="L76:M76"/>
    <mergeCell ref="R156:S161"/>
    <mergeCell ref="P153:S153"/>
    <mergeCell ref="P154:S154"/>
    <mergeCell ref="D156:Q161"/>
    <mergeCell ref="N93:S93"/>
    <mergeCell ref="N84:S84"/>
    <mergeCell ref="N85:S85"/>
    <mergeCell ref="N90:S90"/>
    <mergeCell ref="P89:S89"/>
    <mergeCell ref="N91:S91"/>
    <mergeCell ref="J86:K86"/>
    <mergeCell ref="J87:K87"/>
    <mergeCell ref="D83:G83"/>
    <mergeCell ref="D76:G76"/>
    <mergeCell ref="D81:G81"/>
    <mergeCell ref="D82:G82"/>
    <mergeCell ref="H76:I76"/>
    <mergeCell ref="J76:K76"/>
    <mergeCell ref="D56:G56"/>
    <mergeCell ref="D53:G53"/>
    <mergeCell ref="D54:G54"/>
    <mergeCell ref="H68:I68"/>
    <mergeCell ref="J68:K68"/>
    <mergeCell ref="D154:G154"/>
    <mergeCell ref="J153:M153"/>
    <mergeCell ref="J154:M154"/>
    <mergeCell ref="D153:G153"/>
    <mergeCell ref="D79:G79"/>
    <mergeCell ref="D80:G80"/>
    <mergeCell ref="D92:G92"/>
    <mergeCell ref="D60:S60"/>
    <mergeCell ref="D61:S61"/>
    <mergeCell ref="D62:S62"/>
    <mergeCell ref="D63:S63"/>
    <mergeCell ref="D78:E78"/>
    <mergeCell ref="F78:G78"/>
    <mergeCell ref="D65:E65"/>
    <mergeCell ref="F65:G65"/>
    <mergeCell ref="H65:I65"/>
    <mergeCell ref="J65:K65"/>
    <mergeCell ref="H69:I70"/>
    <mergeCell ref="J69:K70"/>
  </mergeCells>
  <conditionalFormatting sqref="H26:I46 H55:I57 H48:I51">
    <cfRule type="expression" dxfId="21" priority="35">
      <formula>$H$24=""</formula>
    </cfRule>
  </conditionalFormatting>
  <conditionalFormatting sqref="J41:K46 J55:K57 J48:K51 K26:K40">
    <cfRule type="expression" dxfId="20" priority="34">
      <formula>$J$24=""</formula>
    </cfRule>
  </conditionalFormatting>
  <conditionalFormatting sqref="L26:M46 L55:M57 L48:M51">
    <cfRule type="expression" dxfId="19" priority="33">
      <formula>$L$24=""</formula>
    </cfRule>
  </conditionalFormatting>
  <conditionalFormatting sqref="N26:O46 N55:O57 N48:O51">
    <cfRule type="expression" dxfId="18" priority="32">
      <formula>$N$24=""</formula>
    </cfRule>
  </conditionalFormatting>
  <conditionalFormatting sqref="P26:Q46 P55:Q57 P48:Q51">
    <cfRule type="expression" dxfId="17" priority="31">
      <formula>$P$24=""</formula>
    </cfRule>
  </conditionalFormatting>
  <conditionalFormatting sqref="R55:S57 R48:S51 R40:S46">
    <cfRule type="expression" dxfId="16" priority="30">
      <formula>$R$24=""</formula>
    </cfRule>
  </conditionalFormatting>
  <conditionalFormatting sqref="H52:I54">
    <cfRule type="expression" dxfId="15" priority="29">
      <formula>$H$24=""</formula>
    </cfRule>
  </conditionalFormatting>
  <conditionalFormatting sqref="J52:K54">
    <cfRule type="expression" dxfId="14" priority="28">
      <formula>$J$24=""</formula>
    </cfRule>
  </conditionalFormatting>
  <conditionalFormatting sqref="L52:M54">
    <cfRule type="expression" dxfId="13" priority="27">
      <formula>$L$24=""</formula>
    </cfRule>
  </conditionalFormatting>
  <conditionalFormatting sqref="N52:O54">
    <cfRule type="expression" dxfId="12" priority="26">
      <formula>$N$24=""</formula>
    </cfRule>
  </conditionalFormatting>
  <conditionalFormatting sqref="P52:Q54">
    <cfRule type="expression" dxfId="11" priority="25">
      <formula>$P$24=""</formula>
    </cfRule>
  </conditionalFormatting>
  <conditionalFormatting sqref="R52:S54">
    <cfRule type="expression" dxfId="10" priority="24">
      <formula>$R$24=""</formula>
    </cfRule>
  </conditionalFormatting>
  <conditionalFormatting sqref="H149:S149">
    <cfRule type="expression" dxfId="9" priority="22">
      <formula>H$149&lt;&gt;""</formula>
    </cfRule>
  </conditionalFormatting>
  <conditionalFormatting sqref="H69:S69">
    <cfRule type="expression" dxfId="8" priority="19">
      <formula>H$69&lt;&gt;""</formula>
    </cfRule>
  </conditionalFormatting>
  <conditionalFormatting sqref="I68:R69">
    <cfRule type="expression" dxfId="7" priority="15">
      <formula>AND(I$69&lt;&gt;"",G$69&lt;&gt;"")</formula>
    </cfRule>
    <cfRule type="expression" dxfId="6" priority="17">
      <formula>AND(I$69&lt;&gt;"",K$69&lt;&gt;"")</formula>
    </cfRule>
  </conditionalFormatting>
  <conditionalFormatting sqref="I148:R149">
    <cfRule type="expression" dxfId="5" priority="14">
      <formula>AND(J$149&lt;&gt;"",L$149&lt;&gt;"")</formula>
    </cfRule>
    <cfRule type="expression" dxfId="4" priority="16">
      <formula>AND(I$149&lt;&gt;"",G$149&lt;&gt;"")</formula>
    </cfRule>
  </conditionalFormatting>
  <conditionalFormatting sqref="S26:S39">
    <cfRule type="expression" dxfId="3" priority="1">
      <formula>$J$24=""</formula>
    </cfRule>
  </conditionalFormatting>
  <dataValidations xWindow="1710" yWindow="365" count="5">
    <dataValidation type="list" errorStyle="information" allowBlank="1" showInputMessage="1" showErrorMessage="1" prompt="Choose Remarks from list or edit yours." sqref="D60:S63" xr:uid="{00000000-0002-0000-2500-000000000000}">
      <formula1>REMCOL</formula1>
    </dataValidation>
    <dataValidation type="list" allowBlank="1" showInputMessage="1" prompt="Choose remarks from list or edit yours." sqref="N79:S85 N90:S96 N101:S107 N112:S118 N123:S129 N134:S140" xr:uid="{00000000-0002-0000-2500-000001000000}">
      <formula1>REMCOL</formula1>
    </dataValidation>
    <dataValidation type="time" allowBlank="1" showInputMessage="1" showErrorMessage="1" errorTitle="Time" error="This is not a valid Time format." sqref="S14:S21 M48:M57 K48:K57 I48:I57 S48:S57 Q48:Q57 S26:S46 I26:I46 K26:K46 M26:M46 O26:O46 Q26:Q46 O48:O57" xr:uid="{00000000-0002-0000-2500-000002000000}">
      <formula1>0</formula1>
      <formula2>0.999988425925926</formula2>
    </dataValidation>
    <dataValidation type="date" allowBlank="1" showInputMessage="1" showErrorMessage="1" errorTitle="Date" error="This is not a valid Date format." sqref="R14:R21 L48:L57 J48:J57 H48:H57 R48:R57 P48:P57 R26:R46 H26:H46 J26:J46 L26:L46 N26:N46 P26:P46 N48:N57" xr:uid="{00000000-0002-0000-2500-000003000000}">
      <formula1>36526</formula1>
      <formula2>73415</formula2>
    </dataValidation>
    <dataValidation type="list" errorStyle="information" allowBlank="1" showInputMessage="1" showErrorMessage="1" errorTitle="Activity" error="This Activity is not in the predefined list. Please use with caution." promptTitle="Activity" prompt="Choose Activity from list or edit yours." sqref="D48:G57 D26:G46" xr:uid="{00000000-0002-0000-2500-000004000000}">
      <formula1>$E$6:$E$65</formula1>
    </dataValidation>
  </dataValidations>
  <hyperlinks>
    <hyperlink ref="D59" location="REMCODE" display="Remarks:" xr:uid="{00000000-0004-0000-2500-000000000000}"/>
  </hyperlinks>
  <printOptions horizontalCentered="1"/>
  <pageMargins left="0.3" right="0.3" top="0.2" bottom="0.3" header="0.3" footer="0.1"/>
  <pageSetup paperSize="9" scale="75" orientation="portrait" horizontalDpi="4294967293" r:id="rId1"/>
  <headerFooter scaleWithDoc="0">
    <oddFooter>&amp;L&amp;8BunkerManager, v1.12&amp;C&amp;8by AMS-Marine | www.ams-marine.com&amp;R&amp;8RefNo: PI/2022/15000/TR</oddFooter>
  </headerFooter>
  <rowBreaks count="1" manualBreakCount="1">
    <brk id="74" min="3"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572418" r:id="rId4" name="ListBoxTLR">
              <controlPr defaultSize="0" print="0" autoLine="0" autoPict="0" macro="[0]!TIMELOGLIST">
                <anchor moveWithCells="1">
                  <from>
                    <xdr:col>3</xdr:col>
                    <xdr:colOff>9525</xdr:colOff>
                    <xdr:row>17</xdr:row>
                    <xdr:rowOff>19050</xdr:rowOff>
                  </from>
                  <to>
                    <xdr:col>5</xdr:col>
                    <xdr:colOff>0</xdr:colOff>
                    <xdr:row>18</xdr:row>
                    <xdr:rowOff>123825</xdr:rowOff>
                  </to>
                </anchor>
              </controlPr>
            </control>
          </mc:Choice>
        </mc:AlternateContent>
        <mc:AlternateContent xmlns:mc="http://schemas.openxmlformats.org/markup-compatibility/2006">
          <mc:Choice Requires="x14">
            <control shapeId="572420" r:id="rId5" name="ListBoxTLP">
              <controlPr defaultSize="0" print="0" autoLine="0" autoPict="0" macro="[0]!TIMELOGLIST">
                <anchor moveWithCells="1">
                  <from>
                    <xdr:col>3</xdr:col>
                    <xdr:colOff>9525</xdr:colOff>
                    <xdr:row>18</xdr:row>
                    <xdr:rowOff>142875</xdr:rowOff>
                  </from>
                  <to>
                    <xdr:col>5</xdr:col>
                    <xdr:colOff>0</xdr:colOff>
                    <xdr:row>21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710" yWindow="365" count="1">
        <x14:dataValidation type="list" errorStyle="information" allowBlank="1" showInputMessage="1" showErrorMessage="1" errorTitle="Activity" error="This Activity is not in the predefined list. Please use with caution." promptTitle="Activity" prompt="Choose Activity from list or edit yours." xr:uid="{00000000-0002-0000-2500-000005000000}">
          <x14:formula1>
            <xm:f>'STANDARD SETT'!$E$6:$E$65</xm:f>
          </x14:formula1>
          <xm:sqref>N14:Q21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05">
    <tabColor rgb="FFFFFF00"/>
    <pageSetUpPr fitToPage="1"/>
  </sheetPr>
  <dimension ref="A1:M55"/>
  <sheetViews>
    <sheetView showGridLines="0" showRowColHeaders="0" topLeftCell="A9" zoomScaleNormal="100" zoomScaleSheetLayoutView="100" workbookViewId="0">
      <pane ySplit="9" topLeftCell="A18" activePane="bottomLeft" state="frozen"/>
      <selection pane="bottomLeft"/>
    </sheetView>
  </sheetViews>
  <sheetFormatPr defaultColWidth="0" defaultRowHeight="12.75" zeroHeight="1"/>
  <cols>
    <col min="1" max="2" width="9" style="881" customWidth="1"/>
    <col min="3" max="3" width="11.75" style="881" customWidth="1"/>
    <col min="4" max="4" width="4.5" style="881" customWidth="1"/>
    <col min="5" max="5" width="10.25" style="881" customWidth="1"/>
    <col min="6" max="6" width="4.25" style="881" customWidth="1"/>
    <col min="7" max="7" width="13.625" style="881" customWidth="1"/>
    <col min="8" max="8" width="13.75" style="881" customWidth="1"/>
    <col min="9" max="9" width="12.75" style="881" customWidth="1"/>
    <col min="10" max="10" width="10.875" style="881" customWidth="1"/>
    <col min="11" max="11" width="0.375" style="881" customWidth="1"/>
    <col min="12" max="12" width="18.125" style="881" hidden="1" customWidth="1"/>
    <col min="13" max="13" width="10.75" style="881" hidden="1" customWidth="1"/>
    <col min="14" max="16384" width="9" style="881" hidden="1"/>
  </cols>
  <sheetData>
    <row r="1" spans="1:10" ht="22.5" hidden="1" customHeight="1">
      <c r="A1" s="880"/>
      <c r="B1" s="880"/>
      <c r="C1" s="880"/>
      <c r="D1" s="880"/>
      <c r="E1" s="880"/>
      <c r="F1" s="880"/>
      <c r="G1" s="880"/>
      <c r="H1" s="880"/>
      <c r="I1" s="880"/>
      <c r="J1" s="880"/>
    </row>
    <row r="2" spans="1:10">
      <c r="A2" s="880"/>
      <c r="B2" s="880"/>
      <c r="C2" s="880"/>
      <c r="D2" s="880"/>
      <c r="E2" s="880"/>
      <c r="F2" s="880"/>
      <c r="G2" s="880"/>
      <c r="H2" s="880"/>
      <c r="I2" s="880"/>
      <c r="J2" s="880"/>
    </row>
    <row r="3" spans="1:10">
      <c r="A3" s="880"/>
      <c r="B3" s="880"/>
      <c r="C3" s="880"/>
      <c r="D3" s="880"/>
      <c r="E3" s="880"/>
      <c r="F3" s="880"/>
      <c r="G3" s="880"/>
      <c r="H3" s="880"/>
      <c r="I3" s="880"/>
      <c r="J3" s="880"/>
    </row>
    <row r="4" spans="1:10">
      <c r="A4" s="880"/>
      <c r="B4" s="880"/>
      <c r="C4" s="880"/>
      <c r="D4" s="880"/>
      <c r="E4" s="880"/>
      <c r="F4" s="880"/>
      <c r="G4" s="880"/>
      <c r="H4" s="880"/>
      <c r="I4" s="880"/>
      <c r="J4" s="880"/>
    </row>
    <row r="5" spans="1:10" ht="19.5" customHeight="1">
      <c r="A5" s="880"/>
      <c r="B5" s="880"/>
      <c r="C5" s="880"/>
      <c r="D5" s="882"/>
      <c r="E5" s="883"/>
      <c r="F5" s="883"/>
      <c r="G5" s="883"/>
      <c r="H5" s="883"/>
      <c r="I5" s="883"/>
      <c r="J5" s="161" t="str">
        <f>COMPANY1</f>
        <v>Petro Inspect International</v>
      </c>
    </row>
    <row r="6" spans="1:10" ht="12.95" customHeight="1">
      <c r="A6" s="880"/>
      <c r="B6" s="880"/>
      <c r="C6" s="880"/>
      <c r="D6" s="884"/>
      <c r="E6" s="883"/>
      <c r="F6" s="883"/>
      <c r="G6" s="883"/>
      <c r="H6" s="883"/>
      <c r="I6" s="883"/>
      <c r="J6" s="162" t="str">
        <f>COMPANY2</f>
        <v>ops@petro-inspect.com</v>
      </c>
    </row>
    <row r="7" spans="1:10" ht="12.95" customHeight="1">
      <c r="A7" s="880"/>
      <c r="B7" s="880"/>
      <c r="C7" s="880"/>
      <c r="D7" s="884"/>
      <c r="E7" s="883"/>
      <c r="F7" s="883"/>
      <c r="G7" s="883"/>
      <c r="H7" s="883"/>
      <c r="I7" s="883"/>
      <c r="J7" s="162" t="str">
        <f>COMPANY3</f>
        <v/>
      </c>
    </row>
    <row r="8" spans="1:10" ht="12.95" customHeight="1">
      <c r="A8" s="880"/>
      <c r="B8" s="880"/>
      <c r="C8" s="880"/>
      <c r="D8" s="884"/>
      <c r="E8" s="883"/>
      <c r="F8" s="883"/>
      <c r="G8" s="883"/>
      <c r="H8" s="883"/>
      <c r="I8" s="883"/>
      <c r="J8" s="162" t="str">
        <f>COMPANY4</f>
        <v/>
      </c>
    </row>
    <row r="9" spans="1:10" ht="3.75" customHeight="1" thickBot="1">
      <c r="A9" s="885"/>
      <c r="B9" s="885"/>
      <c r="C9" s="885"/>
      <c r="D9" s="164"/>
      <c r="E9" s="886"/>
      <c r="F9" s="886"/>
      <c r="G9" s="886"/>
      <c r="H9" s="886"/>
      <c r="I9" s="886"/>
      <c r="J9" s="886"/>
    </row>
    <row r="10" spans="1:10" ht="3.75" customHeight="1">
      <c r="A10" s="880"/>
      <c r="B10" s="880"/>
      <c r="C10" s="880"/>
      <c r="D10" s="162"/>
      <c r="E10" s="887"/>
      <c r="F10" s="887"/>
      <c r="G10" s="887"/>
      <c r="H10" s="887"/>
      <c r="I10" s="887"/>
      <c r="J10" s="887"/>
    </row>
    <row r="11" spans="1:10" ht="25.5" customHeight="1"/>
    <row r="12" spans="1:10" ht="23.25" customHeight="1">
      <c r="A12" s="3677" t="s">
        <v>661</v>
      </c>
      <c r="B12" s="3678"/>
      <c r="C12" s="3678"/>
      <c r="D12" s="3678"/>
      <c r="E12" s="3678"/>
      <c r="F12" s="3678"/>
      <c r="G12" s="3678"/>
      <c r="H12" s="3678"/>
      <c r="I12" s="3678"/>
      <c r="J12" s="3678"/>
    </row>
    <row r="13" spans="1:10" ht="16.5" customHeight="1"/>
    <row r="14" spans="1:10" ht="16.5" customHeight="1">
      <c r="A14" s="331" t="s">
        <v>175</v>
      </c>
      <c r="B14" s="331"/>
      <c r="C14" s="607" t="str">
        <f>MYBARGENAME</f>
        <v>M/T YALÇIN 2</v>
      </c>
    </row>
    <row r="15" spans="1:10" ht="16.5" customHeight="1">
      <c r="A15" s="3520" t="s">
        <v>11</v>
      </c>
      <c r="B15" s="3520"/>
      <c r="C15" s="349" t="str">
        <f>PORT</f>
        <v>ISTANBUL / TURKEY</v>
      </c>
    </row>
    <row r="16" spans="1:10" ht="16.5" customHeight="1">
      <c r="A16" s="331" t="s">
        <v>174</v>
      </c>
      <c r="B16" s="331"/>
      <c r="C16" s="346">
        <f>DATESURVC</f>
        <v>44792</v>
      </c>
    </row>
    <row r="17" spans="1:10" ht="16.5" customHeight="1"/>
    <row r="18" spans="1:10" ht="16.5" customHeight="1">
      <c r="G18" s="890" t="s">
        <v>679</v>
      </c>
    </row>
    <row r="19" spans="1:10" ht="16.5" customHeight="1">
      <c r="A19" s="895" t="s">
        <v>660</v>
      </c>
      <c r="B19" s="896"/>
      <c r="C19" s="896"/>
      <c r="E19" s="889">
        <v>4.7</v>
      </c>
      <c r="G19" s="3676"/>
      <c r="H19" s="3676"/>
      <c r="I19" s="3676"/>
      <c r="J19" s="3676"/>
    </row>
    <row r="20" spans="1:10" ht="16.5" customHeight="1">
      <c r="A20" s="895" t="s">
        <v>659</v>
      </c>
      <c r="B20" s="896"/>
      <c r="C20" s="896"/>
      <c r="E20" s="889">
        <v>4.8</v>
      </c>
      <c r="G20" s="3679"/>
      <c r="H20" s="3679"/>
      <c r="I20" s="3679"/>
      <c r="J20" s="3679"/>
    </row>
    <row r="21" spans="1:10" ht="16.5" customHeight="1">
      <c r="A21" s="897" t="s">
        <v>658</v>
      </c>
      <c r="B21" s="896"/>
      <c r="C21" s="896"/>
      <c r="E21" s="889">
        <v>4.4000000000000004</v>
      </c>
      <c r="G21" s="3676"/>
      <c r="H21" s="3676"/>
      <c r="I21" s="3676"/>
      <c r="J21" s="3676"/>
    </row>
    <row r="22" spans="1:10" ht="16.5" customHeight="1">
      <c r="A22" s="897" t="s">
        <v>657</v>
      </c>
      <c r="B22" s="896"/>
      <c r="C22" s="896"/>
      <c r="E22" s="889">
        <v>4.8</v>
      </c>
      <c r="G22" s="3676"/>
      <c r="H22" s="3676"/>
      <c r="I22" s="3676"/>
      <c r="J22" s="3676"/>
    </row>
    <row r="23" spans="1:10" ht="16.5" customHeight="1">
      <c r="A23" s="897" t="s">
        <v>656</v>
      </c>
      <c r="B23" s="896"/>
      <c r="C23" s="896"/>
      <c r="E23" s="889">
        <v>4.5</v>
      </c>
      <c r="G23" s="3676"/>
      <c r="H23" s="3676"/>
      <c r="I23" s="3676"/>
      <c r="J23" s="3676"/>
    </row>
    <row r="24" spans="1:10" ht="16.5" customHeight="1">
      <c r="I24" s="877"/>
      <c r="J24" s="888"/>
    </row>
    <row r="25" spans="1:10" ht="16.5" thickBot="1">
      <c r="D25" s="898" t="s">
        <v>647</v>
      </c>
      <c r="E25" s="891">
        <f>AVERAGE(E19:E23)</f>
        <v>4.6399999999999997</v>
      </c>
      <c r="I25" s="876"/>
      <c r="J25" s="888"/>
    </row>
    <row r="26" spans="1:10" ht="16.5" customHeight="1" thickTop="1">
      <c r="H26" s="888"/>
      <c r="I26" s="878"/>
      <c r="J26" s="888"/>
    </row>
    <row r="27" spans="1:10" ht="16.5" customHeight="1">
      <c r="G27" s="890" t="s">
        <v>679</v>
      </c>
      <c r="H27" s="876"/>
      <c r="I27" s="879"/>
      <c r="J27" s="888"/>
    </row>
    <row r="28" spans="1:10" ht="16.5" customHeight="1">
      <c r="A28" s="895" t="s">
        <v>655</v>
      </c>
      <c r="B28" s="896"/>
      <c r="C28" s="896"/>
      <c r="E28" s="889">
        <v>4.5999999999999996</v>
      </c>
      <c r="G28" s="3676"/>
      <c r="H28" s="3676"/>
      <c r="I28" s="3676"/>
      <c r="J28" s="3676"/>
    </row>
    <row r="29" spans="1:10" ht="16.5" customHeight="1">
      <c r="A29" s="897" t="s">
        <v>654</v>
      </c>
      <c r="B29" s="896"/>
      <c r="C29" s="896"/>
      <c r="E29" s="889">
        <v>4.7</v>
      </c>
      <c r="G29" s="3676"/>
      <c r="H29" s="3676"/>
      <c r="I29" s="3676"/>
      <c r="J29" s="3676"/>
    </row>
    <row r="30" spans="1:10" ht="16.5" customHeight="1">
      <c r="A30" s="897" t="s">
        <v>653</v>
      </c>
      <c r="B30" s="896"/>
      <c r="C30" s="896"/>
      <c r="E30" s="889">
        <v>4.8</v>
      </c>
      <c r="G30" s="3676"/>
      <c r="H30" s="3676"/>
      <c r="I30" s="3676"/>
      <c r="J30" s="3676"/>
    </row>
    <row r="31" spans="1:10" ht="16.5" customHeight="1">
      <c r="A31" s="897" t="s">
        <v>652</v>
      </c>
      <c r="B31" s="896"/>
      <c r="C31" s="896"/>
      <c r="E31" s="889">
        <v>3.1</v>
      </c>
      <c r="G31" s="3676"/>
      <c r="H31" s="3676"/>
      <c r="I31" s="3676"/>
      <c r="J31" s="3676"/>
    </row>
    <row r="32" spans="1:10" ht="16.5" customHeight="1">
      <c r="A32" s="897" t="s">
        <v>651</v>
      </c>
      <c r="B32" s="896"/>
      <c r="C32" s="896"/>
      <c r="E32" s="889">
        <v>4.4000000000000004</v>
      </c>
      <c r="G32" s="3676"/>
      <c r="H32" s="3676"/>
      <c r="I32" s="3676"/>
      <c r="J32" s="3676"/>
    </row>
    <row r="33" spans="1:10" ht="16.5" customHeight="1">
      <c r="A33" s="897" t="s">
        <v>650</v>
      </c>
      <c r="B33" s="896"/>
      <c r="C33" s="896"/>
      <c r="E33" s="889">
        <v>4.5999999999999996</v>
      </c>
      <c r="G33" s="3676"/>
      <c r="H33" s="3676"/>
      <c r="I33" s="3676"/>
      <c r="J33" s="3676"/>
    </row>
    <row r="34" spans="1:10" ht="16.5" customHeight="1">
      <c r="A34" s="897" t="s">
        <v>649</v>
      </c>
      <c r="B34" s="896"/>
      <c r="C34" s="896"/>
      <c r="E34" s="889">
        <v>4.5999999999999996</v>
      </c>
      <c r="G34" s="3676"/>
      <c r="H34" s="3676"/>
      <c r="I34" s="3676"/>
      <c r="J34" s="3676"/>
    </row>
    <row r="35" spans="1:10" ht="16.5" customHeight="1">
      <c r="A35" s="897" t="s">
        <v>648</v>
      </c>
      <c r="B35" s="896"/>
      <c r="C35" s="896"/>
      <c r="E35" s="889">
        <v>4.4000000000000004</v>
      </c>
      <c r="G35" s="3676"/>
      <c r="H35" s="3676"/>
      <c r="I35" s="3676"/>
      <c r="J35" s="3676"/>
    </row>
    <row r="36" spans="1:10" ht="16.5" customHeight="1"/>
    <row r="37" spans="1:10" ht="16.5" thickBot="1">
      <c r="D37" s="898" t="s">
        <v>647</v>
      </c>
      <c r="E37" s="891">
        <f>AVERAGE(E28:E35)</f>
        <v>4.4000000000000004</v>
      </c>
    </row>
    <row r="38" spans="1:10" ht="16.5" customHeight="1" thickTop="1"/>
    <row r="39" spans="1:10" ht="16.5" customHeight="1"/>
    <row r="40" spans="1:10" ht="16.5" customHeight="1">
      <c r="A40" s="899" t="s">
        <v>670</v>
      </c>
    </row>
    <row r="41" spans="1:10" ht="16.5" customHeight="1">
      <c r="A41" s="892" t="s">
        <v>671</v>
      </c>
    </row>
    <row r="42" spans="1:10" ht="16.5" customHeight="1">
      <c r="A42" s="892" t="s">
        <v>672</v>
      </c>
    </row>
    <row r="43" spans="1:10" ht="16.5" customHeight="1"/>
    <row r="44" spans="1:10" ht="16.5" customHeight="1"/>
    <row r="45" spans="1:10" ht="16.5" customHeight="1">
      <c r="A45" s="1192" t="s">
        <v>49</v>
      </c>
      <c r="B45" s="893"/>
      <c r="C45" s="893"/>
      <c r="D45" s="893"/>
      <c r="E45" s="893"/>
      <c r="F45" s="893"/>
      <c r="G45" s="893"/>
      <c r="H45" s="894"/>
      <c r="I45" s="894"/>
      <c r="J45" s="894"/>
    </row>
    <row r="46" spans="1:10" ht="16.5" customHeight="1">
      <c r="A46" s="3673"/>
      <c r="B46" s="3674"/>
      <c r="C46" s="3674"/>
      <c r="D46" s="3674"/>
      <c r="E46" s="3674"/>
      <c r="F46" s="3674"/>
      <c r="G46" s="3674"/>
      <c r="H46" s="3674"/>
      <c r="I46" s="3674"/>
      <c r="J46" s="3675"/>
    </row>
    <row r="47" spans="1:10" ht="16.5" customHeight="1">
      <c r="A47" s="3673"/>
      <c r="B47" s="3674"/>
      <c r="C47" s="3674"/>
      <c r="D47" s="3674"/>
      <c r="E47" s="3674"/>
      <c r="F47" s="3674"/>
      <c r="G47" s="3674"/>
      <c r="H47" s="3674"/>
      <c r="I47" s="3674"/>
      <c r="J47" s="3675"/>
    </row>
    <row r="48" spans="1:10" ht="16.5" customHeight="1">
      <c r="A48" s="3673"/>
      <c r="B48" s="3674"/>
      <c r="C48" s="3674"/>
      <c r="D48" s="3674"/>
      <c r="E48" s="3674"/>
      <c r="F48" s="3674"/>
      <c r="G48" s="3674"/>
      <c r="H48" s="3674"/>
      <c r="I48" s="3674"/>
      <c r="J48" s="3675"/>
    </row>
    <row r="49" spans="1:10" ht="16.5" customHeight="1">
      <c r="A49" s="3673"/>
      <c r="B49" s="3674"/>
      <c r="C49" s="3674"/>
      <c r="D49" s="3674"/>
      <c r="E49" s="3674"/>
      <c r="F49" s="3674"/>
      <c r="G49" s="3674"/>
      <c r="H49" s="3674"/>
      <c r="I49" s="3674"/>
      <c r="J49" s="3675"/>
    </row>
    <row r="50" spans="1:10"/>
    <row r="51" spans="1:10"/>
    <row r="52" spans="1:10"/>
    <row r="53" spans="1:10"/>
    <row r="54" spans="1:10" ht="15">
      <c r="H54" s="2373" t="str">
        <f>SURVEYOR</f>
        <v>MEHMET EROĞLU</v>
      </c>
      <c r="I54" s="2373"/>
      <c r="J54" s="2373"/>
    </row>
    <row r="55" spans="1:10" ht="15">
      <c r="H55" s="2386" t="str">
        <f>"Bunker Surveyor"&amp;IF(SPORE=TRUE,", License No. "&amp;SURVLIC,"")</f>
        <v>Bunker Surveyor</v>
      </c>
      <c r="I55" s="2386"/>
      <c r="J55" s="2386"/>
    </row>
  </sheetData>
  <sheetProtection algorithmName="SHA-512" hashValue="9MlKNUZSygrSd1VTOcDNp2fVr5PskTPnqNXKy9aId0UbVUQ77k0S1l1auGWUJYpk1BtI8RovIh/IU18J9utItA==" saltValue="3yJH6z976Zr+p8kxvYe+1w==" spinCount="100000" sheet="1" objects="1" scenarios="1" autoFilter="0"/>
  <mergeCells count="21">
    <mergeCell ref="G33:J33"/>
    <mergeCell ref="G34:J34"/>
    <mergeCell ref="G31:J31"/>
    <mergeCell ref="G23:J23"/>
    <mergeCell ref="G28:J28"/>
    <mergeCell ref="G29:J29"/>
    <mergeCell ref="G30:J30"/>
    <mergeCell ref="G32:J32"/>
    <mergeCell ref="A12:J12"/>
    <mergeCell ref="G19:J19"/>
    <mergeCell ref="G20:J20"/>
    <mergeCell ref="G21:J21"/>
    <mergeCell ref="G22:J22"/>
    <mergeCell ref="A15:B15"/>
    <mergeCell ref="H54:J54"/>
    <mergeCell ref="H55:J55"/>
    <mergeCell ref="A48:J48"/>
    <mergeCell ref="A49:J49"/>
    <mergeCell ref="G35:J35"/>
    <mergeCell ref="A46:J46"/>
    <mergeCell ref="A47:J47"/>
  </mergeCells>
  <dataValidations count="3">
    <dataValidation type="list" allowBlank="1" showInputMessage="1" prompt="Choose Remarks from list or edit yours." sqref="G19:J23 G28:J35" xr:uid="{00000000-0002-0000-2600-000000000000}">
      <formula1>REMCOL</formula1>
    </dataValidation>
    <dataValidation type="decimal" allowBlank="1" showInputMessage="1" showErrorMessage="1" errorTitle="Number" error="This is not a valid number between 0.0 and 5.0" sqref="E19:E23 E28:E35" xr:uid="{00000000-0002-0000-2600-000001000000}">
      <formula1>0</formula1>
      <formula2>5</formula2>
    </dataValidation>
    <dataValidation type="list" errorStyle="information" allowBlank="1" showInputMessage="1" showErrorMessage="1" prompt="Choose Remarks from list or edit yours." sqref="A46:J49" xr:uid="{00000000-0002-0000-2600-000002000000}">
      <formula1>REMCOL</formula1>
    </dataValidation>
  </dataValidations>
  <hyperlinks>
    <hyperlink ref="A45" location="REMCODE" display="Remarks" xr:uid="{00000000-0004-0000-2600-000000000000}"/>
  </hyperlinks>
  <printOptions horizontalCentered="1"/>
  <pageMargins left="0.3" right="0.3" top="0.2" bottom="0.3" header="0.3" footer="0.1"/>
  <pageSetup paperSize="9" scale="92" orientation="portrait" r:id="rId1"/>
  <headerFooter scaleWithDoc="0">
    <oddFooter>&amp;L&amp;8BunkerManager, v1.12&amp;C&amp;8by AMS-Marine | www.ams-marine.com&amp;R&amp;8RefNo: BD/2015/00926 SG</oddFooter>
  </headerFooter>
  <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0">
    <tabColor indexed="19"/>
    <pageSetUpPr autoPageBreaks="0" fitToPage="1"/>
  </sheetPr>
  <dimension ref="A1:CC919"/>
  <sheetViews>
    <sheetView showGridLines="0" showRowColHeaders="0" zoomScaleNormal="100" zoomScaleSheetLayoutView="100" workbookViewId="0">
      <pane ySplit="3" topLeftCell="A4" activePane="bottomLeft" state="frozen"/>
      <selection pane="bottomLeft" activeCell="I32" sqref="I32"/>
    </sheetView>
  </sheetViews>
  <sheetFormatPr defaultColWidth="0" defaultRowHeight="12.75" zeroHeight="1"/>
  <cols>
    <col min="1" max="1" width="0.375" style="2016" customWidth="1"/>
    <col min="2" max="2" width="4.875" style="2018" customWidth="1"/>
    <col min="3" max="4" width="10.625" style="2018" customWidth="1"/>
    <col min="5" max="5" width="0.625" style="2018" customWidth="1"/>
    <col min="6" max="6" width="11.875" style="2018" customWidth="1"/>
    <col min="7" max="7" width="3.375" style="2018" customWidth="1"/>
    <col min="8" max="8" width="1.875" style="2018" customWidth="1"/>
    <col min="9" max="9" width="8.625" style="2018" customWidth="1"/>
    <col min="10" max="10" width="1.375" style="2018" customWidth="1"/>
    <col min="11" max="11" width="9.625" style="2018" customWidth="1"/>
    <col min="12" max="12" width="1.375" style="2018" customWidth="1"/>
    <col min="13" max="13" width="9.625" style="2018" customWidth="1"/>
    <col min="14" max="14" width="1.375" style="2018" customWidth="1"/>
    <col min="15" max="15" width="9.625" style="2018" customWidth="1"/>
    <col min="16" max="16" width="1.375" style="2018" customWidth="1"/>
    <col min="17" max="17" width="8.625" style="2018" customWidth="1"/>
    <col min="18" max="18" width="4.875" style="2018" customWidth="1"/>
    <col min="19" max="19" width="0.375" style="2017" customWidth="1"/>
    <col min="20" max="21" width="3.75" style="2017" hidden="1" customWidth="1"/>
    <col min="22" max="22" width="7.375" style="2017" hidden="1" customWidth="1"/>
    <col min="23" max="23" width="3.625" style="2017" hidden="1" customWidth="1"/>
    <col min="24" max="24" width="7.375" style="2017" hidden="1" customWidth="1"/>
    <col min="25" max="25" width="8.625" style="2017" hidden="1" customWidth="1"/>
    <col min="26" max="26" width="2.75" style="2017" hidden="1" customWidth="1"/>
    <col min="27" max="27" width="4.375" style="2017" hidden="1" customWidth="1"/>
    <col min="28" max="81" width="4.875" style="2017" hidden="1" customWidth="1"/>
    <col min="82" max="16384" width="0" style="2016" hidden="1"/>
  </cols>
  <sheetData>
    <row r="1" spans="1:81" ht="0.75" customHeight="1">
      <c r="A1" s="2062"/>
      <c r="B1" s="2173"/>
      <c r="C1" s="2173"/>
      <c r="D1" s="2173"/>
      <c r="E1" s="2173"/>
      <c r="F1" s="2173"/>
      <c r="G1" s="2173"/>
      <c r="H1" s="2173"/>
      <c r="I1" s="2173"/>
      <c r="J1" s="2173"/>
      <c r="K1" s="2173"/>
      <c r="L1" s="2173"/>
      <c r="M1" s="2173"/>
      <c r="N1" s="2173"/>
      <c r="O1" s="2173"/>
      <c r="P1" s="2173"/>
      <c r="Q1" s="2173"/>
      <c r="R1" s="2173"/>
      <c r="S1" s="2062"/>
      <c r="T1" s="2064"/>
      <c r="U1" s="2172" t="b">
        <v>1</v>
      </c>
      <c r="V1" s="2171">
        <v>4.53</v>
      </c>
      <c r="W1" s="2170">
        <v>42899.965983796297</v>
      </c>
    </row>
    <row r="2" spans="1:81" s="2157" customFormat="1" ht="23.25">
      <c r="A2" s="2062"/>
      <c r="B2" s="2169"/>
      <c r="C2" s="2166"/>
      <c r="D2" s="2166"/>
      <c r="E2" s="2166"/>
      <c r="F2" s="2166"/>
      <c r="G2" s="2166"/>
      <c r="H2" s="2166"/>
      <c r="I2" s="2168" t="s">
        <v>1446</v>
      </c>
      <c r="J2" s="2166"/>
      <c r="K2" s="2167" t="str">
        <f>"v"&amp;VERNO_SASTM</f>
        <v>v4.53</v>
      </c>
      <c r="L2" s="2166"/>
      <c r="M2" s="2166"/>
      <c r="N2" s="2166"/>
      <c r="O2" s="2166"/>
      <c r="P2" s="2166"/>
      <c r="Q2" s="2166"/>
      <c r="R2" s="2165"/>
      <c r="S2" s="2158"/>
      <c r="T2" s="2161"/>
      <c r="U2" s="2159"/>
      <c r="V2" s="2164">
        <v>1</v>
      </c>
      <c r="W2" s="2162">
        <v>2</v>
      </c>
      <c r="X2" s="2162">
        <v>2</v>
      </c>
      <c r="Y2" s="2162">
        <v>1</v>
      </c>
      <c r="Z2" s="2162">
        <v>2</v>
      </c>
      <c r="AA2" s="2163">
        <v>1</v>
      </c>
      <c r="AB2" s="2133" t="s">
        <v>968</v>
      </c>
      <c r="AC2" s="2162">
        <v>2</v>
      </c>
      <c r="AD2" s="2159"/>
      <c r="AE2" s="2158"/>
      <c r="AF2" s="2158"/>
      <c r="AG2" s="2158"/>
      <c r="AH2" s="2158"/>
      <c r="AI2" s="2158"/>
      <c r="AJ2" s="2158"/>
      <c r="AK2" s="2158"/>
      <c r="AL2" s="2158"/>
      <c r="AM2" s="2158"/>
      <c r="AN2" s="2158"/>
      <c r="AO2" s="2158"/>
      <c r="AP2" s="2158"/>
      <c r="AQ2" s="2158"/>
      <c r="AR2" s="2158"/>
      <c r="AS2" s="2158"/>
      <c r="AT2" s="2158"/>
      <c r="AU2" s="2158"/>
      <c r="AV2" s="2158"/>
      <c r="AW2" s="2158"/>
      <c r="AX2" s="2158"/>
      <c r="AY2" s="2158"/>
      <c r="AZ2" s="2158"/>
      <c r="BA2" s="2158"/>
      <c r="BB2" s="2158"/>
      <c r="BC2" s="2158"/>
      <c r="BD2" s="2158"/>
      <c r="BE2" s="2158"/>
      <c r="BF2" s="2158"/>
      <c r="BG2" s="2158"/>
      <c r="BH2" s="2158"/>
      <c r="BI2" s="2158"/>
      <c r="BJ2" s="2158"/>
      <c r="BK2" s="2158"/>
      <c r="BL2" s="2158"/>
      <c r="BM2" s="2158"/>
      <c r="BN2" s="2158"/>
      <c r="BO2" s="2158"/>
      <c r="BP2" s="2158"/>
      <c r="BQ2" s="2158"/>
      <c r="BR2" s="2158"/>
      <c r="BS2" s="2158"/>
      <c r="BT2" s="2158"/>
      <c r="BU2" s="2158"/>
      <c r="BV2" s="2158"/>
      <c r="BW2" s="2158"/>
      <c r="BX2" s="2158"/>
      <c r="BY2" s="2158"/>
      <c r="BZ2" s="2158"/>
      <c r="CA2" s="2158"/>
      <c r="CB2" s="2158"/>
      <c r="CC2" s="2158"/>
    </row>
    <row r="3" spans="1:81" s="2157" customFormat="1" ht="3" customHeight="1">
      <c r="A3" s="2062"/>
      <c r="B3" s="2192"/>
      <c r="C3" s="2193"/>
      <c r="D3" s="2193"/>
      <c r="E3" s="2193"/>
      <c r="F3" s="2193"/>
      <c r="G3" s="2193"/>
      <c r="H3" s="2193"/>
      <c r="I3" s="2194"/>
      <c r="J3" s="2193"/>
      <c r="K3" s="2193"/>
      <c r="L3" s="2193"/>
      <c r="M3" s="2193"/>
      <c r="N3" s="2193"/>
      <c r="O3" s="2193"/>
      <c r="P3" s="2193"/>
      <c r="Q3" s="2193"/>
      <c r="R3" s="2195"/>
      <c r="S3" s="2158"/>
      <c r="T3" s="2161"/>
      <c r="U3" s="2159"/>
      <c r="V3" s="2160" t="s">
        <v>1445</v>
      </c>
      <c r="W3" s="2145" t="str">
        <f>"0.25 °"&amp;IF($Z$2=1,"C","F")</f>
        <v>0.25 °F</v>
      </c>
      <c r="X3" s="2160" t="s">
        <v>1402</v>
      </c>
      <c r="Y3" s="2160" t="s">
        <v>1416</v>
      </c>
      <c r="Z3" s="2160" t="s">
        <v>1444</v>
      </c>
      <c r="AA3" s="2133">
        <f>ROUNDDOWN($K$7,0)+ROUND(($K$7-ROUNDDOWN($K$7,0))/0.25,0)*0.25</f>
        <v>80</v>
      </c>
      <c r="AB3" s="2133" t="s">
        <v>1443</v>
      </c>
      <c r="AC3" s="2135" t="s">
        <v>1442</v>
      </c>
      <c r="AD3" s="2159"/>
      <c r="AE3" s="2158"/>
      <c r="AF3" s="2158"/>
      <c r="AG3" s="2158"/>
      <c r="AH3" s="2158"/>
      <c r="AI3" s="2158"/>
      <c r="AJ3" s="2158"/>
      <c r="AK3" s="2158"/>
      <c r="AL3" s="2158"/>
      <c r="AM3" s="2158"/>
      <c r="AN3" s="2158"/>
      <c r="AO3" s="2158"/>
      <c r="AP3" s="2158"/>
      <c r="AQ3" s="2158"/>
      <c r="AR3" s="2158"/>
      <c r="AS3" s="2158"/>
      <c r="AT3" s="2158"/>
      <c r="AU3" s="2158"/>
      <c r="AV3" s="2158"/>
      <c r="AW3" s="2158"/>
      <c r="AX3" s="2158"/>
      <c r="AY3" s="2158"/>
      <c r="AZ3" s="2158"/>
      <c r="BA3" s="2158"/>
      <c r="BB3" s="2158"/>
      <c r="BC3" s="2158"/>
      <c r="BD3" s="2158"/>
      <c r="BE3" s="2158"/>
      <c r="BF3" s="2158"/>
      <c r="BG3" s="2158"/>
      <c r="BH3" s="2158"/>
      <c r="BI3" s="2158"/>
      <c r="BJ3" s="2158"/>
      <c r="BK3" s="2158"/>
      <c r="BL3" s="2158"/>
      <c r="BM3" s="2158"/>
      <c r="BN3" s="2158"/>
      <c r="BO3" s="2158"/>
      <c r="BP3" s="2158"/>
      <c r="BQ3" s="2158"/>
      <c r="BR3" s="2158"/>
      <c r="BS3" s="2158"/>
      <c r="BT3" s="2158"/>
      <c r="BU3" s="2158"/>
      <c r="BV3" s="2158"/>
      <c r="BW3" s="2158"/>
      <c r="BX3" s="2158"/>
      <c r="BY3" s="2158"/>
      <c r="BZ3" s="2158"/>
      <c r="CA3" s="2158"/>
      <c r="CB3" s="2158"/>
      <c r="CC3" s="2158"/>
    </row>
    <row r="4" spans="1:81" ht="8.4499999999999993" customHeight="1">
      <c r="A4" s="2062"/>
      <c r="B4" s="2156"/>
      <c r="C4" s="2155"/>
      <c r="D4" s="2155"/>
      <c r="E4" s="2155"/>
      <c r="F4" s="2155"/>
      <c r="G4" s="2155"/>
      <c r="H4" s="2155"/>
      <c r="I4" s="2155"/>
      <c r="J4" s="2155"/>
      <c r="K4" s="2155"/>
      <c r="L4" s="2155"/>
      <c r="M4" s="2154"/>
      <c r="N4" s="2154"/>
      <c r="O4" s="2154"/>
      <c r="P4" s="2154"/>
      <c r="Q4" s="2154"/>
      <c r="R4" s="2153"/>
      <c r="T4" s="2111"/>
      <c r="U4" s="2081"/>
      <c r="V4" s="2135" t="s">
        <v>1441</v>
      </c>
      <c r="W4" s="2145" t="str">
        <f>"0.5 °"&amp;IF($Z$2=1,"C","F")</f>
        <v>0.5 °F</v>
      </c>
      <c r="X4" s="2135" t="s">
        <v>1440</v>
      </c>
      <c r="Y4" s="2135" t="s">
        <v>1439</v>
      </c>
      <c r="Z4" s="2135" t="s">
        <v>1438</v>
      </c>
      <c r="AA4" s="2133">
        <f>ROUNDDOWN((TEMP-32)/9*5,0)+ROUND(((TEMP-32)/9*5-ROUNDDOWN((TEMP-32)/9*5,0))/0.25,0)*0.25</f>
        <v>26.75</v>
      </c>
      <c r="AB4" s="2133" t="s">
        <v>1437</v>
      </c>
      <c r="AC4" s="2135" t="s">
        <v>1436</v>
      </c>
      <c r="AD4" s="2081"/>
    </row>
    <row r="5" spans="1:81" ht="15" customHeight="1">
      <c r="A5" s="2062"/>
      <c r="B5" s="2072"/>
      <c r="C5" s="3680" t="s">
        <v>1435</v>
      </c>
      <c r="D5" s="3685"/>
      <c r="E5" s="2143"/>
      <c r="F5" s="2152" t="s">
        <v>1448</v>
      </c>
      <c r="G5" s="3684"/>
      <c r="H5" s="3684"/>
      <c r="I5" s="2131"/>
      <c r="J5" s="2077"/>
      <c r="K5" s="2151" t="str">
        <f>IF(Z2=1,Z3,Z4)</f>
        <v>TEMP °F</v>
      </c>
      <c r="L5" s="2131"/>
      <c r="M5" s="2151" t="str">
        <f>IF(V2=1,"API 60°F","Dens Vac 15°C")</f>
        <v>API 60°F</v>
      </c>
      <c r="N5" s="2139"/>
      <c r="O5" s="2150" t="str">
        <f>IF(V2=2,"API 60°F","Dens Vac 15°C")</f>
        <v>Dens Vac 15°C</v>
      </c>
      <c r="P5" s="2077"/>
      <c r="Q5" s="2149"/>
      <c r="R5" s="2137"/>
      <c r="T5" s="2111"/>
      <c r="U5" s="2081"/>
      <c r="V5" s="2134"/>
      <c r="W5" s="2145" t="str">
        <f>"1.0 °"&amp;IF($Z$2=1,"C","F")</f>
        <v>1.0 °F</v>
      </c>
      <c r="X5" s="2134"/>
      <c r="Y5" s="2135" t="s">
        <v>1434</v>
      </c>
      <c r="Z5" s="2134" t="s">
        <v>1433</v>
      </c>
      <c r="AA5" s="2148"/>
      <c r="AB5" s="2148"/>
      <c r="AC5" s="2136">
        <f>IF(AC2=1,4,5)</f>
        <v>5</v>
      </c>
      <c r="AD5" s="2081"/>
    </row>
    <row r="6" spans="1:81" ht="4.5" customHeight="1">
      <c r="A6" s="2062"/>
      <c r="B6" s="2072"/>
      <c r="C6" s="2077"/>
      <c r="D6" s="2077"/>
      <c r="E6" s="2077"/>
      <c r="F6" s="2131"/>
      <c r="G6" s="2131"/>
      <c r="H6" s="2131"/>
      <c r="I6" s="2131"/>
      <c r="J6" s="2077"/>
      <c r="K6" s="2077"/>
      <c r="L6" s="2131"/>
      <c r="M6" s="2077"/>
      <c r="N6" s="2139"/>
      <c r="O6" s="2147"/>
      <c r="P6" s="2077"/>
      <c r="Q6" s="2087"/>
      <c r="R6" s="2146"/>
      <c r="T6" s="2111"/>
      <c r="U6" s="2081"/>
      <c r="V6" s="2134"/>
      <c r="W6" s="2145" t="str">
        <f>"2.0 °"&amp;IF($Z$2=1,"C","F")</f>
        <v>2.0 °F</v>
      </c>
      <c r="X6" s="2134"/>
      <c r="Y6" s="2135" t="s">
        <v>1432</v>
      </c>
      <c r="Z6" s="2144"/>
      <c r="AA6" s="2133">
        <f>ROUNDDOWN($K$7,0)+ROUND(($K$7-ROUNDDOWN($K$7,0))/0.5,0)*0.5</f>
        <v>80</v>
      </c>
      <c r="AB6" s="2133" t="s">
        <v>1431</v>
      </c>
      <c r="AC6" s="2081"/>
      <c r="AD6" s="2081"/>
    </row>
    <row r="7" spans="1:81" ht="15.75" customHeight="1">
      <c r="A7" s="2062"/>
      <c r="B7" s="2072"/>
      <c r="C7" s="3680" t="s">
        <v>1430</v>
      </c>
      <c r="D7" s="3681"/>
      <c r="E7" s="2143"/>
      <c r="F7" s="2142" t="str">
        <f>IF(PROD=1,X3,X4)</f>
        <v>PRODUCT</v>
      </c>
      <c r="G7" s="3684" t="str">
        <f>IF(API="","",IF(PROD=1,"",IF(API&lt;37.1664,"(FUEL)",IF(AND(API&gt;=37.1664,API&lt;48.2)=TRUE,"(JET)",IF(AND(API&gt;=48.2,API&lt;52.1872)=TRUE,"()","(GASOLINE)")))))</f>
        <v>(JET)</v>
      </c>
      <c r="H7" s="3684"/>
      <c r="I7" s="2131"/>
      <c r="J7" s="2077"/>
      <c r="K7" s="2141">
        <v>80</v>
      </c>
      <c r="L7" s="2131"/>
      <c r="M7" s="2140">
        <v>40</v>
      </c>
      <c r="N7" s="2139"/>
      <c r="O7" s="2138">
        <f>IF(OR(M7="",DVAC=0),"",ROUND(IF(V2=1,DVAC,API),DECI))</f>
        <v>0.82465999999999995</v>
      </c>
      <c r="P7" s="2077"/>
      <c r="Q7" s="2094"/>
      <c r="R7" s="2137"/>
      <c r="T7" s="2111"/>
      <c r="U7" s="2081"/>
      <c r="V7" s="2134"/>
      <c r="W7" s="2136">
        <f>IF(VAR=1,0.25,IF(VAR=2,0.5,IF(VAR=3,1,2)))</f>
        <v>0.5</v>
      </c>
      <c r="X7" s="2134"/>
      <c r="Y7" s="2135" t="s">
        <v>1429</v>
      </c>
      <c r="Z7" s="2134"/>
      <c r="AA7" s="2133">
        <f>ROUNDDOWN((TEMP-32)/9*5,0)+ROUND(((TEMP-32)/9*5-ROUNDDOWN((TEMP-32)/9*5,0))/0.5,0)*0.5</f>
        <v>26.5</v>
      </c>
      <c r="AB7" s="2133" t="s">
        <v>1428</v>
      </c>
      <c r="AC7" s="2081"/>
      <c r="AD7" s="2081"/>
    </row>
    <row r="8" spans="1:81" ht="15" customHeight="1">
      <c r="A8" s="2062"/>
      <c r="B8" s="2072"/>
      <c r="C8" s="2077"/>
      <c r="D8" s="2077"/>
      <c r="E8" s="2077"/>
      <c r="F8" s="2077"/>
      <c r="G8" s="2077"/>
      <c r="H8" s="2077"/>
      <c r="I8" s="2132"/>
      <c r="J8" s="2077"/>
      <c r="K8" s="2077"/>
      <c r="L8" s="2131"/>
      <c r="M8" s="2077"/>
      <c r="N8" s="2077"/>
      <c r="O8" s="2077"/>
      <c r="P8" s="2077"/>
      <c r="Q8" s="2077"/>
      <c r="R8" s="2091"/>
      <c r="T8" s="2111"/>
      <c r="U8" s="2081"/>
      <c r="V8" s="2089"/>
      <c r="W8" s="2081"/>
      <c r="X8" s="2081"/>
      <c r="Y8" s="2081"/>
      <c r="Z8" s="2081"/>
      <c r="AA8" s="2081"/>
      <c r="AB8" s="2081"/>
      <c r="AC8" s="2081"/>
      <c r="AD8" s="2081"/>
    </row>
    <row r="9" spans="1:81" ht="15" customHeight="1">
      <c r="A9" s="2062"/>
      <c r="B9" s="2072"/>
      <c r="C9" s="3680" t="s">
        <v>1427</v>
      </c>
      <c r="D9" s="3681"/>
      <c r="E9" s="2080"/>
      <c r="F9" s="2119">
        <f>IF($M$7="",0,K64)</f>
        <v>0.82465999999999995</v>
      </c>
      <c r="G9" s="2087"/>
      <c r="H9" s="2087"/>
      <c r="I9" s="2130" t="s">
        <v>1426</v>
      </c>
      <c r="J9" s="2092"/>
      <c r="K9" s="2130" t="str">
        <f>IF(PROD=1,"VCF T.54A","VCF T.54B")</f>
        <v>VCF T.54B</v>
      </c>
      <c r="L9" s="2077"/>
      <c r="M9" s="2130" t="s">
        <v>1425</v>
      </c>
      <c r="N9" s="2077"/>
      <c r="O9" s="2130" t="str">
        <f>IF(PROD=1,"VCF T.6A","VCF T.6B")</f>
        <v>VCF T.6B</v>
      </c>
      <c r="P9" s="2077"/>
      <c r="Q9" s="2130" t="s">
        <v>1424</v>
      </c>
      <c r="R9" s="2091"/>
      <c r="T9" s="2111"/>
      <c r="U9" s="2081"/>
      <c r="V9" s="2089"/>
      <c r="W9" s="2081"/>
      <c r="X9" s="2081"/>
      <c r="Y9" s="2081"/>
      <c r="Z9" s="2081"/>
      <c r="AA9" s="2081"/>
      <c r="AB9" s="2081"/>
      <c r="AC9" s="2081"/>
      <c r="AD9" s="2081"/>
    </row>
    <row r="10" spans="1:81" ht="6.75" customHeight="1">
      <c r="A10" s="2062"/>
      <c r="B10" s="2072"/>
      <c r="C10" s="2097"/>
      <c r="D10" s="2103"/>
      <c r="E10" s="2103"/>
      <c r="F10" s="2129"/>
      <c r="G10" s="2087"/>
      <c r="H10" s="2087"/>
      <c r="I10" s="2094"/>
      <c r="J10" s="2092"/>
      <c r="K10" s="2094"/>
      <c r="L10" s="2077"/>
      <c r="M10" s="2094"/>
      <c r="N10" s="2077"/>
      <c r="O10" s="2094"/>
      <c r="P10" s="2077"/>
      <c r="Q10" s="2094"/>
      <c r="R10" s="2091"/>
      <c r="T10" s="2111"/>
      <c r="U10" s="2081"/>
      <c r="V10" s="2089"/>
      <c r="W10" s="2081"/>
      <c r="X10" s="2081"/>
      <c r="Y10" s="2081"/>
      <c r="Z10" s="2081"/>
      <c r="AA10" s="2081"/>
      <c r="AB10" s="2081"/>
      <c r="AC10" s="2081"/>
      <c r="AD10" s="2081"/>
    </row>
    <row r="11" spans="1:81" ht="15" customHeight="1">
      <c r="A11" s="2062"/>
      <c r="B11" s="2072"/>
      <c r="C11" s="3680" t="s">
        <v>1423</v>
      </c>
      <c r="D11" s="3681"/>
      <c r="E11" s="2080"/>
      <c r="F11" s="2119">
        <f>IF(DVAC=0,0,ROUND((DVAC-0.0011),DECI))</f>
        <v>0.82355999999999996</v>
      </c>
      <c r="G11" s="2087"/>
      <c r="H11" s="2087"/>
      <c r="I11" s="2116">
        <f>IF(TEMP="","",IF(TEMPSEL=1,TEMP-2*VART,(TEMP-2*VART-32)/9*5))</f>
        <v>26.111111111111111</v>
      </c>
      <c r="J11" s="2092"/>
      <c r="K11" s="2117">
        <f>ROUND(IF(OR(DVAC=0,TEMP=""),0,IF(PROD=1,$F$43,IF(API&lt;37.1664,$F$44,IF(AND(API&gt;=37.1664,API&lt;48.2)=TRUE,$F$45,IF(AND(API&gt;=48.2,API&lt;52.1872)=TRUE,$F$46,$F$47))))),DECI)</f>
        <v>0.99026000000000003</v>
      </c>
      <c r="L11" s="2118"/>
      <c r="M11" s="2117">
        <f>ROUND(IF(TEMP="",0,DAIR*$K$11),DECI)</f>
        <v>0.81554000000000004</v>
      </c>
      <c r="N11" s="2118"/>
      <c r="O11" s="2117">
        <f>ROUND(IF(OR(API="",TEMP=""),0,IF(PROD=1,$F$50,IF(API&lt;37.1664,$F$51,IF(AND(API&gt;=37.1664,API&lt;48.2)=TRUE,$F$52,IF(AND(API&gt;=48.2,API&lt;52.1872)=TRUE,$F$53,$F$54))))),DECI)</f>
        <v>0.99073999999999995</v>
      </c>
      <c r="P11" s="2077"/>
      <c r="Q11" s="2116">
        <f>IF(TEMP="","",IF(TEMPSEL=2,TEMP-2*VART,((TEMP-2*VART)*9/5+32)))</f>
        <v>79</v>
      </c>
      <c r="R11" s="2128"/>
      <c r="T11" s="2111"/>
      <c r="U11" s="2081"/>
      <c r="V11" s="2089"/>
      <c r="W11" s="2081"/>
      <c r="X11" s="2081"/>
      <c r="Y11" s="2081"/>
      <c r="Z11" s="2081"/>
      <c r="AA11" s="2081"/>
      <c r="AB11" s="2081"/>
      <c r="AC11" s="2081"/>
      <c r="AD11" s="2081"/>
    </row>
    <row r="12" spans="1:81" ht="6" customHeight="1">
      <c r="A12" s="2062"/>
      <c r="B12" s="2072"/>
      <c r="C12" s="2097"/>
      <c r="D12" s="2096"/>
      <c r="E12" s="2094"/>
      <c r="F12" s="2127"/>
      <c r="G12" s="2087"/>
      <c r="H12" s="2087"/>
      <c r="I12" s="2122"/>
      <c r="J12" s="2092"/>
      <c r="K12" s="2121"/>
      <c r="L12" s="2118"/>
      <c r="M12" s="2121"/>
      <c r="N12" s="2118"/>
      <c r="O12" s="2121"/>
      <c r="P12" s="2077"/>
      <c r="Q12" s="2120"/>
      <c r="R12" s="2091"/>
      <c r="T12" s="2111"/>
      <c r="U12" s="2089"/>
      <c r="V12" s="2089"/>
      <c r="W12" s="2081"/>
      <c r="X12" s="2081"/>
      <c r="Y12" s="2081"/>
      <c r="Z12" s="2081"/>
      <c r="AA12" s="2081"/>
      <c r="AB12" s="2081"/>
      <c r="AC12" s="2081"/>
      <c r="AD12" s="2081"/>
    </row>
    <row r="13" spans="1:81" ht="15" customHeight="1">
      <c r="A13" s="2062"/>
      <c r="B13" s="2072"/>
      <c r="C13" s="3680" t="s">
        <v>1422</v>
      </c>
      <c r="D13" s="3681"/>
      <c r="E13" s="2080"/>
      <c r="F13" s="2119">
        <f>IF(API="",0,ROUND((141.5/(API+131.5)),DECI))</f>
        <v>0.82506999999999997</v>
      </c>
      <c r="G13" s="2087"/>
      <c r="H13" s="2087"/>
      <c r="I13" s="2116">
        <f>IF(TEMP="","",IF(TEMPSEL=1,TEMP-VART,(TEMP-VART-32)/9*5))</f>
        <v>26.388888888888889</v>
      </c>
      <c r="J13" s="2092"/>
      <c r="K13" s="2117">
        <f>ROUND(IF(OR(DVAC=0,TEMP=""),0,IF(PROD=1,$I$43,IF(API&lt;37.1664,$I$44,IF(AND(API&gt;=37.1664,API&lt;48.2)=TRUE,$I$45,IF(AND(API&gt;=48.2,API&lt;52.1872)=TRUE,$I$46,$I$47))))),DECI)</f>
        <v>0.99000999999999995</v>
      </c>
      <c r="L13" s="2118"/>
      <c r="M13" s="2117">
        <f>ROUND(IF(TEMP="",0,DAIR*$K$13),DECI)</f>
        <v>0.81533</v>
      </c>
      <c r="N13" s="2118"/>
      <c r="O13" s="2117">
        <f>ROUND(IF(OR(API="",TEMP=""),0,IF(PROD=1,$I$50,IF(API&lt;37.1664,$I$51,IF(AND(API&gt;=37.1664,API&lt;48.2)=TRUE,$I$52,IF(AND(API&gt;=48.2,API&lt;52.1872)=TRUE,$I$53,$I$54))))),DECI)</f>
        <v>0.99048999999999998</v>
      </c>
      <c r="P13" s="2077"/>
      <c r="Q13" s="2116">
        <f>IF(TEMP="","",IF(TEMPSEL=2,TEMP-VART,((TEMP-VART)*9/5+32)))</f>
        <v>79.5</v>
      </c>
      <c r="R13" s="2091"/>
      <c r="T13" s="2111"/>
      <c r="U13" s="2089"/>
      <c r="V13" s="2089"/>
      <c r="W13" s="2081"/>
      <c r="X13" s="2081"/>
      <c r="Y13" s="2081"/>
      <c r="Z13" s="2081"/>
      <c r="AA13" s="2081"/>
      <c r="AB13" s="2081"/>
      <c r="AC13" s="2081"/>
      <c r="AD13" s="2081"/>
    </row>
    <row r="14" spans="1:81" ht="6" customHeight="1">
      <c r="A14" s="2062"/>
      <c r="B14" s="2072"/>
      <c r="C14" s="2126"/>
      <c r="D14" s="2094"/>
      <c r="E14" s="2094"/>
      <c r="F14" s="2123"/>
      <c r="G14" s="2087"/>
      <c r="H14" s="2087"/>
      <c r="I14" s="2122"/>
      <c r="J14" s="2092"/>
      <c r="K14" s="2121"/>
      <c r="L14" s="2118"/>
      <c r="M14" s="2121"/>
      <c r="N14" s="2118"/>
      <c r="O14" s="2121"/>
      <c r="P14" s="2077"/>
      <c r="Q14" s="2120"/>
      <c r="R14" s="2091"/>
      <c r="T14" s="2111"/>
      <c r="U14" s="2089"/>
      <c r="V14" s="2089"/>
      <c r="W14" s="2081"/>
      <c r="X14" s="2081"/>
      <c r="Y14" s="2081"/>
      <c r="Z14" s="2081"/>
      <c r="AA14" s="2081"/>
      <c r="AB14" s="2081"/>
      <c r="AC14" s="2081"/>
      <c r="AD14" s="2081"/>
    </row>
    <row r="15" spans="1:81" ht="15" customHeight="1">
      <c r="A15" s="2062"/>
      <c r="B15" s="2072"/>
      <c r="C15" s="3680" t="s">
        <v>1421</v>
      </c>
      <c r="D15" s="3681"/>
      <c r="E15" s="2080"/>
      <c r="F15" s="2119">
        <f>IF(API="",0,ROUND(INT(0.0375*((589.943/(API+131.5))-0.0050789)*10^5+0.5)/10^5,5))</f>
        <v>0.12881000000000001</v>
      </c>
      <c r="G15" s="2087"/>
      <c r="H15" s="2087"/>
      <c r="I15" s="2124">
        <f>IF(TEMP="","",IF(TEMPSEL=1,TEMP,(TEMP-32)/9*5))</f>
        <v>26.666666666666664</v>
      </c>
      <c r="J15" s="2092"/>
      <c r="K15" s="2125">
        <f>ROUND(IF(OR(DVAC=0,TEMP=""),0,IF(PROD=1,$K$43,IF(API&lt;37.1664,$K$44,IF(AND(API&gt;=37.1664,API&lt;48.2)=TRUE,$K$45,IF(AND(API&gt;=48.2,API&lt;52.1872)=TRUE,$K$46,$K$47))))),DECI)</f>
        <v>0.98977000000000004</v>
      </c>
      <c r="L15" s="2118"/>
      <c r="M15" s="2125">
        <f>ROUND(IF(TEMP="",0,DAIR*$K$15),DECI)</f>
        <v>0.81513000000000002</v>
      </c>
      <c r="N15" s="2118"/>
      <c r="O15" s="2125">
        <f>ROUND(IF(OR(API="",TEMP=""),0,IF(PROD=1,$K$50,IF(API&lt;37.1664,$K$51,IF(AND(API&gt;=37.1664,API&lt;48.2)=TRUE,$K$52,IF(AND(API&gt;=48.2,API&lt;52.1872)=TRUE,$K$53,$K$54))))),DECI)</f>
        <v>0.99024999999999996</v>
      </c>
      <c r="P15" s="2077"/>
      <c r="Q15" s="2124">
        <f>IF(TEMP="","",IF(TEMPSEL=2,TEMP,(TEMP*9/5+32)))</f>
        <v>80</v>
      </c>
      <c r="R15" s="2091"/>
      <c r="T15" s="2111"/>
      <c r="U15" s="2089"/>
      <c r="V15" s="2089"/>
      <c r="W15" s="2081"/>
      <c r="X15" s="2081"/>
      <c r="Y15" s="2081"/>
      <c r="Z15" s="2081"/>
      <c r="AA15" s="2081"/>
      <c r="AB15" s="2081"/>
      <c r="AC15" s="2081"/>
      <c r="AD15" s="2081"/>
    </row>
    <row r="16" spans="1:81" ht="6" customHeight="1">
      <c r="A16" s="2062"/>
      <c r="B16" s="2072"/>
      <c r="C16" s="2097"/>
      <c r="D16" s="2094"/>
      <c r="E16" s="2094"/>
      <c r="F16" s="2123"/>
      <c r="G16" s="2087"/>
      <c r="H16" s="2087"/>
      <c r="I16" s="2122"/>
      <c r="J16" s="2094"/>
      <c r="K16" s="2121"/>
      <c r="L16" s="2118"/>
      <c r="M16" s="2121"/>
      <c r="N16" s="2118"/>
      <c r="O16" s="2121"/>
      <c r="P16" s="2077"/>
      <c r="Q16" s="2120"/>
      <c r="R16" s="2091"/>
      <c r="T16" s="2111"/>
      <c r="U16" s="2089"/>
      <c r="V16" s="2089"/>
      <c r="W16" s="2081"/>
      <c r="X16" s="2081"/>
      <c r="Y16" s="2081"/>
      <c r="Z16" s="2081"/>
      <c r="AA16" s="2081"/>
      <c r="AB16" s="2081"/>
      <c r="AC16" s="2081"/>
      <c r="AD16" s="2081"/>
    </row>
    <row r="17" spans="1:61" ht="15" customHeight="1">
      <c r="A17" s="2062"/>
      <c r="B17" s="2072"/>
      <c r="C17" s="3680" t="s">
        <v>1420</v>
      </c>
      <c r="D17" s="3681"/>
      <c r="E17" s="2080"/>
      <c r="F17" s="2119">
        <f>IF(API="",0,ROUND(INT(0.042*((535.1911/(API+131.5))-0.0046189)*10^5+0.5)/10^5,5))</f>
        <v>0.13086999999999999</v>
      </c>
      <c r="G17" s="2087"/>
      <c r="H17" s="2087"/>
      <c r="I17" s="2116">
        <f>IF(TEMP="","",IF(TEMPSEL=1,TEMP+VART,(TEMP+VART-32)/9*5))</f>
        <v>26.944444444444446</v>
      </c>
      <c r="J17" s="2092"/>
      <c r="K17" s="2117">
        <f>ROUND(IF(OR(DVAC=0,TEMP=""),0,IF(PROD=1,$M$43,IF(API&lt;37.1664,$M$44,IF(AND(API&gt;=37.1664,API&lt;48.2)=TRUE,$M$45,IF(AND(API&gt;=48.2,API&lt;52.1872)=TRUE,$M$46,$M$47))))),DECI)</f>
        <v>0.98953000000000002</v>
      </c>
      <c r="L17" s="2118"/>
      <c r="M17" s="2117">
        <f>ROUND(IF(TEMP="",0,DAIR*$K$17),DECI)</f>
        <v>0.81494</v>
      </c>
      <c r="N17" s="2118"/>
      <c r="O17" s="2117">
        <f>ROUND(IF(OR(API="",TEMP=""),0,IF(PROD=1,$M$50,IF(API&lt;37.1664,$M$51,IF(AND(API&gt;=37.1664,API&lt;48.2)=TRUE,$M$52,IF(AND(API&gt;=48.2,API&lt;52.1872)=TRUE,$M$53,$M$54))))),DECI)</f>
        <v>0.99</v>
      </c>
      <c r="P17" s="2077"/>
      <c r="Q17" s="2116">
        <f>IF(TEMP="","",IF(TEMPSEL=2,TEMP+VART,((TEMP+VART)*9/5+32)))</f>
        <v>80.5</v>
      </c>
      <c r="R17" s="2091"/>
      <c r="T17" s="2111"/>
      <c r="U17" s="2089"/>
      <c r="V17" s="2089"/>
      <c r="W17" s="2081"/>
      <c r="X17" s="2081"/>
      <c r="Y17" s="2081"/>
      <c r="Z17" s="2081"/>
      <c r="AA17" s="2081"/>
      <c r="AB17" s="2081"/>
      <c r="AC17" s="2081"/>
      <c r="AD17" s="2081"/>
    </row>
    <row r="18" spans="1:61" ht="6" customHeight="1">
      <c r="A18" s="2062"/>
      <c r="B18" s="2072"/>
      <c r="C18" s="2097"/>
      <c r="D18" s="2094"/>
      <c r="E18" s="2094"/>
      <c r="F18" s="2094"/>
      <c r="G18" s="2087"/>
      <c r="H18" s="2087"/>
      <c r="I18" s="2122"/>
      <c r="J18" s="2094"/>
      <c r="K18" s="2121"/>
      <c r="L18" s="2118"/>
      <c r="M18" s="2121"/>
      <c r="N18" s="2118"/>
      <c r="O18" s="2121"/>
      <c r="P18" s="2077"/>
      <c r="Q18" s="2120"/>
      <c r="R18" s="2091"/>
      <c r="T18" s="2111"/>
      <c r="U18" s="2089"/>
      <c r="V18" s="2089"/>
      <c r="W18" s="2081"/>
      <c r="X18" s="2081"/>
      <c r="Y18" s="2081"/>
      <c r="Z18" s="2081"/>
      <c r="AA18" s="2081"/>
      <c r="AB18" s="2081"/>
      <c r="AC18" s="2081"/>
      <c r="AD18" s="2081"/>
    </row>
    <row r="19" spans="1:61" ht="15" customHeight="1">
      <c r="A19" s="2062"/>
      <c r="B19" s="2072"/>
      <c r="C19" s="3680" t="s">
        <v>1419</v>
      </c>
      <c r="D19" s="3681"/>
      <c r="E19" s="2080"/>
      <c r="F19" s="2119">
        <f>IF(API="",0,ROUND(1/6.28981/EXP(341.0957/(D60F^2)),5))</f>
        <v>0.15891</v>
      </c>
      <c r="G19" s="2087"/>
      <c r="H19" s="2087"/>
      <c r="I19" s="2116">
        <f>IF(TEMP="","",IF(TEMPSEL=1,TEMP+2*VART,(TEMP+2*VART-32)/9*5))</f>
        <v>27.222222222222221</v>
      </c>
      <c r="J19" s="2092"/>
      <c r="K19" s="2117">
        <f>ROUND(IF(OR(DVAC=0,TEMP=""),0,IF(PROD=1,$O$43,IF(API&lt;37.1664,$O$44,IF(AND(API&gt;=37.1664,API&lt;48.2)=TRUE,$O$45,IF(AND(API&gt;=48.2,API&lt;52.1872)=TRUE,$O$46,$O$47))))),DECI)</f>
        <v>0.98928000000000005</v>
      </c>
      <c r="L19" s="2118"/>
      <c r="M19" s="2117">
        <f>ROUND(IF(TEMP="",0,DAIR*$K$19),DECI)</f>
        <v>0.81472999999999995</v>
      </c>
      <c r="N19" s="2118"/>
      <c r="O19" s="2117">
        <f>ROUND(IF(OR(API="",TEMP=""),0,IF(PROD=1,$O$50,IF(API&lt;37.1664,$O$51,IF(AND(API&gt;=37.1664,API&lt;48.2)=TRUE,$O$52,IF(AND(API&gt;=48.2,API&lt;52.1872)=TRUE,$O$53,$O$54))))),DECI)</f>
        <v>0.98975999999999997</v>
      </c>
      <c r="P19" s="2077"/>
      <c r="Q19" s="2116">
        <f>IF(TEMP="","",IF(TEMPSEL=2,TEMP+2*VART,((TEMP+2*VART)*9/5+32)))</f>
        <v>81</v>
      </c>
      <c r="R19" s="2091"/>
      <c r="T19" s="2111"/>
      <c r="U19" s="2089"/>
      <c r="V19" s="2089"/>
      <c r="W19" s="2081"/>
      <c r="X19" s="2081"/>
      <c r="Y19" s="2081"/>
      <c r="Z19" s="2081"/>
      <c r="AA19" s="2081"/>
      <c r="AB19" s="2081"/>
      <c r="AC19" s="2081"/>
      <c r="AD19" s="2081"/>
    </row>
    <row r="20" spans="1:61" ht="14.1" customHeight="1">
      <c r="A20" s="2062"/>
      <c r="B20" s="2072"/>
      <c r="C20" s="2113"/>
      <c r="D20" s="2112"/>
      <c r="E20" s="2112"/>
      <c r="F20" s="2115"/>
      <c r="G20" s="2087"/>
      <c r="H20" s="2087"/>
      <c r="I20" s="2114"/>
      <c r="J20" s="2092"/>
      <c r="K20" s="2099"/>
      <c r="L20" s="2077"/>
      <c r="M20" s="2113"/>
      <c r="N20" s="2105"/>
      <c r="O20" s="2112"/>
      <c r="P20" s="2105"/>
      <c r="Q20" s="2112"/>
      <c r="R20" s="2091"/>
      <c r="T20" s="2111"/>
      <c r="U20" s="2089"/>
      <c r="V20" s="2089"/>
      <c r="W20" s="2081"/>
      <c r="X20" s="2081"/>
      <c r="Y20" s="2081"/>
      <c r="Z20" s="2081"/>
      <c r="AA20" s="2081"/>
      <c r="AB20" s="2081"/>
      <c r="AC20" s="2081"/>
      <c r="AD20" s="2081"/>
    </row>
    <row r="21" spans="1:61" ht="18.75" customHeight="1">
      <c r="A21" s="2062"/>
      <c r="B21" s="2072" t="s">
        <v>1170</v>
      </c>
      <c r="C21" s="2110" t="s">
        <v>1418</v>
      </c>
      <c r="D21" s="2109" t="str">
        <f>"("&amp;IF($Y2=1,$Y3,IF($Y2=2,$Y4,IF($Y2=3,$Y5,IF($Y2=4,$Y6,$Y7))))&amp;")"</f>
        <v>(MT Air @ 15°C)</v>
      </c>
      <c r="E21" s="2080"/>
      <c r="F21" s="2108">
        <v>169540</v>
      </c>
      <c r="G21" s="2107"/>
      <c r="H21" s="2105" t="s">
        <v>1170</v>
      </c>
      <c r="I21" s="2098" t="s">
        <v>1417</v>
      </c>
      <c r="J21" s="2092"/>
      <c r="K21" s="2099"/>
      <c r="L21" s="2077"/>
      <c r="M21" s="2077"/>
      <c r="N21" s="2077"/>
      <c r="O21" s="2077"/>
      <c r="P21" s="2077"/>
      <c r="Q21" s="2077"/>
      <c r="R21" s="2091"/>
      <c r="T21" s="2090"/>
      <c r="U21" s="2089"/>
      <c r="V21" s="2089"/>
      <c r="W21" s="2081"/>
      <c r="X21" s="2081"/>
      <c r="Y21" s="2081"/>
      <c r="Z21" s="2081"/>
      <c r="AA21" s="2081"/>
      <c r="AB21" s="2081"/>
      <c r="AC21" s="2081"/>
      <c r="AD21" s="2081"/>
    </row>
    <row r="22" spans="1:61" ht="3.75" customHeight="1">
      <c r="A22" s="2062"/>
      <c r="B22" s="2072"/>
      <c r="C22" s="2106"/>
      <c r="D22" s="2105"/>
      <c r="E22" s="2087"/>
      <c r="F22" s="2104"/>
      <c r="G22" s="2087"/>
      <c r="H22" s="2087"/>
      <c r="I22" s="2094"/>
      <c r="J22" s="2092"/>
      <c r="K22" s="2099"/>
      <c r="L22" s="2077"/>
      <c r="M22" s="2077"/>
      <c r="N22" s="2077"/>
      <c r="O22" s="2077"/>
      <c r="P22" s="2077"/>
      <c r="Q22" s="2077"/>
      <c r="R22" s="2091"/>
      <c r="T22" s="2090"/>
      <c r="U22" s="2089"/>
      <c r="V22" s="2089"/>
      <c r="W22" s="2081"/>
      <c r="X22" s="2081"/>
      <c r="Y22" s="2081"/>
      <c r="Z22" s="2081"/>
      <c r="AA22" s="2081"/>
      <c r="AB22" s="2081"/>
      <c r="AC22" s="2081"/>
      <c r="AD22" s="2081"/>
    </row>
    <row r="23" spans="1:61" ht="18.75" customHeight="1">
      <c r="A23" s="2062"/>
      <c r="B23" s="2072"/>
      <c r="C23" s="3680" t="s">
        <v>1416</v>
      </c>
      <c r="D23" s="3681"/>
      <c r="E23" s="2080"/>
      <c r="F23" s="2079">
        <f>IF(OR(DVAC=0,AND(TEMP="",OR(UNIT=2,UNIT=4))),"",IF(UNIT=1,QTY,IF(UNIT=5,QTY*TABL13,IF(UNIT=2,QTY*MYVCF54*DAIR,IF(UNIT=3,QTY*DAIR,QTY*MYVCF6*TABL13)))))</f>
        <v>169540</v>
      </c>
      <c r="G23" s="2087"/>
      <c r="H23" s="2087"/>
      <c r="I23" s="2093" t="str">
        <f>INDEX(W3:W6,VAR,1)</f>
        <v>0.5 °F</v>
      </c>
      <c r="J23" s="2092"/>
      <c r="K23" s="2099"/>
      <c r="L23" s="2077"/>
      <c r="M23" s="2077"/>
      <c r="N23" s="2077"/>
      <c r="O23" s="2077"/>
      <c r="P23" s="2077"/>
      <c r="Q23" s="2077"/>
      <c r="R23" s="2091"/>
      <c r="T23" s="2090"/>
      <c r="U23" s="2089"/>
      <c r="V23" s="2089"/>
      <c r="W23" s="2081"/>
      <c r="X23" s="2081"/>
      <c r="Y23" s="2081"/>
      <c r="Z23" s="2081"/>
      <c r="AA23" s="2081"/>
      <c r="AB23" s="2081"/>
      <c r="AC23" s="2081"/>
      <c r="AD23" s="2081"/>
    </row>
    <row r="24" spans="1:61" ht="3.75" customHeight="1">
      <c r="A24" s="2062"/>
      <c r="B24" s="2072"/>
      <c r="C24" s="2097"/>
      <c r="D24" s="2103"/>
      <c r="E24" s="2094"/>
      <c r="F24" s="2102"/>
      <c r="G24" s="2087"/>
      <c r="H24" s="2087"/>
      <c r="I24" s="2101"/>
      <c r="J24" s="2092"/>
      <c r="K24" s="2099"/>
      <c r="L24" s="2077"/>
      <c r="M24" s="2077"/>
      <c r="N24" s="2077"/>
      <c r="O24" s="2077"/>
      <c r="P24" s="2077"/>
      <c r="Q24" s="2077"/>
      <c r="R24" s="2091"/>
      <c r="T24" s="2090"/>
      <c r="U24" s="2089"/>
      <c r="V24" s="2089"/>
      <c r="W24" s="2081"/>
      <c r="X24" s="2081"/>
      <c r="Y24" s="2081"/>
      <c r="Z24" s="2081"/>
      <c r="AA24" s="2081"/>
      <c r="AB24" s="2081"/>
      <c r="AC24" s="2081"/>
      <c r="AD24" s="2081"/>
    </row>
    <row r="25" spans="1:61" ht="18.75" customHeight="1">
      <c r="A25" s="2062"/>
      <c r="B25" s="2072"/>
      <c r="C25" s="3680" t="s">
        <v>1415</v>
      </c>
      <c r="D25" s="3681"/>
      <c r="E25" s="2080"/>
      <c r="F25" s="2079">
        <f>IF(OR(DVAC=0,DTEMP=0,MYVCF6=0,TEMP=""),"",IF(UNIT=1,QTY/(MYVCF54*DAIR),IF(UNIT=5,QTY*TABL52/MYVCF54,IF(UNIT=2,QTY,IF(UNIT=4,QTY/6.28981,QTY/MYVCF54)))))</f>
        <v>207990.09232852687</v>
      </c>
      <c r="G25" s="2087"/>
      <c r="H25" s="2087"/>
      <c r="I25" s="2100"/>
      <c r="J25" s="2092"/>
      <c r="K25" s="2099"/>
      <c r="L25" s="2077"/>
      <c r="M25" s="2077"/>
      <c r="N25" s="2077"/>
      <c r="O25" s="2077"/>
      <c r="P25" s="2077"/>
      <c r="Q25" s="2077"/>
      <c r="R25" s="2091"/>
      <c r="T25" s="2090"/>
      <c r="U25" s="2089"/>
      <c r="V25" s="2089"/>
      <c r="W25" s="2081"/>
      <c r="X25" s="2081"/>
      <c r="Y25" s="2081"/>
      <c r="Z25" s="2081"/>
      <c r="AA25" s="2081"/>
      <c r="AB25" s="2081"/>
      <c r="AC25" s="2081"/>
      <c r="AD25" s="2081"/>
    </row>
    <row r="26" spans="1:61" ht="3.75" customHeight="1">
      <c r="A26" s="2062"/>
      <c r="B26" s="2072"/>
      <c r="C26" s="2097"/>
      <c r="D26" s="2096"/>
      <c r="E26" s="2094"/>
      <c r="F26" s="2095"/>
      <c r="G26" s="2087"/>
      <c r="H26" s="2087"/>
      <c r="I26" s="2100"/>
      <c r="J26" s="2092"/>
      <c r="K26" s="2099"/>
      <c r="L26" s="2077"/>
      <c r="M26" s="2077"/>
      <c r="N26" s="2077"/>
      <c r="O26" s="2077"/>
      <c r="P26" s="2077"/>
      <c r="Q26" s="2077"/>
      <c r="R26" s="2091"/>
      <c r="T26" s="2090"/>
      <c r="U26" s="2089"/>
      <c r="V26" s="2089"/>
      <c r="W26" s="2081"/>
      <c r="X26" s="2081"/>
      <c r="Y26" s="2081"/>
      <c r="Z26" s="2081"/>
      <c r="AA26" s="2081"/>
      <c r="AB26" s="2081"/>
      <c r="AC26" s="2081"/>
      <c r="AD26" s="2081"/>
    </row>
    <row r="27" spans="1:61" ht="18.75" customHeight="1">
      <c r="A27" s="2062"/>
      <c r="B27" s="2072"/>
      <c r="C27" s="3680" t="s">
        <v>1414</v>
      </c>
      <c r="D27" s="3681"/>
      <c r="E27" s="2080"/>
      <c r="F27" s="2079">
        <f>IF(OR(DVAC=0,AND(TEMP="",OR(UNIT=2,UNIT=4))),"",IF(UNIT=1,QTY/DAIR,IF(UNIT=5,QTY*TABL52,IF(UNIT=2,QTY*MYVCF54,IF(UNIT=4,(QTY/6.28981)*MYVCF54,QTY)))))</f>
        <v>205862.35368400603</v>
      </c>
      <c r="G27" s="2087"/>
      <c r="H27" s="2087" t="s">
        <v>1170</v>
      </c>
      <c r="I27" s="2098" t="s">
        <v>1413</v>
      </c>
      <c r="J27" s="2074"/>
      <c r="K27" s="2074"/>
      <c r="L27" s="2077"/>
      <c r="M27" s="2077"/>
      <c r="N27" s="2077"/>
      <c r="O27" s="2077"/>
      <c r="P27" s="2077"/>
      <c r="Q27" s="2077"/>
      <c r="R27" s="2091"/>
      <c r="T27" s="2090"/>
      <c r="U27" s="2089"/>
      <c r="V27" s="2089"/>
      <c r="W27" s="2081"/>
      <c r="X27" s="2081"/>
      <c r="Y27" s="2081"/>
      <c r="Z27" s="2081"/>
      <c r="AA27" s="2081"/>
      <c r="AB27" s="2081"/>
      <c r="AC27" s="2081"/>
      <c r="AD27" s="2081"/>
    </row>
    <row r="28" spans="1:61" ht="3.75" customHeight="1">
      <c r="A28" s="2062"/>
      <c r="B28" s="2072"/>
      <c r="C28" s="2097"/>
      <c r="D28" s="2096"/>
      <c r="E28" s="2094"/>
      <c r="F28" s="2095"/>
      <c r="G28" s="2087"/>
      <c r="H28" s="2087"/>
      <c r="I28" s="2094"/>
      <c r="J28" s="2094"/>
      <c r="K28" s="2074"/>
      <c r="L28" s="2077"/>
      <c r="M28" s="2077"/>
      <c r="N28" s="2077"/>
      <c r="O28" s="2077"/>
      <c r="P28" s="2077"/>
      <c r="Q28" s="2077"/>
      <c r="R28" s="2091"/>
      <c r="T28" s="2090"/>
      <c r="U28" s="2089"/>
      <c r="V28" s="2089"/>
      <c r="W28" s="2081"/>
      <c r="X28" s="2081"/>
      <c r="Y28" s="2081"/>
      <c r="Z28" s="2081"/>
      <c r="AA28" s="2081"/>
      <c r="AB28" s="2081"/>
      <c r="AC28" s="2081"/>
      <c r="AD28" s="2081"/>
    </row>
    <row r="29" spans="1:61" ht="18.75" customHeight="1">
      <c r="A29" s="2062"/>
      <c r="B29" s="2072"/>
      <c r="C29" s="3680" t="s">
        <v>1412</v>
      </c>
      <c r="D29" s="3681"/>
      <c r="E29" s="2080"/>
      <c r="F29" s="2079">
        <f>IF(OR(API="",DTEMP=0,MYVCF6=0,TEMP=""),"",IF(UNIT=1,QTY/TABL13/MYVCF6,IF(UNIT=5,QTY/MYVCF6,IF(UNIT=2,QTY*6.28981,IF(UNIT=3,(QTY/TABL52)/MYVCF6,QTY)))))</f>
        <v>1308239.402331979</v>
      </c>
      <c r="G29" s="2087"/>
      <c r="H29" s="2087"/>
      <c r="I29" s="2093">
        <f>AC5</f>
        <v>5</v>
      </c>
      <c r="J29" s="2092"/>
      <c r="K29" s="2074"/>
      <c r="L29" s="2077"/>
      <c r="M29" s="2077"/>
      <c r="N29" s="2077"/>
      <c r="O29" s="2077"/>
      <c r="P29" s="2077"/>
      <c r="Q29" s="2077"/>
      <c r="R29" s="2091"/>
      <c r="T29" s="2090"/>
      <c r="U29" s="2089"/>
      <c r="V29" s="2089"/>
      <c r="W29" s="2081"/>
      <c r="X29" s="2081"/>
      <c r="Y29" s="2081"/>
      <c r="Z29" s="2081"/>
      <c r="AA29" s="2081"/>
      <c r="AB29" s="2081"/>
      <c r="AC29" s="2081"/>
      <c r="AD29" s="2081"/>
    </row>
    <row r="30" spans="1:61" ht="3.75" customHeight="1">
      <c r="A30" s="2062"/>
      <c r="B30" s="2072"/>
      <c r="C30" s="2088"/>
      <c r="D30" s="2087"/>
      <c r="E30" s="2087"/>
      <c r="F30" s="2086"/>
      <c r="G30" s="2077"/>
      <c r="H30" s="2077"/>
      <c r="I30" s="2075"/>
      <c r="J30" s="2077"/>
      <c r="K30" s="2075"/>
      <c r="L30" s="2077"/>
      <c r="M30" s="2077"/>
      <c r="N30" s="2077"/>
      <c r="O30" s="2077"/>
      <c r="P30" s="2077"/>
      <c r="Q30" s="2077"/>
      <c r="R30" s="2085"/>
      <c r="S30" s="2084"/>
      <c r="T30" s="2083"/>
      <c r="U30" s="2082"/>
      <c r="V30" s="2082"/>
      <c r="W30" s="2081"/>
      <c r="X30" s="2081"/>
      <c r="Y30" s="2081"/>
      <c r="Z30" s="2081"/>
      <c r="AA30" s="2081"/>
      <c r="AB30" s="2081"/>
      <c r="AC30" s="2081"/>
      <c r="AD30" s="2081"/>
    </row>
    <row r="31" spans="1:61" ht="18.75" customHeight="1">
      <c r="A31" s="2062"/>
      <c r="B31" s="2072"/>
      <c r="C31" s="3680" t="s">
        <v>1411</v>
      </c>
      <c r="D31" s="3681"/>
      <c r="E31" s="2080"/>
      <c r="F31" s="2079">
        <f>IF(OR(API="",AND(TEMP="",OR(UNIT=2,UNIT=4))),"",IF(UNIT=1,QTY/TABL13,IF(UNIT=5,QTY,IF(UNIT=2,QTY*6.28981*MYVCF6,IF(UNIT=3,QTY/TABL52,QTY*MYVCF6)))))</f>
        <v>1295484.0681592422</v>
      </c>
      <c r="G31" s="2069"/>
      <c r="H31" s="2069"/>
      <c r="I31" s="2075"/>
      <c r="J31" s="2069"/>
      <c r="K31" s="2074"/>
      <c r="L31" s="2069"/>
      <c r="M31" s="2069"/>
      <c r="N31" s="2069"/>
      <c r="O31" s="2069"/>
      <c r="P31" s="2069"/>
      <c r="Q31" s="2069"/>
      <c r="R31" s="2068"/>
      <c r="S31" s="2062"/>
      <c r="T31" s="2064"/>
      <c r="U31" s="2063"/>
      <c r="V31" s="2063"/>
      <c r="W31" s="2063"/>
      <c r="X31" s="2063"/>
      <c r="Y31" s="2063"/>
      <c r="Z31" s="2063"/>
      <c r="AA31" s="2063"/>
      <c r="AB31" s="2063"/>
      <c r="AC31" s="2063"/>
      <c r="AD31" s="2063"/>
      <c r="AE31" s="2062"/>
      <c r="AF31" s="2062"/>
      <c r="AG31" s="2062"/>
      <c r="AH31" s="2062"/>
      <c r="AI31" s="2062"/>
      <c r="AJ31" s="2062"/>
      <c r="AK31" s="2062"/>
      <c r="AL31" s="2062"/>
      <c r="AM31" s="2062"/>
      <c r="AN31" s="2062"/>
      <c r="AO31" s="2062"/>
      <c r="AP31" s="2062"/>
      <c r="AQ31" s="2062"/>
      <c r="AR31" s="2062"/>
      <c r="AS31" s="2062"/>
      <c r="AT31" s="2062"/>
      <c r="AU31" s="2062"/>
      <c r="AV31" s="2062"/>
      <c r="AW31" s="2062"/>
      <c r="AX31" s="2062"/>
      <c r="AY31" s="2062"/>
      <c r="AZ31" s="2062"/>
      <c r="BA31" s="2062"/>
      <c r="BB31" s="2062"/>
      <c r="BC31" s="2062"/>
      <c r="BD31" s="2062"/>
      <c r="BE31" s="2062"/>
      <c r="BF31" s="2062"/>
      <c r="BG31" s="2062"/>
      <c r="BH31" s="2062"/>
      <c r="BI31" s="2062"/>
    </row>
    <row r="32" spans="1:61" ht="9.75" customHeight="1">
      <c r="A32" s="2062"/>
      <c r="B32" s="2072"/>
      <c r="C32" s="2078"/>
      <c r="D32" s="2077"/>
      <c r="E32" s="2077"/>
      <c r="F32" s="2077"/>
      <c r="G32" s="2069"/>
      <c r="H32" s="2069"/>
      <c r="I32" s="2075"/>
      <c r="J32" s="2069"/>
      <c r="K32" s="2075"/>
      <c r="L32" s="2069"/>
      <c r="M32" s="2069"/>
      <c r="N32" s="2069"/>
      <c r="O32" s="2069"/>
      <c r="P32" s="2069"/>
      <c r="Q32" s="2069"/>
      <c r="R32" s="2068"/>
      <c r="S32" s="2062"/>
      <c r="T32" s="2064"/>
      <c r="U32" s="2063"/>
      <c r="V32" s="2063"/>
      <c r="W32" s="2063"/>
      <c r="X32" s="2063"/>
      <c r="Y32" s="2063"/>
      <c r="Z32" s="2063"/>
      <c r="AA32" s="2063"/>
      <c r="AB32" s="2063"/>
      <c r="AC32" s="2063"/>
      <c r="AD32" s="2063"/>
      <c r="AE32" s="2062"/>
      <c r="AF32" s="2062"/>
      <c r="AG32" s="2062"/>
      <c r="AH32" s="2062"/>
      <c r="AI32" s="2062"/>
      <c r="AJ32" s="2062"/>
      <c r="AK32" s="2062"/>
      <c r="AL32" s="2062"/>
      <c r="AM32" s="2062"/>
      <c r="AN32" s="2062"/>
      <c r="AO32" s="2062"/>
      <c r="AP32" s="2062"/>
      <c r="AQ32" s="2062"/>
      <c r="AR32" s="2062"/>
      <c r="AS32" s="2062"/>
      <c r="AT32" s="2062"/>
      <c r="AU32" s="2062"/>
      <c r="AV32" s="2062"/>
      <c r="AW32" s="2062"/>
      <c r="AX32" s="2062"/>
      <c r="AY32" s="2062"/>
      <c r="AZ32" s="2062"/>
      <c r="BA32" s="2062"/>
      <c r="BB32" s="2062"/>
      <c r="BC32" s="2062"/>
      <c r="BD32" s="2062"/>
      <c r="BE32" s="2062"/>
      <c r="BF32" s="2062"/>
      <c r="BG32" s="2062"/>
      <c r="BH32" s="2062"/>
      <c r="BI32" s="2062"/>
    </row>
    <row r="33" spans="1:61" ht="2.25" customHeight="1">
      <c r="A33" s="2062"/>
      <c r="B33" s="2072"/>
      <c r="C33" s="2075"/>
      <c r="D33" s="2075"/>
      <c r="E33" s="2075"/>
      <c r="F33" s="2075"/>
      <c r="G33" s="2075"/>
      <c r="H33" s="2075"/>
      <c r="I33" s="2075"/>
      <c r="J33" s="2075"/>
      <c r="K33" s="2075"/>
      <c r="L33" s="2069"/>
      <c r="M33" s="2069"/>
      <c r="N33" s="2069"/>
      <c r="O33" s="2069"/>
      <c r="P33" s="2069"/>
      <c r="Q33" s="2069"/>
      <c r="R33" s="2068"/>
      <c r="S33" s="2062"/>
      <c r="T33" s="2064"/>
      <c r="U33" s="2063"/>
      <c r="V33" s="2063"/>
      <c r="W33" s="2063"/>
      <c r="X33" s="2063"/>
      <c r="Y33" s="2063"/>
      <c r="Z33" s="2063"/>
      <c r="AA33" s="2063"/>
      <c r="AB33" s="2063"/>
      <c r="AC33" s="2063"/>
      <c r="AD33" s="2063"/>
      <c r="AE33" s="2062"/>
      <c r="AF33" s="2062"/>
      <c r="AG33" s="2062"/>
      <c r="AH33" s="2062"/>
      <c r="AI33" s="2062"/>
      <c r="AJ33" s="2062"/>
      <c r="AK33" s="2062"/>
      <c r="AL33" s="2062"/>
      <c r="AM33" s="2062"/>
      <c r="AN33" s="2062"/>
      <c r="AO33" s="2062"/>
      <c r="AP33" s="2062"/>
      <c r="AQ33" s="2062"/>
      <c r="AR33" s="2062"/>
      <c r="AS33" s="2062"/>
      <c r="AT33" s="2062"/>
      <c r="AU33" s="2062"/>
      <c r="AV33" s="2062"/>
      <c r="AW33" s="2062"/>
      <c r="AX33" s="2062"/>
      <c r="AY33" s="2062"/>
      <c r="AZ33" s="2062"/>
      <c r="BA33" s="2062"/>
      <c r="BB33" s="2062"/>
      <c r="BC33" s="2062"/>
      <c r="BD33" s="2062"/>
      <c r="BE33" s="2062"/>
      <c r="BF33" s="2062"/>
      <c r="BG33" s="2062"/>
      <c r="BH33" s="2062"/>
      <c r="BI33" s="2062"/>
    </row>
    <row r="34" spans="1:61" ht="2.25" customHeight="1">
      <c r="A34" s="2062"/>
      <c r="B34" s="2072"/>
      <c r="C34" s="2078"/>
      <c r="D34" s="2077"/>
      <c r="E34" s="2077"/>
      <c r="F34" s="2077"/>
      <c r="G34" s="2069"/>
      <c r="H34" s="2069"/>
      <c r="I34" s="2075"/>
      <c r="J34" s="2069"/>
      <c r="K34" s="2075"/>
      <c r="L34" s="2069"/>
      <c r="M34" s="2069"/>
      <c r="N34" s="2069"/>
      <c r="O34" s="2069"/>
      <c r="P34" s="2069"/>
      <c r="Q34" s="2073"/>
      <c r="R34" s="2068"/>
      <c r="S34" s="2062"/>
      <c r="T34" s="2064"/>
      <c r="U34" s="2063"/>
      <c r="V34" s="2063"/>
      <c r="W34" s="2063"/>
      <c r="X34" s="2063"/>
      <c r="Y34" s="2063"/>
      <c r="Z34" s="2063"/>
      <c r="AA34" s="2063"/>
      <c r="AB34" s="2063"/>
      <c r="AC34" s="2063"/>
      <c r="AD34" s="2063"/>
      <c r="AE34" s="2062"/>
      <c r="AF34" s="2062"/>
      <c r="AG34" s="2062"/>
      <c r="AH34" s="2062"/>
      <c r="AI34" s="2062"/>
      <c r="AJ34" s="2062"/>
      <c r="AK34" s="2062"/>
      <c r="AL34" s="2062"/>
      <c r="AM34" s="2062"/>
      <c r="AN34" s="2062"/>
      <c r="AO34" s="2062"/>
      <c r="AP34" s="2062"/>
      <c r="AQ34" s="2062"/>
      <c r="AR34" s="2062"/>
      <c r="AS34" s="2062"/>
      <c r="AT34" s="2062"/>
      <c r="AU34" s="2062"/>
      <c r="AV34" s="2062"/>
      <c r="AW34" s="2062"/>
      <c r="AX34" s="2062"/>
      <c r="AY34" s="2062"/>
      <c r="AZ34" s="2062"/>
      <c r="BA34" s="2062"/>
      <c r="BB34" s="2062"/>
      <c r="BC34" s="2062"/>
      <c r="BD34" s="2062"/>
      <c r="BE34" s="2062"/>
      <c r="BF34" s="2062"/>
      <c r="BG34" s="2062"/>
      <c r="BH34" s="2062"/>
      <c r="BI34" s="2062"/>
    </row>
    <row r="35" spans="1:61" ht="14.25" customHeight="1">
      <c r="A35" s="2062"/>
      <c r="B35" s="2072"/>
      <c r="C35" s="3689" t="s">
        <v>1410</v>
      </c>
      <c r="D35" s="3690"/>
      <c r="E35" s="2071"/>
      <c r="F35" s="3682">
        <f>DAIR*MYVCF54</f>
        <v>0.81513498119999994</v>
      </c>
      <c r="G35" s="2076"/>
      <c r="H35" s="2076"/>
      <c r="I35" s="2075"/>
      <c r="J35" s="2075"/>
      <c r="K35" s="2074"/>
      <c r="L35" s="2069"/>
      <c r="M35" s="2069"/>
      <c r="N35" s="2069"/>
      <c r="O35" s="2069"/>
      <c r="P35" s="2069"/>
      <c r="Q35" s="2073"/>
      <c r="R35" s="2068"/>
      <c r="S35" s="2062"/>
      <c r="T35" s="2064"/>
      <c r="U35" s="2063"/>
      <c r="V35" s="2063"/>
      <c r="W35" s="2063"/>
      <c r="X35" s="2063"/>
      <c r="Y35" s="2063"/>
      <c r="Z35" s="2063"/>
      <c r="AA35" s="2063"/>
      <c r="AB35" s="2063"/>
      <c r="AC35" s="2063"/>
      <c r="AD35" s="2063"/>
      <c r="AE35" s="2062"/>
      <c r="AF35" s="2062"/>
      <c r="AG35" s="2062"/>
      <c r="AH35" s="2062"/>
      <c r="AI35" s="2062"/>
      <c r="AJ35" s="2062"/>
      <c r="AK35" s="2062"/>
      <c r="AL35" s="2062"/>
      <c r="AM35" s="2062"/>
      <c r="AN35" s="2062"/>
      <c r="AO35" s="2062"/>
      <c r="AP35" s="2062"/>
      <c r="AQ35" s="2062"/>
      <c r="AR35" s="2062"/>
      <c r="AS35" s="2062"/>
      <c r="AT35" s="2062"/>
      <c r="AU35" s="2062"/>
      <c r="AV35" s="2062"/>
      <c r="AW35" s="2062"/>
      <c r="AX35" s="2062"/>
      <c r="AY35" s="2062"/>
      <c r="AZ35" s="2062"/>
      <c r="BA35" s="2062"/>
      <c r="BB35" s="2062"/>
      <c r="BC35" s="2062"/>
      <c r="BD35" s="2062"/>
      <c r="BE35" s="2062"/>
      <c r="BF35" s="2062"/>
      <c r="BG35" s="2062"/>
      <c r="BH35" s="2062"/>
      <c r="BI35" s="2062"/>
    </row>
    <row r="36" spans="1:61" ht="9.75" customHeight="1">
      <c r="A36" s="2062"/>
      <c r="B36" s="2072"/>
      <c r="C36" s="3691" t="s">
        <v>1409</v>
      </c>
      <c r="D36" s="3692"/>
      <c r="E36" s="2071"/>
      <c r="F36" s="3683"/>
      <c r="G36" s="2069"/>
      <c r="H36" s="2069"/>
      <c r="I36" s="2069"/>
      <c r="J36" s="2069"/>
      <c r="K36" s="2070"/>
      <c r="L36" s="2069"/>
      <c r="M36" s="2069"/>
      <c r="N36" s="2069"/>
      <c r="O36" s="2069"/>
      <c r="P36" s="2069"/>
      <c r="Q36" s="2069"/>
      <c r="R36" s="2068"/>
      <c r="S36" s="2062"/>
      <c r="T36" s="2064"/>
      <c r="U36" s="2063"/>
      <c r="V36" s="2063"/>
      <c r="W36" s="2063"/>
      <c r="X36" s="2063"/>
      <c r="Y36" s="2063"/>
      <c r="Z36" s="2063"/>
      <c r="AA36" s="2063"/>
      <c r="AB36" s="2063"/>
      <c r="AC36" s="2063"/>
      <c r="AD36" s="2063"/>
      <c r="AE36" s="2062"/>
      <c r="AF36" s="2062"/>
      <c r="AG36" s="2062"/>
      <c r="AH36" s="2062"/>
      <c r="AI36" s="2062"/>
      <c r="AJ36" s="2062"/>
      <c r="AK36" s="2062"/>
      <c r="AL36" s="2062"/>
      <c r="AM36" s="2062"/>
      <c r="AN36" s="2062"/>
      <c r="AO36" s="2062"/>
      <c r="AP36" s="2062"/>
      <c r="AQ36" s="2062"/>
      <c r="AR36" s="2062"/>
      <c r="AS36" s="2062"/>
      <c r="AT36" s="2062"/>
      <c r="AU36" s="2062"/>
      <c r="AV36" s="2062"/>
      <c r="AW36" s="2062"/>
      <c r="AX36" s="2062"/>
      <c r="AY36" s="2062"/>
      <c r="AZ36" s="2062"/>
      <c r="BA36" s="2062"/>
      <c r="BB36" s="2062"/>
      <c r="BC36" s="2062"/>
      <c r="BD36" s="2062"/>
      <c r="BE36" s="2062"/>
      <c r="BF36" s="2062"/>
      <c r="BG36" s="2062"/>
      <c r="BH36" s="2062"/>
      <c r="BI36" s="2062"/>
    </row>
    <row r="37" spans="1:61" ht="9" customHeight="1">
      <c r="A37" s="2062"/>
      <c r="B37" s="2067"/>
      <c r="C37" s="2066"/>
      <c r="D37" s="2066"/>
      <c r="E37" s="2066"/>
      <c r="F37" s="2066"/>
      <c r="G37" s="2066"/>
      <c r="H37" s="2066"/>
      <c r="I37" s="2066"/>
      <c r="J37" s="2066"/>
      <c r="K37" s="2066"/>
      <c r="L37" s="2066"/>
      <c r="M37" s="2066"/>
      <c r="N37" s="2066"/>
      <c r="O37" s="2066"/>
      <c r="P37" s="2066"/>
      <c r="Q37" s="2066"/>
      <c r="R37" s="2065"/>
      <c r="S37" s="2062"/>
      <c r="T37" s="2064"/>
      <c r="U37" s="2063"/>
      <c r="V37" s="2063"/>
      <c r="W37" s="2063"/>
      <c r="X37" s="2063"/>
      <c r="Y37" s="2063"/>
      <c r="Z37" s="2063"/>
      <c r="AA37" s="2063"/>
      <c r="AB37" s="2063"/>
      <c r="AC37" s="2063"/>
      <c r="AD37" s="2063"/>
      <c r="AE37" s="2062"/>
      <c r="AF37" s="2062"/>
      <c r="AG37" s="2062"/>
      <c r="AH37" s="2062"/>
      <c r="AI37" s="2062"/>
      <c r="AJ37" s="2062"/>
      <c r="AK37" s="2062"/>
      <c r="AL37" s="2062"/>
      <c r="AM37" s="2062"/>
      <c r="AN37" s="2062"/>
      <c r="AO37" s="2062"/>
      <c r="AP37" s="2062"/>
      <c r="AQ37" s="2062"/>
      <c r="AR37" s="2062"/>
      <c r="AS37" s="2062"/>
      <c r="AT37" s="2062"/>
      <c r="AU37" s="2062"/>
      <c r="AV37" s="2062"/>
      <c r="AW37" s="2062"/>
      <c r="AX37" s="2062"/>
      <c r="AY37" s="2062"/>
      <c r="AZ37" s="2062"/>
      <c r="BA37" s="2062"/>
      <c r="BB37" s="2062"/>
      <c r="BC37" s="2062"/>
      <c r="BD37" s="2062"/>
      <c r="BE37" s="2062"/>
      <c r="BF37" s="2062"/>
      <c r="BG37" s="2062"/>
      <c r="BH37" s="2062"/>
      <c r="BI37" s="2062"/>
    </row>
    <row r="38" spans="1:61" ht="2.1" customHeight="1">
      <c r="A38" s="2062"/>
      <c r="B38" s="2062"/>
      <c r="C38" s="2062"/>
      <c r="D38" s="2062"/>
      <c r="E38" s="2062"/>
      <c r="F38" s="2062"/>
      <c r="G38" s="2062"/>
      <c r="H38" s="2062"/>
      <c r="I38" s="2062"/>
      <c r="J38" s="2062"/>
      <c r="K38" s="2062"/>
      <c r="L38" s="2062"/>
      <c r="M38" s="2062"/>
      <c r="N38" s="2062"/>
      <c r="O38" s="2062"/>
      <c r="P38" s="2062"/>
      <c r="Q38" s="2062"/>
      <c r="R38" s="2062"/>
      <c r="S38" s="2062"/>
      <c r="T38" s="2064"/>
      <c r="U38" s="2063"/>
      <c r="V38" s="2063"/>
      <c r="W38" s="2063"/>
      <c r="X38" s="2063"/>
      <c r="Y38" s="2063"/>
      <c r="Z38" s="2063"/>
      <c r="AA38" s="2063"/>
      <c r="AB38" s="2063"/>
      <c r="AC38" s="2063"/>
      <c r="AD38" s="2063"/>
      <c r="AE38" s="2062"/>
      <c r="AF38" s="2062"/>
      <c r="AG38" s="2062"/>
      <c r="AH38" s="2062"/>
      <c r="AI38" s="2062"/>
      <c r="AJ38" s="2062"/>
      <c r="AK38" s="2062"/>
      <c r="AL38" s="2062"/>
      <c r="AM38" s="2062"/>
      <c r="AN38" s="2062"/>
      <c r="AO38" s="2062"/>
      <c r="AP38" s="2062"/>
      <c r="AQ38" s="2062"/>
      <c r="AR38" s="2062"/>
      <c r="AS38" s="2062"/>
      <c r="AT38" s="2062"/>
      <c r="AU38" s="2062"/>
      <c r="AV38" s="2062"/>
      <c r="AW38" s="2062"/>
      <c r="AX38" s="2062"/>
      <c r="AY38" s="2062"/>
      <c r="AZ38" s="2062"/>
      <c r="BA38" s="2062"/>
      <c r="BB38" s="2062"/>
      <c r="BC38" s="2062"/>
      <c r="BD38" s="2062"/>
      <c r="BE38" s="2062"/>
      <c r="BF38" s="2062"/>
      <c r="BG38" s="2062"/>
      <c r="BH38" s="2062"/>
      <c r="BI38" s="2062"/>
    </row>
    <row r="39" spans="1:61" s="2019" customFormat="1" ht="9" hidden="1" customHeight="1">
      <c r="A39" s="2061"/>
      <c r="B39" s="2061"/>
      <c r="C39" s="2061"/>
      <c r="D39" s="2061"/>
      <c r="E39" s="2061"/>
      <c r="F39" s="2061"/>
      <c r="G39" s="2061"/>
      <c r="H39" s="2061"/>
      <c r="I39" s="2061"/>
      <c r="J39" s="2061"/>
      <c r="K39" s="2061"/>
      <c r="L39" s="2061"/>
      <c r="M39" s="2061"/>
      <c r="N39" s="2061"/>
      <c r="O39" s="2061"/>
      <c r="P39" s="2061"/>
      <c r="Q39" s="2060"/>
      <c r="R39" s="2060"/>
      <c r="S39" s="2059"/>
      <c r="T39" s="2058"/>
      <c r="U39" s="2028"/>
      <c r="V39" s="2028"/>
      <c r="W39" s="2028"/>
      <c r="X39" s="2028"/>
      <c r="Y39" s="2028"/>
      <c r="Z39" s="2028"/>
      <c r="AA39" s="2028"/>
      <c r="AB39" s="2028"/>
      <c r="AC39" s="2028"/>
      <c r="AD39" s="2028"/>
      <c r="AE39" s="2026"/>
      <c r="AF39" s="2026"/>
      <c r="AG39" s="2026"/>
      <c r="AH39" s="2026"/>
      <c r="AI39" s="2026"/>
      <c r="AJ39" s="2026"/>
      <c r="AK39" s="2026"/>
      <c r="AL39" s="2026"/>
      <c r="AM39" s="2026"/>
      <c r="AN39" s="2026"/>
      <c r="AO39" s="2026"/>
      <c r="AP39" s="2026"/>
      <c r="AQ39" s="2026"/>
      <c r="AR39" s="2026"/>
      <c r="AS39" s="2026"/>
      <c r="AT39" s="2026"/>
      <c r="AU39" s="2026"/>
      <c r="AV39" s="2026"/>
      <c r="AW39" s="2026"/>
      <c r="AX39" s="2026"/>
      <c r="AY39" s="2026"/>
      <c r="AZ39" s="2026"/>
      <c r="BA39" s="2026"/>
      <c r="BB39" s="2026"/>
      <c r="BC39" s="2026"/>
      <c r="BD39" s="2026"/>
      <c r="BE39" s="2026"/>
      <c r="BF39" s="2026"/>
      <c r="BG39" s="2026"/>
      <c r="BH39" s="2026"/>
      <c r="BI39" s="2026"/>
    </row>
    <row r="40" spans="1:61" s="2019" customFormat="1" ht="6" hidden="1" customHeight="1">
      <c r="B40" s="2030"/>
      <c r="C40" s="2030"/>
      <c r="D40" s="2030"/>
      <c r="E40" s="2030"/>
      <c r="F40" s="2030"/>
      <c r="G40" s="2030"/>
      <c r="H40" s="2030"/>
      <c r="I40" s="2030"/>
      <c r="J40" s="2030"/>
      <c r="K40" s="2030"/>
      <c r="L40" s="2030"/>
      <c r="M40" s="2030"/>
      <c r="N40" s="2030"/>
      <c r="O40" s="2030"/>
      <c r="P40" s="2030"/>
      <c r="Q40" s="2029"/>
      <c r="R40" s="2029"/>
      <c r="S40" s="2028"/>
      <c r="T40" s="2028"/>
      <c r="U40" s="2028"/>
      <c r="V40" s="2028"/>
      <c r="W40" s="2028"/>
      <c r="X40" s="2028"/>
      <c r="Y40" s="2028"/>
      <c r="Z40" s="2028"/>
      <c r="AA40" s="2028"/>
      <c r="AB40" s="2028"/>
      <c r="AC40" s="2028"/>
      <c r="AD40" s="2028"/>
      <c r="AE40" s="2026"/>
      <c r="AF40" s="2026"/>
      <c r="AG40" s="2026"/>
      <c r="AH40" s="2026"/>
      <c r="AI40" s="2026"/>
      <c r="AJ40" s="2026"/>
      <c r="AK40" s="2026"/>
      <c r="AL40" s="2026"/>
      <c r="AM40" s="2026"/>
      <c r="AN40" s="2026"/>
      <c r="AO40" s="2026"/>
      <c r="AP40" s="2026"/>
      <c r="AQ40" s="2026"/>
      <c r="AR40" s="2026"/>
      <c r="AS40" s="2026"/>
      <c r="AT40" s="2026"/>
      <c r="AU40" s="2026"/>
      <c r="AV40" s="2026"/>
      <c r="AW40" s="2026"/>
      <c r="AX40" s="2026"/>
      <c r="AY40" s="2026"/>
      <c r="AZ40" s="2026"/>
      <c r="BA40" s="2026"/>
      <c r="BB40" s="2026"/>
      <c r="BC40" s="2026"/>
      <c r="BD40" s="2026"/>
      <c r="BE40" s="2026"/>
      <c r="BF40" s="2026"/>
      <c r="BG40" s="2026"/>
      <c r="BH40" s="2026"/>
      <c r="BI40" s="2026"/>
    </row>
    <row r="41" spans="1:61" s="2019" customFormat="1" hidden="1">
      <c r="B41" s="2030"/>
      <c r="C41" s="2057" t="s">
        <v>1408</v>
      </c>
      <c r="D41" s="2030"/>
      <c r="E41" s="2030"/>
      <c r="F41" s="2030"/>
      <c r="G41" s="2056"/>
      <c r="H41" s="2030"/>
      <c r="I41" s="2030"/>
      <c r="J41" s="2030"/>
      <c r="K41" s="2030"/>
      <c r="L41" s="2030"/>
      <c r="M41" s="2030"/>
      <c r="N41" s="2030"/>
      <c r="O41" s="2030"/>
      <c r="P41" s="2030"/>
      <c r="Q41" s="2029"/>
      <c r="R41" s="2029"/>
      <c r="S41" s="2028"/>
      <c r="T41" s="2028"/>
      <c r="U41" s="2028"/>
      <c r="V41" s="2028"/>
      <c r="W41" s="2028"/>
      <c r="X41" s="2028"/>
      <c r="Y41" s="2028"/>
      <c r="Z41" s="2028"/>
      <c r="AA41" s="2028"/>
      <c r="AB41" s="2028"/>
      <c r="AC41" s="2028"/>
      <c r="AD41" s="2028"/>
      <c r="AE41" s="2026"/>
      <c r="AF41" s="2026"/>
      <c r="AG41" s="2026"/>
      <c r="AH41" s="2026"/>
      <c r="AI41" s="2026"/>
      <c r="AJ41" s="2026"/>
      <c r="AK41" s="2026"/>
      <c r="AL41" s="2026"/>
      <c r="AM41" s="2026"/>
      <c r="AN41" s="2026"/>
      <c r="AO41" s="2026"/>
      <c r="AP41" s="2026"/>
      <c r="AQ41" s="2026"/>
      <c r="AR41" s="2026"/>
      <c r="AS41" s="2026"/>
      <c r="AT41" s="2026"/>
      <c r="AU41" s="2026"/>
      <c r="AV41" s="2026"/>
      <c r="AW41" s="2026"/>
      <c r="AX41" s="2026"/>
      <c r="AY41" s="2026"/>
      <c r="AZ41" s="2026"/>
      <c r="BA41" s="2026"/>
      <c r="BB41" s="2026"/>
      <c r="BC41" s="2026"/>
      <c r="BD41" s="2026"/>
      <c r="BE41" s="2026"/>
      <c r="BF41" s="2026"/>
      <c r="BG41" s="2026"/>
      <c r="BH41" s="2026"/>
      <c r="BI41" s="2026"/>
    </row>
    <row r="42" spans="1:61" s="2019" customFormat="1" hidden="1">
      <c r="B42" s="2029"/>
      <c r="C42" s="2047" t="s">
        <v>342</v>
      </c>
      <c r="D42" s="2047" t="s">
        <v>341</v>
      </c>
      <c r="E42" s="2031"/>
      <c r="F42" s="2054">
        <f>I11</f>
        <v>26.111111111111111</v>
      </c>
      <c r="G42" s="2031"/>
      <c r="H42" s="2031"/>
      <c r="I42" s="2054">
        <f>I13</f>
        <v>26.388888888888889</v>
      </c>
      <c r="J42" s="2031"/>
      <c r="K42" s="2055">
        <f>I15</f>
        <v>26.666666666666664</v>
      </c>
      <c r="L42" s="2031"/>
      <c r="M42" s="2054">
        <f>I17</f>
        <v>26.944444444444446</v>
      </c>
      <c r="N42" s="2031"/>
      <c r="O42" s="2054">
        <f>I19</f>
        <v>27.222222222222221</v>
      </c>
      <c r="P42" s="2029"/>
      <c r="Q42" s="2040"/>
      <c r="R42" s="2029"/>
      <c r="S42" s="2028"/>
      <c r="T42" s="2028"/>
      <c r="U42" s="2028"/>
      <c r="V42" s="2028"/>
      <c r="W42" s="2028"/>
      <c r="X42" s="2028"/>
      <c r="Y42" s="2028"/>
      <c r="Z42" s="2028"/>
      <c r="AA42" s="2028"/>
      <c r="AB42" s="2028"/>
      <c r="AC42" s="2028"/>
      <c r="AD42" s="2028"/>
      <c r="AE42" s="2026"/>
      <c r="AF42" s="2026"/>
      <c r="AG42" s="2026"/>
      <c r="AH42" s="2026"/>
      <c r="AI42" s="2026"/>
      <c r="AJ42" s="2026"/>
      <c r="AK42" s="2026"/>
      <c r="AL42" s="2026"/>
      <c r="AM42" s="2026"/>
      <c r="AN42" s="2026"/>
      <c r="AO42" s="2026"/>
      <c r="AP42" s="2026"/>
      <c r="AQ42" s="2026"/>
      <c r="AR42" s="2026"/>
      <c r="AS42" s="2026"/>
      <c r="AT42" s="2026"/>
      <c r="AU42" s="2026"/>
      <c r="AV42" s="2026"/>
      <c r="AW42" s="2026"/>
      <c r="AX42" s="2026"/>
      <c r="AY42" s="2026"/>
      <c r="AZ42" s="2026"/>
      <c r="BA42" s="2026"/>
      <c r="BB42" s="2026"/>
      <c r="BC42" s="2026"/>
      <c r="BD42" s="2026"/>
      <c r="BE42" s="2026"/>
      <c r="BF42" s="2026"/>
      <c r="BG42" s="2026"/>
      <c r="BH42" s="2026"/>
      <c r="BI42" s="2026"/>
    </row>
    <row r="43" spans="1:61" s="2019" customFormat="1" hidden="1">
      <c r="B43" s="2029" t="s">
        <v>1402</v>
      </c>
      <c r="C43" s="2043">
        <v>613.97226000000001</v>
      </c>
      <c r="D43" s="2043">
        <v>0</v>
      </c>
      <c r="E43" s="2053"/>
      <c r="F43" s="2042">
        <f>EXP(-(C43+D43*DVAC*1000)/DVAC/1000/1000/DVAC*(F$42-15)*(1+0.8*(C43+D43*DVAC*1000)/DVAC/1000000/DVAC*(F$42-15)))</f>
        <v>0.98993917026519973</v>
      </c>
      <c r="G43" s="2049"/>
      <c r="H43" s="2049"/>
      <c r="I43" s="2042">
        <f>EXP(-(C43+D43*DVAC*1000)/DVAC/1000/1000/DVAC*(I$42-15)*(1+0.8*(C43+D43*DVAC*1000)/DVAC/1000000/DVAC*(I$42-15)))</f>
        <v>0.98968690909564638</v>
      </c>
      <c r="J43" s="2049"/>
      <c r="K43" s="2050">
        <f>EXP(-(C43+D43*DVAC*1000)/DVAC/1000/1000/DVAC*(K$42-15)*(1+0.8*(C43+D43*DVAC*1000)/DVAC/1000000/DVAC*(K$42-15)))</f>
        <v>0.98943461264508792</v>
      </c>
      <c r="L43" s="2049"/>
      <c r="M43" s="2042">
        <f>EXP(-(C43+D43*DVAC*1000)/DVAC/1000/1000/DVAC*(M$42-15)*(1+0.8*(C43+D43*DVAC*1000)/DVAC/1000000/DVAC*(M$42-15)))</f>
        <v>0.9891822809732872</v>
      </c>
      <c r="N43" s="2049"/>
      <c r="O43" s="2042">
        <f>EXP(-(C43+D43*DVAC*1000)/DVAC/1000/1000/DVAC*(O$42-15)*(1+0.8*(C43+D43*DVAC*1000)/DVAC/1000000/DVAC*(O$42-15)))</f>
        <v>0.98892991414000264</v>
      </c>
      <c r="P43" s="2029"/>
      <c r="Q43" s="2040" t="s">
        <v>1407</v>
      </c>
      <c r="R43" s="2029"/>
      <c r="S43" s="2028"/>
      <c r="T43" s="2028"/>
      <c r="U43" s="2028"/>
      <c r="V43" s="2028"/>
      <c r="W43" s="2028"/>
      <c r="X43" s="2028"/>
      <c r="Y43" s="2028"/>
      <c r="Z43" s="2028"/>
      <c r="AA43" s="2028"/>
      <c r="AB43" s="2028"/>
      <c r="AC43" s="2028"/>
      <c r="AD43" s="2028"/>
      <c r="AE43" s="2026"/>
      <c r="AF43" s="2026"/>
      <c r="AG43" s="2026"/>
      <c r="AH43" s="2026"/>
      <c r="AI43" s="2026"/>
      <c r="AJ43" s="2026"/>
      <c r="AK43" s="2026"/>
      <c r="AL43" s="2026"/>
      <c r="AM43" s="2026"/>
      <c r="AN43" s="2026"/>
      <c r="AO43" s="2026"/>
      <c r="AP43" s="2026"/>
      <c r="AQ43" s="2026"/>
      <c r="AR43" s="2026"/>
      <c r="AS43" s="2026"/>
      <c r="AT43" s="2026"/>
      <c r="AU43" s="2026"/>
      <c r="AV43" s="2026"/>
      <c r="AW43" s="2026"/>
      <c r="AX43" s="2026"/>
      <c r="AY43" s="2026"/>
      <c r="AZ43" s="2026"/>
      <c r="BA43" s="2026"/>
      <c r="BB43" s="2026"/>
      <c r="BC43" s="2026"/>
      <c r="BD43" s="2026"/>
      <c r="BE43" s="2026"/>
      <c r="BF43" s="2026"/>
      <c r="BG43" s="2026"/>
      <c r="BH43" s="2026"/>
      <c r="BI43" s="2026"/>
    </row>
    <row r="44" spans="1:61" s="2019" customFormat="1" hidden="1">
      <c r="B44" s="2029" t="s">
        <v>1401</v>
      </c>
      <c r="C44" s="2043">
        <v>186.96960000000001</v>
      </c>
      <c r="D44" s="2043">
        <v>0.48618</v>
      </c>
      <c r="E44" s="2053"/>
      <c r="F44" s="2042">
        <f>EXP(-(C44+D44*DVAC*1000)/DVAC/1000/1000/DVAC*(F$42-15)*(1+0.8*(C44+D44*DVAC*1000)/DVAC/1000000/DVAC*(F$42-15)))</f>
        <v>0.990367532891124</v>
      </c>
      <c r="G44" s="2049"/>
      <c r="H44" s="2049"/>
      <c r="I44" s="2042">
        <f>EXP(-(C44+D44*DVAC*1000)/DVAC/1000/1000/DVAC*(I$42-15)*(1+0.8*(C44+D44*DVAC*1000)/DVAC/1000000/DVAC*(I$42-15)))</f>
        <v>0.99012604104087898</v>
      </c>
      <c r="J44" s="2049"/>
      <c r="K44" s="2050">
        <f>EXP(-(C44+D44*DVAC*1000)/DVAC/1000/1000/DVAC*(K$42-15)*(1+0.8*(C44+D44*DVAC*1000)/DVAC/1000000/DVAC*(K$42-15)))</f>
        <v>0.98988451674670497</v>
      </c>
      <c r="L44" s="2049"/>
      <c r="M44" s="2042">
        <f>EXP(-(C44+D44*DVAC*1000)/DVAC/1000/1000/DVAC*(M$42-15)*(1+0.8*(C44+D44*DVAC*1000)/DVAC/1000000/DVAC*(M$42-15)))</f>
        <v>0.9896429600610781</v>
      </c>
      <c r="N44" s="2049"/>
      <c r="O44" s="2042">
        <f>EXP(-(C44+D44*DVAC*1000)/DVAC/1000/1000/DVAC*(O$42-15)*(1+0.8*(C44+D44*DVAC*1000)/DVAC/1000000/DVAC*(O$42-15)))</f>
        <v>0.98940137103647052</v>
      </c>
      <c r="P44" s="2029"/>
      <c r="Q44" s="2040" t="s">
        <v>1406</v>
      </c>
      <c r="R44" s="2029"/>
      <c r="S44" s="2028"/>
      <c r="T44" s="2028"/>
      <c r="U44" s="2028"/>
      <c r="V44" s="2028"/>
      <c r="W44" s="2028"/>
      <c r="X44" s="2028"/>
      <c r="Y44" s="2028"/>
      <c r="Z44" s="2028"/>
      <c r="AA44" s="2028"/>
      <c r="AB44" s="2028"/>
      <c r="AC44" s="2028"/>
      <c r="AD44" s="2028"/>
      <c r="AE44" s="2026"/>
      <c r="AF44" s="2026"/>
      <c r="AG44" s="2026"/>
      <c r="AH44" s="2026"/>
      <c r="AI44" s="2026"/>
      <c r="AJ44" s="2026"/>
      <c r="AK44" s="2026"/>
      <c r="AL44" s="2026"/>
      <c r="AM44" s="2026"/>
      <c r="AN44" s="2026"/>
      <c r="AO44" s="2026"/>
      <c r="AP44" s="2026"/>
      <c r="AQ44" s="2026"/>
      <c r="AR44" s="2026"/>
      <c r="AS44" s="2026"/>
      <c r="AT44" s="2026"/>
      <c r="AU44" s="2026"/>
      <c r="AV44" s="2026"/>
      <c r="AW44" s="2026"/>
      <c r="AX44" s="2026"/>
      <c r="AY44" s="2026"/>
      <c r="AZ44" s="2026"/>
      <c r="BA44" s="2026"/>
      <c r="BB44" s="2026"/>
      <c r="BC44" s="2026"/>
      <c r="BD44" s="2026"/>
      <c r="BE44" s="2026"/>
      <c r="BF44" s="2026"/>
      <c r="BG44" s="2026"/>
      <c r="BH44" s="2026"/>
      <c r="BI44" s="2026"/>
    </row>
    <row r="45" spans="1:61" s="2019" customFormat="1" hidden="1">
      <c r="B45" s="2029" t="s">
        <v>1400</v>
      </c>
      <c r="C45" s="2043">
        <v>594.54179999999997</v>
      </c>
      <c r="D45" s="2043">
        <v>0</v>
      </c>
      <c r="E45" s="2053"/>
      <c r="F45" s="2042">
        <f>EXP(-(C45+D45*DVAC*1000)/DVAC/1000/1000/DVAC*(F$42-15)*(1+0.8*(C45+D45*DVAC*1000)/DVAC/1000000/DVAC*(F$42-15)))</f>
        <v>0.99025845325498518</v>
      </c>
      <c r="G45" s="2049"/>
      <c r="H45" s="2049"/>
      <c r="I45" s="2042">
        <f>EXP(-(C45+D45*DVAC*1000)/DVAC/1000/1000/DVAC*(I$42-15)*(1+0.8*(C45+D45*DVAC*1000)/DVAC/1000000/DVAC*(I$42-15)))</f>
        <v>0.99001421930085864</v>
      </c>
      <c r="J45" s="2049"/>
      <c r="K45" s="2050">
        <f>EXP(-(C45+D45*DVAC*1000)/DVAC/1000/1000/DVAC*(K$42-15)*(1+0.8*(C45+D45*DVAC*1000)/DVAC/1000000/DVAC*(K$42-15)))</f>
        <v>0.98976995219075636</v>
      </c>
      <c r="L45" s="2049"/>
      <c r="M45" s="2042">
        <f>EXP(-(C45+D45*DVAC*1000)/DVAC/1000/1000/DVAC*(M$42-15)*(1+0.8*(C45+D45*DVAC*1000)/DVAC/1000000/DVAC*(M$42-15)))</f>
        <v>0.98952565197895037</v>
      </c>
      <c r="N45" s="2049"/>
      <c r="O45" s="2042">
        <f>EXP(-(C45+D45*DVAC*1000)/DVAC/1000/1000/DVAC*(O$42-15)*(1+0.8*(C45+D45*DVAC*1000)/DVAC/1000000/DVAC*(O$42-15)))</f>
        <v>0.98928131871970892</v>
      </c>
      <c r="P45" s="2029"/>
      <c r="Q45" s="2040" t="s">
        <v>1406</v>
      </c>
      <c r="R45" s="2029"/>
      <c r="S45" s="2028"/>
      <c r="T45" s="2028"/>
      <c r="U45" s="2028"/>
      <c r="V45" s="2028"/>
      <c r="W45" s="2028"/>
      <c r="X45" s="2028"/>
      <c r="Y45" s="2028"/>
      <c r="Z45" s="2028"/>
      <c r="AA45" s="2028"/>
      <c r="AB45" s="2028"/>
      <c r="AC45" s="2028"/>
      <c r="AD45" s="2028"/>
      <c r="AE45" s="2026"/>
      <c r="AF45" s="2026"/>
      <c r="AG45" s="2026"/>
      <c r="AH45" s="2026"/>
      <c r="AI45" s="2026"/>
      <c r="AJ45" s="2026"/>
      <c r="AK45" s="2026"/>
      <c r="AL45" s="2026"/>
      <c r="AM45" s="2026"/>
      <c r="AN45" s="2026"/>
      <c r="AO45" s="2026"/>
      <c r="AP45" s="2026"/>
      <c r="AQ45" s="2026"/>
      <c r="AR45" s="2026"/>
      <c r="AS45" s="2026"/>
      <c r="AT45" s="2026"/>
      <c r="AU45" s="2026"/>
      <c r="AV45" s="2026"/>
      <c r="AW45" s="2026"/>
      <c r="AX45" s="2026"/>
      <c r="AY45" s="2026"/>
      <c r="AZ45" s="2026"/>
      <c r="BA45" s="2026"/>
      <c r="BB45" s="2026"/>
      <c r="BC45" s="2026"/>
      <c r="BD45" s="2026"/>
      <c r="BE45" s="2026"/>
      <c r="BF45" s="2026"/>
      <c r="BG45" s="2026"/>
      <c r="BH45" s="2026"/>
      <c r="BI45" s="2026"/>
    </row>
    <row r="46" spans="1:61" s="2019" customFormat="1" hidden="1">
      <c r="B46" s="2029" t="s">
        <v>1399</v>
      </c>
      <c r="C46" s="2043">
        <v>2680.3206</v>
      </c>
      <c r="D46" s="2043">
        <v>-3.3631199999999998E-3</v>
      </c>
      <c r="E46" s="2053"/>
      <c r="F46" s="2042">
        <f>EXP(-(C46+D46*DVAC^2*1000^2)/DVAC/1000/1000/DVAC*(F$42-15)*(1+0.8*(C46+D46*DVAC^2*1000^2)/DVAC/1000000/DVAC*(F$42-15)))</f>
        <v>0.99356382845868996</v>
      </c>
      <c r="G46" s="2049"/>
      <c r="H46" s="2049"/>
      <c r="I46" s="2042">
        <f>EXP(-(C46+D46*DVAC^2*1000^2)/DVAC/1000/1000/DVAC*(I$42-15)*(1+0.8*(C46+D46*DVAC^2*1000^2)/DVAC/1000000/DVAC*(I$42-15)))</f>
        <v>0.99340261563502275</v>
      </c>
      <c r="J46" s="2049"/>
      <c r="K46" s="2050">
        <f>EXP(-(C46+D46*DVAC^2*1000^2)/DVAC/1000/1000/DVAC*(K$42-15)*(1+0.8*(C46+D46*DVAC^2*1000^2)/DVAC/1000000/DVAC*(K$42-15)))</f>
        <v>0.99324138798094364</v>
      </c>
      <c r="L46" s="2049"/>
      <c r="M46" s="2042">
        <f>EXP(-(C46+D46*DVAC^2*1000^2)/DVAC/1000/1000/DVAC*(M$42-15)*(1+0.8*(C46+D46*DVAC^2*1000^2)/DVAC/1000000/DVAC*(M$42-15)))</f>
        <v>0.9930801455121655</v>
      </c>
      <c r="N46" s="2049"/>
      <c r="O46" s="2042">
        <f>EXP(-(C46+D46*DVAC^2*1000^2)/DVAC/1000/1000/DVAC*(O$42-15)*(1+0.8*(C46+D46*DVAC^2*1000^2)/DVAC/1000000/DVAC*(O$42-15)))</f>
        <v>0.99291888824440033</v>
      </c>
      <c r="P46" s="2029"/>
      <c r="Q46" s="2040" t="s">
        <v>1406</v>
      </c>
      <c r="R46" s="2029"/>
      <c r="S46" s="2028"/>
      <c r="T46" s="2028"/>
      <c r="U46" s="2028"/>
      <c r="V46" s="2028"/>
      <c r="W46" s="2028"/>
      <c r="X46" s="2028"/>
      <c r="Y46" s="2028"/>
      <c r="Z46" s="2028"/>
      <c r="AA46" s="2028"/>
      <c r="AB46" s="2028"/>
      <c r="AC46" s="2028"/>
      <c r="AD46" s="2028"/>
      <c r="AE46" s="2026"/>
      <c r="AF46" s="2026"/>
      <c r="AG46" s="2026"/>
      <c r="AH46" s="2026"/>
      <c r="AI46" s="2026"/>
      <c r="AJ46" s="2026"/>
      <c r="AK46" s="2026"/>
      <c r="AL46" s="2026"/>
      <c r="AM46" s="2026"/>
      <c r="AN46" s="2026"/>
      <c r="AO46" s="2026"/>
      <c r="AP46" s="2026"/>
      <c r="AQ46" s="2026"/>
      <c r="AR46" s="2026"/>
      <c r="AS46" s="2026"/>
      <c r="AT46" s="2026"/>
      <c r="AU46" s="2026"/>
      <c r="AV46" s="2026"/>
      <c r="AW46" s="2026"/>
      <c r="AX46" s="2026"/>
      <c r="AY46" s="2026"/>
      <c r="AZ46" s="2026"/>
      <c r="BA46" s="2026"/>
      <c r="BB46" s="2026"/>
      <c r="BC46" s="2026"/>
      <c r="BD46" s="2026"/>
      <c r="BE46" s="2026"/>
      <c r="BF46" s="2026"/>
      <c r="BG46" s="2026"/>
      <c r="BH46" s="2026"/>
      <c r="BI46" s="2026"/>
    </row>
    <row r="47" spans="1:61" s="2019" customFormat="1" hidden="1">
      <c r="B47" s="2029" t="s">
        <v>1398</v>
      </c>
      <c r="C47" s="2043">
        <v>346.42277999999999</v>
      </c>
      <c r="D47" s="2043">
        <v>0.43884000000000001</v>
      </c>
      <c r="E47" s="2053"/>
      <c r="F47" s="2042">
        <f>EXP(-(C47+D47*DVAC*1000)/DVAC/1000/1000/DVAC*(F$42-15)*(1+0.8*(C47+D47*DVAC*1000)/DVAC/1000000/DVAC*(F$42-15)))</f>
        <v>0.98838809352825441</v>
      </c>
      <c r="G47" s="2049"/>
      <c r="H47" s="2049"/>
      <c r="I47" s="2042">
        <f>EXP(-(C47+D47*DVAC*1000)/DVAC/1000/1000/DVAC*(I$42-15)*(1+0.8*(C47+D47*DVAC*1000)/DVAC/1000000/DVAC*(I$42-15)))</f>
        <v>0.98809681717576769</v>
      </c>
      <c r="J47" s="2049"/>
      <c r="K47" s="2050">
        <f>EXP(-(C47+D47*DVAC*1000)/DVAC/1000/1000/DVAC*(K$42-15)*(1+0.8*(C47+D47*DVAC*1000)/DVAC/1000000/DVAC*(K$42-15)))</f>
        <v>0.98780549436752174</v>
      </c>
      <c r="L47" s="2049"/>
      <c r="M47" s="2042">
        <f>EXP(-(C47+D47*DVAC*1000)/DVAC/1000/1000/DVAC*(M$42-15)*(1+0.8*(C47+D47*DVAC*1000)/DVAC/1000000/DVAC*(M$42-15)))</f>
        <v>0.98751412519523396</v>
      </c>
      <c r="N47" s="2049"/>
      <c r="O47" s="2042">
        <f>EXP(-(C47+D47*DVAC*1000)/DVAC/1000/1000/DVAC*(O$42-15)*(1+0.8*(C47+D47*DVAC*1000)/DVAC/1000000/DVAC*(O$42-15)))</f>
        <v>0.98722270975061355</v>
      </c>
      <c r="P47" s="2029"/>
      <c r="Q47" s="2040" t="s">
        <v>1406</v>
      </c>
      <c r="R47" s="2029"/>
      <c r="S47" s="2028"/>
      <c r="T47" s="2028"/>
      <c r="U47" s="2028"/>
      <c r="V47" s="2028"/>
      <c r="W47" s="2028"/>
      <c r="X47" s="2028"/>
      <c r="Y47" s="2028"/>
      <c r="Z47" s="2028"/>
      <c r="AA47" s="2028"/>
      <c r="AB47" s="2028"/>
      <c r="AC47" s="2028"/>
      <c r="AD47" s="2028"/>
      <c r="AE47" s="2026"/>
      <c r="AF47" s="2026"/>
      <c r="AG47" s="2026"/>
      <c r="AH47" s="2026"/>
      <c r="AI47" s="2026"/>
      <c r="AJ47" s="2026"/>
      <c r="AK47" s="2026"/>
      <c r="AL47" s="2026"/>
      <c r="AM47" s="2026"/>
      <c r="AN47" s="2026"/>
      <c r="AO47" s="2026"/>
      <c r="AP47" s="2026"/>
      <c r="AQ47" s="2026"/>
      <c r="AR47" s="2026"/>
      <c r="AS47" s="2026"/>
      <c r="AT47" s="2026"/>
      <c r="AU47" s="2026"/>
      <c r="AV47" s="2026"/>
      <c r="AW47" s="2026"/>
      <c r="AX47" s="2026"/>
      <c r="AY47" s="2026"/>
      <c r="AZ47" s="2026"/>
      <c r="BA47" s="2026"/>
      <c r="BB47" s="2026"/>
      <c r="BC47" s="2026"/>
      <c r="BD47" s="2026"/>
      <c r="BE47" s="2026"/>
      <c r="BF47" s="2026"/>
      <c r="BG47" s="2026"/>
      <c r="BH47" s="2026"/>
      <c r="BI47" s="2026"/>
    </row>
    <row r="48" spans="1:61" s="2019" customFormat="1" hidden="1">
      <c r="B48" s="2029"/>
      <c r="C48" s="2048"/>
      <c r="D48" s="2048"/>
      <c r="E48" s="2048"/>
      <c r="F48" s="2048"/>
      <c r="G48" s="2048"/>
      <c r="H48" s="2048"/>
      <c r="I48" s="2048"/>
      <c r="J48" s="2048"/>
      <c r="K48" s="2048"/>
      <c r="L48" s="2048"/>
      <c r="M48" s="2048"/>
      <c r="N48" s="2029"/>
      <c r="O48" s="2029"/>
      <c r="P48" s="2029"/>
      <c r="Q48" s="2040"/>
      <c r="R48" s="2029"/>
      <c r="S48" s="2028"/>
      <c r="T48" s="2028"/>
      <c r="U48" s="2028"/>
      <c r="V48" s="2028"/>
      <c r="W48" s="2028"/>
      <c r="X48" s="2028"/>
      <c r="Y48" s="2028"/>
      <c r="Z48" s="2028"/>
      <c r="AA48" s="2028"/>
      <c r="AB48" s="2028"/>
      <c r="AC48" s="2028"/>
      <c r="AD48" s="2028"/>
      <c r="AE48" s="2026"/>
      <c r="AF48" s="2026"/>
      <c r="AG48" s="2026"/>
      <c r="AH48" s="2026"/>
      <c r="AI48" s="2026"/>
      <c r="AJ48" s="2026"/>
      <c r="AK48" s="2026"/>
      <c r="AL48" s="2026"/>
      <c r="AM48" s="2026"/>
      <c r="AN48" s="2026"/>
      <c r="AO48" s="2026"/>
      <c r="AP48" s="2026"/>
      <c r="AQ48" s="2026"/>
      <c r="AR48" s="2026"/>
      <c r="AS48" s="2026"/>
      <c r="AT48" s="2026"/>
      <c r="AU48" s="2026"/>
      <c r="AV48" s="2026"/>
      <c r="AW48" s="2026"/>
      <c r="AX48" s="2026"/>
      <c r="AY48" s="2026"/>
      <c r="AZ48" s="2026"/>
      <c r="BA48" s="2026"/>
      <c r="BB48" s="2026"/>
      <c r="BC48" s="2026"/>
      <c r="BD48" s="2026"/>
      <c r="BE48" s="2026"/>
      <c r="BF48" s="2026"/>
      <c r="BG48" s="2026"/>
      <c r="BH48" s="2026"/>
      <c r="BI48" s="2026"/>
    </row>
    <row r="49" spans="2:61" s="2019" customFormat="1" hidden="1">
      <c r="B49" s="2029"/>
      <c r="C49" s="2047" t="s">
        <v>342</v>
      </c>
      <c r="D49" s="2047" t="s">
        <v>341</v>
      </c>
      <c r="E49" s="2031"/>
      <c r="F49" s="2051">
        <f>Q11</f>
        <v>79</v>
      </c>
      <c r="G49" s="2031"/>
      <c r="H49" s="2031"/>
      <c r="I49" s="2051">
        <f>Q13</f>
        <v>79.5</v>
      </c>
      <c r="J49" s="2031"/>
      <c r="K49" s="2052">
        <f>TEMPF</f>
        <v>80</v>
      </c>
      <c r="L49" s="2031"/>
      <c r="M49" s="2051">
        <f>Q17</f>
        <v>80.5</v>
      </c>
      <c r="N49" s="2031"/>
      <c r="O49" s="2051">
        <f>Q19</f>
        <v>81</v>
      </c>
      <c r="P49" s="2029"/>
      <c r="Q49" s="2040"/>
      <c r="R49" s="2029"/>
      <c r="S49" s="2028"/>
      <c r="T49" s="2028"/>
      <c r="U49" s="2028"/>
      <c r="V49" s="2028"/>
      <c r="W49" s="2028"/>
      <c r="X49" s="2028"/>
      <c r="Y49" s="2028"/>
      <c r="Z49" s="2028"/>
      <c r="AA49" s="2028"/>
      <c r="AB49" s="2028"/>
      <c r="AC49" s="2028"/>
      <c r="AD49" s="2028"/>
      <c r="AE49" s="2026"/>
      <c r="AF49" s="2026"/>
      <c r="AG49" s="2026"/>
      <c r="AH49" s="2026"/>
      <c r="AI49" s="2026"/>
      <c r="AJ49" s="2026"/>
      <c r="AK49" s="2026"/>
      <c r="AL49" s="2026"/>
      <c r="AM49" s="2026"/>
      <c r="AN49" s="2026"/>
      <c r="AO49" s="2026"/>
      <c r="AP49" s="2026"/>
      <c r="AQ49" s="2026"/>
      <c r="AR49" s="2026"/>
      <c r="AS49" s="2026"/>
      <c r="AT49" s="2026"/>
      <c r="AU49" s="2026"/>
      <c r="AV49" s="2026"/>
      <c r="AW49" s="2026"/>
      <c r="AX49" s="2026"/>
      <c r="AY49" s="2026"/>
      <c r="AZ49" s="2026"/>
      <c r="BA49" s="2026"/>
      <c r="BB49" s="2026"/>
      <c r="BC49" s="2026"/>
      <c r="BD49" s="2026"/>
      <c r="BE49" s="2026"/>
      <c r="BF49" s="2026"/>
      <c r="BG49" s="2026"/>
      <c r="BH49" s="2026"/>
      <c r="BI49" s="2026"/>
    </row>
    <row r="50" spans="2:61" s="2019" customFormat="1" hidden="1">
      <c r="B50" s="2029" t="s">
        <v>1402</v>
      </c>
      <c r="C50" s="2043">
        <v>341.09570000000002</v>
      </c>
      <c r="D50" s="2043">
        <v>0</v>
      </c>
      <c r="E50" s="2031"/>
      <c r="F50" s="2042">
        <f>EXP(-($C50/D60F^2+$D50/D60F)*(+F$49-60)*(1+0.8*($C50/D60F^2+$D50/D60F)*(F$49-60)))</f>
        <v>0.99043423051894397</v>
      </c>
      <c r="G50" s="2049"/>
      <c r="H50" s="2049"/>
      <c r="I50" s="2042">
        <f>EXP(-($C50/D60F^2+$D50/D60F)*(+I$49-60)*(1+0.8*($C50/D60F^2+$D50/D60F)*(I$49-60)))</f>
        <v>0.99018179253036631</v>
      </c>
      <c r="J50" s="2049"/>
      <c r="K50" s="2050">
        <f>EXP(-($C50/D60F^2+$D50/D60F)*(+K$49-60)*(1+0.8*($C50/D60F^2+$D50/D60F)*(K$49-60)))</f>
        <v>0.98992931907436343</v>
      </c>
      <c r="L50" s="2049"/>
      <c r="M50" s="2042">
        <f>EXP(-($C50/D60F^2+$D50/D60F)*(+M$49-60)*(1+0.8*($C50/D60F^2+$D50/D60F)*(M$49-60)))</f>
        <v>0.98967681021088272</v>
      </c>
      <c r="N50" s="2049"/>
      <c r="O50" s="2042">
        <f>EXP(-($C50/D60F^2+$D50/D60F)*(+O$49-60)*(1+0.8*($C50/D60F^2+$D50/D60F)*(O$49-60)))</f>
        <v>0.98942426599986666</v>
      </c>
      <c r="P50" s="2029"/>
      <c r="Q50" s="2040" t="s">
        <v>1405</v>
      </c>
      <c r="R50" s="2029"/>
      <c r="S50" s="2028"/>
      <c r="T50" s="2028"/>
      <c r="U50" s="2028"/>
      <c r="V50" s="2028"/>
      <c r="W50" s="2028"/>
      <c r="X50" s="2028"/>
      <c r="Y50" s="2028"/>
      <c r="Z50" s="2028"/>
      <c r="AA50" s="2028"/>
      <c r="AB50" s="2028"/>
      <c r="AC50" s="2028"/>
      <c r="AD50" s="2028"/>
      <c r="AE50" s="2026"/>
      <c r="AF50" s="2026"/>
      <c r="AG50" s="2026"/>
      <c r="AH50" s="2026"/>
      <c r="AI50" s="2026"/>
      <c r="AJ50" s="2026"/>
      <c r="AK50" s="2026"/>
      <c r="AL50" s="2026"/>
      <c r="AM50" s="2026"/>
      <c r="AN50" s="2026"/>
      <c r="AO50" s="2026"/>
      <c r="AP50" s="2026"/>
      <c r="AQ50" s="2026"/>
      <c r="AR50" s="2026"/>
      <c r="AS50" s="2026"/>
      <c r="AT50" s="2026"/>
      <c r="AU50" s="2026"/>
      <c r="AV50" s="2026"/>
      <c r="AW50" s="2026"/>
      <c r="AX50" s="2026"/>
      <c r="AY50" s="2026"/>
      <c r="AZ50" s="2026"/>
      <c r="BA50" s="2026"/>
      <c r="BB50" s="2026"/>
      <c r="BC50" s="2026"/>
      <c r="BD50" s="2026"/>
      <c r="BE50" s="2026"/>
      <c r="BF50" s="2026"/>
      <c r="BG50" s="2026"/>
      <c r="BH50" s="2026"/>
      <c r="BI50" s="2026"/>
    </row>
    <row r="51" spans="2:61" s="2019" customFormat="1" hidden="1">
      <c r="B51" s="2029" t="s">
        <v>1401</v>
      </c>
      <c r="C51" s="2043">
        <v>103.872</v>
      </c>
      <c r="D51" s="2043">
        <v>0.27010000000000001</v>
      </c>
      <c r="E51" s="2031"/>
      <c r="F51" s="2042">
        <f>EXP(-($C51/D60F^2+$D51/D60F)*(+F$49-60)*(1+0.8*($C51/D60F^2+$D51/D60F)*(F$49-60)))</f>
        <v>0.99084451720370759</v>
      </c>
      <c r="G51" s="2049"/>
      <c r="H51" s="2049"/>
      <c r="I51" s="2042">
        <f>EXP(-($C51/D60F^2+$D51/D60F)*(+I$49-60)*(1+0.8*($C51/D60F^2+$D51/D60F)*(I$49-60)))</f>
        <v>0.99060293426944412</v>
      </c>
      <c r="J51" s="2049"/>
      <c r="K51" s="2050">
        <f>EXP(-($C51/D60F^2+$D51/D60F)*(+K$49-60)*(1+0.8*($C51/D60F^2+$D51/D60F)*(K$49-60)))</f>
        <v>0.99036131874571243</v>
      </c>
      <c r="L51" s="2049"/>
      <c r="M51" s="2042">
        <f>EXP(-($C51/D60F^2+$D51/D60F)*(+M$49-60)*(1+0.8*($C51/D60F^2+$D51/D60F)*(M$49-60)))</f>
        <v>0.99011967068509754</v>
      </c>
      <c r="N51" s="2049"/>
      <c r="O51" s="2042">
        <f>EXP(-($C51/D60F^2+$D51/D60F)*(+O$49-60)*(1+0.8*($C51/D60F^2+$D51/D60F)*(O$49-60)))</f>
        <v>0.98987799014018052</v>
      </c>
      <c r="P51" s="2029"/>
      <c r="Q51" s="2040" t="s">
        <v>1404</v>
      </c>
      <c r="R51" s="2029"/>
      <c r="S51" s="2028"/>
      <c r="T51" s="2028"/>
      <c r="U51" s="2028"/>
      <c r="V51" s="2028"/>
      <c r="W51" s="2028"/>
      <c r="X51" s="2028"/>
      <c r="Y51" s="2028"/>
      <c r="Z51" s="2028"/>
      <c r="AA51" s="2028"/>
      <c r="AB51" s="2028"/>
      <c r="AC51" s="2028"/>
      <c r="AD51" s="2028"/>
      <c r="AE51" s="2026"/>
      <c r="AF51" s="2026"/>
      <c r="AG51" s="2026"/>
      <c r="AH51" s="2026"/>
      <c r="AI51" s="2026"/>
      <c r="AJ51" s="2026"/>
      <c r="AK51" s="2026"/>
      <c r="AL51" s="2026"/>
      <c r="AM51" s="2026"/>
      <c r="AN51" s="2026"/>
      <c r="AO51" s="2026"/>
      <c r="AP51" s="2026"/>
      <c r="AQ51" s="2026"/>
      <c r="AR51" s="2026"/>
      <c r="AS51" s="2026"/>
      <c r="AT51" s="2026"/>
      <c r="AU51" s="2026"/>
      <c r="AV51" s="2026"/>
      <c r="AW51" s="2026"/>
      <c r="AX51" s="2026"/>
      <c r="AY51" s="2026"/>
      <c r="AZ51" s="2026"/>
      <c r="BA51" s="2026"/>
      <c r="BB51" s="2026"/>
      <c r="BC51" s="2026"/>
      <c r="BD51" s="2026"/>
      <c r="BE51" s="2026"/>
      <c r="BF51" s="2026"/>
      <c r="BG51" s="2026"/>
      <c r="BH51" s="2026"/>
      <c r="BI51" s="2026"/>
    </row>
    <row r="52" spans="2:61" s="2019" customFormat="1" hidden="1">
      <c r="B52" s="2029" t="s">
        <v>1400</v>
      </c>
      <c r="C52" s="2043">
        <v>330.30099999999999</v>
      </c>
      <c r="D52" s="2043">
        <v>0</v>
      </c>
      <c r="E52" s="2031"/>
      <c r="F52" s="2042">
        <f>EXP(-($C52/D60F^2+$D52/D60F)*(+F$49-60)*(1+0.8*($C52/D60F^2+$D52/D60F)*(F$49-60)))</f>
        <v>0.99073776309993156</v>
      </c>
      <c r="G52" s="2049"/>
      <c r="H52" s="2049"/>
      <c r="I52" s="2042">
        <f>EXP(-($C52/D60F^2+$D52/D60F)*(+I$49-60)*(1+0.8*($C52/D60F^2+$D52/D60F)*(I$49-60)))</f>
        <v>0.99049335597395904</v>
      </c>
      <c r="J52" s="2049"/>
      <c r="K52" s="2050">
        <f>EXP(-($C52/D60F^2+$D52/D60F)*(+K$49-60)*(1+0.8*($C52/D60F^2+$D52/D60F)*(K$49-60)))</f>
        <v>0.99024891552053773</v>
      </c>
      <c r="L52" s="2049"/>
      <c r="M52" s="2042">
        <f>EXP(-($C52/D60F^2+$D52/D60F)*(+M$49-60)*(1+0.8*($C52/D60F^2+$D52/D60F)*(M$49-60)))</f>
        <v>0.99000444179410674</v>
      </c>
      <c r="N52" s="2049"/>
      <c r="O52" s="2042">
        <f>EXP(-($C52/D60F^2+$D52/D60F)*(+O$49-60)*(1+0.8*($C52/D60F^2+$D52/D60F)*(O$49-60)))</f>
        <v>0.9897599348491013</v>
      </c>
      <c r="P52" s="2029"/>
      <c r="Q52" s="2040" t="s">
        <v>1404</v>
      </c>
      <c r="R52" s="2029"/>
      <c r="S52" s="2028"/>
      <c r="T52" s="2028"/>
      <c r="U52" s="2028"/>
      <c r="V52" s="2028"/>
      <c r="W52" s="2028"/>
      <c r="X52" s="2028"/>
      <c r="Y52" s="2028"/>
      <c r="Z52" s="2028"/>
      <c r="AA52" s="2028"/>
      <c r="AB52" s="2028"/>
      <c r="AC52" s="2028"/>
      <c r="AD52" s="2028"/>
      <c r="AE52" s="2026"/>
      <c r="AF52" s="2026"/>
      <c r="AG52" s="2026"/>
      <c r="AH52" s="2026"/>
      <c r="AI52" s="2026"/>
      <c r="AJ52" s="2026"/>
      <c r="AK52" s="2026"/>
      <c r="AL52" s="2026"/>
      <c r="AM52" s="2026"/>
      <c r="AN52" s="2026"/>
      <c r="AO52" s="2026"/>
      <c r="AP52" s="2026"/>
      <c r="AQ52" s="2026"/>
      <c r="AR52" s="2026"/>
      <c r="AS52" s="2026"/>
      <c r="AT52" s="2026"/>
      <c r="AU52" s="2026"/>
      <c r="AV52" s="2026"/>
      <c r="AW52" s="2026"/>
      <c r="AX52" s="2026"/>
      <c r="AY52" s="2026"/>
      <c r="AZ52" s="2026"/>
      <c r="BA52" s="2026"/>
      <c r="BB52" s="2026"/>
      <c r="BC52" s="2026"/>
      <c r="BD52" s="2026"/>
      <c r="BE52" s="2026"/>
      <c r="BF52" s="2026"/>
      <c r="BG52" s="2026"/>
      <c r="BH52" s="2026"/>
      <c r="BI52" s="2026"/>
    </row>
    <row r="53" spans="2:61" s="2019" customFormat="1" hidden="1">
      <c r="B53" s="2029" t="s">
        <v>1399</v>
      </c>
      <c r="C53" s="2043">
        <v>1489.067</v>
      </c>
      <c r="D53" s="2043">
        <v>1.8684000000000001E-3</v>
      </c>
      <c r="E53" s="2031"/>
      <c r="F53" s="2042">
        <f>EXP(-($C53/D60F^2-$D53)*(+F$49-60)*(1+0.8*($C53/D60F^2-$D53)*(F$49-60)))</f>
        <v>0.99384544456282287</v>
      </c>
      <c r="G53" s="2049"/>
      <c r="H53" s="2049"/>
      <c r="I53" s="2042">
        <f>EXP(-($C53/D60F^2-$D53)*(+I$49-60)*(1+0.8*($C53/D60F^2-$D53)*(I$49-60)))</f>
        <v>0.99368318481211915</v>
      </c>
      <c r="J53" s="2049"/>
      <c r="K53" s="2050">
        <f>EXP(-($C53/D60F^2-$D53)*(+K$49-60)*(1+0.8*($C53/D60F^2-$D53)*(K$49-60)))</f>
        <v>0.99352091000521703</v>
      </c>
      <c r="L53" s="2049"/>
      <c r="M53" s="2042">
        <f>EXP(-($C53/D60F^2-$D53)*(+M$49-60)*(1+0.8*($C53/D60F^2-$D53)*(M$49-60)))</f>
        <v>0.99335862015814613</v>
      </c>
      <c r="N53" s="2049"/>
      <c r="O53" s="2042">
        <f>EXP(-($C53/D60F^2-$D53)*(+O$49-60)*(1+0.8*($C53/D60F^2-$D53)*(O$49-60)))</f>
        <v>0.99319631528693553</v>
      </c>
      <c r="P53" s="2029"/>
      <c r="Q53" s="2040" t="s">
        <v>1404</v>
      </c>
      <c r="R53" s="2029"/>
      <c r="S53" s="2028"/>
      <c r="T53" s="2028"/>
      <c r="U53" s="2028"/>
      <c r="V53" s="2028"/>
      <c r="W53" s="2028"/>
      <c r="X53" s="2028"/>
      <c r="Y53" s="2028"/>
      <c r="Z53" s="2028"/>
      <c r="AA53" s="2028"/>
      <c r="AB53" s="2028"/>
      <c r="AC53" s="2028"/>
      <c r="AD53" s="2028"/>
      <c r="AE53" s="2026"/>
      <c r="AF53" s="2026"/>
      <c r="AG53" s="2026"/>
      <c r="AH53" s="2026"/>
      <c r="AI53" s="2026"/>
      <c r="AJ53" s="2026"/>
      <c r="AK53" s="2026"/>
      <c r="AL53" s="2026"/>
      <c r="AM53" s="2026"/>
      <c r="AN53" s="2026"/>
      <c r="AO53" s="2026"/>
      <c r="AP53" s="2026"/>
      <c r="AQ53" s="2026"/>
      <c r="AR53" s="2026"/>
      <c r="AS53" s="2026"/>
      <c r="AT53" s="2026"/>
      <c r="AU53" s="2026"/>
      <c r="AV53" s="2026"/>
      <c r="AW53" s="2026"/>
      <c r="AX53" s="2026"/>
      <c r="AY53" s="2026"/>
      <c r="AZ53" s="2026"/>
      <c r="BA53" s="2026"/>
      <c r="BB53" s="2026"/>
      <c r="BC53" s="2026"/>
      <c r="BD53" s="2026"/>
      <c r="BE53" s="2026"/>
      <c r="BF53" s="2026"/>
      <c r="BG53" s="2026"/>
      <c r="BH53" s="2026"/>
      <c r="BI53" s="2026"/>
    </row>
    <row r="54" spans="2:61" s="2019" customFormat="1" hidden="1">
      <c r="B54" s="2029" t="s">
        <v>1398</v>
      </c>
      <c r="C54" s="2043">
        <v>192.4571</v>
      </c>
      <c r="D54" s="2043">
        <v>0.24379999999999999</v>
      </c>
      <c r="E54" s="2031"/>
      <c r="F54" s="2042">
        <f>EXP(-($C54/D60F^2+$D54/D60F)*(+F$49-60)*(1+0.8*($C54/D60F^2+$D54/D60F)*(F$49-60)))</f>
        <v>0.98896246429767221</v>
      </c>
      <c r="G54" s="2049"/>
      <c r="H54" s="2049"/>
      <c r="I54" s="2042">
        <f>EXP(-($C54/D60F^2+$D54/D60F)*(+I$49-60)*(1+0.8*($C54/D60F^2+$D54/D60F)*(I$49-60)))</f>
        <v>0.98867106817113481</v>
      </c>
      <c r="J54" s="2049"/>
      <c r="K54" s="2050">
        <f>EXP(-($C54/D60F^2+$D54/D60F)*(+K$49-60)*(1+0.8*($C54/D60F^2+$D54/D60F)*(K$49-60)))</f>
        <v>0.98837962534015633</v>
      </c>
      <c r="L54" s="2049"/>
      <c r="M54" s="2042">
        <f>EXP(-($C54/D60F^2+$D54/D60F)*(+M$49-60)*(1+0.8*($C54/D60F^2+$D54/D60F)*(M$49-60)))</f>
        <v>0.98808813589667088</v>
      </c>
      <c r="N54" s="2049"/>
      <c r="O54" s="2042">
        <f>EXP(-($C54/D60F^2+$D54/D60F)*(+O$49-60)*(1+0.8*($C54/D60F^2+$D54/D60F)*(O$49-60)))</f>
        <v>0.98779659993260405</v>
      </c>
      <c r="P54" s="2029"/>
      <c r="Q54" s="2040" t="s">
        <v>1404</v>
      </c>
      <c r="R54" s="2029"/>
      <c r="S54" s="2028"/>
      <c r="T54" s="2028"/>
      <c r="U54" s="2028"/>
      <c r="V54" s="2028"/>
      <c r="W54" s="2028"/>
      <c r="X54" s="2028"/>
      <c r="Y54" s="2028"/>
      <c r="Z54" s="2028"/>
      <c r="AA54" s="2028"/>
      <c r="AB54" s="2028"/>
      <c r="AC54" s="2028"/>
      <c r="AD54" s="2028"/>
      <c r="AE54" s="2026"/>
      <c r="AF54" s="2026"/>
      <c r="AG54" s="2026"/>
      <c r="AH54" s="2026"/>
      <c r="AI54" s="2026"/>
      <c r="AJ54" s="2026"/>
      <c r="AK54" s="2026"/>
      <c r="AL54" s="2026"/>
      <c r="AM54" s="2026"/>
      <c r="AN54" s="2026"/>
      <c r="AO54" s="2026"/>
      <c r="AP54" s="2026"/>
      <c r="AQ54" s="2026"/>
      <c r="AR54" s="2026"/>
      <c r="AS54" s="2026"/>
      <c r="AT54" s="2026"/>
      <c r="AU54" s="2026"/>
      <c r="AV54" s="2026"/>
      <c r="AW54" s="2026"/>
      <c r="AX54" s="2026"/>
      <c r="AY54" s="2026"/>
      <c r="AZ54" s="2026"/>
      <c r="BA54" s="2026"/>
      <c r="BB54" s="2026"/>
      <c r="BC54" s="2026"/>
      <c r="BD54" s="2026"/>
      <c r="BE54" s="2026"/>
      <c r="BF54" s="2026"/>
      <c r="BG54" s="2026"/>
      <c r="BH54" s="2026"/>
      <c r="BI54" s="2026"/>
    </row>
    <row r="55" spans="2:61" s="2019" customFormat="1" hidden="1">
      <c r="B55" s="2029"/>
      <c r="C55" s="2048"/>
      <c r="D55" s="2048"/>
      <c r="E55" s="2048"/>
      <c r="F55" s="2048"/>
      <c r="G55" s="2048"/>
      <c r="H55" s="2048"/>
      <c r="I55" s="2048"/>
      <c r="J55" s="2048"/>
      <c r="K55" s="2048"/>
      <c r="L55" s="2048"/>
      <c r="M55" s="2048"/>
      <c r="N55" s="2029"/>
      <c r="O55" s="2029"/>
      <c r="P55" s="2029"/>
      <c r="Q55" s="2040"/>
      <c r="R55" s="2029"/>
      <c r="S55" s="2028"/>
      <c r="T55" s="2028"/>
      <c r="U55" s="2028"/>
      <c r="V55" s="2028"/>
      <c r="W55" s="2028"/>
      <c r="X55" s="2028"/>
      <c r="Y55" s="2028"/>
      <c r="Z55" s="2028"/>
      <c r="AA55" s="2028"/>
      <c r="AB55" s="2028"/>
      <c r="AC55" s="2028"/>
      <c r="AD55" s="2028"/>
      <c r="AE55" s="2026"/>
      <c r="AF55" s="2026"/>
      <c r="AG55" s="2026"/>
      <c r="AH55" s="2026"/>
      <c r="AI55" s="2026"/>
      <c r="AJ55" s="2026"/>
      <c r="AK55" s="2026"/>
      <c r="AL55" s="2026"/>
      <c r="AM55" s="2026"/>
      <c r="AN55" s="2026"/>
      <c r="AO55" s="2026"/>
      <c r="AP55" s="2026"/>
      <c r="AQ55" s="2026"/>
      <c r="AR55" s="2026"/>
      <c r="AS55" s="2026"/>
      <c r="AT55" s="2026"/>
      <c r="AU55" s="2026"/>
      <c r="AV55" s="2026"/>
      <c r="AW55" s="2026"/>
      <c r="AX55" s="2026"/>
      <c r="AY55" s="2026"/>
      <c r="AZ55" s="2026"/>
      <c r="BA55" s="2026"/>
      <c r="BB55" s="2026"/>
      <c r="BC55" s="2026"/>
      <c r="BD55" s="2026"/>
      <c r="BE55" s="2026"/>
      <c r="BF55" s="2026"/>
      <c r="BG55" s="2026"/>
      <c r="BH55" s="2026"/>
      <c r="BI55" s="2026"/>
    </row>
    <row r="56" spans="2:61" s="2019" customFormat="1" hidden="1">
      <c r="B56" s="2029" t="s">
        <v>1395</v>
      </c>
      <c r="C56" s="2047" t="s">
        <v>342</v>
      </c>
      <c r="D56" s="2047" t="s">
        <v>341</v>
      </c>
      <c r="E56" s="2031"/>
      <c r="F56" s="2031"/>
      <c r="G56" s="2031" t="s">
        <v>1403</v>
      </c>
      <c r="H56" s="2031"/>
      <c r="I56" s="2031"/>
      <c r="J56" s="2031"/>
      <c r="K56" s="2031"/>
      <c r="L56" s="2031"/>
      <c r="M56" s="2031"/>
      <c r="N56" s="2031"/>
      <c r="O56" s="2031"/>
      <c r="P56" s="2029"/>
      <c r="Q56" s="2040"/>
      <c r="R56" s="2029"/>
      <c r="S56" s="2028"/>
      <c r="T56" s="2028"/>
      <c r="U56" s="2028"/>
      <c r="V56" s="2028"/>
      <c r="W56" s="2028"/>
      <c r="X56" s="2028"/>
      <c r="Y56" s="2028"/>
      <c r="Z56" s="2028"/>
      <c r="AA56" s="2028"/>
      <c r="AB56" s="2028"/>
      <c r="AC56" s="2028"/>
      <c r="AD56" s="2028"/>
      <c r="AE56" s="2026"/>
      <c r="AF56" s="2026"/>
      <c r="AG56" s="2026"/>
      <c r="AH56" s="2026"/>
      <c r="AI56" s="2026"/>
      <c r="AJ56" s="2026"/>
      <c r="AK56" s="2026"/>
      <c r="AL56" s="2026"/>
      <c r="AM56" s="2026"/>
      <c r="AN56" s="2026"/>
      <c r="AO56" s="2026"/>
      <c r="AP56" s="2026"/>
      <c r="AQ56" s="2026"/>
      <c r="AR56" s="2026"/>
      <c r="AS56" s="2026"/>
      <c r="AT56" s="2026"/>
      <c r="AU56" s="2026"/>
      <c r="AV56" s="2026"/>
      <c r="AW56" s="2026"/>
      <c r="AX56" s="2026"/>
      <c r="AY56" s="2026"/>
      <c r="AZ56" s="2026"/>
      <c r="BA56" s="2026"/>
      <c r="BB56" s="2026"/>
      <c r="BC56" s="2026"/>
      <c r="BD56" s="2026"/>
      <c r="BE56" s="2026"/>
      <c r="BF56" s="2026"/>
      <c r="BG56" s="2026"/>
      <c r="BH56" s="2026"/>
      <c r="BI56" s="2026"/>
    </row>
    <row r="57" spans="2:61" s="2019" customFormat="1" hidden="1">
      <c r="B57" s="2029" t="s">
        <v>1402</v>
      </c>
      <c r="C57" s="2043">
        <v>341.09570000000002</v>
      </c>
      <c r="D57" s="2043">
        <v>0</v>
      </c>
      <c r="E57" s="2031"/>
      <c r="F57" s="2035">
        <f>EXP(-(C57+D57*D60F)/D60F/D60F*(1+0.8*(C57+D57*D60F)/D60F/D60F))</f>
        <v>0.99949787072619689</v>
      </c>
      <c r="G57" s="3686">
        <f>141.5*999.012/(131.5+API)</f>
        <v>824.25771428571431</v>
      </c>
      <c r="H57" s="2031"/>
      <c r="I57" s="2046">
        <f>D60F/F57/1000</f>
        <v>0.82467180614085767</v>
      </c>
      <c r="J57" s="2033" t="s">
        <v>1394</v>
      </c>
      <c r="K57" s="2045"/>
      <c r="L57" s="2031"/>
      <c r="M57" s="2031"/>
      <c r="N57" s="2031"/>
      <c r="O57" s="2031"/>
      <c r="P57" s="2044"/>
      <c r="Q57" s="2040"/>
      <c r="R57" s="2029"/>
      <c r="S57" s="2028"/>
      <c r="T57" s="2028"/>
      <c r="U57" s="2028"/>
      <c r="V57" s="2028"/>
      <c r="W57" s="2028"/>
      <c r="X57" s="2028"/>
      <c r="Y57" s="2028"/>
      <c r="Z57" s="2028"/>
      <c r="AA57" s="2028"/>
      <c r="AB57" s="2028"/>
      <c r="AC57" s="2028"/>
      <c r="AD57" s="2028"/>
      <c r="AE57" s="2026"/>
      <c r="AF57" s="2026"/>
      <c r="AG57" s="2026"/>
      <c r="AH57" s="2026"/>
      <c r="AI57" s="2026"/>
      <c r="AJ57" s="2026"/>
      <c r="AK57" s="2026"/>
      <c r="AL57" s="2026"/>
      <c r="AM57" s="2026"/>
      <c r="AN57" s="2026"/>
      <c r="AO57" s="2026"/>
      <c r="AP57" s="2026"/>
      <c r="AQ57" s="2026"/>
      <c r="AR57" s="2026"/>
      <c r="AS57" s="2026"/>
      <c r="AT57" s="2026"/>
      <c r="AU57" s="2026"/>
      <c r="AV57" s="2026"/>
      <c r="AW57" s="2026"/>
      <c r="AX57" s="2026"/>
      <c r="AY57" s="2026"/>
      <c r="AZ57" s="2026"/>
      <c r="BA57" s="2026"/>
      <c r="BB57" s="2026"/>
      <c r="BC57" s="2026"/>
      <c r="BD57" s="2026"/>
      <c r="BE57" s="2026"/>
      <c r="BF57" s="2026"/>
      <c r="BG57" s="2026"/>
      <c r="BH57" s="2026"/>
      <c r="BI57" s="2026"/>
    </row>
    <row r="58" spans="2:61" s="2019" customFormat="1" ht="15" hidden="1" customHeight="1">
      <c r="B58" s="2029" t="s">
        <v>1401</v>
      </c>
      <c r="C58" s="2043">
        <v>103.872</v>
      </c>
      <c r="D58" s="2043">
        <v>0.27010000000000001</v>
      </c>
      <c r="E58" s="2031"/>
      <c r="F58" s="2035">
        <f>EXP(-(C58+D58*D60F)/D60F/D60F*(1+0.8*(C58+D58*D60F)/D60F/D60F))</f>
        <v>0.99951935434321393</v>
      </c>
      <c r="G58" s="3687"/>
      <c r="H58" s="2031"/>
      <c r="I58" s="2042" t="str">
        <f>IF(API&lt;37.1664,D60F/F58/1000,"")</f>
        <v/>
      </c>
      <c r="J58" s="2031"/>
      <c r="K58" s="3686">
        <f>IF(API="",0,ROUND(IF(API&lt;37.1664,$I$58,IF(AND(API&gt;=37.1664,API&lt;48.2),$I$59,IF(AND(API&gt;=48.2,API&lt;52.1872),$I$60,$I$61))),DECI))</f>
        <v>0.82465999999999995</v>
      </c>
      <c r="L58" s="2031"/>
      <c r="M58" s="2031"/>
      <c r="N58" s="2031"/>
      <c r="O58" s="2031"/>
      <c r="P58" s="2029"/>
      <c r="Q58" s="2040"/>
      <c r="R58" s="2029"/>
      <c r="S58" s="2028"/>
      <c r="T58" s="2028"/>
      <c r="U58" s="2028"/>
      <c r="V58" s="2028"/>
      <c r="W58" s="2028"/>
      <c r="X58" s="2028"/>
      <c r="Y58" s="2028"/>
      <c r="Z58" s="2028"/>
      <c r="AA58" s="2028"/>
      <c r="AB58" s="2028"/>
      <c r="AC58" s="2028"/>
      <c r="AD58" s="2028"/>
      <c r="AE58" s="2026"/>
      <c r="AF58" s="2026"/>
      <c r="AG58" s="2026"/>
      <c r="AH58" s="2026"/>
      <c r="AI58" s="2026"/>
      <c r="AJ58" s="2026"/>
      <c r="AK58" s="2026"/>
      <c r="AL58" s="2026"/>
      <c r="AM58" s="2026"/>
      <c r="AN58" s="2026"/>
      <c r="AO58" s="2026"/>
      <c r="AP58" s="2026"/>
      <c r="AQ58" s="2026"/>
      <c r="AR58" s="2026"/>
      <c r="AS58" s="2026"/>
      <c r="AT58" s="2026"/>
      <c r="AU58" s="2026"/>
      <c r="AV58" s="2026"/>
      <c r="AW58" s="2026"/>
      <c r="AX58" s="2026"/>
      <c r="AY58" s="2026"/>
      <c r="AZ58" s="2026"/>
      <c r="BA58" s="2026"/>
      <c r="BB58" s="2026"/>
      <c r="BC58" s="2026"/>
      <c r="BD58" s="2026"/>
      <c r="BE58" s="2026"/>
      <c r="BF58" s="2026"/>
      <c r="BG58" s="2026"/>
      <c r="BH58" s="2026"/>
      <c r="BI58" s="2026"/>
    </row>
    <row r="59" spans="2:61" s="2019" customFormat="1" ht="12.75" hidden="1" customHeight="1">
      <c r="B59" s="2029" t="s">
        <v>1400</v>
      </c>
      <c r="C59" s="2043">
        <v>330.30099999999999</v>
      </c>
      <c r="D59" s="2043">
        <v>0</v>
      </c>
      <c r="E59" s="2031"/>
      <c r="F59" s="2035">
        <f>EXP(-(C59+D59*D60F)/D60F/D60F*(1+0.8*(C59+D59*D60F)/D60F/D60F))</f>
        <v>0.99951376398916514</v>
      </c>
      <c r="G59" s="3687"/>
      <c r="H59" s="2031"/>
      <c r="I59" s="2042">
        <f>IF(AND(API&gt;=37.1664,API&lt;48.2),D60F/F59/1000,"")</f>
        <v>0.82465869303891781</v>
      </c>
      <c r="J59" s="2031"/>
      <c r="K59" s="3687"/>
      <c r="L59" s="2031"/>
      <c r="M59" s="2031"/>
      <c r="N59" s="2031"/>
      <c r="O59" s="2031"/>
      <c r="P59" s="2029"/>
      <c r="Q59" s="2040"/>
      <c r="R59" s="2029"/>
      <c r="S59" s="2028"/>
      <c r="T59" s="2028"/>
      <c r="U59" s="2028"/>
      <c r="V59" s="2028"/>
      <c r="W59" s="2028"/>
      <c r="X59" s="2028"/>
      <c r="Y59" s="2028"/>
      <c r="Z59" s="2028"/>
      <c r="AA59" s="2028"/>
      <c r="AB59" s="2028"/>
      <c r="AC59" s="2028"/>
      <c r="AD59" s="2028"/>
      <c r="AE59" s="2026"/>
      <c r="AF59" s="2026"/>
      <c r="AG59" s="2026"/>
      <c r="AH59" s="2026"/>
      <c r="AI59" s="2026"/>
      <c r="AJ59" s="2026"/>
      <c r="AK59" s="2026"/>
      <c r="AL59" s="2026"/>
      <c r="AM59" s="2026"/>
      <c r="AN59" s="2026"/>
      <c r="AO59" s="2026"/>
      <c r="AP59" s="2026"/>
      <c r="AQ59" s="2026"/>
      <c r="AR59" s="2026"/>
      <c r="AS59" s="2026"/>
      <c r="AT59" s="2026"/>
      <c r="AU59" s="2026"/>
      <c r="AV59" s="2026"/>
      <c r="AW59" s="2026"/>
      <c r="AX59" s="2026"/>
      <c r="AY59" s="2026"/>
      <c r="AZ59" s="2026"/>
      <c r="BA59" s="2026"/>
      <c r="BB59" s="2026"/>
      <c r="BC59" s="2026"/>
      <c r="BD59" s="2026"/>
      <c r="BE59" s="2026"/>
      <c r="BF59" s="2026"/>
      <c r="BG59" s="2026"/>
      <c r="BH59" s="2026"/>
      <c r="BI59" s="2026"/>
    </row>
    <row r="60" spans="2:61" s="2019" customFormat="1" ht="12.75" hidden="1" customHeight="1">
      <c r="B60" s="2029" t="s">
        <v>1399</v>
      </c>
      <c r="C60" s="2043">
        <v>1489.067</v>
      </c>
      <c r="D60" s="2043">
        <v>1.8684000000000001E-3</v>
      </c>
      <c r="E60" s="2031"/>
      <c r="F60" s="2035">
        <f>EXP(-(C60-D60*D60F^2)/D60F/D60F*(1+0.8*(C60-D60*D60F^2)/D60F/D60F))</f>
        <v>0.99967663287395014</v>
      </c>
      <c r="G60" s="3687"/>
      <c r="H60" s="2031"/>
      <c r="I60" s="2042" t="str">
        <f>IF(AND(API&gt;=48.2,API&lt;52.1872),D60F/F60/1000,"")</f>
        <v/>
      </c>
      <c r="J60" s="2031"/>
      <c r="K60" s="3687"/>
      <c r="L60" s="2031"/>
      <c r="M60" s="2031"/>
      <c r="N60" s="2031"/>
      <c r="O60" s="2031"/>
      <c r="P60" s="2029"/>
      <c r="Q60" s="2040"/>
      <c r="R60" s="2029"/>
      <c r="S60" s="2028"/>
      <c r="T60" s="2028"/>
      <c r="U60" s="2028"/>
      <c r="V60" s="2028"/>
      <c r="W60" s="2028"/>
      <c r="X60" s="2028"/>
      <c r="Y60" s="2028"/>
      <c r="Z60" s="2028"/>
      <c r="AA60" s="2028"/>
      <c r="AB60" s="2028"/>
      <c r="AC60" s="2028"/>
      <c r="AD60" s="2028"/>
      <c r="AE60" s="2026"/>
      <c r="AF60" s="2026"/>
      <c r="AG60" s="2026"/>
      <c r="AH60" s="2026"/>
      <c r="AI60" s="2026"/>
      <c r="AJ60" s="2026"/>
      <c r="AK60" s="2026"/>
      <c r="AL60" s="2026"/>
      <c r="AM60" s="2026"/>
      <c r="AN60" s="2026"/>
      <c r="AO60" s="2026"/>
      <c r="AP60" s="2026"/>
      <c r="AQ60" s="2026"/>
      <c r="AR60" s="2026"/>
      <c r="AS60" s="2026"/>
      <c r="AT60" s="2026"/>
      <c r="AU60" s="2026"/>
      <c r="AV60" s="2026"/>
      <c r="AW60" s="2026"/>
      <c r="AX60" s="2026"/>
      <c r="AY60" s="2026"/>
      <c r="AZ60" s="2026"/>
      <c r="BA60" s="2026"/>
      <c r="BB60" s="2026"/>
      <c r="BC60" s="2026"/>
      <c r="BD60" s="2026"/>
      <c r="BE60" s="2026"/>
      <c r="BF60" s="2026"/>
      <c r="BG60" s="2026"/>
      <c r="BH60" s="2026"/>
      <c r="BI60" s="2026"/>
    </row>
    <row r="61" spans="2:61" s="2019" customFormat="1" ht="12.75" hidden="1" customHeight="1">
      <c r="B61" s="2029" t="s">
        <v>1398</v>
      </c>
      <c r="C61" s="2043">
        <v>192.4571</v>
      </c>
      <c r="D61" s="2043">
        <v>0.24379999999999999</v>
      </c>
      <c r="E61" s="2031"/>
      <c r="F61" s="2035">
        <f>EXP(-(C61+D61*D60F)/D60F/D60F*(1+0.8*(C61+D61*D60F)/D60F/D60F))</f>
        <v>0.99942084348271665</v>
      </c>
      <c r="G61" s="3688"/>
      <c r="H61" s="2031"/>
      <c r="I61" s="2042" t="str">
        <f>IF(API&gt;=52.1872,D60F/F61/1000,"")</f>
        <v/>
      </c>
      <c r="J61" s="2031"/>
      <c r="K61" s="3688"/>
      <c r="L61" s="2031"/>
      <c r="M61" s="2031"/>
      <c r="N61" s="2031"/>
      <c r="O61" s="2031"/>
      <c r="P61" s="2029"/>
      <c r="Q61" s="2040"/>
      <c r="R61" s="2029"/>
      <c r="S61" s="2028"/>
      <c r="T61" s="2028"/>
      <c r="U61" s="2028"/>
      <c r="V61" s="2028"/>
      <c r="W61" s="2028"/>
      <c r="X61" s="2028"/>
      <c r="Y61" s="2028"/>
      <c r="Z61" s="2028"/>
      <c r="AA61" s="2028"/>
      <c r="AB61" s="2028"/>
      <c r="AC61" s="2028"/>
      <c r="AD61" s="2028"/>
      <c r="AE61" s="2026"/>
      <c r="AF61" s="2026"/>
      <c r="AG61" s="2026"/>
      <c r="AH61" s="2026"/>
      <c r="AI61" s="2026"/>
      <c r="AJ61" s="2026"/>
      <c r="AK61" s="2026"/>
      <c r="AL61" s="2026"/>
      <c r="AM61" s="2026"/>
      <c r="AN61" s="2026"/>
      <c r="AO61" s="2026"/>
      <c r="AP61" s="2026"/>
      <c r="AQ61" s="2026"/>
      <c r="AR61" s="2026"/>
      <c r="AS61" s="2026"/>
      <c r="AT61" s="2026"/>
      <c r="AU61" s="2026"/>
      <c r="AV61" s="2026"/>
      <c r="AW61" s="2026"/>
      <c r="AX61" s="2026"/>
      <c r="AY61" s="2026"/>
      <c r="AZ61" s="2026"/>
      <c r="BA61" s="2026"/>
      <c r="BB61" s="2026"/>
      <c r="BC61" s="2026"/>
      <c r="BD61" s="2026"/>
      <c r="BE61" s="2026"/>
      <c r="BF61" s="2026"/>
      <c r="BG61" s="2026"/>
      <c r="BH61" s="2026"/>
      <c r="BI61" s="2026"/>
    </row>
    <row r="62" spans="2:61" s="2019" customFormat="1" hidden="1">
      <c r="B62" s="2029"/>
      <c r="C62" s="2041"/>
      <c r="D62" s="2041"/>
      <c r="E62" s="2041"/>
      <c r="F62" s="2041"/>
      <c r="G62" s="2041"/>
      <c r="H62" s="2041"/>
      <c r="I62" s="2041"/>
      <c r="J62" s="2041"/>
      <c r="K62" s="2041" t="s">
        <v>1397</v>
      </c>
      <c r="L62" s="2041"/>
      <c r="M62" s="2041"/>
      <c r="N62" s="2041"/>
      <c r="O62" s="2041"/>
      <c r="P62" s="2029"/>
      <c r="Q62" s="2040"/>
      <c r="R62" s="2029"/>
      <c r="S62" s="2028"/>
      <c r="T62" s="2028"/>
      <c r="U62" s="2028"/>
      <c r="V62" s="2028"/>
      <c r="W62" s="2028"/>
      <c r="X62" s="2028"/>
      <c r="Y62" s="2028"/>
      <c r="Z62" s="2028"/>
      <c r="AA62" s="2028"/>
      <c r="AB62" s="2028"/>
      <c r="AC62" s="2028"/>
      <c r="AD62" s="2028"/>
      <c r="AE62" s="2026"/>
      <c r="AF62" s="2026"/>
      <c r="AG62" s="2026"/>
      <c r="AH62" s="2026"/>
      <c r="AI62" s="2026"/>
      <c r="AJ62" s="2026"/>
      <c r="AK62" s="2026"/>
      <c r="AL62" s="2026"/>
      <c r="AM62" s="2026"/>
      <c r="AN62" s="2026"/>
      <c r="AO62" s="2026"/>
      <c r="AP62" s="2026"/>
      <c r="AQ62" s="2026"/>
      <c r="AR62" s="2026"/>
      <c r="AS62" s="2026"/>
      <c r="AT62" s="2026"/>
      <c r="AU62" s="2026"/>
      <c r="AV62" s="2026"/>
      <c r="AW62" s="2026"/>
      <c r="AX62" s="2026"/>
      <c r="AY62" s="2026"/>
      <c r="AZ62" s="2026"/>
      <c r="BA62" s="2026"/>
      <c r="BB62" s="2026"/>
      <c r="BC62" s="2026"/>
      <c r="BD62" s="2026"/>
      <c r="BE62" s="2026"/>
      <c r="BF62" s="2026"/>
      <c r="BG62" s="2026"/>
      <c r="BH62" s="2026"/>
      <c r="BI62" s="2026"/>
    </row>
    <row r="63" spans="2:61" s="2019" customFormat="1" hidden="1">
      <c r="B63" s="2030" t="s">
        <v>1396</v>
      </c>
      <c r="C63" s="2036" t="str">
        <f>IF(OR(V2=1,M7=0),"",M7)</f>
        <v/>
      </c>
      <c r="D63" s="2034" t="str">
        <f>IF(C63="","",(141.5/(((DENS_IN+0.0000383-0.6112)/0.4641)*0.0007+DENS_IN+0.0000383))-131.5)</f>
        <v/>
      </c>
      <c r="E63" s="2031"/>
      <c r="F63" s="2039"/>
      <c r="G63" s="2038" t="str">
        <f>IF(DENS_IN="","",ROUND(D63,2))</f>
        <v/>
      </c>
      <c r="H63" s="2033"/>
      <c r="I63" s="2031"/>
      <c r="J63" s="2031"/>
      <c r="K63" s="2037">
        <f>IF(V2=1,IF(M7="","",ROUND(M7,2)),API_OUT)</f>
        <v>40</v>
      </c>
      <c r="L63" s="2031"/>
      <c r="M63" s="2031" t="s">
        <v>292</v>
      </c>
      <c r="N63" s="2031"/>
      <c r="O63" s="2031"/>
      <c r="P63" s="2030"/>
      <c r="Q63" s="2029"/>
      <c r="R63" s="2029"/>
      <c r="S63" s="2028"/>
      <c r="T63" s="2028"/>
      <c r="U63" s="2028"/>
      <c r="V63" s="2028"/>
      <c r="W63" s="2028"/>
      <c r="X63" s="2028"/>
      <c r="Y63" s="2028"/>
      <c r="Z63" s="2028"/>
      <c r="AA63" s="2028"/>
      <c r="AB63" s="2028"/>
      <c r="AC63" s="2028"/>
      <c r="AD63" s="2028"/>
      <c r="AE63" s="2026"/>
      <c r="AF63" s="2026"/>
      <c r="AG63" s="2026"/>
      <c r="AH63" s="2026"/>
      <c r="AI63" s="2026"/>
      <c r="AJ63" s="2026"/>
      <c r="AK63" s="2026"/>
      <c r="AL63" s="2026"/>
      <c r="AM63" s="2026"/>
      <c r="AN63" s="2026"/>
      <c r="AO63" s="2026"/>
      <c r="AP63" s="2026"/>
      <c r="AQ63" s="2026"/>
      <c r="AR63" s="2026"/>
      <c r="AS63" s="2026"/>
      <c r="AT63" s="2026"/>
      <c r="AU63" s="2026"/>
      <c r="AV63" s="2026"/>
      <c r="AW63" s="2026"/>
      <c r="AX63" s="2026"/>
      <c r="AY63" s="2026"/>
      <c r="AZ63" s="2026"/>
      <c r="BA63" s="2026"/>
      <c r="BB63" s="2026"/>
      <c r="BC63" s="2026"/>
      <c r="BD63" s="2026"/>
      <c r="BE63" s="2026"/>
      <c r="BF63" s="2026"/>
      <c r="BG63" s="2026"/>
      <c r="BH63" s="2026"/>
      <c r="BI63" s="2026"/>
    </row>
    <row r="64" spans="2:61" s="2019" customFormat="1" hidden="1">
      <c r="B64" s="2030" t="s">
        <v>1395</v>
      </c>
      <c r="C64" s="2036">
        <f>IF(OR(V2=2,M7=""),"",M7)</f>
        <v>40</v>
      </c>
      <c r="D64" s="2034" t="b">
        <f>IF(API_IN&gt;=87.5,-0.000012,IF(API_IN&gt;=37.3,IF(API_IN&lt;=37.5,0.0001),IF(API_IN=38.6,0.0001,IF(API_IN&lt;=35.99,0.0000349,IF(API_IN&gt;=39.3,0.000015)))))</f>
        <v>0</v>
      </c>
      <c r="E64" s="2031"/>
      <c r="F64" s="2035">
        <f>(141.5/(API_IN+131.5))-((100-API_IN)/100*0.0007)+D64</f>
        <v>0.8246528862973761</v>
      </c>
      <c r="G64" s="2034">
        <f>IF(API_IN="","",IF(D64=0.000015,ROUND(ROUND(F64,5),4),ROUND(F64,4)))</f>
        <v>0.82469999999999999</v>
      </c>
      <c r="H64" s="2033" t="s">
        <v>1394</v>
      </c>
      <c r="I64" s="2031"/>
      <c r="J64" s="2031"/>
      <c r="K64" s="2032">
        <f>IF(V2=2,IF(M7=0,0,ROUND(M7,DECI)),K58)</f>
        <v>0.82465999999999995</v>
      </c>
      <c r="L64" s="2031"/>
      <c r="M64" s="2031" t="s">
        <v>961</v>
      </c>
      <c r="N64" s="2031"/>
      <c r="O64" s="2031"/>
      <c r="P64" s="2030"/>
      <c r="Q64" s="2029"/>
      <c r="R64" s="2029"/>
      <c r="S64" s="2028"/>
      <c r="T64" s="2028"/>
      <c r="U64" s="2028"/>
      <c r="V64" s="2028"/>
      <c r="W64" s="2028"/>
      <c r="X64" s="2028"/>
      <c r="Y64" s="2028"/>
      <c r="Z64" s="2028"/>
      <c r="AA64" s="2028"/>
      <c r="AB64" s="2028"/>
      <c r="AC64" s="2028"/>
      <c r="AD64" s="2028"/>
      <c r="AE64" s="2026"/>
      <c r="AF64" s="2026"/>
      <c r="AG64" s="2026"/>
      <c r="AH64" s="2026"/>
      <c r="AI64" s="2026"/>
      <c r="AJ64" s="2026"/>
      <c r="AK64" s="2026"/>
      <c r="AL64" s="2026"/>
      <c r="AM64" s="2026"/>
      <c r="AN64" s="2026"/>
      <c r="AO64" s="2026"/>
      <c r="AP64" s="2026"/>
      <c r="AQ64" s="2026"/>
      <c r="AR64" s="2026"/>
      <c r="AS64" s="2026"/>
      <c r="AT64" s="2026"/>
      <c r="AU64" s="2026"/>
      <c r="AV64" s="2026"/>
      <c r="AW64" s="2026"/>
      <c r="AX64" s="2026"/>
      <c r="AY64" s="2026"/>
      <c r="AZ64" s="2026"/>
      <c r="BA64" s="2026"/>
      <c r="BB64" s="2026"/>
      <c r="BC64" s="2026"/>
      <c r="BD64" s="2026"/>
      <c r="BE64" s="2026"/>
      <c r="BF64" s="2026"/>
      <c r="BG64" s="2026"/>
      <c r="BH64" s="2026"/>
      <c r="BI64" s="2026"/>
    </row>
    <row r="65" spans="2:61" s="2019" customFormat="1" hidden="1">
      <c r="B65" s="2030"/>
      <c r="C65" s="2030"/>
      <c r="D65" s="2030"/>
      <c r="E65" s="2030"/>
      <c r="F65" s="2030"/>
      <c r="G65" s="2030"/>
      <c r="H65" s="2030"/>
      <c r="I65" s="2030"/>
      <c r="J65" s="2030"/>
      <c r="K65" s="2030"/>
      <c r="L65" s="2030"/>
      <c r="M65" s="2030"/>
      <c r="N65" s="2030"/>
      <c r="O65" s="2030"/>
      <c r="P65" s="2030"/>
      <c r="Q65" s="2029"/>
      <c r="R65" s="2029"/>
      <c r="S65" s="2028"/>
      <c r="T65" s="2028"/>
      <c r="U65" s="2028"/>
      <c r="V65" s="2028"/>
      <c r="W65" s="2028"/>
      <c r="X65" s="2028"/>
      <c r="Y65" s="2028"/>
      <c r="Z65" s="2028"/>
      <c r="AA65" s="2028"/>
      <c r="AB65" s="2028"/>
      <c r="AC65" s="2028"/>
      <c r="AD65" s="2028"/>
      <c r="AE65" s="2026"/>
      <c r="AF65" s="2026"/>
      <c r="AG65" s="2026"/>
      <c r="AH65" s="2026"/>
      <c r="AI65" s="2026"/>
      <c r="AJ65" s="2026"/>
      <c r="AK65" s="2026"/>
      <c r="AL65" s="2026"/>
      <c r="AM65" s="2026"/>
      <c r="AN65" s="2026"/>
      <c r="AO65" s="2026"/>
      <c r="AP65" s="2026"/>
      <c r="AQ65" s="2026"/>
      <c r="AR65" s="2026"/>
      <c r="AS65" s="2026"/>
      <c r="AT65" s="2026"/>
      <c r="AU65" s="2026"/>
      <c r="AV65" s="2026"/>
      <c r="AW65" s="2026"/>
      <c r="AX65" s="2026"/>
      <c r="AY65" s="2026"/>
      <c r="AZ65" s="2026"/>
      <c r="BA65" s="2026"/>
      <c r="BB65" s="2026"/>
      <c r="BC65" s="2026"/>
      <c r="BD65" s="2026"/>
      <c r="BE65" s="2026"/>
      <c r="BF65" s="2026"/>
      <c r="BG65" s="2026"/>
      <c r="BH65" s="2026"/>
      <c r="BI65" s="2026"/>
    </row>
    <row r="66" spans="2:61" s="2019" customFormat="1" hidden="1">
      <c r="B66" s="2020"/>
      <c r="M66" s="2020"/>
      <c r="N66" s="2020"/>
      <c r="O66" s="2020"/>
      <c r="P66" s="2020"/>
      <c r="Q66" s="2027"/>
      <c r="R66" s="2027"/>
      <c r="S66" s="2026"/>
      <c r="T66" s="2026"/>
      <c r="U66" s="2026"/>
      <c r="V66" s="2026"/>
      <c r="W66" s="2026"/>
      <c r="X66" s="2026"/>
      <c r="Y66" s="2026"/>
      <c r="Z66" s="2026"/>
      <c r="AA66" s="2026"/>
      <c r="AB66" s="2026"/>
      <c r="AC66" s="2026"/>
      <c r="AD66" s="2026"/>
      <c r="AE66" s="2026"/>
      <c r="AF66" s="2026"/>
      <c r="AG66" s="2026"/>
      <c r="AH66" s="2026"/>
      <c r="AI66" s="2026"/>
      <c r="AJ66" s="2026"/>
      <c r="AK66" s="2026"/>
      <c r="AL66" s="2026"/>
      <c r="AM66" s="2026"/>
      <c r="AN66" s="2026"/>
      <c r="AO66" s="2026"/>
      <c r="AP66" s="2026"/>
      <c r="AQ66" s="2026"/>
      <c r="AR66" s="2026"/>
      <c r="AS66" s="2026"/>
      <c r="AT66" s="2026"/>
      <c r="AU66" s="2026"/>
      <c r="AV66" s="2026"/>
      <c r="AW66" s="2026"/>
      <c r="AX66" s="2026"/>
      <c r="AY66" s="2026"/>
      <c r="AZ66" s="2026"/>
      <c r="BA66" s="2026"/>
      <c r="BB66" s="2026"/>
      <c r="BC66" s="2026"/>
      <c r="BD66" s="2026"/>
      <c r="BE66" s="2026"/>
      <c r="BF66" s="2026"/>
      <c r="BG66" s="2026"/>
      <c r="BH66" s="2026"/>
      <c r="BI66" s="2026"/>
    </row>
    <row r="67" spans="2:61" s="2019" customFormat="1" hidden="1">
      <c r="B67" s="2020"/>
      <c r="M67" s="2020"/>
      <c r="N67" s="2020"/>
      <c r="O67" s="2020"/>
      <c r="P67" s="2020"/>
      <c r="Q67" s="2027"/>
      <c r="R67" s="2027"/>
      <c r="S67" s="2026"/>
      <c r="T67" s="2026"/>
      <c r="U67" s="2026"/>
      <c r="V67" s="2026"/>
      <c r="W67" s="2026"/>
      <c r="X67" s="2026"/>
      <c r="Y67" s="2026"/>
      <c r="Z67" s="2026"/>
      <c r="AA67" s="2026"/>
      <c r="AB67" s="2026"/>
      <c r="AC67" s="2026"/>
      <c r="AD67" s="2026"/>
      <c r="AE67" s="2026"/>
      <c r="AF67" s="2026"/>
      <c r="AG67" s="2026"/>
      <c r="AH67" s="2026"/>
      <c r="AI67" s="2026"/>
      <c r="AJ67" s="2026"/>
      <c r="AK67" s="2026"/>
      <c r="AL67" s="2026"/>
      <c r="AM67" s="2026"/>
      <c r="AN67" s="2026"/>
      <c r="AO67" s="2026"/>
      <c r="AP67" s="2026"/>
      <c r="AQ67" s="2026"/>
      <c r="AR67" s="2026"/>
      <c r="AS67" s="2026"/>
      <c r="AT67" s="2026"/>
      <c r="AU67" s="2026"/>
      <c r="AV67" s="2026"/>
      <c r="AW67" s="2026"/>
      <c r="AX67" s="2026"/>
      <c r="AY67" s="2026"/>
      <c r="AZ67" s="2026"/>
      <c r="BA67" s="2026"/>
      <c r="BB67" s="2026"/>
      <c r="BC67" s="2026"/>
      <c r="BD67" s="2026"/>
      <c r="BE67" s="2026"/>
      <c r="BF67" s="2026"/>
      <c r="BG67" s="2026"/>
      <c r="BH67" s="2026"/>
      <c r="BI67" s="2026"/>
    </row>
    <row r="68" spans="2:61" s="2019" customFormat="1" hidden="1">
      <c r="M68" s="2020"/>
      <c r="N68" s="2020"/>
      <c r="O68" s="2020"/>
      <c r="P68" s="2020"/>
      <c r="Q68" s="2027"/>
      <c r="R68" s="2027"/>
      <c r="S68" s="2026"/>
      <c r="T68" s="2026"/>
      <c r="U68" s="2026"/>
      <c r="V68" s="2026"/>
      <c r="W68" s="2026"/>
      <c r="X68" s="2026"/>
      <c r="Y68" s="2026"/>
      <c r="Z68" s="2026"/>
      <c r="AA68" s="2026"/>
      <c r="AB68" s="2026"/>
      <c r="AC68" s="2026"/>
      <c r="AD68" s="2026"/>
      <c r="AE68" s="2026"/>
      <c r="AF68" s="2026"/>
      <c r="AG68" s="2026"/>
      <c r="AH68" s="2026"/>
      <c r="AI68" s="2026"/>
      <c r="AJ68" s="2026"/>
      <c r="AK68" s="2026"/>
      <c r="AL68" s="2026"/>
      <c r="AM68" s="2026"/>
      <c r="AN68" s="2026"/>
      <c r="AO68" s="2026"/>
      <c r="AP68" s="2026"/>
      <c r="AQ68" s="2026"/>
      <c r="AR68" s="2026"/>
      <c r="AS68" s="2026"/>
      <c r="AT68" s="2026"/>
      <c r="AU68" s="2026"/>
      <c r="AV68" s="2026"/>
      <c r="AW68" s="2026"/>
      <c r="AX68" s="2026"/>
      <c r="AY68" s="2026"/>
      <c r="AZ68" s="2026"/>
      <c r="BA68" s="2026"/>
      <c r="BB68" s="2026"/>
      <c r="BC68" s="2026"/>
      <c r="BD68" s="2026"/>
      <c r="BE68" s="2026"/>
      <c r="BF68" s="2026"/>
      <c r="BG68" s="2026"/>
      <c r="BH68" s="2026"/>
      <c r="BI68" s="2026"/>
    </row>
    <row r="69" spans="2:61" s="2019" customFormat="1" hidden="1">
      <c r="B69" s="2021"/>
      <c r="M69" s="2020"/>
      <c r="N69" s="2020"/>
      <c r="O69" s="2020"/>
      <c r="P69" s="2020"/>
      <c r="Q69" s="2027"/>
      <c r="R69" s="2027"/>
      <c r="S69" s="2026"/>
      <c r="T69" s="2026"/>
      <c r="U69" s="2026"/>
      <c r="V69" s="2026"/>
      <c r="W69" s="2026"/>
      <c r="X69" s="2026"/>
      <c r="Y69" s="2026"/>
      <c r="Z69" s="2026"/>
      <c r="AA69" s="2026"/>
      <c r="AB69" s="2026"/>
      <c r="AC69" s="2026"/>
      <c r="AD69" s="2026"/>
      <c r="AE69" s="2026"/>
      <c r="AF69" s="2026"/>
      <c r="AG69" s="2026"/>
      <c r="AH69" s="2026"/>
      <c r="AI69" s="2026"/>
      <c r="AJ69" s="2026"/>
      <c r="AK69" s="2026"/>
      <c r="AL69" s="2026"/>
      <c r="AM69" s="2026"/>
      <c r="AN69" s="2026"/>
      <c r="AO69" s="2026"/>
      <c r="AP69" s="2026"/>
      <c r="AQ69" s="2026"/>
      <c r="AR69" s="2026"/>
      <c r="AS69" s="2026"/>
      <c r="AT69" s="2026"/>
      <c r="AU69" s="2026"/>
      <c r="AV69" s="2026"/>
      <c r="AW69" s="2026"/>
      <c r="AX69" s="2026"/>
      <c r="AY69" s="2026"/>
      <c r="AZ69" s="2026"/>
      <c r="BA69" s="2026"/>
      <c r="BB69" s="2026"/>
      <c r="BC69" s="2026"/>
      <c r="BD69" s="2026"/>
      <c r="BE69" s="2026"/>
      <c r="BF69" s="2026"/>
      <c r="BG69" s="2026"/>
      <c r="BH69" s="2026"/>
      <c r="BI69" s="2026"/>
    </row>
    <row r="70" spans="2:61" s="2019" customFormat="1" hidden="1">
      <c r="B70" s="2021"/>
      <c r="M70" s="2020"/>
      <c r="N70" s="2020"/>
      <c r="O70" s="2020"/>
      <c r="P70" s="2020"/>
      <c r="Q70" s="2027"/>
      <c r="R70" s="2027"/>
      <c r="S70" s="2026"/>
      <c r="T70" s="2026"/>
      <c r="U70" s="2026"/>
      <c r="V70" s="2026"/>
      <c r="W70" s="2026"/>
      <c r="X70" s="2026"/>
      <c r="Y70" s="2026"/>
      <c r="Z70" s="2026"/>
      <c r="AA70" s="2026"/>
      <c r="AB70" s="2026"/>
      <c r="AC70" s="2026"/>
      <c r="AD70" s="2026"/>
      <c r="AE70" s="2026"/>
      <c r="AF70" s="2026"/>
      <c r="AG70" s="2026"/>
      <c r="AH70" s="2026"/>
      <c r="AI70" s="2026"/>
      <c r="AJ70" s="2026"/>
      <c r="AK70" s="2026"/>
      <c r="AL70" s="2026"/>
      <c r="AM70" s="2026"/>
      <c r="AN70" s="2026"/>
      <c r="AO70" s="2026"/>
      <c r="AP70" s="2026"/>
      <c r="AQ70" s="2026"/>
      <c r="AR70" s="2026"/>
      <c r="AS70" s="2026"/>
      <c r="AT70" s="2026"/>
      <c r="AU70" s="2026"/>
      <c r="AV70" s="2026"/>
      <c r="AW70" s="2026"/>
      <c r="AX70" s="2026"/>
      <c r="AY70" s="2026"/>
      <c r="AZ70" s="2026"/>
      <c r="BA70" s="2026"/>
      <c r="BB70" s="2026"/>
      <c r="BC70" s="2026"/>
      <c r="BD70" s="2026"/>
      <c r="BE70" s="2026"/>
      <c r="BF70" s="2026"/>
      <c r="BG70" s="2026"/>
      <c r="BH70" s="2026"/>
      <c r="BI70" s="2026"/>
    </row>
    <row r="71" spans="2:61" s="2019" customFormat="1" hidden="1">
      <c r="B71" s="2021"/>
      <c r="M71" s="2020"/>
      <c r="N71" s="2020"/>
      <c r="O71" s="2020"/>
      <c r="P71" s="2020"/>
      <c r="Q71" s="2027"/>
      <c r="R71" s="2027"/>
      <c r="S71" s="2026"/>
      <c r="T71" s="2026"/>
      <c r="U71" s="2026"/>
      <c r="V71" s="2026"/>
      <c r="W71" s="2026"/>
      <c r="X71" s="2026"/>
      <c r="Y71" s="2026"/>
      <c r="Z71" s="2026"/>
      <c r="AA71" s="2026"/>
      <c r="AB71" s="2026"/>
      <c r="AC71" s="2026"/>
      <c r="AD71" s="2026"/>
      <c r="AE71" s="2026"/>
      <c r="AF71" s="2026"/>
      <c r="AG71" s="2026"/>
      <c r="AH71" s="2026"/>
      <c r="AI71" s="2026"/>
      <c r="AJ71" s="2026"/>
      <c r="AK71" s="2026"/>
      <c r="AL71" s="2026"/>
      <c r="AM71" s="2026"/>
      <c r="AN71" s="2026"/>
      <c r="AO71" s="2026"/>
      <c r="AP71" s="2026"/>
      <c r="AQ71" s="2026"/>
      <c r="AR71" s="2026"/>
      <c r="AS71" s="2026"/>
      <c r="AT71" s="2026"/>
      <c r="AU71" s="2026"/>
      <c r="AV71" s="2026"/>
      <c r="AW71" s="2026"/>
      <c r="AX71" s="2026"/>
      <c r="AY71" s="2026"/>
      <c r="AZ71" s="2026"/>
      <c r="BA71" s="2026"/>
      <c r="BB71" s="2026"/>
      <c r="BC71" s="2026"/>
      <c r="BD71" s="2026"/>
      <c r="BE71" s="2026"/>
      <c r="BF71" s="2026"/>
      <c r="BG71" s="2026"/>
      <c r="BH71" s="2026"/>
      <c r="BI71" s="2026"/>
    </row>
    <row r="72" spans="2:61" s="2019" customFormat="1" hidden="1">
      <c r="B72" s="2021"/>
      <c r="M72" s="2020"/>
      <c r="N72" s="2020"/>
      <c r="O72" s="2020"/>
      <c r="P72" s="2020"/>
      <c r="Q72" s="2027"/>
      <c r="R72" s="2027"/>
      <c r="S72" s="2026"/>
      <c r="T72" s="2026"/>
      <c r="U72" s="2026"/>
      <c r="V72" s="2026"/>
      <c r="W72" s="2026"/>
      <c r="X72" s="2026"/>
      <c r="Y72" s="2026"/>
      <c r="Z72" s="2026"/>
      <c r="AA72" s="2026"/>
      <c r="AB72" s="2026"/>
      <c r="AC72" s="2026"/>
      <c r="AD72" s="2026"/>
      <c r="AE72" s="2026"/>
      <c r="AF72" s="2026"/>
      <c r="AG72" s="2026"/>
      <c r="AH72" s="2026"/>
      <c r="AI72" s="2026"/>
      <c r="AJ72" s="2026"/>
      <c r="AK72" s="2026"/>
      <c r="AL72" s="2026"/>
      <c r="AM72" s="2026"/>
      <c r="AN72" s="2026"/>
      <c r="AO72" s="2026"/>
      <c r="AP72" s="2026"/>
      <c r="AQ72" s="2026"/>
      <c r="AR72" s="2026"/>
      <c r="AS72" s="2026"/>
      <c r="AT72" s="2026"/>
      <c r="AU72" s="2026"/>
      <c r="AV72" s="2026"/>
      <c r="AW72" s="2026"/>
      <c r="AX72" s="2026"/>
      <c r="AY72" s="2026"/>
      <c r="AZ72" s="2026"/>
      <c r="BA72" s="2026"/>
      <c r="BB72" s="2026"/>
      <c r="BC72" s="2026"/>
      <c r="BD72" s="2026"/>
      <c r="BE72" s="2026"/>
      <c r="BF72" s="2026"/>
      <c r="BG72" s="2026"/>
      <c r="BH72" s="2026"/>
      <c r="BI72" s="2026"/>
    </row>
    <row r="73" spans="2:61" s="2019" customFormat="1" hidden="1">
      <c r="B73" s="2021"/>
      <c r="M73" s="2020"/>
      <c r="N73" s="2020"/>
      <c r="O73" s="2020"/>
      <c r="P73" s="2020"/>
      <c r="Q73" s="2027"/>
      <c r="R73" s="2027"/>
      <c r="S73" s="2026"/>
      <c r="T73" s="2026"/>
      <c r="U73" s="2026"/>
      <c r="V73" s="2026"/>
      <c r="W73" s="2026"/>
      <c r="X73" s="2026"/>
      <c r="Y73" s="2026"/>
      <c r="Z73" s="2026"/>
      <c r="AA73" s="2026"/>
      <c r="AB73" s="2026"/>
      <c r="AC73" s="2026"/>
      <c r="AD73" s="2026"/>
      <c r="AE73" s="2026"/>
      <c r="AF73" s="2026"/>
      <c r="AG73" s="2026"/>
      <c r="AH73" s="2026"/>
      <c r="AI73" s="2026"/>
      <c r="AJ73" s="2026"/>
      <c r="AK73" s="2026"/>
      <c r="AL73" s="2026"/>
      <c r="AM73" s="2026"/>
      <c r="AN73" s="2026"/>
      <c r="AO73" s="2026"/>
      <c r="AP73" s="2026"/>
      <c r="AQ73" s="2026"/>
      <c r="AR73" s="2026"/>
      <c r="AS73" s="2026"/>
      <c r="AT73" s="2026"/>
      <c r="AU73" s="2026"/>
      <c r="AV73" s="2026"/>
      <c r="AW73" s="2026"/>
      <c r="AX73" s="2026"/>
      <c r="AY73" s="2026"/>
      <c r="AZ73" s="2026"/>
      <c r="BA73" s="2026"/>
      <c r="BB73" s="2026"/>
      <c r="BC73" s="2026"/>
      <c r="BD73" s="2026"/>
      <c r="BE73" s="2026"/>
      <c r="BF73" s="2026"/>
      <c r="BG73" s="2026"/>
      <c r="BH73" s="2026"/>
      <c r="BI73" s="2026"/>
    </row>
    <row r="74" spans="2:61" s="2019" customFormat="1" hidden="1">
      <c r="B74" s="2021"/>
      <c r="M74" s="2020"/>
      <c r="N74" s="2020"/>
      <c r="O74" s="2020"/>
      <c r="P74" s="2020"/>
      <c r="Q74" s="2027"/>
      <c r="R74" s="2027"/>
      <c r="S74" s="2026"/>
      <c r="T74" s="2026"/>
      <c r="U74" s="2026"/>
      <c r="V74" s="2026"/>
      <c r="W74" s="2026"/>
      <c r="X74" s="2026"/>
      <c r="Y74" s="2026"/>
      <c r="Z74" s="2026"/>
      <c r="AA74" s="2026"/>
      <c r="AB74" s="2026"/>
      <c r="AC74" s="2026"/>
      <c r="AD74" s="2026"/>
      <c r="AE74" s="2026"/>
      <c r="AF74" s="2026"/>
      <c r="AG74" s="2026"/>
      <c r="AH74" s="2026"/>
      <c r="AI74" s="2026"/>
      <c r="AJ74" s="2026"/>
      <c r="AK74" s="2026"/>
      <c r="AL74" s="2026"/>
      <c r="AM74" s="2026"/>
      <c r="AN74" s="2026"/>
      <c r="AO74" s="2026"/>
      <c r="AP74" s="2026"/>
      <c r="AQ74" s="2026"/>
      <c r="AR74" s="2026"/>
      <c r="AS74" s="2026"/>
      <c r="AT74" s="2026"/>
      <c r="AU74" s="2026"/>
      <c r="AV74" s="2026"/>
      <c r="AW74" s="2026"/>
      <c r="AX74" s="2026"/>
      <c r="AY74" s="2026"/>
      <c r="AZ74" s="2026"/>
      <c r="BA74" s="2026"/>
      <c r="BB74" s="2026"/>
      <c r="BC74" s="2026"/>
      <c r="BD74" s="2026"/>
      <c r="BE74" s="2026"/>
      <c r="BF74" s="2026"/>
      <c r="BG74" s="2026"/>
      <c r="BH74" s="2026"/>
      <c r="BI74" s="2026"/>
    </row>
    <row r="75" spans="2:61" s="2019" customFormat="1" hidden="1">
      <c r="B75" s="2021"/>
      <c r="M75" s="2020"/>
      <c r="N75" s="2020"/>
      <c r="O75" s="2020"/>
      <c r="P75" s="2020"/>
      <c r="Q75" s="2027"/>
      <c r="R75" s="2027"/>
      <c r="S75" s="2026"/>
      <c r="T75" s="2026"/>
      <c r="U75" s="2026"/>
      <c r="V75" s="2026"/>
      <c r="W75" s="2026"/>
      <c r="X75" s="2026"/>
      <c r="Y75" s="2026"/>
      <c r="Z75" s="2026"/>
      <c r="AA75" s="2026"/>
      <c r="AB75" s="2026"/>
      <c r="AC75" s="2026"/>
      <c r="AD75" s="2026"/>
      <c r="AE75" s="2026"/>
      <c r="AF75" s="2026"/>
      <c r="AG75" s="2026"/>
      <c r="AH75" s="2026"/>
      <c r="AI75" s="2026"/>
      <c r="AJ75" s="2026"/>
      <c r="AK75" s="2026"/>
      <c r="AL75" s="2026"/>
      <c r="AM75" s="2026"/>
      <c r="AN75" s="2026"/>
      <c r="AO75" s="2026"/>
      <c r="AP75" s="2026"/>
      <c r="AQ75" s="2026"/>
      <c r="AR75" s="2026"/>
      <c r="AS75" s="2026"/>
      <c r="AT75" s="2026"/>
      <c r="AU75" s="2026"/>
      <c r="AV75" s="2026"/>
      <c r="AW75" s="2026"/>
      <c r="AX75" s="2026"/>
      <c r="AY75" s="2026"/>
      <c r="AZ75" s="2026"/>
      <c r="BA75" s="2026"/>
      <c r="BB75" s="2026"/>
      <c r="BC75" s="2026"/>
      <c r="BD75" s="2026"/>
      <c r="BE75" s="2026"/>
      <c r="BF75" s="2026"/>
      <c r="BG75" s="2026"/>
      <c r="BH75" s="2026"/>
      <c r="BI75" s="2026"/>
    </row>
    <row r="76" spans="2:61" s="2019" customFormat="1" hidden="1">
      <c r="B76" s="2021"/>
      <c r="M76" s="2020"/>
      <c r="N76" s="2020"/>
      <c r="O76" s="2020"/>
      <c r="P76" s="2020"/>
      <c r="Q76" s="2027"/>
      <c r="R76" s="2027"/>
      <c r="S76" s="2026"/>
      <c r="T76" s="2026"/>
      <c r="U76" s="2026"/>
      <c r="V76" s="2026"/>
      <c r="W76" s="2026"/>
      <c r="X76" s="2026"/>
      <c r="Y76" s="2026"/>
      <c r="Z76" s="2026"/>
      <c r="AA76" s="2026"/>
      <c r="AB76" s="2026"/>
      <c r="AC76" s="2026"/>
      <c r="AD76" s="2026"/>
      <c r="AE76" s="2026"/>
      <c r="AF76" s="2026"/>
      <c r="AG76" s="2026"/>
      <c r="AH76" s="2026"/>
      <c r="AI76" s="2026"/>
      <c r="AJ76" s="2026"/>
      <c r="AK76" s="2026"/>
      <c r="AL76" s="2026"/>
      <c r="AM76" s="2026"/>
      <c r="AN76" s="2026"/>
      <c r="AO76" s="2026"/>
      <c r="AP76" s="2026"/>
      <c r="AQ76" s="2026"/>
      <c r="AR76" s="2026"/>
      <c r="AS76" s="2026"/>
      <c r="AT76" s="2026"/>
      <c r="AU76" s="2026"/>
      <c r="AV76" s="2026"/>
      <c r="AW76" s="2026"/>
      <c r="AX76" s="2026"/>
      <c r="AY76" s="2026"/>
      <c r="AZ76" s="2026"/>
      <c r="BA76" s="2026"/>
      <c r="BB76" s="2026"/>
      <c r="BC76" s="2026"/>
      <c r="BD76" s="2026"/>
      <c r="BE76" s="2026"/>
      <c r="BF76" s="2026"/>
      <c r="BG76" s="2026"/>
      <c r="BH76" s="2026"/>
      <c r="BI76" s="2026"/>
    </row>
    <row r="77" spans="2:61" s="2019" customFormat="1" hidden="1">
      <c r="B77" s="2021"/>
      <c r="M77" s="2020"/>
      <c r="N77" s="2020"/>
      <c r="O77" s="2020"/>
      <c r="P77" s="2020"/>
      <c r="Q77" s="2023"/>
      <c r="R77" s="2020"/>
      <c r="X77" s="2022"/>
      <c r="Z77" s="2022"/>
      <c r="AB77" s="2022"/>
      <c r="AD77" s="2022"/>
      <c r="AF77" s="2022"/>
      <c r="AH77" s="2022"/>
      <c r="AJ77" s="2022"/>
      <c r="AL77" s="2022"/>
      <c r="AN77" s="2022"/>
      <c r="AP77" s="2025"/>
      <c r="AR77" s="2022"/>
      <c r="AT77" s="2022"/>
      <c r="AV77" s="2022"/>
      <c r="AX77" s="2022"/>
      <c r="AZ77" s="2022"/>
      <c r="BB77" s="2022"/>
    </row>
    <row r="78" spans="2:61" s="2019" customFormat="1" hidden="1">
      <c r="B78" s="2020"/>
      <c r="M78" s="2020"/>
      <c r="N78" s="2020"/>
      <c r="O78" s="2020"/>
      <c r="P78" s="2020"/>
      <c r="Q78" s="2023"/>
      <c r="R78" s="2020"/>
      <c r="X78" s="2022"/>
      <c r="Z78" s="2022"/>
      <c r="AB78" s="2022"/>
      <c r="AR78" s="2022"/>
      <c r="AT78" s="2022"/>
      <c r="AV78" s="2022"/>
      <c r="AX78" s="2022"/>
      <c r="AZ78" s="2022"/>
      <c r="BB78" s="2022"/>
    </row>
    <row r="79" spans="2:61" s="2019" customFormat="1" hidden="1">
      <c r="B79" s="2020"/>
      <c r="O79" s="2020"/>
      <c r="P79" s="2020"/>
      <c r="Q79" s="2023"/>
      <c r="R79" s="2020"/>
      <c r="X79" s="2022"/>
      <c r="Z79" s="2022"/>
      <c r="AB79" s="2022"/>
      <c r="BB79" s="2022"/>
    </row>
    <row r="80" spans="2:61" s="2019" customFormat="1" hidden="1">
      <c r="B80" s="2020"/>
      <c r="M80" s="2020"/>
      <c r="N80" s="2024"/>
      <c r="O80" s="2020"/>
      <c r="P80" s="2020"/>
      <c r="Q80" s="2023"/>
      <c r="R80" s="2020"/>
      <c r="X80" s="2022"/>
      <c r="Z80" s="2022"/>
      <c r="AB80" s="2022"/>
    </row>
    <row r="81" spans="2:28" s="2019" customFormat="1" hidden="1">
      <c r="B81" s="2020"/>
      <c r="M81" s="2020"/>
      <c r="N81" s="2024"/>
      <c r="O81" s="2020"/>
      <c r="P81" s="2020"/>
      <c r="Q81" s="2023"/>
      <c r="R81" s="2020"/>
      <c r="X81" s="2022"/>
      <c r="Z81" s="2022"/>
      <c r="AB81" s="2022"/>
    </row>
    <row r="82" spans="2:28" s="2019" customFormat="1" hidden="1">
      <c r="B82" s="2020"/>
      <c r="M82" s="2020"/>
      <c r="N82" s="2024"/>
      <c r="O82" s="2020"/>
      <c r="P82" s="2020"/>
      <c r="Q82" s="2023"/>
      <c r="R82" s="2020"/>
      <c r="X82" s="2022"/>
      <c r="Z82" s="2022"/>
      <c r="AB82" s="2022"/>
    </row>
    <row r="83" spans="2:28" s="2019" customFormat="1" hidden="1">
      <c r="B83" s="2020"/>
      <c r="M83" s="2020"/>
      <c r="N83" s="2020"/>
      <c r="O83" s="2020"/>
      <c r="P83" s="2020"/>
      <c r="Q83" s="2023"/>
      <c r="R83" s="2020"/>
      <c r="X83" s="2022"/>
      <c r="Z83" s="2022"/>
      <c r="AB83" s="2022"/>
    </row>
    <row r="84" spans="2:28" s="2019" customFormat="1" hidden="1">
      <c r="B84" s="2020"/>
      <c r="M84" s="2020"/>
      <c r="N84" s="2020"/>
      <c r="O84" s="2020"/>
      <c r="P84" s="2020"/>
      <c r="Q84" s="2023"/>
      <c r="R84" s="2020"/>
      <c r="X84" s="2022"/>
      <c r="Z84" s="2022"/>
      <c r="AB84" s="2022"/>
    </row>
    <row r="85" spans="2:28" s="2019" customFormat="1" hidden="1">
      <c r="B85" s="2020"/>
      <c r="M85" s="2020"/>
      <c r="N85" s="2020"/>
      <c r="O85" s="2020"/>
      <c r="P85" s="2020"/>
      <c r="Q85" s="2023"/>
      <c r="R85" s="2020"/>
      <c r="X85" s="2022"/>
      <c r="Z85" s="2022"/>
      <c r="AB85" s="2022"/>
    </row>
    <row r="86" spans="2:28" s="2019" customFormat="1" hidden="1">
      <c r="B86" s="2020"/>
      <c r="M86" s="2020"/>
      <c r="N86" s="2020"/>
      <c r="O86" s="2020"/>
      <c r="P86" s="2020"/>
      <c r="Q86" s="2023"/>
      <c r="R86" s="2020"/>
      <c r="X86" s="2022"/>
      <c r="Z86" s="2022"/>
      <c r="AB86" s="2022"/>
    </row>
    <row r="87" spans="2:28" s="2019" customFormat="1" hidden="1">
      <c r="B87" s="2020"/>
      <c r="M87" s="2020"/>
      <c r="N87" s="2020"/>
      <c r="O87" s="2020"/>
      <c r="P87" s="2020"/>
      <c r="Q87" s="2023"/>
      <c r="R87" s="2020"/>
      <c r="X87" s="2022"/>
      <c r="Z87" s="2022"/>
      <c r="AB87" s="2022"/>
    </row>
    <row r="88" spans="2:28" s="2019" customFormat="1" hidden="1">
      <c r="B88" s="2020"/>
      <c r="M88" s="2020"/>
      <c r="N88" s="2020"/>
      <c r="O88" s="2020"/>
      <c r="P88" s="2020"/>
      <c r="Q88" s="2023"/>
      <c r="R88" s="2020"/>
      <c r="X88" s="2022"/>
      <c r="Z88" s="2022"/>
      <c r="AB88" s="2022"/>
    </row>
    <row r="89" spans="2:28" s="2019" customFormat="1" hidden="1">
      <c r="B89" s="2020"/>
      <c r="M89" s="2020"/>
      <c r="N89" s="2020"/>
      <c r="O89" s="2020"/>
      <c r="P89" s="2020"/>
      <c r="Q89" s="2023"/>
      <c r="R89" s="2020"/>
      <c r="X89" s="2022"/>
      <c r="Z89" s="2022"/>
      <c r="AB89" s="2022"/>
    </row>
    <row r="90" spans="2:28" s="2019" customFormat="1" hidden="1">
      <c r="B90" s="2020"/>
      <c r="M90" s="2020"/>
      <c r="N90" s="2020"/>
      <c r="O90" s="2020"/>
      <c r="P90" s="2021"/>
      <c r="Q90" s="2023"/>
      <c r="R90" s="2020"/>
      <c r="X90" s="2022"/>
      <c r="Z90" s="2022"/>
      <c r="AB90" s="2022"/>
    </row>
    <row r="91" spans="2:28" s="2019" customFormat="1" hidden="1">
      <c r="B91" s="2020"/>
      <c r="M91" s="2020"/>
      <c r="N91" s="2020"/>
      <c r="O91" s="2020"/>
      <c r="P91" s="2020"/>
      <c r="Q91" s="2023"/>
      <c r="R91" s="2020"/>
      <c r="X91" s="2022"/>
      <c r="Z91" s="2022"/>
      <c r="AB91" s="2022"/>
    </row>
    <row r="92" spans="2:28" s="2019" customFormat="1" hidden="1">
      <c r="B92" s="2020"/>
      <c r="M92" s="2020"/>
      <c r="N92" s="2020"/>
      <c r="O92" s="2020"/>
      <c r="P92" s="2020"/>
      <c r="Q92" s="2023"/>
      <c r="R92" s="2020"/>
      <c r="X92" s="2022"/>
      <c r="Z92" s="2022"/>
      <c r="AB92" s="2022"/>
    </row>
    <row r="93" spans="2:28" s="2019" customFormat="1" hidden="1">
      <c r="B93" s="2020"/>
      <c r="M93" s="2020"/>
      <c r="N93" s="2020"/>
      <c r="O93" s="2020"/>
      <c r="P93" s="2020"/>
      <c r="Q93" s="2023"/>
      <c r="R93" s="2020"/>
      <c r="X93" s="2022"/>
      <c r="Z93" s="2022"/>
      <c r="AB93" s="2022"/>
    </row>
    <row r="94" spans="2:28" s="2019" customFormat="1" hidden="1">
      <c r="B94" s="2020"/>
      <c r="M94" s="2020"/>
      <c r="N94" s="2020"/>
      <c r="O94" s="2020"/>
      <c r="P94" s="2020"/>
      <c r="Q94" s="2023"/>
      <c r="R94" s="2020"/>
      <c r="X94" s="2022"/>
      <c r="Z94" s="2022"/>
      <c r="AB94" s="2022"/>
    </row>
    <row r="95" spans="2:28" s="2019" customFormat="1" hidden="1">
      <c r="B95" s="2020"/>
      <c r="M95" s="2020"/>
      <c r="N95" s="2020"/>
      <c r="O95" s="2020"/>
      <c r="P95" s="2020"/>
      <c r="Q95" s="2023"/>
      <c r="R95" s="2020"/>
      <c r="X95" s="2022"/>
      <c r="Z95" s="2022"/>
      <c r="AB95" s="2022"/>
    </row>
    <row r="96" spans="2:28" s="2019" customFormat="1" hidden="1">
      <c r="B96" s="2020"/>
      <c r="M96" s="2020"/>
      <c r="N96" s="2020"/>
      <c r="O96" s="2020"/>
      <c r="P96" s="2020"/>
      <c r="Q96" s="2023"/>
      <c r="R96" s="2020"/>
      <c r="X96" s="2022"/>
      <c r="Z96" s="2022"/>
      <c r="AB96" s="2022"/>
    </row>
    <row r="97" spans="2:28" s="2019" customFormat="1" hidden="1">
      <c r="B97" s="2020"/>
      <c r="M97" s="2020"/>
      <c r="N97" s="2020"/>
      <c r="O97" s="2020"/>
      <c r="P97" s="2020"/>
      <c r="Q97" s="2023"/>
      <c r="R97" s="2020"/>
      <c r="X97" s="2022"/>
      <c r="Z97" s="2022"/>
      <c r="AB97" s="2022"/>
    </row>
    <row r="98" spans="2:28" s="2019" customFormat="1" hidden="1">
      <c r="B98" s="2020"/>
      <c r="M98" s="2020"/>
      <c r="N98" s="2020"/>
      <c r="O98" s="2020"/>
      <c r="P98" s="2020"/>
      <c r="Q98" s="2023"/>
      <c r="R98" s="2020"/>
      <c r="X98" s="2022"/>
      <c r="Z98" s="2022"/>
      <c r="AB98" s="2022"/>
    </row>
    <row r="99" spans="2:28" s="2019" customFormat="1" hidden="1">
      <c r="B99" s="2020"/>
      <c r="M99" s="2020"/>
      <c r="N99" s="2020"/>
      <c r="O99" s="2020"/>
      <c r="P99" s="2020"/>
      <c r="Q99" s="2023"/>
      <c r="R99" s="2020"/>
      <c r="X99" s="2022"/>
      <c r="Z99" s="2022"/>
      <c r="AB99" s="2022"/>
    </row>
    <row r="100" spans="2:28" s="2019" customFormat="1" hidden="1">
      <c r="B100" s="2020"/>
      <c r="M100" s="2020"/>
      <c r="N100" s="2020"/>
      <c r="O100" s="2020"/>
      <c r="P100" s="2020"/>
      <c r="Q100" s="2023"/>
      <c r="R100" s="2020"/>
      <c r="X100" s="2022"/>
      <c r="Z100" s="2022"/>
      <c r="AB100" s="2022"/>
    </row>
    <row r="101" spans="2:28" s="2019" customFormat="1" hidden="1">
      <c r="B101" s="2020"/>
      <c r="M101" s="2020"/>
      <c r="N101" s="2020"/>
      <c r="O101" s="2020"/>
      <c r="P101" s="2020"/>
      <c r="Q101" s="2023"/>
      <c r="R101" s="2020"/>
      <c r="X101" s="2022"/>
      <c r="Z101" s="2022"/>
      <c r="AB101" s="2022"/>
    </row>
    <row r="102" spans="2:28" s="2019" customFormat="1" hidden="1">
      <c r="B102" s="2020"/>
      <c r="M102" s="2020"/>
      <c r="N102" s="2020"/>
      <c r="O102" s="2020"/>
      <c r="P102" s="2020"/>
      <c r="Q102" s="2023"/>
      <c r="R102" s="2020"/>
      <c r="X102" s="2022"/>
      <c r="Z102" s="2022"/>
      <c r="AB102" s="2022"/>
    </row>
    <row r="103" spans="2:28" s="2019" customFormat="1" hidden="1">
      <c r="B103" s="2020"/>
      <c r="M103" s="2020"/>
      <c r="N103" s="2020"/>
      <c r="O103" s="2020"/>
      <c r="P103" s="2020"/>
      <c r="Q103" s="2023"/>
      <c r="R103" s="2020"/>
      <c r="X103" s="2022"/>
      <c r="Z103" s="2022"/>
      <c r="AB103" s="2022"/>
    </row>
    <row r="104" spans="2:28" s="2019" customFormat="1" hidden="1">
      <c r="B104" s="2020"/>
      <c r="M104" s="2020"/>
      <c r="N104" s="2020"/>
      <c r="O104" s="2020"/>
      <c r="P104" s="2020"/>
      <c r="Q104" s="2023"/>
      <c r="R104" s="2020"/>
      <c r="X104" s="2022"/>
      <c r="Z104" s="2022"/>
      <c r="AB104" s="2022"/>
    </row>
    <row r="105" spans="2:28" s="2019" customFormat="1" hidden="1">
      <c r="B105" s="2020"/>
      <c r="M105" s="2020"/>
      <c r="N105" s="2020"/>
      <c r="O105" s="2020"/>
      <c r="P105" s="2020"/>
      <c r="Q105" s="2023"/>
      <c r="R105" s="2020"/>
      <c r="X105" s="2022"/>
      <c r="Z105" s="2022"/>
      <c r="AB105" s="2022"/>
    </row>
    <row r="106" spans="2:28" s="2019" customFormat="1" hidden="1">
      <c r="B106" s="2020"/>
      <c r="M106" s="2020"/>
      <c r="N106" s="2020"/>
      <c r="O106" s="2020"/>
      <c r="P106" s="2020"/>
      <c r="Q106" s="2023"/>
      <c r="R106" s="2020"/>
      <c r="X106" s="2022"/>
      <c r="Z106" s="2022"/>
      <c r="AB106" s="2022"/>
    </row>
    <row r="107" spans="2:28" s="2019" customFormat="1" hidden="1">
      <c r="B107" s="2020"/>
      <c r="M107" s="2020"/>
      <c r="N107" s="2020"/>
      <c r="O107" s="2020"/>
      <c r="P107" s="2020"/>
      <c r="Q107" s="2023"/>
      <c r="R107" s="2020"/>
      <c r="X107" s="2022"/>
      <c r="Z107" s="2022"/>
      <c r="AB107" s="2022"/>
    </row>
    <row r="108" spans="2:28" s="2019" customFormat="1" hidden="1">
      <c r="B108" s="2020"/>
      <c r="M108" s="2020"/>
      <c r="N108" s="2020"/>
      <c r="O108" s="2020"/>
      <c r="P108" s="2020"/>
      <c r="Q108" s="2023"/>
      <c r="R108" s="2020"/>
      <c r="X108" s="2022"/>
      <c r="Z108" s="2022"/>
      <c r="AB108" s="2022"/>
    </row>
    <row r="109" spans="2:28" s="2019" customFormat="1" hidden="1">
      <c r="B109" s="2020"/>
      <c r="M109" s="2020"/>
      <c r="N109" s="2020"/>
      <c r="O109" s="2020"/>
      <c r="P109" s="2020"/>
      <c r="Q109" s="2023"/>
      <c r="R109" s="2020"/>
      <c r="X109" s="2022"/>
      <c r="Z109" s="2022"/>
      <c r="AB109" s="2022"/>
    </row>
    <row r="110" spans="2:28" s="2019" customFormat="1" hidden="1">
      <c r="B110" s="2020"/>
      <c r="M110" s="2020"/>
      <c r="N110" s="2020"/>
      <c r="O110" s="2020"/>
      <c r="P110" s="2020"/>
      <c r="Q110" s="2023"/>
      <c r="R110" s="2020"/>
      <c r="X110" s="2022"/>
      <c r="Z110" s="2022"/>
      <c r="AB110" s="2022"/>
    </row>
    <row r="111" spans="2:28" s="2019" customFormat="1" hidden="1">
      <c r="B111" s="2020"/>
      <c r="M111" s="2020"/>
      <c r="N111" s="2020"/>
      <c r="O111" s="2020"/>
      <c r="P111" s="2020"/>
      <c r="Q111" s="2023"/>
      <c r="R111" s="2020"/>
      <c r="X111" s="2022"/>
      <c r="Z111" s="2022"/>
      <c r="AB111" s="2022"/>
    </row>
    <row r="112" spans="2:28" s="2019" customFormat="1" hidden="1">
      <c r="B112" s="2020"/>
      <c r="M112" s="2020"/>
      <c r="N112" s="2020"/>
      <c r="O112" s="2020"/>
      <c r="P112" s="2020"/>
      <c r="Q112" s="2023"/>
      <c r="R112" s="2020"/>
      <c r="X112" s="2022"/>
      <c r="Z112" s="2022"/>
      <c r="AB112" s="2022"/>
    </row>
    <row r="113" spans="2:28" s="2019" customFormat="1" hidden="1">
      <c r="B113" s="2020"/>
      <c r="M113" s="2020"/>
      <c r="N113" s="2020"/>
      <c r="O113" s="2020"/>
      <c r="P113" s="2020"/>
      <c r="Q113" s="2023"/>
      <c r="R113" s="2020"/>
      <c r="X113" s="2022"/>
      <c r="Z113" s="2022"/>
      <c r="AB113" s="2022"/>
    </row>
    <row r="114" spans="2:28" s="2019" customFormat="1" hidden="1">
      <c r="B114" s="2020"/>
      <c r="M114" s="2020"/>
      <c r="N114" s="2020"/>
      <c r="O114" s="2020"/>
      <c r="P114" s="2020"/>
      <c r="Q114" s="2023"/>
      <c r="R114" s="2020"/>
      <c r="X114" s="2022"/>
      <c r="Z114" s="2022"/>
      <c r="AB114" s="2022"/>
    </row>
    <row r="115" spans="2:28" s="2019" customFormat="1" hidden="1">
      <c r="B115" s="2020"/>
      <c r="M115" s="2020"/>
      <c r="N115" s="2020"/>
      <c r="O115" s="2020"/>
      <c r="P115" s="2020"/>
      <c r="Q115" s="2023"/>
      <c r="R115" s="2020"/>
      <c r="X115" s="2022"/>
      <c r="Z115" s="2022"/>
      <c r="AB115" s="2022"/>
    </row>
    <row r="116" spans="2:28" s="2019" customFormat="1" hidden="1">
      <c r="B116" s="2020"/>
      <c r="M116" s="2020"/>
      <c r="N116" s="2020"/>
      <c r="O116" s="2020"/>
      <c r="P116" s="2020"/>
      <c r="Q116" s="2023"/>
      <c r="R116" s="2020"/>
      <c r="X116" s="2022"/>
      <c r="Z116" s="2022"/>
      <c r="AB116" s="2022"/>
    </row>
    <row r="117" spans="2:28" s="2019" customFormat="1" hidden="1">
      <c r="B117" s="2020"/>
      <c r="M117" s="2020"/>
      <c r="N117" s="2020"/>
      <c r="O117" s="2020"/>
      <c r="P117" s="2020"/>
      <c r="Q117" s="2023"/>
      <c r="R117" s="2020"/>
      <c r="X117" s="2022"/>
      <c r="Z117" s="2022"/>
      <c r="AB117" s="2022"/>
    </row>
    <row r="118" spans="2:28" s="2019" customFormat="1" hidden="1">
      <c r="B118" s="2020"/>
      <c r="M118" s="2020"/>
      <c r="N118" s="2020"/>
      <c r="O118" s="2020"/>
      <c r="P118" s="2020"/>
      <c r="Q118" s="2023"/>
      <c r="R118" s="2020"/>
      <c r="X118" s="2022"/>
      <c r="Z118" s="2022"/>
      <c r="AB118" s="2022"/>
    </row>
    <row r="119" spans="2:28" s="2019" customFormat="1" hidden="1">
      <c r="B119" s="2020"/>
      <c r="M119" s="2020"/>
      <c r="N119" s="2020"/>
      <c r="O119" s="2020"/>
      <c r="P119" s="2020"/>
      <c r="Q119" s="2023"/>
      <c r="R119" s="2020"/>
      <c r="X119" s="2022"/>
      <c r="Z119" s="2022"/>
      <c r="AB119" s="2022"/>
    </row>
    <row r="120" spans="2:28" s="2019" customFormat="1" hidden="1">
      <c r="B120" s="2020"/>
      <c r="M120" s="2020"/>
      <c r="N120" s="2020"/>
      <c r="O120" s="2020"/>
      <c r="P120" s="2020"/>
      <c r="Q120" s="2023"/>
      <c r="R120" s="2020"/>
      <c r="X120" s="2022"/>
      <c r="Z120" s="2022"/>
      <c r="AB120" s="2022"/>
    </row>
    <row r="121" spans="2:28" s="2019" customFormat="1" hidden="1">
      <c r="B121" s="2020"/>
      <c r="M121" s="2020"/>
      <c r="N121" s="2020"/>
      <c r="O121" s="2020"/>
      <c r="P121" s="2020"/>
      <c r="Q121" s="2023"/>
      <c r="R121" s="2020"/>
      <c r="X121" s="2022"/>
      <c r="Z121" s="2022"/>
      <c r="AB121" s="2022"/>
    </row>
    <row r="122" spans="2:28" s="2019" customFormat="1" hidden="1">
      <c r="B122" s="2020"/>
      <c r="M122" s="2020"/>
      <c r="N122" s="2020"/>
      <c r="O122" s="2020"/>
      <c r="P122" s="2020"/>
      <c r="Q122" s="2023"/>
      <c r="R122" s="2020"/>
      <c r="X122" s="2022"/>
      <c r="Z122" s="2022"/>
      <c r="AB122" s="2022"/>
    </row>
    <row r="123" spans="2:28" s="2019" customFormat="1" hidden="1">
      <c r="B123" s="2020"/>
      <c r="M123" s="2020"/>
      <c r="N123" s="2020"/>
      <c r="O123" s="2020"/>
      <c r="P123" s="2020"/>
      <c r="Q123" s="2023"/>
      <c r="R123" s="2020"/>
      <c r="X123" s="2022"/>
      <c r="Z123" s="2022"/>
      <c r="AB123" s="2022"/>
    </row>
    <row r="124" spans="2:28" s="2019" customFormat="1" hidden="1">
      <c r="B124" s="2020"/>
      <c r="M124" s="2020"/>
      <c r="N124" s="2020"/>
      <c r="O124" s="2020"/>
      <c r="P124" s="2020"/>
      <c r="Q124" s="2023"/>
      <c r="R124" s="2020"/>
      <c r="X124" s="2022"/>
      <c r="Z124" s="2022"/>
      <c r="AB124" s="2022"/>
    </row>
    <row r="125" spans="2:28" s="2019" customFormat="1" hidden="1">
      <c r="B125" s="2020"/>
      <c r="M125" s="2020"/>
      <c r="N125" s="2020"/>
      <c r="O125" s="2020"/>
      <c r="P125" s="2020"/>
      <c r="Q125" s="2023"/>
      <c r="R125" s="2020"/>
      <c r="X125" s="2022"/>
      <c r="Z125" s="2022"/>
      <c r="AB125" s="2022"/>
    </row>
    <row r="126" spans="2:28" s="2019" customFormat="1" hidden="1">
      <c r="B126" s="2020"/>
      <c r="M126" s="2020"/>
      <c r="N126" s="2020"/>
      <c r="O126" s="2020"/>
      <c r="P126" s="2020"/>
      <c r="Q126" s="2023"/>
      <c r="R126" s="2020"/>
      <c r="X126" s="2022"/>
      <c r="Z126" s="2022"/>
      <c r="AB126" s="2022"/>
    </row>
    <row r="127" spans="2:28" s="2019" customFormat="1" hidden="1">
      <c r="B127" s="2020"/>
      <c r="M127" s="2020"/>
      <c r="N127" s="2020"/>
      <c r="O127" s="2020"/>
      <c r="P127" s="2020"/>
      <c r="Q127" s="2023"/>
      <c r="R127" s="2020"/>
      <c r="X127" s="2022"/>
      <c r="Z127" s="2022"/>
      <c r="AB127" s="2022"/>
    </row>
    <row r="128" spans="2:28" s="2019" customFormat="1" hidden="1">
      <c r="B128" s="2020"/>
      <c r="M128" s="2020"/>
      <c r="N128" s="2020"/>
      <c r="O128" s="2020"/>
      <c r="P128" s="2020"/>
      <c r="Q128" s="2021"/>
      <c r="R128" s="2020"/>
    </row>
    <row r="129" spans="2:18" s="2019" customFormat="1" hidden="1">
      <c r="B129" s="2020"/>
      <c r="M129" s="2020"/>
      <c r="N129" s="2020"/>
      <c r="O129" s="2020"/>
      <c r="P129" s="2020"/>
      <c r="Q129" s="2021"/>
      <c r="R129" s="2020"/>
    </row>
    <row r="130" spans="2:18" s="2019" customFormat="1" hidden="1">
      <c r="B130" s="2020"/>
      <c r="M130" s="2020"/>
      <c r="N130" s="2020"/>
      <c r="O130" s="2020"/>
      <c r="P130" s="2020"/>
      <c r="Q130" s="2021"/>
      <c r="R130" s="2020"/>
    </row>
    <row r="131" spans="2:18" s="2019" customFormat="1" hidden="1">
      <c r="B131" s="2020"/>
      <c r="M131" s="2020"/>
      <c r="N131" s="2020"/>
      <c r="O131" s="2020"/>
      <c r="P131" s="2020"/>
      <c r="Q131" s="2021"/>
      <c r="R131" s="2020"/>
    </row>
    <row r="132" spans="2:18" s="2019" customFormat="1" hidden="1">
      <c r="B132" s="2020"/>
      <c r="M132" s="2020"/>
      <c r="N132" s="2020"/>
      <c r="O132" s="2020"/>
      <c r="P132" s="2020"/>
      <c r="Q132" s="2021"/>
      <c r="R132" s="2020"/>
    </row>
    <row r="133" spans="2:18" s="2019" customFormat="1" hidden="1">
      <c r="B133" s="2020"/>
      <c r="M133" s="2020"/>
      <c r="N133" s="2020"/>
      <c r="O133" s="2020"/>
      <c r="P133" s="2020"/>
      <c r="Q133" s="2021"/>
      <c r="R133" s="2020"/>
    </row>
    <row r="134" spans="2:18" s="2019" customFormat="1" hidden="1">
      <c r="B134" s="2020"/>
      <c r="M134" s="2020"/>
      <c r="N134" s="2020"/>
      <c r="O134" s="2020"/>
      <c r="P134" s="2020"/>
      <c r="Q134" s="2021"/>
      <c r="R134" s="2020"/>
    </row>
    <row r="135" spans="2:18" s="2019" customFormat="1" hidden="1">
      <c r="B135" s="2020"/>
      <c r="M135" s="2020"/>
      <c r="N135" s="2020"/>
      <c r="O135" s="2020"/>
      <c r="P135" s="2020"/>
      <c r="Q135" s="2021"/>
      <c r="R135" s="2020"/>
    </row>
    <row r="136" spans="2:18" s="2019" customFormat="1" hidden="1">
      <c r="B136" s="2020"/>
      <c r="M136" s="2020"/>
      <c r="N136" s="2020"/>
      <c r="O136" s="2020"/>
      <c r="P136" s="2020"/>
      <c r="Q136" s="2021"/>
      <c r="R136" s="2020"/>
    </row>
    <row r="137" spans="2:18" s="2019" customFormat="1" hidden="1">
      <c r="B137" s="2020"/>
      <c r="M137" s="2020"/>
      <c r="N137" s="2020"/>
      <c r="O137" s="2020"/>
      <c r="P137" s="2020"/>
      <c r="Q137" s="2021"/>
      <c r="R137" s="2020"/>
    </row>
    <row r="138" spans="2:18" s="2019" customFormat="1" hidden="1">
      <c r="B138" s="2020"/>
      <c r="M138" s="2020"/>
      <c r="N138" s="2020"/>
      <c r="O138" s="2020"/>
      <c r="P138" s="2020"/>
      <c r="Q138" s="2020"/>
      <c r="R138" s="2020"/>
    </row>
    <row r="139" spans="2:18" s="2019" customFormat="1" hidden="1">
      <c r="B139" s="2020"/>
      <c r="M139" s="2020"/>
      <c r="N139" s="2020"/>
      <c r="O139" s="2020"/>
      <c r="P139" s="2020"/>
      <c r="Q139" s="2020"/>
      <c r="R139" s="2020"/>
    </row>
    <row r="140" spans="2:18" s="2019" customFormat="1" hidden="1">
      <c r="B140" s="2020"/>
      <c r="M140" s="2020"/>
      <c r="N140" s="2020"/>
      <c r="O140" s="2020"/>
      <c r="P140" s="2020"/>
      <c r="Q140" s="2020"/>
      <c r="R140" s="2020"/>
    </row>
    <row r="141" spans="2:18" s="2019" customFormat="1" hidden="1">
      <c r="B141" s="2020"/>
      <c r="M141" s="2020"/>
      <c r="N141" s="2020"/>
      <c r="O141" s="2020"/>
      <c r="P141" s="2020"/>
      <c r="Q141" s="2020"/>
      <c r="R141" s="2020"/>
    </row>
    <row r="142" spans="2:18" s="2019" customFormat="1" hidden="1">
      <c r="B142" s="2020"/>
      <c r="M142" s="2020"/>
      <c r="N142" s="2020"/>
      <c r="O142" s="2020"/>
      <c r="P142" s="2020"/>
      <c r="Q142" s="2020"/>
      <c r="R142" s="2020"/>
    </row>
    <row r="143" spans="2:18" s="2019" customFormat="1" hidden="1">
      <c r="B143" s="2020"/>
      <c r="M143" s="2020"/>
      <c r="N143" s="2020"/>
      <c r="O143" s="2020"/>
      <c r="P143" s="2020"/>
      <c r="Q143" s="2020"/>
      <c r="R143" s="2020"/>
    </row>
    <row r="144" spans="2:18" s="2019" customFormat="1" hidden="1">
      <c r="B144" s="2020"/>
      <c r="M144" s="2020"/>
      <c r="N144" s="2020"/>
      <c r="O144" s="2020"/>
      <c r="P144" s="2020"/>
      <c r="Q144" s="2020"/>
      <c r="R144" s="2020"/>
    </row>
    <row r="145" spans="2:18" s="2019" customFormat="1" hidden="1">
      <c r="B145" s="2020"/>
      <c r="M145" s="2020"/>
      <c r="N145" s="2020"/>
      <c r="O145" s="2020"/>
      <c r="P145" s="2020"/>
      <c r="Q145" s="2020"/>
      <c r="R145" s="2020"/>
    </row>
    <row r="146" spans="2:18" s="2019" customFormat="1" hidden="1">
      <c r="B146" s="2020"/>
      <c r="M146" s="2020"/>
      <c r="N146" s="2020"/>
      <c r="O146" s="2020"/>
      <c r="P146" s="2020"/>
      <c r="Q146" s="2020"/>
      <c r="R146" s="2020"/>
    </row>
    <row r="147" spans="2:18" s="2019" customFormat="1" hidden="1">
      <c r="B147" s="2020"/>
      <c r="M147" s="2020"/>
      <c r="N147" s="2020"/>
      <c r="O147" s="2020"/>
      <c r="P147" s="2020"/>
      <c r="Q147" s="2020"/>
      <c r="R147" s="2020"/>
    </row>
    <row r="148" spans="2:18" s="2019" customFormat="1" hidden="1">
      <c r="B148" s="2020"/>
      <c r="M148" s="2020"/>
      <c r="N148" s="2020"/>
      <c r="O148" s="2020"/>
      <c r="P148" s="2020"/>
      <c r="Q148" s="2020"/>
      <c r="R148" s="2020"/>
    </row>
    <row r="149" spans="2:18" s="2019" customFormat="1" hidden="1">
      <c r="B149" s="2020"/>
      <c r="M149" s="2020"/>
      <c r="N149" s="2020"/>
      <c r="O149" s="2020"/>
      <c r="P149" s="2020"/>
      <c r="Q149" s="2020"/>
      <c r="R149" s="2020"/>
    </row>
    <row r="150" spans="2:18" s="2019" customFormat="1" hidden="1">
      <c r="B150" s="2020"/>
      <c r="M150" s="2020"/>
      <c r="N150" s="2020"/>
      <c r="O150" s="2020"/>
      <c r="P150" s="2020"/>
      <c r="Q150" s="2020"/>
      <c r="R150" s="2020"/>
    </row>
    <row r="151" spans="2:18" s="2019" customFormat="1" hidden="1">
      <c r="B151" s="2020"/>
      <c r="M151" s="2020"/>
      <c r="N151" s="2020"/>
      <c r="O151" s="2020"/>
      <c r="P151" s="2020"/>
      <c r="Q151" s="2020"/>
      <c r="R151" s="2020"/>
    </row>
    <row r="152" spans="2:18" s="2019" customFormat="1" hidden="1">
      <c r="B152" s="2020"/>
      <c r="M152" s="2020"/>
      <c r="N152" s="2020"/>
      <c r="O152" s="2020"/>
      <c r="P152" s="2020"/>
      <c r="Q152" s="2020"/>
      <c r="R152" s="2020"/>
    </row>
    <row r="153" spans="2:18" s="2019" customFormat="1" hidden="1">
      <c r="B153" s="2020"/>
      <c r="M153" s="2020"/>
      <c r="N153" s="2020"/>
      <c r="O153" s="2020"/>
      <c r="P153" s="2020"/>
      <c r="Q153" s="2020"/>
      <c r="R153" s="2020"/>
    </row>
    <row r="154" spans="2:18" s="2019" customFormat="1" hidden="1">
      <c r="B154" s="2020"/>
      <c r="M154" s="2020"/>
      <c r="N154" s="2020"/>
      <c r="O154" s="2020"/>
      <c r="P154" s="2020"/>
      <c r="Q154" s="2020"/>
      <c r="R154" s="2020"/>
    </row>
    <row r="155" spans="2:18" s="2019" customFormat="1" hidden="1">
      <c r="B155" s="2020"/>
      <c r="M155" s="2020"/>
      <c r="N155" s="2020"/>
      <c r="O155" s="2020"/>
      <c r="P155" s="2020"/>
      <c r="Q155" s="2020"/>
      <c r="R155" s="2020"/>
    </row>
    <row r="156" spans="2:18" s="2019" customFormat="1" hidden="1">
      <c r="B156" s="2020"/>
      <c r="M156" s="2020"/>
      <c r="N156" s="2020"/>
      <c r="O156" s="2020"/>
      <c r="P156" s="2020"/>
      <c r="Q156" s="2020"/>
      <c r="R156" s="2020"/>
    </row>
    <row r="157" spans="2:18" s="2019" customFormat="1" hidden="1">
      <c r="B157" s="2020"/>
      <c r="M157" s="2020"/>
      <c r="N157" s="2020"/>
      <c r="O157" s="2020"/>
      <c r="P157" s="2020"/>
      <c r="Q157" s="2020"/>
      <c r="R157" s="2020"/>
    </row>
    <row r="158" spans="2:18" s="2019" customFormat="1" hidden="1">
      <c r="B158" s="2020"/>
      <c r="M158" s="2020"/>
      <c r="N158" s="2020"/>
      <c r="O158" s="2020"/>
      <c r="P158" s="2020"/>
      <c r="Q158" s="2020"/>
      <c r="R158" s="2020"/>
    </row>
    <row r="159" spans="2:18" s="2019" customFormat="1" hidden="1">
      <c r="B159" s="2020"/>
      <c r="M159" s="2020"/>
      <c r="N159" s="2020"/>
      <c r="O159" s="2020"/>
      <c r="P159" s="2020"/>
      <c r="Q159" s="2020"/>
      <c r="R159" s="2020"/>
    </row>
    <row r="160" spans="2:18" s="2019" customFormat="1" hidden="1">
      <c r="B160" s="2020"/>
      <c r="M160" s="2020"/>
      <c r="N160" s="2020"/>
      <c r="O160" s="2020"/>
      <c r="P160" s="2020"/>
      <c r="Q160" s="2020"/>
      <c r="R160" s="2020"/>
    </row>
    <row r="161" spans="2:18" s="2019" customFormat="1" hidden="1">
      <c r="B161" s="2020"/>
      <c r="M161" s="2020"/>
      <c r="N161" s="2020"/>
      <c r="O161" s="2020"/>
      <c r="P161" s="2020"/>
      <c r="Q161" s="2020"/>
      <c r="R161" s="2020"/>
    </row>
    <row r="162" spans="2:18" s="2019" customFormat="1" hidden="1">
      <c r="B162" s="2020"/>
      <c r="M162" s="2020"/>
      <c r="N162" s="2020"/>
      <c r="O162" s="2020"/>
      <c r="P162" s="2020"/>
      <c r="Q162" s="2020"/>
      <c r="R162" s="2020"/>
    </row>
    <row r="163" spans="2:18" s="2019" customFormat="1" hidden="1">
      <c r="B163" s="2020"/>
      <c r="M163" s="2020"/>
      <c r="N163" s="2020"/>
      <c r="O163" s="2020"/>
      <c r="P163" s="2020"/>
      <c r="Q163" s="2020"/>
      <c r="R163" s="2020"/>
    </row>
    <row r="164" spans="2:18" s="2019" customFormat="1" hidden="1">
      <c r="B164" s="2020"/>
      <c r="M164" s="2020"/>
      <c r="N164" s="2020"/>
      <c r="O164" s="2020"/>
      <c r="P164" s="2020"/>
      <c r="Q164" s="2020"/>
      <c r="R164" s="2020"/>
    </row>
    <row r="165" spans="2:18" s="2019" customFormat="1" hidden="1">
      <c r="B165" s="2020"/>
      <c r="M165" s="2020"/>
      <c r="N165" s="2020"/>
      <c r="O165" s="2020"/>
      <c r="P165" s="2020"/>
      <c r="Q165" s="2020"/>
      <c r="R165" s="2020"/>
    </row>
    <row r="166" spans="2:18" s="2019" customFormat="1" hidden="1">
      <c r="B166" s="2020"/>
      <c r="M166" s="2020"/>
      <c r="N166" s="2020"/>
      <c r="O166" s="2020"/>
      <c r="P166" s="2020"/>
      <c r="Q166" s="2020"/>
      <c r="R166" s="2020"/>
    </row>
    <row r="167" spans="2:18" s="2019" customFormat="1" hidden="1">
      <c r="B167" s="2020"/>
      <c r="M167" s="2020"/>
      <c r="N167" s="2020"/>
      <c r="O167" s="2020"/>
      <c r="P167" s="2020"/>
      <c r="Q167" s="2020"/>
      <c r="R167" s="2020"/>
    </row>
    <row r="168" spans="2:18" s="2019" customFormat="1" hidden="1">
      <c r="B168" s="2020"/>
      <c r="M168" s="2020"/>
      <c r="N168" s="2020"/>
      <c r="O168" s="2020"/>
      <c r="P168" s="2020"/>
      <c r="Q168" s="2020"/>
      <c r="R168" s="2020"/>
    </row>
    <row r="169" spans="2:18" s="2019" customFormat="1" hidden="1">
      <c r="B169" s="2020"/>
      <c r="M169" s="2020"/>
      <c r="N169" s="2020"/>
      <c r="O169" s="2020"/>
      <c r="P169" s="2020"/>
      <c r="Q169" s="2020"/>
      <c r="R169" s="2020"/>
    </row>
    <row r="170" spans="2:18" s="2019" customFormat="1" hidden="1">
      <c r="B170" s="2020"/>
      <c r="M170" s="2020"/>
      <c r="N170" s="2020"/>
      <c r="O170" s="2020"/>
      <c r="P170" s="2020"/>
      <c r="Q170" s="2020"/>
      <c r="R170" s="2020"/>
    </row>
    <row r="171" spans="2:18" s="2019" customFormat="1" hidden="1">
      <c r="B171" s="2020"/>
      <c r="M171" s="2020"/>
      <c r="N171" s="2020"/>
      <c r="O171" s="2020"/>
      <c r="P171" s="2020"/>
      <c r="Q171" s="2020"/>
      <c r="R171" s="2020"/>
    </row>
    <row r="172" spans="2:18" s="2019" customFormat="1" hidden="1">
      <c r="B172" s="2020"/>
      <c r="M172" s="2020"/>
      <c r="N172" s="2020"/>
      <c r="O172" s="2020"/>
      <c r="P172" s="2020"/>
      <c r="Q172" s="2020"/>
      <c r="R172" s="2020"/>
    </row>
    <row r="173" spans="2:18" s="2019" customFormat="1" hidden="1">
      <c r="B173" s="2020"/>
      <c r="M173" s="2020"/>
      <c r="N173" s="2020"/>
      <c r="O173" s="2020"/>
      <c r="P173" s="2020"/>
      <c r="Q173" s="2020"/>
      <c r="R173" s="2020"/>
    </row>
    <row r="174" spans="2:18" s="2019" customFormat="1" hidden="1">
      <c r="B174" s="2020"/>
      <c r="M174" s="2020"/>
      <c r="N174" s="2020"/>
      <c r="O174" s="2020"/>
      <c r="P174" s="2020"/>
      <c r="Q174" s="2020"/>
      <c r="R174" s="2020"/>
    </row>
    <row r="175" spans="2:18" s="2019" customFormat="1" hidden="1">
      <c r="B175" s="2020"/>
      <c r="M175" s="2020"/>
      <c r="N175" s="2020"/>
      <c r="O175" s="2020"/>
      <c r="P175" s="2020"/>
      <c r="Q175" s="2020"/>
      <c r="R175" s="2020"/>
    </row>
    <row r="176" spans="2:18" s="2019" customFormat="1" hidden="1">
      <c r="B176" s="2020"/>
      <c r="M176" s="2020"/>
      <c r="N176" s="2020"/>
      <c r="O176" s="2020"/>
      <c r="P176" s="2020"/>
      <c r="Q176" s="2020"/>
      <c r="R176" s="2020"/>
    </row>
    <row r="177" spans="2:18" s="2019" customFormat="1" hidden="1">
      <c r="B177" s="2020"/>
      <c r="M177" s="2020"/>
      <c r="N177" s="2020"/>
      <c r="O177" s="2020"/>
      <c r="P177" s="2020"/>
      <c r="Q177" s="2020"/>
      <c r="R177" s="2020"/>
    </row>
    <row r="178" spans="2:18" s="2019" customFormat="1" hidden="1">
      <c r="B178" s="2020"/>
      <c r="M178" s="2020"/>
      <c r="N178" s="2020"/>
      <c r="O178" s="2020"/>
      <c r="P178" s="2020"/>
      <c r="Q178" s="2020"/>
      <c r="R178" s="2020"/>
    </row>
    <row r="179" spans="2:18" s="2019" customFormat="1" hidden="1">
      <c r="B179" s="2020"/>
      <c r="M179" s="2020"/>
      <c r="N179" s="2020"/>
      <c r="O179" s="2020"/>
      <c r="P179" s="2020"/>
      <c r="Q179" s="2020"/>
      <c r="R179" s="2020"/>
    </row>
    <row r="180" spans="2:18" s="2019" customFormat="1" hidden="1">
      <c r="B180" s="2020"/>
      <c r="M180" s="2020"/>
      <c r="N180" s="2020"/>
      <c r="O180" s="2020"/>
      <c r="P180" s="2020"/>
      <c r="Q180" s="2020"/>
      <c r="R180" s="2020"/>
    </row>
    <row r="181" spans="2:18" s="2019" customFormat="1" hidden="1">
      <c r="B181" s="2020"/>
      <c r="M181" s="2020"/>
      <c r="N181" s="2020"/>
      <c r="O181" s="2020"/>
      <c r="P181" s="2020"/>
      <c r="Q181" s="2020"/>
      <c r="R181" s="2020"/>
    </row>
    <row r="182" spans="2:18" s="2019" customFormat="1" hidden="1">
      <c r="B182" s="2020"/>
      <c r="M182" s="2020"/>
      <c r="N182" s="2020"/>
      <c r="O182" s="2020"/>
      <c r="P182" s="2020"/>
      <c r="Q182" s="2020"/>
      <c r="R182" s="2020"/>
    </row>
    <row r="183" spans="2:18" s="2019" customFormat="1" hidden="1">
      <c r="B183" s="2020"/>
      <c r="M183" s="2020"/>
      <c r="N183" s="2020"/>
      <c r="O183" s="2020"/>
      <c r="P183" s="2020"/>
      <c r="Q183" s="2020"/>
      <c r="R183" s="2020"/>
    </row>
    <row r="184" spans="2:18" s="2019" customFormat="1" hidden="1">
      <c r="B184" s="2020"/>
      <c r="M184" s="2020"/>
      <c r="N184" s="2020"/>
      <c r="O184" s="2020"/>
      <c r="P184" s="2020"/>
      <c r="Q184" s="2020"/>
      <c r="R184" s="2020"/>
    </row>
    <row r="185" spans="2:18" s="2019" customFormat="1" hidden="1">
      <c r="B185" s="2020"/>
      <c r="M185" s="2020"/>
      <c r="N185" s="2020"/>
      <c r="O185" s="2020"/>
      <c r="P185" s="2020"/>
      <c r="Q185" s="2020"/>
      <c r="R185" s="2020"/>
    </row>
    <row r="186" spans="2:18" s="2019" customFormat="1" hidden="1">
      <c r="B186" s="2020"/>
      <c r="M186" s="2020"/>
      <c r="N186" s="2020"/>
      <c r="O186" s="2020"/>
      <c r="P186" s="2020"/>
      <c r="Q186" s="2020"/>
      <c r="R186" s="2020"/>
    </row>
    <row r="187" spans="2:18" s="2019" customFormat="1" hidden="1">
      <c r="B187" s="2020"/>
      <c r="M187" s="2020"/>
      <c r="N187" s="2020"/>
      <c r="O187" s="2020"/>
      <c r="P187" s="2020"/>
      <c r="Q187" s="2020"/>
      <c r="R187" s="2020"/>
    </row>
    <row r="188" spans="2:18" s="2019" customFormat="1" hidden="1">
      <c r="B188" s="2020"/>
      <c r="M188" s="2020"/>
      <c r="N188" s="2020"/>
      <c r="O188" s="2020"/>
      <c r="P188" s="2020"/>
      <c r="Q188" s="2020"/>
      <c r="R188" s="2020"/>
    </row>
    <row r="189" spans="2:18" s="2019" customFormat="1" hidden="1">
      <c r="B189" s="2020"/>
      <c r="M189" s="2020"/>
      <c r="N189" s="2020"/>
      <c r="O189" s="2020"/>
      <c r="P189" s="2020"/>
      <c r="Q189" s="2020"/>
      <c r="R189" s="2020"/>
    </row>
    <row r="190" spans="2:18" s="2019" customFormat="1" hidden="1">
      <c r="B190" s="2020"/>
      <c r="M190" s="2020"/>
      <c r="N190" s="2020"/>
      <c r="O190" s="2020"/>
      <c r="P190" s="2020"/>
      <c r="Q190" s="2020"/>
      <c r="R190" s="2020"/>
    </row>
    <row r="191" spans="2:18" s="2019" customFormat="1" hidden="1">
      <c r="B191" s="2020"/>
      <c r="M191" s="2020"/>
      <c r="N191" s="2020"/>
      <c r="O191" s="2020"/>
      <c r="P191" s="2020"/>
      <c r="Q191" s="2020"/>
      <c r="R191" s="2020"/>
    </row>
    <row r="192" spans="2:18" s="2019" customFormat="1" hidden="1">
      <c r="B192" s="2020"/>
      <c r="M192" s="2020"/>
      <c r="N192" s="2020"/>
      <c r="O192" s="2020"/>
      <c r="P192" s="2020"/>
      <c r="Q192" s="2020"/>
      <c r="R192" s="2020"/>
    </row>
    <row r="193" spans="2:18" s="2019" customFormat="1" hidden="1">
      <c r="B193" s="2020"/>
      <c r="M193" s="2020"/>
      <c r="N193" s="2020"/>
      <c r="O193" s="2020"/>
      <c r="P193" s="2020"/>
      <c r="Q193" s="2020"/>
      <c r="R193" s="2020"/>
    </row>
    <row r="194" spans="2:18" s="2019" customFormat="1" hidden="1">
      <c r="B194" s="2020"/>
      <c r="M194" s="2020"/>
      <c r="N194" s="2020"/>
      <c r="O194" s="2020"/>
      <c r="P194" s="2020"/>
      <c r="Q194" s="2020"/>
      <c r="R194" s="2020"/>
    </row>
    <row r="195" spans="2:18" s="2019" customFormat="1" hidden="1">
      <c r="B195" s="2020"/>
      <c r="M195" s="2020"/>
      <c r="N195" s="2020"/>
      <c r="O195" s="2020"/>
      <c r="P195" s="2020"/>
      <c r="Q195" s="2020"/>
      <c r="R195" s="2020"/>
    </row>
    <row r="196" spans="2:18" s="2019" customFormat="1" hidden="1">
      <c r="B196" s="2020"/>
      <c r="M196" s="2020"/>
      <c r="N196" s="2020"/>
      <c r="O196" s="2020"/>
      <c r="P196" s="2020"/>
      <c r="Q196" s="2020"/>
      <c r="R196" s="2020"/>
    </row>
    <row r="197" spans="2:18" s="2019" customFormat="1" hidden="1">
      <c r="B197" s="2020"/>
      <c r="M197" s="2020"/>
      <c r="N197" s="2020"/>
      <c r="O197" s="2020"/>
      <c r="P197" s="2020"/>
      <c r="Q197" s="2020"/>
      <c r="R197" s="2020"/>
    </row>
    <row r="198" spans="2:18" s="2019" customFormat="1" hidden="1">
      <c r="B198" s="2020"/>
      <c r="M198" s="2020"/>
      <c r="N198" s="2020"/>
      <c r="O198" s="2020"/>
      <c r="P198" s="2020"/>
      <c r="Q198" s="2020"/>
      <c r="R198" s="2020"/>
    </row>
    <row r="199" spans="2:18" s="2019" customFormat="1" hidden="1">
      <c r="B199" s="2020"/>
      <c r="M199" s="2020"/>
      <c r="N199" s="2020"/>
      <c r="O199" s="2020"/>
      <c r="P199" s="2020"/>
      <c r="Q199" s="2020"/>
      <c r="R199" s="2020"/>
    </row>
    <row r="200" spans="2:18" s="2019" customFormat="1" hidden="1">
      <c r="B200" s="2020"/>
      <c r="M200" s="2020"/>
      <c r="N200" s="2020"/>
      <c r="O200" s="2020"/>
      <c r="P200" s="2020"/>
      <c r="Q200" s="2020"/>
      <c r="R200" s="2020"/>
    </row>
    <row r="201" spans="2:18" s="2019" customFormat="1" hidden="1">
      <c r="B201" s="2020"/>
      <c r="M201" s="2020"/>
      <c r="N201" s="2020"/>
      <c r="O201" s="2020"/>
      <c r="P201" s="2020"/>
      <c r="Q201" s="2020"/>
      <c r="R201" s="2020"/>
    </row>
    <row r="202" spans="2:18" s="2019" customFormat="1" hidden="1">
      <c r="B202" s="2020"/>
      <c r="M202" s="2020"/>
      <c r="N202" s="2020"/>
      <c r="O202" s="2020"/>
      <c r="P202" s="2020"/>
      <c r="Q202" s="2020"/>
      <c r="R202" s="2020"/>
    </row>
    <row r="203" spans="2:18" s="2019" customFormat="1" hidden="1">
      <c r="B203" s="2020"/>
      <c r="M203" s="2020"/>
      <c r="N203" s="2020"/>
      <c r="O203" s="2020"/>
      <c r="P203" s="2020"/>
      <c r="Q203" s="2020"/>
      <c r="R203" s="2020"/>
    </row>
    <row r="204" spans="2:18" s="2019" customFormat="1" hidden="1">
      <c r="B204" s="2020"/>
      <c r="M204" s="2020"/>
      <c r="N204" s="2020"/>
      <c r="O204" s="2020"/>
      <c r="P204" s="2020"/>
      <c r="Q204" s="2020"/>
      <c r="R204" s="2020"/>
    </row>
    <row r="205" spans="2:18" s="2019" customFormat="1" hidden="1">
      <c r="B205" s="2020"/>
      <c r="M205" s="2020"/>
      <c r="N205" s="2020"/>
      <c r="O205" s="2020"/>
      <c r="P205" s="2020"/>
      <c r="Q205" s="2020"/>
      <c r="R205" s="2020"/>
    </row>
    <row r="206" spans="2:18" s="2019" customFormat="1" hidden="1">
      <c r="B206" s="2020"/>
      <c r="M206" s="2020"/>
      <c r="N206" s="2020"/>
      <c r="O206" s="2020"/>
      <c r="P206" s="2020"/>
      <c r="Q206" s="2020"/>
      <c r="R206" s="2020"/>
    </row>
    <row r="207" spans="2:18" s="2019" customFormat="1" hidden="1">
      <c r="B207" s="2020"/>
      <c r="M207" s="2020"/>
      <c r="N207" s="2020"/>
      <c r="O207" s="2020"/>
      <c r="P207" s="2020"/>
      <c r="Q207" s="2020"/>
      <c r="R207" s="2020"/>
    </row>
    <row r="208" spans="2:18" s="2019" customFormat="1" hidden="1">
      <c r="B208" s="2020"/>
      <c r="M208" s="2020"/>
      <c r="N208" s="2020"/>
      <c r="O208" s="2020"/>
      <c r="P208" s="2020"/>
      <c r="Q208" s="2020"/>
      <c r="R208" s="2020"/>
    </row>
    <row r="209" spans="2:18" s="2019" customFormat="1" hidden="1">
      <c r="B209" s="2020"/>
      <c r="M209" s="2020"/>
      <c r="N209" s="2020"/>
      <c r="O209" s="2020"/>
      <c r="P209" s="2020"/>
      <c r="Q209" s="2020"/>
      <c r="R209" s="2020"/>
    </row>
    <row r="210" spans="2:18" s="2019" customFormat="1" hidden="1">
      <c r="B210" s="2020"/>
      <c r="M210" s="2020"/>
      <c r="N210" s="2020"/>
      <c r="O210" s="2020"/>
      <c r="P210" s="2020"/>
      <c r="Q210" s="2020"/>
      <c r="R210" s="2020"/>
    </row>
    <row r="211" spans="2:18" s="2019" customFormat="1" hidden="1">
      <c r="B211" s="2020"/>
      <c r="M211" s="2020"/>
      <c r="N211" s="2020"/>
      <c r="O211" s="2020"/>
      <c r="P211" s="2020"/>
      <c r="Q211" s="2020"/>
      <c r="R211" s="2020"/>
    </row>
    <row r="212" spans="2:18" s="2019" customFormat="1" hidden="1">
      <c r="B212" s="2020"/>
      <c r="M212" s="2020"/>
      <c r="N212" s="2020"/>
      <c r="O212" s="2020"/>
      <c r="P212" s="2020"/>
      <c r="Q212" s="2020"/>
      <c r="R212" s="2020"/>
    </row>
    <row r="213" spans="2:18" s="2019" customFormat="1" hidden="1">
      <c r="B213" s="2020"/>
      <c r="M213" s="2020"/>
      <c r="N213" s="2020"/>
      <c r="O213" s="2020"/>
      <c r="P213" s="2020"/>
      <c r="Q213" s="2020"/>
      <c r="R213" s="2020"/>
    </row>
    <row r="214" spans="2:18" s="2019" customFormat="1" hidden="1">
      <c r="B214" s="2020"/>
      <c r="M214" s="2020"/>
      <c r="N214" s="2020"/>
      <c r="O214" s="2020"/>
      <c r="P214" s="2020"/>
      <c r="Q214" s="2020"/>
      <c r="R214" s="2020"/>
    </row>
    <row r="215" spans="2:18" s="2019" customFormat="1" hidden="1">
      <c r="B215" s="2020"/>
      <c r="M215" s="2020"/>
      <c r="N215" s="2020"/>
      <c r="O215" s="2020"/>
      <c r="P215" s="2020"/>
      <c r="Q215" s="2020"/>
      <c r="R215" s="2020"/>
    </row>
    <row r="216" spans="2:18" s="2019" customFormat="1" hidden="1">
      <c r="B216" s="2020"/>
      <c r="M216" s="2020"/>
      <c r="N216" s="2020"/>
      <c r="O216" s="2020"/>
      <c r="P216" s="2020"/>
      <c r="Q216" s="2020"/>
      <c r="R216" s="2020"/>
    </row>
    <row r="217" spans="2:18" s="2019" customFormat="1" hidden="1">
      <c r="B217" s="2020"/>
      <c r="M217" s="2020"/>
      <c r="N217" s="2020"/>
      <c r="O217" s="2020"/>
      <c r="P217" s="2020"/>
      <c r="Q217" s="2020"/>
      <c r="R217" s="2020"/>
    </row>
    <row r="218" spans="2:18" s="2019" customFormat="1" hidden="1">
      <c r="B218" s="2020"/>
      <c r="M218" s="2020"/>
      <c r="N218" s="2020"/>
      <c r="O218" s="2020"/>
      <c r="P218" s="2020"/>
      <c r="Q218" s="2020"/>
      <c r="R218" s="2020"/>
    </row>
    <row r="219" spans="2:18" s="2019" customFormat="1" hidden="1">
      <c r="B219" s="2020"/>
      <c r="M219" s="2020"/>
      <c r="N219" s="2020"/>
      <c r="O219" s="2020"/>
      <c r="P219" s="2020"/>
      <c r="Q219" s="2020"/>
      <c r="R219" s="2020"/>
    </row>
    <row r="220" spans="2:18" s="2019" customFormat="1" hidden="1">
      <c r="B220" s="2020"/>
      <c r="M220" s="2020"/>
      <c r="N220" s="2020"/>
      <c r="O220" s="2020"/>
      <c r="P220" s="2020"/>
      <c r="Q220" s="2020"/>
      <c r="R220" s="2020"/>
    </row>
    <row r="221" spans="2:18" s="2019" customFormat="1" hidden="1">
      <c r="B221" s="2020"/>
      <c r="M221" s="2020"/>
      <c r="N221" s="2020"/>
      <c r="O221" s="2020"/>
      <c r="P221" s="2020"/>
      <c r="Q221" s="2020"/>
      <c r="R221" s="2020"/>
    </row>
    <row r="222" spans="2:18" s="2019" customFormat="1" hidden="1">
      <c r="B222" s="2020"/>
      <c r="M222" s="2020"/>
      <c r="N222" s="2020"/>
      <c r="O222" s="2020"/>
      <c r="P222" s="2020"/>
      <c r="Q222" s="2020"/>
      <c r="R222" s="2020"/>
    </row>
    <row r="223" spans="2:18" s="2019" customFormat="1" hidden="1">
      <c r="B223" s="2020"/>
      <c r="M223" s="2020"/>
      <c r="N223" s="2020"/>
      <c r="O223" s="2020"/>
      <c r="P223" s="2020"/>
      <c r="Q223" s="2020"/>
      <c r="R223" s="2020"/>
    </row>
    <row r="224" spans="2:18" s="2019" customFormat="1" hidden="1">
      <c r="B224" s="2020"/>
      <c r="M224" s="2020"/>
      <c r="N224" s="2020"/>
      <c r="O224" s="2020"/>
      <c r="P224" s="2020"/>
      <c r="Q224" s="2020"/>
      <c r="R224" s="2020"/>
    </row>
    <row r="225" spans="2:18" s="2019" customFormat="1" hidden="1">
      <c r="B225" s="2020"/>
      <c r="M225" s="2020"/>
      <c r="N225" s="2020"/>
      <c r="O225" s="2020"/>
      <c r="P225" s="2020"/>
      <c r="Q225" s="2020"/>
      <c r="R225" s="2020"/>
    </row>
    <row r="226" spans="2:18" s="2019" customFormat="1" hidden="1">
      <c r="B226" s="2020"/>
      <c r="M226" s="2020"/>
      <c r="N226" s="2020"/>
      <c r="O226" s="2020"/>
      <c r="P226" s="2020"/>
      <c r="Q226" s="2020"/>
      <c r="R226" s="2020"/>
    </row>
    <row r="227" spans="2:18" s="2019" customFormat="1" hidden="1">
      <c r="B227" s="2020"/>
      <c r="M227" s="2020"/>
      <c r="N227" s="2020"/>
      <c r="O227" s="2020"/>
      <c r="P227" s="2020"/>
      <c r="Q227" s="2020"/>
      <c r="R227" s="2020"/>
    </row>
    <row r="228" spans="2:18" s="2019" customFormat="1" hidden="1">
      <c r="B228" s="2020"/>
      <c r="M228" s="2020"/>
      <c r="N228" s="2020"/>
      <c r="O228" s="2020"/>
      <c r="P228" s="2020"/>
      <c r="Q228" s="2020"/>
      <c r="R228" s="2020"/>
    </row>
    <row r="229" spans="2:18" s="2019" customFormat="1" hidden="1">
      <c r="B229" s="2020"/>
      <c r="M229" s="2020"/>
      <c r="N229" s="2020"/>
      <c r="O229" s="2020"/>
      <c r="P229" s="2020"/>
      <c r="Q229" s="2020"/>
      <c r="R229" s="2020"/>
    </row>
    <row r="230" spans="2:18" s="2019" customFormat="1" hidden="1">
      <c r="B230" s="2020"/>
      <c r="M230" s="2020"/>
      <c r="N230" s="2020"/>
      <c r="O230" s="2020"/>
      <c r="P230" s="2020"/>
      <c r="Q230" s="2020"/>
      <c r="R230" s="2020"/>
    </row>
    <row r="231" spans="2:18" s="2019" customFormat="1" hidden="1">
      <c r="B231" s="2020"/>
      <c r="M231" s="2020"/>
      <c r="N231" s="2020"/>
      <c r="O231" s="2020"/>
      <c r="P231" s="2020"/>
      <c r="Q231" s="2020"/>
      <c r="R231" s="2020"/>
    </row>
    <row r="232" spans="2:18" s="2019" customFormat="1" hidden="1">
      <c r="B232" s="2020"/>
      <c r="M232" s="2020"/>
      <c r="N232" s="2020"/>
      <c r="O232" s="2020"/>
      <c r="P232" s="2020"/>
      <c r="Q232" s="2020"/>
      <c r="R232" s="2020"/>
    </row>
    <row r="233" spans="2:18" s="2019" customFormat="1" hidden="1">
      <c r="B233" s="2020"/>
      <c r="M233" s="2020"/>
      <c r="N233" s="2020"/>
      <c r="O233" s="2020"/>
      <c r="P233" s="2020"/>
      <c r="Q233" s="2020"/>
      <c r="R233" s="2020"/>
    </row>
    <row r="234" spans="2:18" s="2019" customFormat="1" hidden="1">
      <c r="B234" s="2020"/>
      <c r="M234" s="2020"/>
      <c r="N234" s="2020"/>
      <c r="O234" s="2020"/>
      <c r="P234" s="2020"/>
      <c r="Q234" s="2020"/>
      <c r="R234" s="2020"/>
    </row>
    <row r="235" spans="2:18" s="2019" customFormat="1" hidden="1">
      <c r="B235" s="2020"/>
      <c r="M235" s="2020"/>
      <c r="N235" s="2020"/>
      <c r="O235" s="2020"/>
      <c r="P235" s="2020"/>
      <c r="Q235" s="2020"/>
      <c r="R235" s="2020"/>
    </row>
    <row r="236" spans="2:18" s="2019" customFormat="1" hidden="1">
      <c r="B236" s="2020"/>
      <c r="M236" s="2020"/>
      <c r="N236" s="2020"/>
      <c r="O236" s="2020"/>
      <c r="P236" s="2020"/>
      <c r="Q236" s="2020"/>
      <c r="R236" s="2020"/>
    </row>
    <row r="237" spans="2:18" s="2019" customFormat="1" hidden="1">
      <c r="B237" s="2020"/>
      <c r="M237" s="2020"/>
      <c r="N237" s="2020"/>
      <c r="O237" s="2020"/>
      <c r="P237" s="2020"/>
      <c r="Q237" s="2020"/>
      <c r="R237" s="2020"/>
    </row>
    <row r="238" spans="2:18" s="2019" customFormat="1" hidden="1">
      <c r="B238" s="2020"/>
      <c r="M238" s="2020"/>
      <c r="N238" s="2020"/>
      <c r="O238" s="2020"/>
      <c r="P238" s="2020"/>
      <c r="Q238" s="2020"/>
      <c r="R238" s="2020"/>
    </row>
    <row r="239" spans="2:18" s="2019" customFormat="1" hidden="1">
      <c r="B239" s="2020"/>
      <c r="M239" s="2020"/>
      <c r="N239" s="2020"/>
      <c r="O239" s="2020"/>
      <c r="P239" s="2020"/>
      <c r="Q239" s="2020"/>
      <c r="R239" s="2020"/>
    </row>
    <row r="240" spans="2:18" s="2019" customFormat="1" hidden="1">
      <c r="B240" s="2020"/>
      <c r="M240" s="2020"/>
      <c r="N240" s="2020"/>
      <c r="O240" s="2020"/>
      <c r="P240" s="2020"/>
      <c r="Q240" s="2020"/>
      <c r="R240" s="2020"/>
    </row>
    <row r="241" spans="2:18" s="2019" customFormat="1" hidden="1">
      <c r="B241" s="2020"/>
      <c r="M241" s="2020"/>
      <c r="N241" s="2020"/>
      <c r="O241" s="2020"/>
      <c r="P241" s="2020"/>
      <c r="Q241" s="2020"/>
      <c r="R241" s="2020"/>
    </row>
    <row r="242" spans="2:18" s="2019" customFormat="1" hidden="1">
      <c r="B242" s="2020"/>
      <c r="M242" s="2020"/>
      <c r="N242" s="2020"/>
      <c r="O242" s="2020"/>
      <c r="P242" s="2020"/>
      <c r="Q242" s="2020"/>
      <c r="R242" s="2020"/>
    </row>
    <row r="243" spans="2:18" s="2019" customFormat="1" hidden="1">
      <c r="B243" s="2020"/>
      <c r="M243" s="2020"/>
      <c r="N243" s="2020"/>
      <c r="O243" s="2020"/>
      <c r="P243" s="2020"/>
      <c r="Q243" s="2020"/>
      <c r="R243" s="2020"/>
    </row>
    <row r="244" spans="2:18" s="2019" customFormat="1" hidden="1">
      <c r="B244" s="2020"/>
      <c r="M244" s="2020"/>
      <c r="N244" s="2020"/>
      <c r="O244" s="2020"/>
      <c r="P244" s="2020"/>
      <c r="Q244" s="2020"/>
      <c r="R244" s="2020"/>
    </row>
    <row r="245" spans="2:18" s="2019" customFormat="1" hidden="1">
      <c r="B245" s="2020"/>
      <c r="M245" s="2020"/>
      <c r="N245" s="2020"/>
      <c r="O245" s="2020"/>
      <c r="P245" s="2020"/>
      <c r="Q245" s="2020"/>
      <c r="R245" s="2020"/>
    </row>
    <row r="246" spans="2:18" s="2019" customFormat="1" hidden="1">
      <c r="B246" s="2020"/>
      <c r="M246" s="2020"/>
      <c r="N246" s="2020"/>
      <c r="O246" s="2020"/>
      <c r="P246" s="2020"/>
      <c r="Q246" s="2020"/>
      <c r="R246" s="2020"/>
    </row>
    <row r="247" spans="2:18" s="2019" customFormat="1" hidden="1">
      <c r="B247" s="2020"/>
      <c r="M247" s="2020"/>
      <c r="N247" s="2020"/>
      <c r="O247" s="2020"/>
      <c r="P247" s="2020"/>
      <c r="Q247" s="2020"/>
      <c r="R247" s="2020"/>
    </row>
    <row r="248" spans="2:18" s="2019" customFormat="1" hidden="1">
      <c r="B248" s="2020"/>
      <c r="M248" s="2020"/>
      <c r="N248" s="2020"/>
      <c r="O248" s="2020"/>
      <c r="P248" s="2020"/>
      <c r="Q248" s="2020"/>
      <c r="R248" s="2020"/>
    </row>
    <row r="249" spans="2:18" s="2019" customFormat="1" hidden="1">
      <c r="B249" s="2020"/>
      <c r="M249" s="2020"/>
      <c r="N249" s="2020"/>
      <c r="O249" s="2020"/>
      <c r="P249" s="2020"/>
      <c r="Q249" s="2020"/>
      <c r="R249" s="2020"/>
    </row>
    <row r="250" spans="2:18" s="2019" customFormat="1" hidden="1">
      <c r="B250" s="2020"/>
      <c r="M250" s="2020"/>
      <c r="N250" s="2020"/>
      <c r="O250" s="2020"/>
      <c r="P250" s="2020"/>
      <c r="Q250" s="2020"/>
      <c r="R250" s="2020"/>
    </row>
    <row r="251" spans="2:18" s="2019" customFormat="1" hidden="1">
      <c r="B251" s="2020"/>
      <c r="M251" s="2020"/>
      <c r="N251" s="2020"/>
      <c r="O251" s="2020"/>
      <c r="P251" s="2020"/>
      <c r="Q251" s="2020"/>
      <c r="R251" s="2020"/>
    </row>
    <row r="252" spans="2:18" s="2019" customFormat="1" hidden="1">
      <c r="B252" s="2020"/>
      <c r="M252" s="2020"/>
      <c r="N252" s="2020"/>
      <c r="O252" s="2020"/>
      <c r="P252" s="2020"/>
      <c r="Q252" s="2020"/>
      <c r="R252" s="2020"/>
    </row>
    <row r="253" spans="2:18" s="2019" customFormat="1" hidden="1">
      <c r="B253" s="2020"/>
      <c r="M253" s="2020"/>
      <c r="N253" s="2020"/>
      <c r="O253" s="2020"/>
      <c r="P253" s="2020"/>
      <c r="Q253" s="2020"/>
      <c r="R253" s="2020"/>
    </row>
    <row r="254" spans="2:18" s="2019" customFormat="1" hidden="1">
      <c r="B254" s="2020"/>
      <c r="M254" s="2020"/>
      <c r="N254" s="2020"/>
      <c r="O254" s="2020"/>
      <c r="P254" s="2020"/>
      <c r="Q254" s="2020"/>
      <c r="R254" s="2020"/>
    </row>
    <row r="255" spans="2:18" s="2019" customFormat="1" hidden="1">
      <c r="B255" s="2020"/>
      <c r="M255" s="2020"/>
      <c r="N255" s="2020"/>
      <c r="O255" s="2020"/>
      <c r="P255" s="2020"/>
      <c r="Q255" s="2020"/>
      <c r="R255" s="2020"/>
    </row>
    <row r="256" spans="2:18" s="2019" customFormat="1" hidden="1">
      <c r="B256" s="2020"/>
      <c r="M256" s="2020"/>
      <c r="N256" s="2020"/>
      <c r="O256" s="2020"/>
      <c r="P256" s="2020"/>
      <c r="Q256" s="2020"/>
      <c r="R256" s="2020"/>
    </row>
    <row r="257" spans="2:18" s="2019" customFormat="1" hidden="1">
      <c r="B257" s="2020"/>
      <c r="M257" s="2020"/>
      <c r="N257" s="2020"/>
      <c r="O257" s="2020"/>
      <c r="P257" s="2020"/>
      <c r="Q257" s="2020"/>
      <c r="R257" s="2020"/>
    </row>
    <row r="258" spans="2:18" s="2019" customFormat="1" hidden="1">
      <c r="B258" s="2020"/>
      <c r="M258" s="2020"/>
      <c r="N258" s="2020"/>
      <c r="O258" s="2020"/>
      <c r="P258" s="2020"/>
      <c r="Q258" s="2020"/>
      <c r="R258" s="2020"/>
    </row>
    <row r="259" spans="2:18" s="2019" customFormat="1" hidden="1">
      <c r="B259" s="2020"/>
      <c r="M259" s="2020"/>
      <c r="N259" s="2020"/>
      <c r="O259" s="2020"/>
      <c r="P259" s="2020"/>
      <c r="Q259" s="2020"/>
      <c r="R259" s="2020"/>
    </row>
    <row r="260" spans="2:18" s="2019" customFormat="1" hidden="1">
      <c r="B260" s="2020"/>
      <c r="M260" s="2020"/>
      <c r="N260" s="2020"/>
      <c r="O260" s="2020"/>
      <c r="P260" s="2020"/>
      <c r="Q260" s="2020"/>
      <c r="R260" s="2020"/>
    </row>
    <row r="261" spans="2:18" s="2019" customFormat="1" hidden="1">
      <c r="B261" s="2020"/>
      <c r="M261" s="2020"/>
      <c r="N261" s="2020"/>
      <c r="O261" s="2020"/>
      <c r="P261" s="2020"/>
      <c r="Q261" s="2020"/>
      <c r="R261" s="2020"/>
    </row>
    <row r="262" spans="2:18" s="2019" customFormat="1" hidden="1">
      <c r="B262" s="2020"/>
      <c r="M262" s="2020"/>
      <c r="N262" s="2020"/>
      <c r="O262" s="2020"/>
      <c r="P262" s="2020"/>
      <c r="Q262" s="2020"/>
      <c r="R262" s="2020"/>
    </row>
    <row r="263" spans="2:18" s="2019" customFormat="1" hidden="1">
      <c r="B263" s="2020"/>
      <c r="M263" s="2020"/>
      <c r="N263" s="2020"/>
      <c r="O263" s="2020"/>
      <c r="P263" s="2020"/>
      <c r="Q263" s="2020"/>
      <c r="R263" s="2020"/>
    </row>
    <row r="264" spans="2:18" s="2019" customFormat="1" hidden="1">
      <c r="B264" s="2020"/>
      <c r="M264" s="2020"/>
      <c r="N264" s="2020"/>
      <c r="O264" s="2020"/>
      <c r="P264" s="2020"/>
      <c r="Q264" s="2020"/>
      <c r="R264" s="2020"/>
    </row>
    <row r="265" spans="2:18" s="2019" customFormat="1" hidden="1">
      <c r="B265" s="2020"/>
      <c r="M265" s="2020"/>
      <c r="N265" s="2020"/>
      <c r="O265" s="2020"/>
      <c r="P265" s="2020"/>
      <c r="Q265" s="2020"/>
      <c r="R265" s="2020"/>
    </row>
    <row r="266" spans="2:18" s="2019" customFormat="1" hidden="1">
      <c r="B266" s="2020"/>
      <c r="M266" s="2020"/>
      <c r="N266" s="2020"/>
      <c r="O266" s="2020"/>
      <c r="P266" s="2020"/>
      <c r="Q266" s="2020"/>
      <c r="R266" s="2020"/>
    </row>
    <row r="267" spans="2:18" s="2019" customFormat="1" hidden="1">
      <c r="B267" s="2020"/>
      <c r="M267" s="2020"/>
      <c r="N267" s="2020"/>
      <c r="O267" s="2020"/>
      <c r="P267" s="2020"/>
      <c r="Q267" s="2020"/>
      <c r="R267" s="2020"/>
    </row>
    <row r="268" spans="2:18" s="2019" customFormat="1" hidden="1">
      <c r="B268" s="2020"/>
      <c r="M268" s="2020"/>
      <c r="N268" s="2020"/>
      <c r="O268" s="2020"/>
      <c r="P268" s="2020"/>
      <c r="Q268" s="2020"/>
      <c r="R268" s="2020"/>
    </row>
    <row r="269" spans="2:18" s="2019" customFormat="1" hidden="1">
      <c r="B269" s="2020"/>
      <c r="M269" s="2020"/>
      <c r="N269" s="2020"/>
      <c r="O269" s="2020"/>
      <c r="P269" s="2020"/>
      <c r="Q269" s="2020"/>
      <c r="R269" s="2020"/>
    </row>
    <row r="270" spans="2:18" s="2019" customFormat="1" hidden="1">
      <c r="B270" s="2020"/>
      <c r="M270" s="2020"/>
      <c r="N270" s="2020"/>
      <c r="O270" s="2020"/>
      <c r="P270" s="2020"/>
      <c r="Q270" s="2020"/>
      <c r="R270" s="2020"/>
    </row>
    <row r="271" spans="2:18" s="2019" customFormat="1" hidden="1">
      <c r="B271" s="2020"/>
      <c r="M271" s="2020"/>
      <c r="N271" s="2020"/>
      <c r="O271" s="2020"/>
      <c r="P271" s="2020"/>
      <c r="Q271" s="2020"/>
      <c r="R271" s="2020"/>
    </row>
    <row r="272" spans="2:18" s="2019" customFormat="1" hidden="1">
      <c r="B272" s="2020"/>
      <c r="M272" s="2020"/>
      <c r="N272" s="2020"/>
      <c r="O272" s="2020"/>
      <c r="P272" s="2020"/>
      <c r="Q272" s="2020"/>
      <c r="R272" s="2020"/>
    </row>
    <row r="273" spans="2:18" s="2019" customFormat="1" hidden="1">
      <c r="B273" s="2020"/>
      <c r="M273" s="2020"/>
      <c r="N273" s="2020"/>
      <c r="O273" s="2020"/>
      <c r="P273" s="2020"/>
      <c r="Q273" s="2020"/>
      <c r="R273" s="2020"/>
    </row>
    <row r="274" spans="2:18" s="2019" customFormat="1" hidden="1">
      <c r="B274" s="2020"/>
      <c r="M274" s="2020"/>
      <c r="N274" s="2020"/>
      <c r="O274" s="2020"/>
      <c r="P274" s="2020"/>
      <c r="Q274" s="2020"/>
      <c r="R274" s="2020"/>
    </row>
    <row r="275" spans="2:18" s="2019" customFormat="1" hidden="1">
      <c r="B275" s="2020"/>
      <c r="M275" s="2020"/>
      <c r="N275" s="2020"/>
      <c r="O275" s="2020"/>
      <c r="P275" s="2020"/>
      <c r="Q275" s="2020"/>
      <c r="R275" s="2020"/>
    </row>
    <row r="276" spans="2:18" s="2019" customFormat="1" hidden="1">
      <c r="B276" s="2020"/>
      <c r="M276" s="2020"/>
      <c r="N276" s="2020"/>
      <c r="O276" s="2020"/>
      <c r="P276" s="2020"/>
      <c r="Q276" s="2020"/>
      <c r="R276" s="2020"/>
    </row>
    <row r="277" spans="2:18" s="2019" customFormat="1" hidden="1">
      <c r="B277" s="2020"/>
      <c r="M277" s="2020"/>
      <c r="N277" s="2020"/>
      <c r="O277" s="2020"/>
      <c r="P277" s="2020"/>
      <c r="Q277" s="2020"/>
      <c r="R277" s="2020"/>
    </row>
    <row r="278" spans="2:18" s="2019" customFormat="1" hidden="1">
      <c r="B278" s="2020"/>
      <c r="M278" s="2020"/>
      <c r="N278" s="2020"/>
      <c r="O278" s="2020"/>
      <c r="P278" s="2020"/>
      <c r="Q278" s="2020"/>
      <c r="R278" s="2020"/>
    </row>
    <row r="279" spans="2:18" s="2019" customFormat="1" hidden="1">
      <c r="B279" s="2020"/>
      <c r="M279" s="2020"/>
      <c r="N279" s="2020"/>
      <c r="O279" s="2020"/>
      <c r="P279" s="2020"/>
      <c r="Q279" s="2020"/>
      <c r="R279" s="2020"/>
    </row>
    <row r="280" spans="2:18" s="2019" customFormat="1" hidden="1">
      <c r="B280" s="2020"/>
      <c r="M280" s="2020"/>
      <c r="N280" s="2020"/>
      <c r="O280" s="2020"/>
      <c r="P280" s="2020"/>
      <c r="Q280" s="2020"/>
      <c r="R280" s="2020"/>
    </row>
    <row r="281" spans="2:18" s="2019" customFormat="1" hidden="1">
      <c r="B281" s="2020"/>
      <c r="M281" s="2020"/>
      <c r="N281" s="2020"/>
      <c r="O281" s="2020"/>
      <c r="P281" s="2020"/>
      <c r="Q281" s="2020"/>
      <c r="R281" s="2020"/>
    </row>
    <row r="282" spans="2:18" s="2019" customFormat="1" hidden="1">
      <c r="B282" s="2020"/>
      <c r="M282" s="2020"/>
      <c r="N282" s="2020"/>
      <c r="O282" s="2020"/>
      <c r="P282" s="2020"/>
      <c r="Q282" s="2020"/>
      <c r="R282" s="2020"/>
    </row>
    <row r="283" spans="2:18" s="2019" customFormat="1" hidden="1">
      <c r="B283" s="2020"/>
      <c r="M283" s="2020"/>
      <c r="N283" s="2020"/>
      <c r="O283" s="2020"/>
      <c r="P283" s="2020"/>
      <c r="Q283" s="2020"/>
      <c r="R283" s="2020"/>
    </row>
    <row r="284" spans="2:18" s="2019" customFormat="1" hidden="1">
      <c r="B284" s="2020"/>
      <c r="M284" s="2020"/>
      <c r="N284" s="2020"/>
      <c r="O284" s="2020"/>
      <c r="P284" s="2020"/>
      <c r="Q284" s="2020"/>
      <c r="R284" s="2020"/>
    </row>
    <row r="285" spans="2:18" s="2019" customFormat="1" hidden="1">
      <c r="B285" s="2020"/>
      <c r="M285" s="2020"/>
      <c r="N285" s="2020"/>
      <c r="O285" s="2020"/>
      <c r="P285" s="2020"/>
      <c r="Q285" s="2020"/>
      <c r="R285" s="2020"/>
    </row>
    <row r="286" spans="2:18" s="2019" customFormat="1" hidden="1">
      <c r="B286" s="2020"/>
      <c r="M286" s="2020"/>
      <c r="N286" s="2020"/>
      <c r="O286" s="2020"/>
      <c r="P286" s="2020"/>
      <c r="Q286" s="2020"/>
      <c r="R286" s="2020"/>
    </row>
    <row r="287" spans="2:18" s="2019" customFormat="1" hidden="1">
      <c r="B287" s="2020"/>
      <c r="M287" s="2020"/>
      <c r="N287" s="2020"/>
      <c r="O287" s="2020"/>
      <c r="P287" s="2020"/>
      <c r="Q287" s="2020"/>
      <c r="R287" s="2020"/>
    </row>
    <row r="288" spans="2:18" s="2019" customFormat="1" hidden="1">
      <c r="B288" s="2020"/>
      <c r="M288" s="2020"/>
      <c r="N288" s="2020"/>
      <c r="O288" s="2020"/>
      <c r="P288" s="2020"/>
      <c r="Q288" s="2020"/>
      <c r="R288" s="2020"/>
    </row>
    <row r="289" spans="2:18" s="2019" customFormat="1" hidden="1">
      <c r="B289" s="2020"/>
      <c r="M289" s="2020"/>
      <c r="N289" s="2020"/>
      <c r="O289" s="2020"/>
      <c r="P289" s="2020"/>
      <c r="Q289" s="2020"/>
      <c r="R289" s="2020"/>
    </row>
    <row r="290" spans="2:18" s="2019" customFormat="1" hidden="1">
      <c r="B290" s="2020"/>
      <c r="M290" s="2020"/>
      <c r="N290" s="2020"/>
      <c r="O290" s="2020"/>
      <c r="P290" s="2020"/>
      <c r="Q290" s="2020"/>
      <c r="R290" s="2020"/>
    </row>
    <row r="291" spans="2:18" s="2019" customFormat="1" hidden="1">
      <c r="B291" s="2020"/>
      <c r="M291" s="2020"/>
      <c r="N291" s="2020"/>
      <c r="O291" s="2020"/>
      <c r="P291" s="2020"/>
      <c r="Q291" s="2020"/>
      <c r="R291" s="2020"/>
    </row>
    <row r="292" spans="2:18" s="2019" customFormat="1" hidden="1">
      <c r="B292" s="2020"/>
      <c r="M292" s="2020"/>
      <c r="N292" s="2020"/>
      <c r="O292" s="2020"/>
      <c r="P292" s="2020"/>
      <c r="Q292" s="2020"/>
      <c r="R292" s="2020"/>
    </row>
    <row r="293" spans="2:18" s="2019" customFormat="1" hidden="1">
      <c r="B293" s="2020"/>
      <c r="M293" s="2020"/>
      <c r="N293" s="2020"/>
      <c r="O293" s="2020"/>
      <c r="P293" s="2020"/>
      <c r="Q293" s="2020"/>
      <c r="R293" s="2020"/>
    </row>
    <row r="294" spans="2:18" s="2019" customFormat="1" hidden="1">
      <c r="B294" s="2020"/>
      <c r="M294" s="2020"/>
      <c r="N294" s="2020"/>
      <c r="O294" s="2020"/>
      <c r="P294" s="2020"/>
      <c r="Q294" s="2020"/>
      <c r="R294" s="2020"/>
    </row>
    <row r="295" spans="2:18" s="2019" customFormat="1" hidden="1">
      <c r="B295" s="2020"/>
      <c r="M295" s="2020"/>
      <c r="N295" s="2020"/>
      <c r="O295" s="2020"/>
      <c r="P295" s="2020"/>
      <c r="Q295" s="2020"/>
      <c r="R295" s="2020"/>
    </row>
    <row r="296" spans="2:18" s="2019" customFormat="1" hidden="1">
      <c r="B296" s="2020"/>
      <c r="M296" s="2020"/>
      <c r="N296" s="2020"/>
      <c r="O296" s="2020"/>
      <c r="P296" s="2020"/>
      <c r="Q296" s="2020"/>
      <c r="R296" s="2020"/>
    </row>
    <row r="297" spans="2:18" s="2019" customFormat="1" hidden="1">
      <c r="B297" s="2020"/>
      <c r="M297" s="2020"/>
      <c r="N297" s="2020"/>
      <c r="O297" s="2020"/>
      <c r="P297" s="2020"/>
      <c r="Q297" s="2020"/>
      <c r="R297" s="2020"/>
    </row>
    <row r="298" spans="2:18" s="2019" customFormat="1" hidden="1">
      <c r="B298" s="2020"/>
      <c r="M298" s="2020"/>
      <c r="N298" s="2020"/>
      <c r="O298" s="2020"/>
      <c r="P298" s="2020"/>
      <c r="Q298" s="2020"/>
      <c r="R298" s="2020"/>
    </row>
    <row r="299" spans="2:18" s="2019" customFormat="1" hidden="1">
      <c r="B299" s="2020"/>
      <c r="M299" s="2020"/>
      <c r="N299" s="2020"/>
      <c r="O299" s="2020"/>
      <c r="P299" s="2020"/>
      <c r="Q299" s="2020"/>
      <c r="R299" s="2020"/>
    </row>
    <row r="300" spans="2:18" s="2019" customFormat="1" hidden="1">
      <c r="B300" s="2020"/>
      <c r="M300" s="2020"/>
      <c r="N300" s="2020"/>
      <c r="O300" s="2020"/>
      <c r="P300" s="2020"/>
      <c r="Q300" s="2020"/>
      <c r="R300" s="2020"/>
    </row>
    <row r="301" spans="2:18" s="2019" customFormat="1" hidden="1">
      <c r="B301" s="2020"/>
      <c r="M301" s="2020"/>
      <c r="N301" s="2020"/>
      <c r="O301" s="2020"/>
      <c r="P301" s="2020"/>
      <c r="Q301" s="2020"/>
      <c r="R301" s="2020"/>
    </row>
    <row r="302" spans="2:18" s="2019" customFormat="1" hidden="1">
      <c r="B302" s="2020"/>
      <c r="M302" s="2020"/>
      <c r="N302" s="2020"/>
      <c r="O302" s="2020"/>
      <c r="P302" s="2020"/>
      <c r="Q302" s="2020"/>
      <c r="R302" s="2020"/>
    </row>
    <row r="303" spans="2:18" s="2019" customFormat="1" hidden="1">
      <c r="B303" s="2020"/>
      <c r="M303" s="2020"/>
      <c r="N303" s="2020"/>
      <c r="O303" s="2020"/>
      <c r="P303" s="2020"/>
      <c r="Q303" s="2020"/>
      <c r="R303" s="2020"/>
    </row>
    <row r="304" spans="2:18" s="2019" customFormat="1" hidden="1">
      <c r="B304" s="2020"/>
      <c r="M304" s="2020"/>
      <c r="N304" s="2020"/>
      <c r="O304" s="2020"/>
      <c r="P304" s="2020"/>
      <c r="Q304" s="2020"/>
      <c r="R304" s="2020"/>
    </row>
    <row r="305" spans="2:18" s="2019" customFormat="1" hidden="1">
      <c r="B305" s="2020"/>
      <c r="M305" s="2020"/>
      <c r="N305" s="2020"/>
      <c r="O305" s="2020"/>
      <c r="P305" s="2020"/>
      <c r="Q305" s="2020"/>
      <c r="R305" s="2020"/>
    </row>
    <row r="306" spans="2:18" s="2019" customFormat="1" hidden="1">
      <c r="B306" s="2020"/>
      <c r="M306" s="2020"/>
      <c r="N306" s="2020"/>
      <c r="O306" s="2020"/>
      <c r="P306" s="2020"/>
      <c r="Q306" s="2020"/>
      <c r="R306" s="2020"/>
    </row>
    <row r="307" spans="2:18" s="2019" customFormat="1" hidden="1">
      <c r="B307" s="2020"/>
      <c r="M307" s="2020"/>
      <c r="N307" s="2020"/>
      <c r="O307" s="2020"/>
      <c r="P307" s="2020"/>
      <c r="Q307" s="2020"/>
      <c r="R307" s="2020"/>
    </row>
    <row r="308" spans="2:18" s="2019" customFormat="1" hidden="1">
      <c r="B308" s="2020"/>
      <c r="M308" s="2020"/>
      <c r="N308" s="2020"/>
      <c r="O308" s="2020"/>
      <c r="P308" s="2020"/>
      <c r="Q308" s="2020"/>
      <c r="R308" s="2020"/>
    </row>
    <row r="309" spans="2:18" s="2019" customFormat="1" hidden="1">
      <c r="B309" s="2020"/>
      <c r="M309" s="2020"/>
      <c r="N309" s="2020"/>
      <c r="O309" s="2020"/>
      <c r="P309" s="2020"/>
      <c r="Q309" s="2020"/>
      <c r="R309" s="2020"/>
    </row>
    <row r="310" spans="2:18" s="2019" customFormat="1" hidden="1">
      <c r="B310" s="2020"/>
      <c r="M310" s="2020"/>
      <c r="N310" s="2020"/>
      <c r="O310" s="2020"/>
      <c r="P310" s="2020"/>
      <c r="Q310" s="2020"/>
      <c r="R310" s="2020"/>
    </row>
    <row r="311" spans="2:18" s="2019" customFormat="1" hidden="1">
      <c r="B311" s="2020"/>
      <c r="M311" s="2020"/>
      <c r="N311" s="2020"/>
      <c r="O311" s="2020"/>
      <c r="P311" s="2020"/>
      <c r="Q311" s="2020"/>
      <c r="R311" s="2020"/>
    </row>
    <row r="312" spans="2:18" s="2019" customFormat="1" hidden="1">
      <c r="B312" s="2020"/>
      <c r="M312" s="2020"/>
      <c r="N312" s="2020"/>
      <c r="O312" s="2020"/>
      <c r="P312" s="2020"/>
      <c r="Q312" s="2020"/>
      <c r="R312" s="2020"/>
    </row>
    <row r="313" spans="2:18" s="2019" customFormat="1" hidden="1">
      <c r="B313" s="2020"/>
      <c r="M313" s="2020"/>
      <c r="N313" s="2020"/>
      <c r="O313" s="2020"/>
      <c r="P313" s="2020"/>
      <c r="Q313" s="2020"/>
      <c r="R313" s="2020"/>
    </row>
    <row r="314" spans="2:18" s="2019" customFormat="1" hidden="1">
      <c r="B314" s="2020"/>
      <c r="M314" s="2020"/>
      <c r="N314" s="2020"/>
      <c r="O314" s="2020"/>
      <c r="P314" s="2020"/>
      <c r="Q314" s="2020"/>
      <c r="R314" s="2020"/>
    </row>
    <row r="315" spans="2:18" s="2019" customFormat="1" hidden="1">
      <c r="B315" s="2020"/>
      <c r="M315" s="2020"/>
      <c r="N315" s="2020"/>
      <c r="O315" s="2020"/>
      <c r="P315" s="2020"/>
      <c r="Q315" s="2020"/>
      <c r="R315" s="2020"/>
    </row>
    <row r="316" spans="2:18" s="2019" customFormat="1" hidden="1">
      <c r="B316" s="2020"/>
      <c r="M316" s="2020"/>
      <c r="N316" s="2020"/>
      <c r="O316" s="2020"/>
      <c r="P316" s="2020"/>
      <c r="Q316" s="2020"/>
      <c r="R316" s="2020"/>
    </row>
    <row r="317" spans="2:18" s="2019" customFormat="1" hidden="1">
      <c r="B317" s="2020"/>
      <c r="M317" s="2020"/>
      <c r="N317" s="2020"/>
      <c r="O317" s="2020"/>
      <c r="P317" s="2020"/>
      <c r="Q317" s="2020"/>
      <c r="R317" s="2020"/>
    </row>
    <row r="318" spans="2:18" s="2019" customFormat="1" hidden="1">
      <c r="B318" s="2020"/>
      <c r="M318" s="2020"/>
      <c r="N318" s="2020"/>
      <c r="O318" s="2020"/>
      <c r="P318" s="2020"/>
      <c r="Q318" s="2020"/>
      <c r="R318" s="2020"/>
    </row>
    <row r="319" spans="2:18" s="2019" customFormat="1" hidden="1">
      <c r="B319" s="2020"/>
      <c r="M319" s="2020"/>
      <c r="N319" s="2020"/>
      <c r="O319" s="2020"/>
      <c r="P319" s="2020"/>
      <c r="Q319" s="2020"/>
      <c r="R319" s="2020"/>
    </row>
    <row r="320" spans="2:18" s="2019" customFormat="1" hidden="1">
      <c r="B320" s="2020"/>
      <c r="M320" s="2020"/>
      <c r="N320" s="2020"/>
      <c r="O320" s="2020"/>
      <c r="P320" s="2020"/>
      <c r="Q320" s="2020"/>
      <c r="R320" s="2020"/>
    </row>
    <row r="321" spans="2:18" s="2019" customFormat="1" hidden="1">
      <c r="B321" s="2020"/>
      <c r="M321" s="2020"/>
      <c r="N321" s="2020"/>
      <c r="O321" s="2020"/>
      <c r="P321" s="2020"/>
      <c r="Q321" s="2020"/>
      <c r="R321" s="2020"/>
    </row>
    <row r="322" spans="2:18" s="2019" customFormat="1" hidden="1">
      <c r="B322" s="2020"/>
      <c r="M322" s="2020"/>
      <c r="N322" s="2020"/>
      <c r="O322" s="2020"/>
      <c r="P322" s="2020"/>
      <c r="Q322" s="2020"/>
      <c r="R322" s="2020"/>
    </row>
    <row r="323" spans="2:18" s="2019" customFormat="1" hidden="1">
      <c r="B323" s="2020"/>
      <c r="M323" s="2020"/>
      <c r="N323" s="2020"/>
      <c r="O323" s="2020"/>
      <c r="P323" s="2020"/>
      <c r="Q323" s="2020"/>
      <c r="R323" s="2020"/>
    </row>
    <row r="324" spans="2:18" s="2019" customFormat="1" hidden="1">
      <c r="B324" s="2020"/>
      <c r="M324" s="2020"/>
      <c r="N324" s="2020"/>
      <c r="O324" s="2020"/>
      <c r="P324" s="2020"/>
      <c r="Q324" s="2020"/>
      <c r="R324" s="2020"/>
    </row>
    <row r="325" spans="2:18" s="2019" customFormat="1" hidden="1">
      <c r="B325" s="2020"/>
      <c r="M325" s="2020"/>
      <c r="N325" s="2020"/>
      <c r="O325" s="2020"/>
      <c r="P325" s="2020"/>
      <c r="Q325" s="2020"/>
      <c r="R325" s="2020"/>
    </row>
    <row r="326" spans="2:18" s="2019" customFormat="1" hidden="1">
      <c r="B326" s="2020"/>
      <c r="M326" s="2020"/>
      <c r="N326" s="2020"/>
      <c r="O326" s="2020"/>
      <c r="P326" s="2020"/>
      <c r="Q326" s="2020"/>
      <c r="R326" s="2020"/>
    </row>
    <row r="327" spans="2:18" s="2019" customFormat="1" hidden="1">
      <c r="B327" s="2020"/>
      <c r="M327" s="2020"/>
      <c r="N327" s="2020"/>
      <c r="O327" s="2020"/>
      <c r="P327" s="2020"/>
      <c r="Q327" s="2020"/>
      <c r="R327" s="2020"/>
    </row>
    <row r="328" spans="2:18" s="2019" customFormat="1" hidden="1">
      <c r="B328" s="2020"/>
      <c r="M328" s="2020"/>
      <c r="N328" s="2020"/>
      <c r="O328" s="2020"/>
      <c r="P328" s="2020"/>
      <c r="Q328" s="2020"/>
      <c r="R328" s="2020"/>
    </row>
    <row r="329" spans="2:18" s="2019" customFormat="1" hidden="1">
      <c r="B329" s="2020"/>
      <c r="M329" s="2020"/>
      <c r="N329" s="2020"/>
      <c r="O329" s="2020"/>
      <c r="P329" s="2020"/>
      <c r="Q329" s="2020"/>
      <c r="R329" s="2020"/>
    </row>
    <row r="330" spans="2:18" s="2019" customFormat="1" hidden="1">
      <c r="B330" s="2020"/>
      <c r="M330" s="2020"/>
      <c r="N330" s="2020"/>
      <c r="O330" s="2020"/>
      <c r="P330" s="2020"/>
      <c r="Q330" s="2020"/>
      <c r="R330" s="2020"/>
    </row>
    <row r="331" spans="2:18" s="2019" customFormat="1" hidden="1">
      <c r="B331" s="2020"/>
      <c r="M331" s="2020"/>
      <c r="N331" s="2020"/>
      <c r="O331" s="2020"/>
      <c r="P331" s="2020"/>
      <c r="Q331" s="2020"/>
      <c r="R331" s="2020"/>
    </row>
    <row r="332" spans="2:18" s="2019" customFormat="1" hidden="1">
      <c r="B332" s="2020"/>
      <c r="M332" s="2020"/>
      <c r="N332" s="2020"/>
      <c r="O332" s="2020"/>
      <c r="P332" s="2020"/>
      <c r="Q332" s="2020"/>
      <c r="R332" s="2020"/>
    </row>
    <row r="333" spans="2:18" s="2019" customFormat="1" hidden="1">
      <c r="B333" s="2020"/>
      <c r="M333" s="2020"/>
      <c r="N333" s="2020"/>
      <c r="O333" s="2020"/>
      <c r="P333" s="2020"/>
      <c r="Q333" s="2020"/>
      <c r="R333" s="2020"/>
    </row>
    <row r="334" spans="2:18" s="2019" customFormat="1" hidden="1">
      <c r="B334" s="2020"/>
      <c r="M334" s="2020"/>
      <c r="N334" s="2020"/>
      <c r="O334" s="2020"/>
      <c r="P334" s="2020"/>
      <c r="Q334" s="2020"/>
      <c r="R334" s="2020"/>
    </row>
    <row r="335" spans="2:18" s="2019" customFormat="1" hidden="1">
      <c r="B335" s="2020"/>
      <c r="M335" s="2020"/>
      <c r="N335" s="2020"/>
      <c r="O335" s="2020"/>
      <c r="P335" s="2020"/>
      <c r="Q335" s="2020"/>
      <c r="R335" s="2020"/>
    </row>
    <row r="336" spans="2:18" s="2019" customFormat="1" hidden="1">
      <c r="B336" s="2020"/>
      <c r="M336" s="2020"/>
      <c r="N336" s="2020"/>
      <c r="O336" s="2020"/>
      <c r="P336" s="2020"/>
      <c r="Q336" s="2020"/>
      <c r="R336" s="2020"/>
    </row>
    <row r="337" spans="2:18" s="2019" customFormat="1" hidden="1">
      <c r="B337" s="2020"/>
      <c r="M337" s="2020"/>
      <c r="N337" s="2020"/>
      <c r="O337" s="2020"/>
      <c r="P337" s="2020"/>
      <c r="Q337" s="2020"/>
      <c r="R337" s="2020"/>
    </row>
    <row r="338" spans="2:18" s="2019" customFormat="1" hidden="1">
      <c r="B338" s="2020"/>
      <c r="M338" s="2020"/>
      <c r="N338" s="2020"/>
      <c r="O338" s="2020"/>
      <c r="P338" s="2020"/>
      <c r="Q338" s="2020"/>
      <c r="R338" s="2020"/>
    </row>
    <row r="339" spans="2:18" s="2019" customFormat="1" hidden="1">
      <c r="B339" s="2020"/>
      <c r="M339" s="2020"/>
      <c r="N339" s="2020"/>
      <c r="O339" s="2020"/>
      <c r="P339" s="2020"/>
      <c r="Q339" s="2020"/>
      <c r="R339" s="2020"/>
    </row>
    <row r="340" spans="2:18" s="2019" customFormat="1" hidden="1">
      <c r="B340" s="2020"/>
      <c r="M340" s="2020"/>
      <c r="N340" s="2020"/>
      <c r="O340" s="2020"/>
      <c r="P340" s="2020"/>
      <c r="Q340" s="2020"/>
      <c r="R340" s="2020"/>
    </row>
    <row r="341" spans="2:18" s="2019" customFormat="1" hidden="1">
      <c r="B341" s="2020"/>
      <c r="M341" s="2020"/>
      <c r="N341" s="2020"/>
      <c r="O341" s="2020"/>
      <c r="P341" s="2020"/>
      <c r="Q341" s="2020"/>
      <c r="R341" s="2020"/>
    </row>
    <row r="342" spans="2:18" s="2019" customFormat="1" hidden="1">
      <c r="B342" s="2020"/>
      <c r="M342" s="2020"/>
      <c r="N342" s="2020"/>
      <c r="O342" s="2020"/>
      <c r="P342" s="2020"/>
      <c r="Q342" s="2020"/>
      <c r="R342" s="2020"/>
    </row>
    <row r="343" spans="2:18" s="2019" customFormat="1" hidden="1">
      <c r="B343" s="2020"/>
      <c r="M343" s="2020"/>
      <c r="N343" s="2020"/>
      <c r="O343" s="2020"/>
      <c r="P343" s="2020"/>
      <c r="Q343" s="2020"/>
      <c r="R343" s="2020"/>
    </row>
    <row r="344" spans="2:18" s="2019" customFormat="1" hidden="1">
      <c r="B344" s="2020"/>
      <c r="M344" s="2020"/>
      <c r="N344" s="2020"/>
      <c r="O344" s="2020"/>
      <c r="P344" s="2020"/>
      <c r="Q344" s="2020"/>
      <c r="R344" s="2020"/>
    </row>
    <row r="345" spans="2:18" s="2019" customFormat="1" hidden="1">
      <c r="B345" s="2020"/>
      <c r="M345" s="2020"/>
      <c r="N345" s="2020"/>
      <c r="O345" s="2020"/>
      <c r="P345" s="2020"/>
      <c r="Q345" s="2020"/>
      <c r="R345" s="2020"/>
    </row>
    <row r="346" spans="2:18" s="2019" customFormat="1" hidden="1">
      <c r="B346" s="2020"/>
      <c r="M346" s="2020"/>
      <c r="N346" s="2020"/>
      <c r="O346" s="2020"/>
      <c r="P346" s="2020"/>
      <c r="Q346" s="2020"/>
      <c r="R346" s="2020"/>
    </row>
    <row r="347" spans="2:18" s="2019" customFormat="1" hidden="1">
      <c r="B347" s="2020"/>
      <c r="M347" s="2020"/>
      <c r="N347" s="2020"/>
      <c r="O347" s="2020"/>
      <c r="P347" s="2020"/>
      <c r="Q347" s="2020"/>
      <c r="R347" s="2020"/>
    </row>
    <row r="348" spans="2:18" s="2019" customFormat="1" hidden="1">
      <c r="B348" s="2020"/>
      <c r="M348" s="2020"/>
      <c r="N348" s="2020"/>
      <c r="O348" s="2020"/>
      <c r="P348" s="2020"/>
      <c r="Q348" s="2020"/>
      <c r="R348" s="2020"/>
    </row>
    <row r="349" spans="2:18" s="2019" customFormat="1" hidden="1">
      <c r="B349" s="2020"/>
      <c r="M349" s="2020"/>
      <c r="N349" s="2020"/>
      <c r="O349" s="2020"/>
      <c r="P349" s="2020"/>
      <c r="Q349" s="2020"/>
      <c r="R349" s="2020"/>
    </row>
    <row r="350" spans="2:18" s="2019" customFormat="1" hidden="1">
      <c r="B350" s="2020"/>
      <c r="M350" s="2020"/>
      <c r="N350" s="2020"/>
      <c r="O350" s="2020"/>
      <c r="P350" s="2020"/>
      <c r="Q350" s="2020"/>
      <c r="R350" s="2020"/>
    </row>
    <row r="351" spans="2:18" s="2019" customFormat="1" hidden="1">
      <c r="B351" s="2020"/>
      <c r="M351" s="2020"/>
      <c r="N351" s="2020"/>
      <c r="O351" s="2020"/>
      <c r="P351" s="2020"/>
      <c r="Q351" s="2020"/>
      <c r="R351" s="2020"/>
    </row>
    <row r="352" spans="2:18" s="2019" customFormat="1" hidden="1">
      <c r="B352" s="2020"/>
      <c r="M352" s="2020"/>
      <c r="N352" s="2020"/>
      <c r="O352" s="2020"/>
      <c r="P352" s="2020"/>
      <c r="Q352" s="2020"/>
      <c r="R352" s="2020"/>
    </row>
    <row r="353" spans="2:18" s="2019" customFormat="1" hidden="1">
      <c r="B353" s="2020"/>
      <c r="M353" s="2020"/>
      <c r="N353" s="2020"/>
      <c r="O353" s="2020"/>
      <c r="P353" s="2020"/>
      <c r="Q353" s="2020"/>
      <c r="R353" s="2020"/>
    </row>
    <row r="354" spans="2:18" s="2019" customFormat="1" hidden="1">
      <c r="B354" s="2020"/>
      <c r="M354" s="2020"/>
      <c r="N354" s="2020"/>
      <c r="O354" s="2020"/>
      <c r="P354" s="2020"/>
      <c r="Q354" s="2020"/>
      <c r="R354" s="2020"/>
    </row>
    <row r="355" spans="2:18" s="2019" customFormat="1" hidden="1">
      <c r="B355" s="2020"/>
      <c r="M355" s="2020"/>
      <c r="N355" s="2020"/>
      <c r="O355" s="2020"/>
      <c r="P355" s="2020"/>
      <c r="Q355" s="2020"/>
      <c r="R355" s="2020"/>
    </row>
    <row r="356" spans="2:18" s="2019" customFormat="1" hidden="1">
      <c r="B356" s="2020"/>
      <c r="M356" s="2020"/>
      <c r="N356" s="2020"/>
      <c r="O356" s="2020"/>
      <c r="P356" s="2020"/>
      <c r="Q356" s="2020"/>
      <c r="R356" s="2020"/>
    </row>
    <row r="357" spans="2:18" s="2019" customFormat="1" hidden="1">
      <c r="B357" s="2020"/>
      <c r="M357" s="2020"/>
      <c r="N357" s="2020"/>
      <c r="O357" s="2020"/>
      <c r="P357" s="2020"/>
      <c r="Q357" s="2020"/>
      <c r="R357" s="2020"/>
    </row>
    <row r="358" spans="2:18" s="2019" customFormat="1" hidden="1">
      <c r="B358" s="2020"/>
      <c r="M358" s="2020"/>
      <c r="N358" s="2020"/>
      <c r="O358" s="2020"/>
      <c r="P358" s="2020"/>
      <c r="Q358" s="2020"/>
      <c r="R358" s="2020"/>
    </row>
    <row r="359" spans="2:18" s="2019" customFormat="1" hidden="1">
      <c r="B359" s="2020"/>
      <c r="M359" s="2020"/>
      <c r="N359" s="2020"/>
      <c r="O359" s="2020"/>
      <c r="P359" s="2020"/>
      <c r="Q359" s="2020"/>
      <c r="R359" s="2020"/>
    </row>
    <row r="360" spans="2:18" s="2019" customFormat="1" hidden="1">
      <c r="B360" s="2020"/>
      <c r="M360" s="2020"/>
      <c r="N360" s="2020"/>
      <c r="O360" s="2020"/>
      <c r="P360" s="2020"/>
      <c r="Q360" s="2020"/>
      <c r="R360" s="2020"/>
    </row>
    <row r="361" spans="2:18" s="2019" customFormat="1" hidden="1">
      <c r="B361" s="2020"/>
      <c r="M361" s="2020"/>
      <c r="N361" s="2020"/>
      <c r="O361" s="2020"/>
      <c r="P361" s="2020"/>
      <c r="Q361" s="2020"/>
      <c r="R361" s="2020"/>
    </row>
    <row r="362" spans="2:18" s="2019" customFormat="1" hidden="1">
      <c r="B362" s="2020"/>
      <c r="M362" s="2020"/>
      <c r="N362" s="2020"/>
      <c r="O362" s="2020"/>
      <c r="P362" s="2020"/>
      <c r="Q362" s="2020"/>
      <c r="R362" s="2020"/>
    </row>
    <row r="363" spans="2:18" s="2019" customFormat="1" hidden="1">
      <c r="B363" s="2020"/>
      <c r="M363" s="2020"/>
      <c r="N363" s="2020"/>
      <c r="O363" s="2020"/>
      <c r="P363" s="2020"/>
      <c r="Q363" s="2020"/>
      <c r="R363" s="2020"/>
    </row>
    <row r="364" spans="2:18" s="2019" customFormat="1" hidden="1">
      <c r="B364" s="2020"/>
      <c r="M364" s="2020"/>
      <c r="N364" s="2020"/>
      <c r="O364" s="2020"/>
      <c r="P364" s="2020"/>
      <c r="Q364" s="2020"/>
      <c r="R364" s="2020"/>
    </row>
    <row r="365" spans="2:18" s="2019" customFormat="1" hidden="1">
      <c r="B365" s="2020"/>
      <c r="M365" s="2020"/>
      <c r="N365" s="2020"/>
      <c r="O365" s="2020"/>
      <c r="P365" s="2020"/>
      <c r="Q365" s="2020"/>
      <c r="R365" s="2020"/>
    </row>
    <row r="366" spans="2:18" s="2019" customFormat="1" hidden="1">
      <c r="B366" s="2020"/>
      <c r="M366" s="2020"/>
      <c r="N366" s="2020"/>
      <c r="O366" s="2020"/>
      <c r="P366" s="2020"/>
      <c r="Q366" s="2020"/>
      <c r="R366" s="2020"/>
    </row>
    <row r="367" spans="2:18" s="2019" customFormat="1" hidden="1">
      <c r="B367" s="2020"/>
      <c r="M367" s="2020"/>
      <c r="N367" s="2020"/>
      <c r="O367" s="2020"/>
      <c r="P367" s="2020"/>
      <c r="Q367" s="2020"/>
      <c r="R367" s="2020"/>
    </row>
    <row r="368" spans="2:18" s="2019" customFormat="1" hidden="1">
      <c r="B368" s="2020"/>
      <c r="M368" s="2020"/>
      <c r="N368" s="2020"/>
      <c r="O368" s="2020"/>
      <c r="P368" s="2020"/>
      <c r="Q368" s="2020"/>
      <c r="R368" s="2020"/>
    </row>
    <row r="369" spans="2:18" s="2019" customFormat="1" hidden="1">
      <c r="B369" s="2020"/>
      <c r="M369" s="2020"/>
      <c r="N369" s="2020"/>
      <c r="O369" s="2020"/>
      <c r="P369" s="2020"/>
      <c r="Q369" s="2020"/>
      <c r="R369" s="2020"/>
    </row>
    <row r="370" spans="2:18" s="2019" customFormat="1" hidden="1">
      <c r="B370" s="2020"/>
      <c r="M370" s="2020"/>
      <c r="N370" s="2020"/>
      <c r="O370" s="2020"/>
      <c r="P370" s="2020"/>
      <c r="Q370" s="2020"/>
      <c r="R370" s="2020"/>
    </row>
    <row r="371" spans="2:18" s="2019" customFormat="1" hidden="1">
      <c r="B371" s="2020"/>
      <c r="M371" s="2020"/>
      <c r="N371" s="2020"/>
      <c r="O371" s="2020"/>
      <c r="P371" s="2020"/>
      <c r="Q371" s="2020"/>
      <c r="R371" s="2020"/>
    </row>
    <row r="372" spans="2:18" s="2019" customFormat="1" hidden="1">
      <c r="B372" s="2020"/>
      <c r="M372" s="2020"/>
      <c r="N372" s="2020"/>
      <c r="O372" s="2020"/>
      <c r="P372" s="2020"/>
      <c r="Q372" s="2020"/>
      <c r="R372" s="2020"/>
    </row>
    <row r="373" spans="2:18" s="2019" customFormat="1" hidden="1">
      <c r="B373" s="2020"/>
      <c r="M373" s="2020"/>
      <c r="N373" s="2020"/>
      <c r="O373" s="2020"/>
      <c r="P373" s="2020"/>
      <c r="Q373" s="2020"/>
      <c r="R373" s="2020"/>
    </row>
    <row r="374" spans="2:18" s="2019" customFormat="1" hidden="1">
      <c r="B374" s="2020"/>
      <c r="M374" s="2020"/>
      <c r="N374" s="2020"/>
      <c r="O374" s="2020"/>
      <c r="P374" s="2020"/>
      <c r="Q374" s="2020"/>
      <c r="R374" s="2020"/>
    </row>
    <row r="375" spans="2:18" s="2019" customFormat="1" hidden="1">
      <c r="B375" s="2020"/>
      <c r="M375" s="2020"/>
      <c r="N375" s="2020"/>
      <c r="O375" s="2020"/>
      <c r="P375" s="2020"/>
      <c r="Q375" s="2020"/>
      <c r="R375" s="2020"/>
    </row>
    <row r="376" spans="2:18" s="2019" customFormat="1" hidden="1">
      <c r="B376" s="2020"/>
      <c r="M376" s="2020"/>
      <c r="N376" s="2020"/>
      <c r="O376" s="2020"/>
      <c r="P376" s="2020"/>
      <c r="Q376" s="2020"/>
      <c r="R376" s="2020"/>
    </row>
    <row r="377" spans="2:18" s="2019" customFormat="1" hidden="1">
      <c r="B377" s="2020"/>
      <c r="M377" s="2020"/>
      <c r="N377" s="2020"/>
      <c r="O377" s="2020"/>
      <c r="P377" s="2020"/>
      <c r="Q377" s="2020"/>
      <c r="R377" s="2020"/>
    </row>
    <row r="378" spans="2:18" s="2019" customFormat="1" hidden="1">
      <c r="B378" s="2020"/>
      <c r="M378" s="2020"/>
      <c r="N378" s="2020"/>
      <c r="O378" s="2020"/>
      <c r="P378" s="2020"/>
      <c r="Q378" s="2020"/>
      <c r="R378" s="2020"/>
    </row>
    <row r="379" spans="2:18" s="2019" customFormat="1" hidden="1">
      <c r="B379" s="2020"/>
      <c r="M379" s="2020"/>
      <c r="N379" s="2020"/>
      <c r="O379" s="2020"/>
      <c r="P379" s="2020"/>
      <c r="Q379" s="2020"/>
      <c r="R379" s="2020"/>
    </row>
    <row r="380" spans="2:18" s="2019" customFormat="1" hidden="1">
      <c r="B380" s="2020"/>
      <c r="M380" s="2020"/>
      <c r="N380" s="2020"/>
      <c r="O380" s="2020"/>
      <c r="P380" s="2020"/>
      <c r="Q380" s="2020"/>
      <c r="R380" s="2020"/>
    </row>
    <row r="381" spans="2:18" s="2019" customFormat="1" hidden="1">
      <c r="B381" s="2020"/>
      <c r="M381" s="2020"/>
      <c r="N381" s="2020"/>
      <c r="O381" s="2020"/>
      <c r="P381" s="2020"/>
      <c r="Q381" s="2020"/>
      <c r="R381" s="2020"/>
    </row>
    <row r="382" spans="2:18" s="2019" customFormat="1" hidden="1">
      <c r="B382" s="2020"/>
      <c r="M382" s="2020"/>
      <c r="N382" s="2020"/>
      <c r="O382" s="2020"/>
      <c r="P382" s="2020"/>
      <c r="Q382" s="2020"/>
      <c r="R382" s="2020"/>
    </row>
    <row r="383" spans="2:18" s="2019" customFormat="1" hidden="1">
      <c r="B383" s="2020"/>
      <c r="M383" s="2020"/>
      <c r="N383" s="2020"/>
      <c r="O383" s="2020"/>
      <c r="P383" s="2020"/>
      <c r="Q383" s="2020"/>
      <c r="R383" s="2020"/>
    </row>
    <row r="384" spans="2:18" s="2019" customFormat="1" hidden="1">
      <c r="B384" s="2020"/>
      <c r="M384" s="2020"/>
      <c r="N384" s="2020"/>
      <c r="O384" s="2020"/>
      <c r="P384" s="2020"/>
      <c r="Q384" s="2020"/>
      <c r="R384" s="2020"/>
    </row>
    <row r="385" spans="2:18" s="2019" customFormat="1" hidden="1">
      <c r="B385" s="2020"/>
      <c r="M385" s="2020"/>
      <c r="N385" s="2020"/>
      <c r="O385" s="2020"/>
      <c r="P385" s="2020"/>
      <c r="Q385" s="2020"/>
      <c r="R385" s="2020"/>
    </row>
    <row r="386" spans="2:18" s="2019" customFormat="1" hidden="1">
      <c r="B386" s="2020"/>
      <c r="M386" s="2020"/>
      <c r="N386" s="2020"/>
      <c r="O386" s="2020"/>
      <c r="P386" s="2020"/>
      <c r="Q386" s="2020"/>
      <c r="R386" s="2020"/>
    </row>
    <row r="387" spans="2:18" s="2019" customFormat="1" hidden="1">
      <c r="B387" s="2020"/>
      <c r="M387" s="2020"/>
      <c r="N387" s="2020"/>
      <c r="O387" s="2020"/>
      <c r="P387" s="2020"/>
      <c r="Q387" s="2020"/>
      <c r="R387" s="2020"/>
    </row>
    <row r="388" spans="2:18" s="2019" customFormat="1" hidden="1">
      <c r="B388" s="2020"/>
      <c r="M388" s="2020"/>
      <c r="N388" s="2020"/>
      <c r="O388" s="2020"/>
      <c r="P388" s="2020"/>
      <c r="Q388" s="2020"/>
      <c r="R388" s="2020"/>
    </row>
    <row r="389" spans="2:18" s="2019" customFormat="1" hidden="1">
      <c r="B389" s="2020"/>
      <c r="M389" s="2020"/>
      <c r="N389" s="2020"/>
      <c r="O389" s="2020"/>
      <c r="P389" s="2020"/>
      <c r="Q389" s="2020"/>
      <c r="R389" s="2020"/>
    </row>
    <row r="390" spans="2:18" s="2019" customFormat="1" hidden="1">
      <c r="B390" s="2020"/>
      <c r="M390" s="2020"/>
      <c r="N390" s="2020"/>
      <c r="O390" s="2020"/>
      <c r="P390" s="2020"/>
      <c r="Q390" s="2020"/>
      <c r="R390" s="2020"/>
    </row>
    <row r="391" spans="2:18" s="2019" customFormat="1" hidden="1">
      <c r="B391" s="2020"/>
      <c r="M391" s="2020"/>
      <c r="N391" s="2020"/>
      <c r="O391" s="2020"/>
      <c r="P391" s="2020"/>
      <c r="Q391" s="2020"/>
      <c r="R391" s="2020"/>
    </row>
    <row r="392" spans="2:18" s="2019" customFormat="1" hidden="1">
      <c r="B392" s="2020"/>
      <c r="M392" s="2020"/>
      <c r="N392" s="2020"/>
      <c r="O392" s="2020"/>
      <c r="P392" s="2020"/>
      <c r="Q392" s="2020"/>
      <c r="R392" s="2020"/>
    </row>
    <row r="393" spans="2:18" s="2019" customFormat="1" hidden="1">
      <c r="B393" s="2020"/>
      <c r="M393" s="2020"/>
      <c r="N393" s="2020"/>
      <c r="O393" s="2020"/>
      <c r="P393" s="2020"/>
      <c r="Q393" s="2020"/>
      <c r="R393" s="2020"/>
    </row>
    <row r="394" spans="2:18" s="2019" customFormat="1" hidden="1">
      <c r="B394" s="2020"/>
      <c r="M394" s="2020"/>
      <c r="N394" s="2020"/>
      <c r="O394" s="2020"/>
      <c r="P394" s="2020"/>
      <c r="Q394" s="2020"/>
      <c r="R394" s="2020"/>
    </row>
    <row r="395" spans="2:18" s="2019" customFormat="1" hidden="1">
      <c r="B395" s="2020"/>
      <c r="M395" s="2020"/>
      <c r="N395" s="2020"/>
      <c r="O395" s="2020"/>
      <c r="P395" s="2020"/>
      <c r="Q395" s="2020"/>
      <c r="R395" s="2020"/>
    </row>
    <row r="396" spans="2:18" s="2019" customFormat="1" hidden="1">
      <c r="B396" s="2020"/>
      <c r="M396" s="2020"/>
      <c r="N396" s="2020"/>
      <c r="O396" s="2020"/>
      <c r="P396" s="2020"/>
      <c r="Q396" s="2020"/>
      <c r="R396" s="2020"/>
    </row>
    <row r="397" spans="2:18" s="2019" customFormat="1" hidden="1">
      <c r="B397" s="2020"/>
      <c r="M397" s="2020"/>
      <c r="N397" s="2020"/>
      <c r="O397" s="2020"/>
      <c r="P397" s="2020"/>
      <c r="Q397" s="2020"/>
      <c r="R397" s="2020"/>
    </row>
    <row r="398" spans="2:18" s="2019" customFormat="1" hidden="1">
      <c r="B398" s="2020"/>
      <c r="M398" s="2020"/>
      <c r="N398" s="2020"/>
      <c r="O398" s="2020"/>
      <c r="P398" s="2020"/>
      <c r="Q398" s="2020"/>
      <c r="R398" s="2020"/>
    </row>
    <row r="399" spans="2:18" s="2019" customFormat="1" hidden="1">
      <c r="B399" s="2020"/>
      <c r="M399" s="2020"/>
      <c r="N399" s="2020"/>
      <c r="O399" s="2020"/>
      <c r="P399" s="2020"/>
      <c r="Q399" s="2020"/>
      <c r="R399" s="2020"/>
    </row>
    <row r="400" spans="2:18" s="2019" customFormat="1" hidden="1">
      <c r="B400" s="2020"/>
      <c r="M400" s="2020"/>
      <c r="N400" s="2020"/>
      <c r="O400" s="2020"/>
      <c r="P400" s="2020"/>
      <c r="Q400" s="2020"/>
      <c r="R400" s="2020"/>
    </row>
    <row r="401" spans="2:18" s="2019" customFormat="1" hidden="1">
      <c r="B401" s="2020"/>
      <c r="M401" s="2020"/>
      <c r="N401" s="2020"/>
      <c r="O401" s="2020"/>
      <c r="P401" s="2020"/>
      <c r="Q401" s="2020"/>
      <c r="R401" s="2020"/>
    </row>
    <row r="402" spans="2:18" s="2019" customFormat="1" hidden="1">
      <c r="B402" s="2020"/>
      <c r="M402" s="2020"/>
      <c r="N402" s="2020"/>
      <c r="O402" s="2020"/>
      <c r="P402" s="2020"/>
      <c r="Q402" s="2020"/>
      <c r="R402" s="2020"/>
    </row>
    <row r="403" spans="2:18" s="2019" customFormat="1" hidden="1">
      <c r="B403" s="2020"/>
      <c r="M403" s="2020"/>
      <c r="N403" s="2020"/>
      <c r="O403" s="2020"/>
      <c r="P403" s="2020"/>
      <c r="Q403" s="2020"/>
      <c r="R403" s="2020"/>
    </row>
    <row r="404" spans="2:18" s="2019" customFormat="1" hidden="1">
      <c r="B404" s="2020"/>
      <c r="M404" s="2020"/>
      <c r="N404" s="2020"/>
      <c r="O404" s="2020"/>
      <c r="P404" s="2020"/>
      <c r="Q404" s="2020"/>
      <c r="R404" s="2020"/>
    </row>
    <row r="405" spans="2:18" s="2019" customFormat="1" hidden="1">
      <c r="B405" s="2020"/>
      <c r="M405" s="2020"/>
      <c r="N405" s="2020"/>
      <c r="O405" s="2020"/>
      <c r="P405" s="2020"/>
      <c r="Q405" s="2020"/>
      <c r="R405" s="2020"/>
    </row>
    <row r="406" spans="2:18" s="2019" customFormat="1" hidden="1">
      <c r="B406" s="2020"/>
      <c r="M406" s="2020"/>
      <c r="N406" s="2020"/>
      <c r="O406" s="2020"/>
      <c r="P406" s="2020"/>
      <c r="Q406" s="2020"/>
      <c r="R406" s="2020"/>
    </row>
    <row r="407" spans="2:18" s="2019" customFormat="1" hidden="1">
      <c r="B407" s="2020"/>
      <c r="M407" s="2020"/>
      <c r="N407" s="2020"/>
      <c r="O407" s="2020"/>
      <c r="P407" s="2020"/>
      <c r="Q407" s="2020"/>
      <c r="R407" s="2020"/>
    </row>
    <row r="408" spans="2:18" s="2019" customFormat="1" hidden="1">
      <c r="B408" s="2020"/>
      <c r="M408" s="2020"/>
      <c r="N408" s="2020"/>
      <c r="O408" s="2020"/>
      <c r="P408" s="2020"/>
      <c r="Q408" s="2020"/>
      <c r="R408" s="2020"/>
    </row>
    <row r="409" spans="2:18" s="2019" customFormat="1" hidden="1">
      <c r="B409" s="2020"/>
      <c r="M409" s="2020"/>
      <c r="N409" s="2020"/>
      <c r="O409" s="2020"/>
      <c r="P409" s="2020"/>
      <c r="Q409" s="2020"/>
      <c r="R409" s="2020"/>
    </row>
    <row r="410" spans="2:18" s="2019" customFormat="1" hidden="1">
      <c r="B410" s="2020"/>
      <c r="M410" s="2020"/>
      <c r="N410" s="2020"/>
      <c r="O410" s="2020"/>
      <c r="P410" s="2020"/>
      <c r="Q410" s="2020"/>
      <c r="R410" s="2020"/>
    </row>
    <row r="411" spans="2:18" s="2019" customFormat="1" hidden="1">
      <c r="B411" s="2020"/>
      <c r="M411" s="2020"/>
      <c r="N411" s="2020"/>
      <c r="O411" s="2020"/>
      <c r="P411" s="2020"/>
      <c r="Q411" s="2020"/>
      <c r="R411" s="2020"/>
    </row>
    <row r="412" spans="2:18" s="2019" customFormat="1" hidden="1">
      <c r="B412" s="2020"/>
      <c r="M412" s="2020"/>
      <c r="N412" s="2020"/>
      <c r="O412" s="2020"/>
      <c r="P412" s="2020"/>
      <c r="Q412" s="2020"/>
      <c r="R412" s="2020"/>
    </row>
    <row r="413" spans="2:18" s="2019" customFormat="1" hidden="1">
      <c r="B413" s="2020"/>
      <c r="M413" s="2020"/>
      <c r="N413" s="2020"/>
      <c r="O413" s="2020"/>
      <c r="P413" s="2020"/>
      <c r="Q413" s="2020"/>
      <c r="R413" s="2020"/>
    </row>
    <row r="414" spans="2:18" s="2019" customFormat="1" hidden="1">
      <c r="B414" s="2020"/>
      <c r="M414" s="2020"/>
      <c r="N414" s="2020"/>
      <c r="O414" s="2020"/>
      <c r="P414" s="2020"/>
      <c r="Q414" s="2020"/>
      <c r="R414" s="2020"/>
    </row>
    <row r="415" spans="2:18" s="2019" customFormat="1" hidden="1">
      <c r="B415" s="2020"/>
      <c r="M415" s="2020"/>
      <c r="N415" s="2020"/>
      <c r="O415" s="2020"/>
      <c r="P415" s="2020"/>
      <c r="Q415" s="2020"/>
      <c r="R415" s="2020"/>
    </row>
    <row r="416" spans="2:18" s="2019" customFormat="1" hidden="1">
      <c r="B416" s="2020"/>
      <c r="M416" s="2020"/>
      <c r="N416" s="2020"/>
      <c r="O416" s="2020"/>
      <c r="P416" s="2020"/>
      <c r="Q416" s="2020"/>
      <c r="R416" s="2020"/>
    </row>
    <row r="417" spans="2:18" s="2019" customFormat="1" hidden="1">
      <c r="B417" s="2020"/>
      <c r="M417" s="2020"/>
      <c r="N417" s="2020"/>
      <c r="O417" s="2020"/>
      <c r="P417" s="2020"/>
      <c r="Q417" s="2020"/>
      <c r="R417" s="2020"/>
    </row>
    <row r="418" spans="2:18" s="2019" customFormat="1" hidden="1">
      <c r="B418" s="2020"/>
      <c r="M418" s="2020"/>
      <c r="N418" s="2020"/>
      <c r="O418" s="2020"/>
      <c r="P418" s="2020"/>
      <c r="Q418" s="2020"/>
      <c r="R418" s="2020"/>
    </row>
    <row r="419" spans="2:18" s="2019" customFormat="1" hidden="1">
      <c r="B419" s="2020"/>
      <c r="M419" s="2020"/>
      <c r="N419" s="2020"/>
      <c r="O419" s="2020"/>
      <c r="P419" s="2020"/>
      <c r="Q419" s="2020"/>
      <c r="R419" s="2020"/>
    </row>
    <row r="420" spans="2:18" s="2019" customFormat="1" hidden="1">
      <c r="B420" s="2020"/>
      <c r="M420" s="2020"/>
      <c r="N420" s="2020"/>
      <c r="O420" s="2020"/>
      <c r="P420" s="2020"/>
      <c r="Q420" s="2020"/>
      <c r="R420" s="2020"/>
    </row>
    <row r="421" spans="2:18" s="2019" customFormat="1" hidden="1">
      <c r="B421" s="2020"/>
      <c r="M421" s="2020"/>
      <c r="N421" s="2020"/>
      <c r="O421" s="2020"/>
      <c r="P421" s="2020"/>
      <c r="Q421" s="2020"/>
      <c r="R421" s="2020"/>
    </row>
    <row r="422" spans="2:18" s="2019" customFormat="1" hidden="1">
      <c r="B422" s="2020"/>
      <c r="M422" s="2020"/>
      <c r="N422" s="2020"/>
      <c r="O422" s="2020"/>
      <c r="P422" s="2020"/>
      <c r="Q422" s="2020"/>
      <c r="R422" s="2020"/>
    </row>
    <row r="423" spans="2:18" s="2019" customFormat="1" hidden="1">
      <c r="B423" s="2020"/>
      <c r="M423" s="2020"/>
      <c r="N423" s="2020"/>
      <c r="O423" s="2020"/>
      <c r="P423" s="2020"/>
      <c r="Q423" s="2020"/>
      <c r="R423" s="2020"/>
    </row>
    <row r="424" spans="2:18" s="2019" customFormat="1" hidden="1">
      <c r="B424" s="2020"/>
      <c r="M424" s="2020"/>
      <c r="N424" s="2020"/>
      <c r="O424" s="2020"/>
      <c r="P424" s="2020"/>
      <c r="Q424" s="2020"/>
      <c r="R424" s="2020"/>
    </row>
    <row r="425" spans="2:18" s="2019" customFormat="1" hidden="1">
      <c r="B425" s="2020"/>
      <c r="M425" s="2020"/>
      <c r="N425" s="2020"/>
      <c r="O425" s="2020"/>
      <c r="P425" s="2020"/>
      <c r="Q425" s="2020"/>
      <c r="R425" s="2020"/>
    </row>
    <row r="426" spans="2:18" s="2019" customFormat="1" hidden="1">
      <c r="B426" s="2020"/>
      <c r="M426" s="2020"/>
      <c r="N426" s="2020"/>
      <c r="O426" s="2020"/>
      <c r="P426" s="2020"/>
      <c r="Q426" s="2020"/>
      <c r="R426" s="2020"/>
    </row>
    <row r="427" spans="2:18" s="2019" customFormat="1" hidden="1">
      <c r="B427" s="2020"/>
      <c r="M427" s="2020"/>
      <c r="N427" s="2020"/>
      <c r="O427" s="2020"/>
      <c r="P427" s="2020"/>
      <c r="Q427" s="2020"/>
      <c r="R427" s="2020"/>
    </row>
    <row r="428" spans="2:18" s="2019" customFormat="1" hidden="1">
      <c r="B428" s="2020"/>
      <c r="M428" s="2020"/>
      <c r="N428" s="2020"/>
      <c r="O428" s="2020"/>
      <c r="P428" s="2020"/>
      <c r="Q428" s="2020"/>
      <c r="R428" s="2020"/>
    </row>
    <row r="429" spans="2:18" s="2019" customFormat="1" hidden="1">
      <c r="B429" s="2020"/>
      <c r="M429" s="2020"/>
      <c r="N429" s="2020"/>
      <c r="O429" s="2020"/>
      <c r="P429" s="2020"/>
      <c r="Q429" s="2020"/>
      <c r="R429" s="2020"/>
    </row>
    <row r="430" spans="2:18" s="2019" customFormat="1" hidden="1">
      <c r="B430" s="2020"/>
      <c r="M430" s="2020"/>
      <c r="N430" s="2020"/>
      <c r="O430" s="2020"/>
      <c r="P430" s="2020"/>
      <c r="Q430" s="2020"/>
      <c r="R430" s="2020"/>
    </row>
    <row r="431" spans="2:18" s="2019" customFormat="1" hidden="1">
      <c r="B431" s="2020"/>
      <c r="M431" s="2020"/>
      <c r="N431" s="2020"/>
      <c r="O431" s="2020"/>
      <c r="P431" s="2020"/>
      <c r="Q431" s="2020"/>
      <c r="R431" s="2020"/>
    </row>
    <row r="432" spans="2:18" s="2019" customFormat="1" hidden="1">
      <c r="B432" s="2020"/>
      <c r="M432" s="2020"/>
      <c r="N432" s="2020"/>
      <c r="O432" s="2020"/>
      <c r="P432" s="2020"/>
      <c r="Q432" s="2020"/>
      <c r="R432" s="2020"/>
    </row>
    <row r="433" spans="2:18" s="2019" customFormat="1" hidden="1">
      <c r="B433" s="2020"/>
      <c r="M433" s="2020"/>
      <c r="N433" s="2020"/>
      <c r="O433" s="2020"/>
      <c r="P433" s="2020"/>
      <c r="Q433" s="2020"/>
      <c r="R433" s="2020"/>
    </row>
    <row r="434" spans="2:18" s="2019" customFormat="1" hidden="1">
      <c r="B434" s="2020"/>
      <c r="M434" s="2020"/>
      <c r="N434" s="2020"/>
      <c r="O434" s="2020"/>
      <c r="P434" s="2020"/>
      <c r="Q434" s="2020"/>
      <c r="R434" s="2020"/>
    </row>
    <row r="435" spans="2:18" s="2019" customFormat="1" hidden="1">
      <c r="B435" s="2020"/>
      <c r="M435" s="2020"/>
      <c r="N435" s="2020"/>
      <c r="O435" s="2020"/>
      <c r="P435" s="2020"/>
      <c r="Q435" s="2020"/>
      <c r="R435" s="2020"/>
    </row>
    <row r="436" spans="2:18" s="2019" customFormat="1" hidden="1">
      <c r="B436" s="2020"/>
      <c r="M436" s="2020"/>
      <c r="N436" s="2020"/>
      <c r="O436" s="2020"/>
      <c r="P436" s="2020"/>
      <c r="Q436" s="2020"/>
      <c r="R436" s="2020"/>
    </row>
    <row r="437" spans="2:18" s="2019" customFormat="1" hidden="1">
      <c r="B437" s="2020"/>
      <c r="M437" s="2020"/>
      <c r="N437" s="2020"/>
      <c r="O437" s="2020"/>
      <c r="P437" s="2020"/>
      <c r="Q437" s="2020"/>
      <c r="R437" s="2020"/>
    </row>
    <row r="438" spans="2:18" s="2019" customFormat="1" hidden="1">
      <c r="B438" s="2020"/>
      <c r="M438" s="2020"/>
      <c r="N438" s="2020"/>
      <c r="O438" s="2020"/>
      <c r="P438" s="2020"/>
      <c r="Q438" s="2020"/>
      <c r="R438" s="2020"/>
    </row>
    <row r="439" spans="2:18" s="2019" customFormat="1" hidden="1">
      <c r="B439" s="2020"/>
      <c r="M439" s="2020"/>
      <c r="N439" s="2020"/>
      <c r="O439" s="2020"/>
      <c r="P439" s="2020"/>
      <c r="Q439" s="2020"/>
      <c r="R439" s="2020"/>
    </row>
    <row r="440" spans="2:18" s="2019" customFormat="1" hidden="1">
      <c r="B440" s="2020"/>
      <c r="M440" s="2020"/>
      <c r="N440" s="2020"/>
      <c r="O440" s="2020"/>
      <c r="P440" s="2020"/>
      <c r="Q440" s="2020"/>
      <c r="R440" s="2020"/>
    </row>
    <row r="441" spans="2:18" s="2019" customFormat="1" hidden="1">
      <c r="B441" s="2020"/>
      <c r="M441" s="2020"/>
      <c r="N441" s="2020"/>
      <c r="O441" s="2020"/>
      <c r="P441" s="2020"/>
      <c r="Q441" s="2020"/>
      <c r="R441" s="2020"/>
    </row>
    <row r="442" spans="2:18" s="2019" customFormat="1" hidden="1">
      <c r="B442" s="2020"/>
      <c r="M442" s="2020"/>
      <c r="N442" s="2020"/>
      <c r="O442" s="2020"/>
      <c r="P442" s="2020"/>
      <c r="Q442" s="2020"/>
      <c r="R442" s="2020"/>
    </row>
    <row r="443" spans="2:18" s="2019" customFormat="1" hidden="1">
      <c r="B443" s="2020"/>
      <c r="M443" s="2020"/>
      <c r="N443" s="2020"/>
      <c r="O443" s="2020"/>
      <c r="P443" s="2020"/>
      <c r="Q443" s="2020"/>
      <c r="R443" s="2020"/>
    </row>
    <row r="444" spans="2:18" s="2019" customFormat="1" hidden="1">
      <c r="B444" s="2020"/>
      <c r="M444" s="2020"/>
      <c r="N444" s="2020"/>
      <c r="O444" s="2020"/>
      <c r="P444" s="2020"/>
      <c r="Q444" s="2020"/>
      <c r="R444" s="2020"/>
    </row>
    <row r="445" spans="2:18" s="2019" customFormat="1" hidden="1">
      <c r="B445" s="2020"/>
      <c r="M445" s="2020"/>
      <c r="N445" s="2020"/>
      <c r="O445" s="2020"/>
      <c r="P445" s="2020"/>
      <c r="Q445" s="2020"/>
      <c r="R445" s="2020"/>
    </row>
    <row r="446" spans="2:18" s="2019" customFormat="1" hidden="1">
      <c r="B446" s="2020"/>
      <c r="M446" s="2020"/>
      <c r="N446" s="2020"/>
      <c r="O446" s="2020"/>
      <c r="P446" s="2020"/>
      <c r="Q446" s="2020"/>
      <c r="R446" s="2020"/>
    </row>
    <row r="447" spans="2:18" s="2019" customFormat="1" hidden="1">
      <c r="B447" s="2020"/>
      <c r="M447" s="2020"/>
      <c r="N447" s="2020"/>
      <c r="O447" s="2020"/>
      <c r="P447" s="2020"/>
      <c r="Q447" s="2020"/>
      <c r="R447" s="2020"/>
    </row>
    <row r="448" spans="2:18" s="2019" customFormat="1" hidden="1">
      <c r="B448" s="2020"/>
      <c r="M448" s="2020"/>
      <c r="N448" s="2020"/>
      <c r="O448" s="2020"/>
      <c r="P448" s="2020"/>
      <c r="Q448" s="2020"/>
      <c r="R448" s="2020"/>
    </row>
    <row r="449" spans="2:18" s="2019" customFormat="1" hidden="1">
      <c r="B449" s="2020"/>
      <c r="M449" s="2020"/>
      <c r="N449" s="2020"/>
      <c r="O449" s="2020"/>
      <c r="P449" s="2020"/>
      <c r="Q449" s="2020"/>
      <c r="R449" s="2020"/>
    </row>
    <row r="450" spans="2:18" s="2019" customFormat="1" hidden="1">
      <c r="B450" s="2020"/>
      <c r="M450" s="2020"/>
      <c r="N450" s="2020"/>
      <c r="O450" s="2020"/>
      <c r="P450" s="2020"/>
      <c r="Q450" s="2020"/>
      <c r="R450" s="2020"/>
    </row>
    <row r="451" spans="2:18" s="2019" customFormat="1" hidden="1">
      <c r="B451" s="2020"/>
      <c r="M451" s="2020"/>
      <c r="N451" s="2020"/>
      <c r="O451" s="2020"/>
      <c r="P451" s="2020"/>
      <c r="Q451" s="2020"/>
      <c r="R451" s="2020"/>
    </row>
    <row r="452" spans="2:18" s="2019" customFormat="1" hidden="1">
      <c r="B452" s="2020"/>
      <c r="M452" s="2020"/>
      <c r="N452" s="2020"/>
      <c r="O452" s="2020"/>
      <c r="P452" s="2020"/>
      <c r="Q452" s="2020"/>
      <c r="R452" s="2020"/>
    </row>
    <row r="453" spans="2:18" s="2019" customFormat="1" hidden="1">
      <c r="B453" s="2020"/>
      <c r="M453" s="2020"/>
      <c r="N453" s="2020"/>
      <c r="O453" s="2020"/>
      <c r="P453" s="2020"/>
      <c r="Q453" s="2020"/>
      <c r="R453" s="2020"/>
    </row>
    <row r="454" spans="2:18" s="2019" customFormat="1" hidden="1">
      <c r="B454" s="2020"/>
      <c r="M454" s="2020"/>
      <c r="N454" s="2020"/>
      <c r="O454" s="2020"/>
      <c r="P454" s="2020"/>
      <c r="Q454" s="2020"/>
      <c r="R454" s="2020"/>
    </row>
    <row r="455" spans="2:18" s="2019" customFormat="1" hidden="1">
      <c r="B455" s="2020"/>
      <c r="M455" s="2020"/>
      <c r="N455" s="2020"/>
      <c r="O455" s="2020"/>
      <c r="P455" s="2020"/>
      <c r="Q455" s="2020"/>
      <c r="R455" s="2020"/>
    </row>
    <row r="456" spans="2:18" s="2019" customFormat="1" hidden="1">
      <c r="B456" s="2020"/>
      <c r="M456" s="2020"/>
      <c r="N456" s="2020"/>
      <c r="O456" s="2020"/>
      <c r="P456" s="2020"/>
      <c r="Q456" s="2020"/>
      <c r="R456" s="2020"/>
    </row>
    <row r="457" spans="2:18" s="2019" customFormat="1" hidden="1">
      <c r="B457" s="2020"/>
      <c r="M457" s="2020"/>
      <c r="N457" s="2020"/>
      <c r="O457" s="2020"/>
      <c r="P457" s="2020"/>
      <c r="Q457" s="2020"/>
      <c r="R457" s="2020"/>
    </row>
    <row r="458" spans="2:18" s="2019" customFormat="1" hidden="1">
      <c r="B458" s="2020"/>
      <c r="M458" s="2020"/>
      <c r="N458" s="2020"/>
      <c r="O458" s="2020"/>
      <c r="P458" s="2020"/>
      <c r="Q458" s="2020"/>
      <c r="R458" s="2020"/>
    </row>
    <row r="459" spans="2:18" s="2019" customFormat="1" hidden="1">
      <c r="B459" s="2020"/>
      <c r="M459" s="2020"/>
      <c r="N459" s="2020"/>
      <c r="O459" s="2020"/>
      <c r="P459" s="2020"/>
      <c r="Q459" s="2020"/>
      <c r="R459" s="2020"/>
    </row>
    <row r="460" spans="2:18" s="2019" customFormat="1" hidden="1">
      <c r="B460" s="2020"/>
      <c r="M460" s="2020"/>
      <c r="N460" s="2020"/>
      <c r="O460" s="2020"/>
      <c r="P460" s="2020"/>
      <c r="Q460" s="2020"/>
      <c r="R460" s="2020"/>
    </row>
    <row r="461" spans="2:18" s="2019" customFormat="1" hidden="1">
      <c r="B461" s="2020"/>
      <c r="M461" s="2020"/>
      <c r="N461" s="2020"/>
      <c r="O461" s="2020"/>
      <c r="P461" s="2020"/>
      <c r="Q461" s="2020"/>
      <c r="R461" s="2020"/>
    </row>
    <row r="462" spans="2:18" s="2019" customFormat="1" hidden="1">
      <c r="B462" s="2020"/>
      <c r="M462" s="2020"/>
      <c r="N462" s="2020"/>
      <c r="O462" s="2020"/>
      <c r="P462" s="2020"/>
      <c r="Q462" s="2020"/>
      <c r="R462" s="2020"/>
    </row>
    <row r="463" spans="2:18" s="2019" customFormat="1" hidden="1">
      <c r="B463" s="2020"/>
      <c r="M463" s="2020"/>
      <c r="N463" s="2020"/>
      <c r="O463" s="2020"/>
      <c r="P463" s="2020"/>
      <c r="Q463" s="2020"/>
      <c r="R463" s="2020"/>
    </row>
    <row r="464" spans="2:18" s="2019" customFormat="1" hidden="1">
      <c r="B464" s="2020"/>
      <c r="M464" s="2020"/>
      <c r="N464" s="2020"/>
      <c r="O464" s="2020"/>
      <c r="P464" s="2020"/>
      <c r="Q464" s="2020"/>
      <c r="R464" s="2020"/>
    </row>
    <row r="465" spans="2:18" s="2019" customFormat="1" hidden="1">
      <c r="B465" s="2020"/>
      <c r="M465" s="2020"/>
      <c r="N465" s="2020"/>
      <c r="O465" s="2020"/>
      <c r="P465" s="2020"/>
      <c r="Q465" s="2020"/>
      <c r="R465" s="2020"/>
    </row>
    <row r="466" spans="2:18" s="2019" customFormat="1" hidden="1">
      <c r="B466" s="2020"/>
      <c r="M466" s="2020"/>
      <c r="N466" s="2020"/>
      <c r="O466" s="2020"/>
      <c r="P466" s="2020"/>
      <c r="Q466" s="2020"/>
      <c r="R466" s="2020"/>
    </row>
    <row r="467" spans="2:18" s="2019" customFormat="1" hidden="1">
      <c r="B467" s="2020"/>
      <c r="M467" s="2020"/>
      <c r="N467" s="2020"/>
      <c r="O467" s="2020"/>
      <c r="P467" s="2020"/>
      <c r="Q467" s="2020"/>
      <c r="R467" s="2020"/>
    </row>
    <row r="468" spans="2:18" s="2019" customFormat="1" hidden="1">
      <c r="B468" s="2020"/>
      <c r="M468" s="2020"/>
      <c r="N468" s="2020"/>
      <c r="O468" s="2020"/>
      <c r="P468" s="2020"/>
      <c r="Q468" s="2020"/>
      <c r="R468" s="2020"/>
    </row>
    <row r="469" spans="2:18" s="2019" customFormat="1" hidden="1">
      <c r="B469" s="2020"/>
      <c r="M469" s="2020"/>
      <c r="N469" s="2020"/>
      <c r="O469" s="2020"/>
      <c r="P469" s="2020"/>
      <c r="Q469" s="2020"/>
      <c r="R469" s="2020"/>
    </row>
    <row r="470" spans="2:18" s="2019" customFormat="1" hidden="1">
      <c r="B470" s="2020"/>
      <c r="M470" s="2020"/>
      <c r="N470" s="2020"/>
      <c r="O470" s="2020"/>
      <c r="P470" s="2020"/>
      <c r="Q470" s="2020"/>
      <c r="R470" s="2020"/>
    </row>
    <row r="471" spans="2:18" s="2019" customFormat="1" hidden="1">
      <c r="B471" s="2020"/>
      <c r="M471" s="2020"/>
      <c r="N471" s="2020"/>
      <c r="O471" s="2020"/>
      <c r="P471" s="2020"/>
      <c r="Q471" s="2020"/>
      <c r="R471" s="2020"/>
    </row>
    <row r="472" spans="2:18" s="2019" customFormat="1" hidden="1">
      <c r="B472" s="2020"/>
      <c r="M472" s="2020"/>
      <c r="N472" s="2020"/>
      <c r="O472" s="2020"/>
      <c r="P472" s="2020"/>
      <c r="Q472" s="2020"/>
      <c r="R472" s="2020"/>
    </row>
    <row r="473" spans="2:18" s="2019" customFormat="1" hidden="1">
      <c r="B473" s="2020"/>
      <c r="M473" s="2020"/>
      <c r="N473" s="2020"/>
      <c r="O473" s="2020"/>
      <c r="P473" s="2020"/>
      <c r="Q473" s="2020"/>
      <c r="R473" s="2020"/>
    </row>
    <row r="474" spans="2:18" s="2019" customFormat="1" hidden="1">
      <c r="B474" s="2020"/>
      <c r="M474" s="2020"/>
      <c r="N474" s="2020"/>
      <c r="O474" s="2020"/>
      <c r="P474" s="2020"/>
      <c r="Q474" s="2020"/>
      <c r="R474" s="2020"/>
    </row>
    <row r="475" spans="2:18" s="2019" customFormat="1" hidden="1">
      <c r="B475" s="2020"/>
      <c r="M475" s="2020"/>
      <c r="N475" s="2020"/>
      <c r="O475" s="2020"/>
      <c r="P475" s="2020"/>
      <c r="Q475" s="2020"/>
      <c r="R475" s="2020"/>
    </row>
    <row r="476" spans="2:18" s="2019" customFormat="1" hidden="1">
      <c r="B476" s="2020"/>
      <c r="M476" s="2020"/>
      <c r="N476" s="2020"/>
      <c r="O476" s="2020"/>
      <c r="P476" s="2020"/>
      <c r="Q476" s="2020"/>
      <c r="R476" s="2020"/>
    </row>
    <row r="477" spans="2:18" s="2019" customFormat="1" hidden="1">
      <c r="B477" s="2020"/>
      <c r="M477" s="2020"/>
      <c r="N477" s="2020"/>
      <c r="O477" s="2020"/>
      <c r="P477" s="2020"/>
      <c r="Q477" s="2020"/>
      <c r="R477" s="2020"/>
    </row>
    <row r="478" spans="2:18" s="2019" customFormat="1" hidden="1">
      <c r="B478" s="2020"/>
      <c r="M478" s="2020"/>
      <c r="N478" s="2020"/>
      <c r="O478" s="2020"/>
      <c r="P478" s="2020"/>
      <c r="Q478" s="2020"/>
      <c r="R478" s="2020"/>
    </row>
    <row r="479" spans="2:18" s="2019" customFormat="1" hidden="1">
      <c r="B479" s="2020"/>
      <c r="M479" s="2020"/>
      <c r="N479" s="2020"/>
      <c r="O479" s="2020"/>
      <c r="P479" s="2020"/>
      <c r="Q479" s="2020"/>
      <c r="R479" s="2020"/>
    </row>
    <row r="480" spans="2:18" s="2019" customFormat="1" hidden="1">
      <c r="B480" s="2020"/>
      <c r="M480" s="2020"/>
      <c r="N480" s="2020"/>
      <c r="O480" s="2020"/>
      <c r="P480" s="2020"/>
      <c r="Q480" s="2020"/>
      <c r="R480" s="2020"/>
    </row>
    <row r="481" spans="2:18" s="2019" customFormat="1" hidden="1">
      <c r="B481" s="2020"/>
      <c r="M481" s="2020"/>
      <c r="N481" s="2020"/>
      <c r="O481" s="2020"/>
      <c r="P481" s="2020"/>
      <c r="Q481" s="2020"/>
      <c r="R481" s="2020"/>
    </row>
    <row r="482" spans="2:18" s="2019" customFormat="1" hidden="1">
      <c r="B482" s="2020"/>
      <c r="M482" s="2020"/>
      <c r="N482" s="2020"/>
      <c r="O482" s="2020"/>
      <c r="P482" s="2020"/>
      <c r="Q482" s="2020"/>
      <c r="R482" s="2020"/>
    </row>
    <row r="483" spans="2:18" s="2019" customFormat="1" hidden="1">
      <c r="B483" s="2020"/>
      <c r="M483" s="2020"/>
      <c r="N483" s="2020"/>
      <c r="O483" s="2020"/>
      <c r="P483" s="2020"/>
      <c r="Q483" s="2020"/>
      <c r="R483" s="2020"/>
    </row>
    <row r="484" spans="2:18" s="2019" customFormat="1" hidden="1">
      <c r="B484" s="2020"/>
      <c r="M484" s="2020"/>
      <c r="N484" s="2020"/>
      <c r="O484" s="2020"/>
      <c r="P484" s="2020"/>
      <c r="Q484" s="2020"/>
      <c r="R484" s="2020"/>
    </row>
    <row r="485" spans="2:18" s="2019" customFormat="1" hidden="1">
      <c r="B485" s="2020"/>
      <c r="M485" s="2020"/>
      <c r="N485" s="2020"/>
      <c r="O485" s="2020"/>
      <c r="P485" s="2020"/>
      <c r="Q485" s="2020"/>
      <c r="R485" s="2020"/>
    </row>
    <row r="486" spans="2:18" s="2019" customFormat="1" hidden="1">
      <c r="B486" s="2020"/>
      <c r="M486" s="2020"/>
      <c r="N486" s="2020"/>
      <c r="O486" s="2020"/>
      <c r="P486" s="2020"/>
      <c r="Q486" s="2020"/>
      <c r="R486" s="2020"/>
    </row>
    <row r="487" spans="2:18" s="2019" customFormat="1" hidden="1">
      <c r="B487" s="2020"/>
      <c r="M487" s="2020"/>
      <c r="N487" s="2020"/>
      <c r="O487" s="2020"/>
      <c r="P487" s="2020"/>
      <c r="Q487" s="2020"/>
      <c r="R487" s="2020"/>
    </row>
    <row r="488" spans="2:18" s="2019" customFormat="1" hidden="1">
      <c r="B488" s="2020"/>
      <c r="M488" s="2020"/>
      <c r="N488" s="2020"/>
      <c r="O488" s="2020"/>
      <c r="P488" s="2020"/>
      <c r="Q488" s="2020"/>
      <c r="R488" s="2020"/>
    </row>
    <row r="489" spans="2:18" s="2019" customFormat="1" hidden="1">
      <c r="B489" s="2020"/>
      <c r="M489" s="2020"/>
      <c r="N489" s="2020"/>
      <c r="O489" s="2020"/>
      <c r="P489" s="2020"/>
      <c r="Q489" s="2020"/>
      <c r="R489" s="2020"/>
    </row>
    <row r="490" spans="2:18" s="2019" customFormat="1" hidden="1">
      <c r="B490" s="2020"/>
      <c r="M490" s="2020"/>
      <c r="N490" s="2020"/>
      <c r="O490" s="2020"/>
      <c r="P490" s="2020"/>
      <c r="Q490" s="2020"/>
      <c r="R490" s="2020"/>
    </row>
    <row r="491" spans="2:18" s="2019" customFormat="1" hidden="1">
      <c r="B491" s="2020"/>
      <c r="M491" s="2020"/>
      <c r="N491" s="2020"/>
      <c r="O491" s="2020"/>
      <c r="P491" s="2020"/>
      <c r="Q491" s="2020"/>
      <c r="R491" s="2020"/>
    </row>
    <row r="492" spans="2:18" s="2019" customFormat="1" hidden="1">
      <c r="B492" s="2020"/>
      <c r="M492" s="2020"/>
      <c r="N492" s="2020"/>
      <c r="O492" s="2020"/>
      <c r="P492" s="2020"/>
      <c r="Q492" s="2020"/>
      <c r="R492" s="2020"/>
    </row>
    <row r="493" spans="2:18" s="2019" customFormat="1" hidden="1">
      <c r="B493" s="2020"/>
      <c r="M493" s="2020"/>
      <c r="N493" s="2020"/>
      <c r="O493" s="2020"/>
      <c r="P493" s="2020"/>
      <c r="Q493" s="2020"/>
      <c r="R493" s="2020"/>
    </row>
    <row r="494" spans="2:18" s="2019" customFormat="1" hidden="1">
      <c r="B494" s="2020"/>
      <c r="M494" s="2020"/>
      <c r="N494" s="2020"/>
      <c r="O494" s="2020"/>
      <c r="P494" s="2020"/>
      <c r="Q494" s="2020"/>
      <c r="R494" s="2020"/>
    </row>
    <row r="495" spans="2:18" s="2019" customFormat="1" hidden="1">
      <c r="B495" s="2020"/>
      <c r="M495" s="2020"/>
      <c r="N495" s="2020"/>
      <c r="O495" s="2020"/>
      <c r="P495" s="2020"/>
      <c r="Q495" s="2020"/>
      <c r="R495" s="2020"/>
    </row>
    <row r="496" spans="2:18" s="2019" customFormat="1" hidden="1">
      <c r="B496" s="2020"/>
      <c r="M496" s="2020"/>
      <c r="N496" s="2020"/>
      <c r="O496" s="2020"/>
      <c r="P496" s="2020"/>
      <c r="Q496" s="2020"/>
      <c r="R496" s="2020"/>
    </row>
    <row r="497" spans="2:18" s="2019" customFormat="1" hidden="1">
      <c r="B497" s="2020"/>
      <c r="M497" s="2020"/>
      <c r="N497" s="2020"/>
      <c r="O497" s="2020"/>
      <c r="P497" s="2020"/>
      <c r="Q497" s="2020"/>
      <c r="R497" s="2020"/>
    </row>
    <row r="498" spans="2:18" s="2019" customFormat="1" hidden="1">
      <c r="B498" s="2020"/>
      <c r="M498" s="2020"/>
      <c r="N498" s="2020"/>
      <c r="O498" s="2020"/>
      <c r="P498" s="2020"/>
      <c r="Q498" s="2020"/>
      <c r="R498" s="2020"/>
    </row>
    <row r="499" spans="2:18" s="2019" customFormat="1" hidden="1">
      <c r="B499" s="2020"/>
      <c r="M499" s="2020"/>
      <c r="N499" s="2020"/>
      <c r="O499" s="2020"/>
      <c r="P499" s="2020"/>
      <c r="Q499" s="2020"/>
      <c r="R499" s="2020"/>
    </row>
    <row r="500" spans="2:18" s="2019" customFormat="1" hidden="1">
      <c r="B500" s="2020"/>
      <c r="M500" s="2020"/>
      <c r="N500" s="2020"/>
      <c r="O500" s="2020"/>
      <c r="P500" s="2020"/>
      <c r="Q500" s="2020"/>
      <c r="R500" s="2020"/>
    </row>
    <row r="501" spans="2:18" s="2019" customFormat="1" hidden="1">
      <c r="B501" s="2020"/>
      <c r="M501" s="2020"/>
      <c r="N501" s="2020"/>
      <c r="O501" s="2020"/>
      <c r="P501" s="2020"/>
      <c r="Q501" s="2020"/>
      <c r="R501" s="2020"/>
    </row>
    <row r="502" spans="2:18" s="2019" customFormat="1" hidden="1">
      <c r="B502" s="2020"/>
      <c r="M502" s="2020"/>
      <c r="N502" s="2020"/>
      <c r="O502" s="2020"/>
      <c r="P502" s="2020"/>
      <c r="Q502" s="2020"/>
      <c r="R502" s="2020"/>
    </row>
    <row r="503" spans="2:18" s="2019" customFormat="1" hidden="1">
      <c r="B503" s="2020"/>
      <c r="M503" s="2020"/>
      <c r="N503" s="2020"/>
      <c r="O503" s="2020"/>
      <c r="P503" s="2020"/>
      <c r="Q503" s="2020"/>
      <c r="R503" s="2020"/>
    </row>
    <row r="504" spans="2:18" s="2019" customFormat="1" hidden="1">
      <c r="B504" s="2020"/>
      <c r="M504" s="2020"/>
      <c r="N504" s="2020"/>
      <c r="O504" s="2020"/>
      <c r="P504" s="2020"/>
      <c r="Q504" s="2020"/>
      <c r="R504" s="2020"/>
    </row>
    <row r="505" spans="2:18" s="2019" customFormat="1" hidden="1">
      <c r="B505" s="2020"/>
      <c r="M505" s="2020"/>
      <c r="N505" s="2020"/>
      <c r="O505" s="2020"/>
      <c r="P505" s="2020"/>
      <c r="Q505" s="2020"/>
      <c r="R505" s="2020"/>
    </row>
    <row r="506" spans="2:18" s="2019" customFormat="1" hidden="1">
      <c r="B506" s="2020"/>
      <c r="M506" s="2020"/>
      <c r="N506" s="2020"/>
      <c r="O506" s="2020"/>
      <c r="P506" s="2020"/>
      <c r="Q506" s="2020"/>
      <c r="R506" s="2020"/>
    </row>
    <row r="507" spans="2:18" s="2019" customFormat="1" hidden="1">
      <c r="B507" s="2020"/>
      <c r="M507" s="2020"/>
      <c r="N507" s="2020"/>
      <c r="O507" s="2020"/>
      <c r="P507" s="2020"/>
      <c r="Q507" s="2020"/>
      <c r="R507" s="2020"/>
    </row>
    <row r="508" spans="2:18" s="2019" customFormat="1" hidden="1">
      <c r="B508" s="2020"/>
      <c r="M508" s="2020"/>
      <c r="N508" s="2020"/>
      <c r="O508" s="2020"/>
      <c r="P508" s="2020"/>
      <c r="Q508" s="2020"/>
      <c r="R508" s="2020"/>
    </row>
    <row r="509" spans="2:18" s="2019" customFormat="1" hidden="1">
      <c r="B509" s="2020"/>
      <c r="M509" s="2020"/>
      <c r="N509" s="2020"/>
      <c r="O509" s="2020"/>
      <c r="P509" s="2020"/>
      <c r="Q509" s="2020"/>
      <c r="R509" s="2020"/>
    </row>
    <row r="510" spans="2:18" s="2019" customFormat="1" hidden="1">
      <c r="B510" s="2020"/>
      <c r="M510" s="2020"/>
      <c r="N510" s="2020"/>
      <c r="O510" s="2020"/>
      <c r="P510" s="2020"/>
      <c r="Q510" s="2020"/>
      <c r="R510" s="2020"/>
    </row>
    <row r="511" spans="2:18" s="2019" customFormat="1" hidden="1">
      <c r="B511" s="2020"/>
      <c r="M511" s="2020"/>
      <c r="N511" s="2020"/>
      <c r="O511" s="2020"/>
      <c r="P511" s="2020"/>
      <c r="Q511" s="2020"/>
      <c r="R511" s="2020"/>
    </row>
    <row r="512" spans="2:18" s="2019" customFormat="1" hidden="1">
      <c r="B512" s="2020"/>
      <c r="M512" s="2020"/>
      <c r="N512" s="2020"/>
      <c r="O512" s="2020"/>
      <c r="P512" s="2020"/>
      <c r="Q512" s="2020"/>
      <c r="R512" s="2020"/>
    </row>
    <row r="513" spans="2:18" s="2019" customFormat="1" hidden="1">
      <c r="B513" s="2020"/>
      <c r="M513" s="2020"/>
      <c r="N513" s="2020"/>
      <c r="O513" s="2020"/>
      <c r="P513" s="2020"/>
      <c r="Q513" s="2020"/>
      <c r="R513" s="2020"/>
    </row>
    <row r="514" spans="2:18" s="2019" customFormat="1" hidden="1">
      <c r="B514" s="2020"/>
      <c r="M514" s="2020"/>
      <c r="N514" s="2020"/>
      <c r="O514" s="2020"/>
      <c r="P514" s="2020"/>
      <c r="Q514" s="2020"/>
      <c r="R514" s="2020"/>
    </row>
    <row r="515" spans="2:18" s="2019" customFormat="1" hidden="1">
      <c r="B515" s="2020"/>
      <c r="M515" s="2020"/>
      <c r="N515" s="2020"/>
      <c r="O515" s="2020"/>
      <c r="P515" s="2020"/>
      <c r="Q515" s="2020"/>
      <c r="R515" s="2020"/>
    </row>
    <row r="516" spans="2:18" s="2019" customFormat="1" hidden="1">
      <c r="B516" s="2020"/>
      <c r="M516" s="2020"/>
      <c r="N516" s="2020"/>
      <c r="O516" s="2020"/>
      <c r="P516" s="2020"/>
      <c r="Q516" s="2020"/>
      <c r="R516" s="2020"/>
    </row>
    <row r="517" spans="2:18" s="2019" customFormat="1" hidden="1">
      <c r="B517" s="2020"/>
      <c r="M517" s="2020"/>
      <c r="N517" s="2020"/>
      <c r="O517" s="2020"/>
      <c r="P517" s="2020"/>
      <c r="Q517" s="2020"/>
      <c r="R517" s="2020"/>
    </row>
    <row r="518" spans="2:18" s="2019" customFormat="1" hidden="1">
      <c r="B518" s="2020"/>
      <c r="M518" s="2020"/>
      <c r="N518" s="2020"/>
      <c r="O518" s="2020"/>
      <c r="P518" s="2020"/>
      <c r="Q518" s="2020"/>
      <c r="R518" s="2020"/>
    </row>
    <row r="519" spans="2:18" s="2019" customFormat="1" hidden="1">
      <c r="B519" s="2020"/>
      <c r="M519" s="2020"/>
      <c r="N519" s="2020"/>
      <c r="O519" s="2020"/>
      <c r="P519" s="2020"/>
      <c r="Q519" s="2020"/>
      <c r="R519" s="2020"/>
    </row>
    <row r="520" spans="2:18" s="2019" customFormat="1" hidden="1">
      <c r="B520" s="2020"/>
      <c r="M520" s="2020"/>
      <c r="N520" s="2020"/>
      <c r="O520" s="2020"/>
      <c r="P520" s="2020"/>
      <c r="Q520" s="2020"/>
      <c r="R520" s="2020"/>
    </row>
    <row r="521" spans="2:18" s="2019" customFormat="1" hidden="1">
      <c r="B521" s="2020"/>
      <c r="M521" s="2020"/>
      <c r="N521" s="2020"/>
      <c r="O521" s="2020"/>
      <c r="P521" s="2020"/>
      <c r="Q521" s="2020"/>
      <c r="R521" s="2020"/>
    </row>
    <row r="522" spans="2:18" s="2019" customFormat="1" hidden="1">
      <c r="B522" s="2020"/>
      <c r="M522" s="2020"/>
      <c r="N522" s="2020"/>
      <c r="O522" s="2020"/>
      <c r="P522" s="2020"/>
      <c r="Q522" s="2020"/>
      <c r="R522" s="2020"/>
    </row>
    <row r="523" spans="2:18" s="2019" customFormat="1" hidden="1">
      <c r="B523" s="2020"/>
      <c r="M523" s="2020"/>
      <c r="N523" s="2020"/>
      <c r="O523" s="2020"/>
      <c r="P523" s="2020"/>
      <c r="Q523" s="2020"/>
      <c r="R523" s="2020"/>
    </row>
    <row r="524" spans="2:18" s="2019" customFormat="1" hidden="1">
      <c r="B524" s="2020"/>
      <c r="M524" s="2020"/>
      <c r="N524" s="2020"/>
      <c r="O524" s="2020"/>
      <c r="P524" s="2020"/>
      <c r="Q524" s="2020"/>
      <c r="R524" s="2020"/>
    </row>
    <row r="525" spans="2:18" s="2019" customFormat="1" hidden="1">
      <c r="B525" s="2020"/>
      <c r="M525" s="2020"/>
      <c r="N525" s="2020"/>
      <c r="O525" s="2020"/>
      <c r="P525" s="2020"/>
      <c r="Q525" s="2020"/>
      <c r="R525" s="2020"/>
    </row>
    <row r="526" spans="2:18" s="2019" customFormat="1" hidden="1">
      <c r="B526" s="2020"/>
      <c r="M526" s="2020"/>
      <c r="N526" s="2020"/>
      <c r="O526" s="2020"/>
      <c r="P526" s="2020"/>
      <c r="Q526" s="2020"/>
      <c r="R526" s="2020"/>
    </row>
    <row r="527" spans="2:18" s="2019" customFormat="1" hidden="1">
      <c r="B527" s="2020"/>
      <c r="M527" s="2020"/>
      <c r="N527" s="2020"/>
      <c r="O527" s="2020"/>
      <c r="P527" s="2020"/>
      <c r="Q527" s="2020"/>
      <c r="R527" s="2020"/>
    </row>
    <row r="528" spans="2:18" s="2019" customFormat="1" hidden="1">
      <c r="B528" s="2020"/>
      <c r="M528" s="2020"/>
      <c r="N528" s="2020"/>
      <c r="O528" s="2020"/>
      <c r="P528" s="2020"/>
      <c r="Q528" s="2020"/>
      <c r="R528" s="2020"/>
    </row>
    <row r="529" spans="2:18" s="2019" customFormat="1" hidden="1">
      <c r="B529" s="2020"/>
      <c r="M529" s="2020"/>
      <c r="N529" s="2020"/>
      <c r="O529" s="2020"/>
      <c r="P529" s="2020"/>
      <c r="Q529" s="2020"/>
      <c r="R529" s="2020"/>
    </row>
    <row r="530" spans="2:18" s="2019" customFormat="1" hidden="1">
      <c r="B530" s="2020"/>
      <c r="M530" s="2020"/>
      <c r="N530" s="2020"/>
      <c r="O530" s="2020"/>
      <c r="P530" s="2020"/>
      <c r="Q530" s="2020"/>
      <c r="R530" s="2020"/>
    </row>
    <row r="531" spans="2:18" s="2019" customFormat="1" hidden="1">
      <c r="B531" s="2020"/>
      <c r="M531" s="2020"/>
      <c r="N531" s="2020"/>
      <c r="O531" s="2020"/>
      <c r="P531" s="2020"/>
      <c r="Q531" s="2020"/>
      <c r="R531" s="2020"/>
    </row>
    <row r="532" spans="2:18" s="2019" customFormat="1" hidden="1">
      <c r="B532" s="2020"/>
      <c r="M532" s="2020"/>
      <c r="N532" s="2020"/>
      <c r="O532" s="2020"/>
      <c r="P532" s="2020"/>
      <c r="Q532" s="2020"/>
      <c r="R532" s="2020"/>
    </row>
    <row r="533" spans="2:18" s="2019" customFormat="1" hidden="1">
      <c r="B533" s="2020"/>
      <c r="M533" s="2020"/>
      <c r="N533" s="2020"/>
      <c r="O533" s="2020"/>
      <c r="P533" s="2020"/>
      <c r="Q533" s="2020"/>
      <c r="R533" s="2020"/>
    </row>
    <row r="534" spans="2:18" s="2019" customFormat="1" hidden="1">
      <c r="B534" s="2020"/>
      <c r="M534" s="2020"/>
      <c r="N534" s="2020"/>
      <c r="O534" s="2020"/>
      <c r="P534" s="2020"/>
      <c r="Q534" s="2020"/>
      <c r="R534" s="2020"/>
    </row>
    <row r="535" spans="2:18" s="2019" customFormat="1" hidden="1">
      <c r="B535" s="2020"/>
      <c r="M535" s="2020"/>
      <c r="N535" s="2020"/>
      <c r="O535" s="2020"/>
      <c r="P535" s="2020"/>
      <c r="Q535" s="2020"/>
      <c r="R535" s="2020"/>
    </row>
    <row r="536" spans="2:18" s="2019" customFormat="1" hidden="1">
      <c r="B536" s="2020"/>
      <c r="M536" s="2020"/>
      <c r="N536" s="2020"/>
      <c r="O536" s="2020"/>
      <c r="P536" s="2020"/>
      <c r="Q536" s="2020"/>
      <c r="R536" s="2020"/>
    </row>
    <row r="537" spans="2:18" s="2019" customFormat="1" hidden="1">
      <c r="B537" s="2020"/>
      <c r="M537" s="2020"/>
      <c r="N537" s="2020"/>
      <c r="O537" s="2020"/>
      <c r="P537" s="2020"/>
      <c r="Q537" s="2020"/>
      <c r="R537" s="2020"/>
    </row>
    <row r="538" spans="2:18" s="2019" customFormat="1" hidden="1">
      <c r="B538" s="2020"/>
      <c r="M538" s="2020"/>
      <c r="N538" s="2020"/>
      <c r="O538" s="2020"/>
      <c r="P538" s="2020"/>
      <c r="Q538" s="2020"/>
      <c r="R538" s="2020"/>
    </row>
    <row r="539" spans="2:18" s="2019" customFormat="1" hidden="1">
      <c r="B539" s="2020"/>
      <c r="M539" s="2020"/>
      <c r="N539" s="2020"/>
      <c r="O539" s="2020"/>
      <c r="P539" s="2020"/>
      <c r="Q539" s="2020"/>
      <c r="R539" s="2020"/>
    </row>
    <row r="540" spans="2:18" s="2019" customFormat="1" hidden="1">
      <c r="B540" s="2020"/>
      <c r="M540" s="2020"/>
      <c r="N540" s="2020"/>
      <c r="O540" s="2020"/>
      <c r="P540" s="2020"/>
      <c r="Q540" s="2020"/>
      <c r="R540" s="2020"/>
    </row>
    <row r="541" spans="2:18" s="2019" customFormat="1" hidden="1">
      <c r="B541" s="2020"/>
      <c r="M541" s="2020"/>
      <c r="N541" s="2020"/>
      <c r="O541" s="2020"/>
      <c r="P541" s="2020"/>
      <c r="Q541" s="2020"/>
      <c r="R541" s="2020"/>
    </row>
    <row r="542" spans="2:18" s="2019" customFormat="1" hidden="1">
      <c r="B542" s="2020"/>
      <c r="M542" s="2020"/>
      <c r="N542" s="2020"/>
      <c r="O542" s="2020"/>
      <c r="P542" s="2020"/>
      <c r="Q542" s="2020"/>
      <c r="R542" s="2020"/>
    </row>
    <row r="543" spans="2:18" s="2019" customFormat="1" hidden="1">
      <c r="B543" s="2020"/>
      <c r="M543" s="2020"/>
      <c r="N543" s="2020"/>
      <c r="O543" s="2020"/>
      <c r="P543" s="2020"/>
      <c r="Q543" s="2020"/>
      <c r="R543" s="2020"/>
    </row>
    <row r="544" spans="2:18" s="2019" customFormat="1" hidden="1">
      <c r="B544" s="2020"/>
      <c r="M544" s="2020"/>
      <c r="N544" s="2020"/>
      <c r="O544" s="2020"/>
      <c r="P544" s="2020"/>
      <c r="Q544" s="2020"/>
      <c r="R544" s="2020"/>
    </row>
    <row r="545" spans="2:18" s="2019" customFormat="1" hidden="1">
      <c r="B545" s="2020"/>
      <c r="M545" s="2020"/>
      <c r="N545" s="2020"/>
      <c r="O545" s="2020"/>
      <c r="P545" s="2020"/>
      <c r="Q545" s="2020"/>
      <c r="R545" s="2020"/>
    </row>
    <row r="546" spans="2:18" s="2019" customFormat="1" hidden="1">
      <c r="B546" s="2020"/>
      <c r="M546" s="2020"/>
      <c r="N546" s="2020"/>
      <c r="O546" s="2020"/>
      <c r="P546" s="2020"/>
      <c r="Q546" s="2020"/>
      <c r="R546" s="2020"/>
    </row>
    <row r="547" spans="2:18" s="2019" customFormat="1" hidden="1">
      <c r="B547" s="2020"/>
      <c r="M547" s="2020"/>
      <c r="N547" s="2020"/>
      <c r="O547" s="2020"/>
      <c r="P547" s="2020"/>
      <c r="Q547" s="2020"/>
      <c r="R547" s="2020"/>
    </row>
    <row r="548" spans="2:18" s="2019" customFormat="1" hidden="1">
      <c r="B548" s="2020"/>
      <c r="M548" s="2020"/>
      <c r="N548" s="2020"/>
      <c r="O548" s="2020"/>
      <c r="P548" s="2020"/>
      <c r="Q548" s="2020"/>
      <c r="R548" s="2020"/>
    </row>
    <row r="549" spans="2:18" s="2019" customFormat="1" hidden="1">
      <c r="B549" s="2020"/>
      <c r="M549" s="2020"/>
      <c r="N549" s="2020"/>
      <c r="O549" s="2020"/>
      <c r="P549" s="2020"/>
      <c r="Q549" s="2020"/>
      <c r="R549" s="2020"/>
    </row>
    <row r="550" spans="2:18" s="2019" customFormat="1" hidden="1">
      <c r="B550" s="2020"/>
      <c r="M550" s="2020"/>
      <c r="N550" s="2020"/>
      <c r="O550" s="2020"/>
      <c r="P550" s="2020"/>
      <c r="Q550" s="2020"/>
      <c r="R550" s="2020"/>
    </row>
    <row r="551" spans="2:18" s="2019" customFormat="1" hidden="1">
      <c r="B551" s="2020"/>
      <c r="M551" s="2020"/>
      <c r="N551" s="2020"/>
      <c r="O551" s="2020"/>
      <c r="P551" s="2020"/>
      <c r="Q551" s="2020"/>
      <c r="R551" s="2020"/>
    </row>
    <row r="552" spans="2:18" s="2019" customFormat="1" hidden="1">
      <c r="B552" s="2020"/>
      <c r="M552" s="2020"/>
      <c r="N552" s="2020"/>
      <c r="O552" s="2020"/>
      <c r="P552" s="2020"/>
      <c r="Q552" s="2020"/>
      <c r="R552" s="2020"/>
    </row>
    <row r="553" spans="2:18" s="2019" customFormat="1" hidden="1">
      <c r="B553" s="2020"/>
      <c r="M553" s="2020"/>
      <c r="N553" s="2020"/>
      <c r="O553" s="2020"/>
      <c r="P553" s="2020"/>
      <c r="Q553" s="2020"/>
      <c r="R553" s="2020"/>
    </row>
    <row r="554" spans="2:18" s="2019" customFormat="1" hidden="1">
      <c r="B554" s="2020"/>
      <c r="M554" s="2020"/>
      <c r="N554" s="2020"/>
      <c r="O554" s="2020"/>
      <c r="P554" s="2020"/>
      <c r="Q554" s="2020"/>
      <c r="R554" s="2020"/>
    </row>
    <row r="555" spans="2:18" s="2019" customFormat="1" hidden="1">
      <c r="B555" s="2020"/>
      <c r="M555" s="2020"/>
      <c r="N555" s="2020"/>
      <c r="O555" s="2020"/>
      <c r="P555" s="2020"/>
      <c r="Q555" s="2020"/>
      <c r="R555" s="2020"/>
    </row>
    <row r="556" spans="2:18" s="2019" customFormat="1" hidden="1">
      <c r="B556" s="2020"/>
      <c r="M556" s="2020"/>
      <c r="N556" s="2020"/>
      <c r="O556" s="2020"/>
      <c r="P556" s="2020"/>
      <c r="Q556" s="2020"/>
      <c r="R556" s="2020"/>
    </row>
    <row r="557" spans="2:18" s="2019" customFormat="1" hidden="1">
      <c r="B557" s="2020"/>
      <c r="M557" s="2020"/>
      <c r="N557" s="2020"/>
      <c r="O557" s="2020"/>
      <c r="P557" s="2020"/>
      <c r="Q557" s="2020"/>
      <c r="R557" s="2020"/>
    </row>
    <row r="558" spans="2:18" s="2019" customFormat="1" hidden="1">
      <c r="B558" s="2020"/>
      <c r="M558" s="2020"/>
      <c r="N558" s="2020"/>
      <c r="O558" s="2020"/>
      <c r="P558" s="2020"/>
      <c r="Q558" s="2020"/>
      <c r="R558" s="2020"/>
    </row>
    <row r="559" spans="2:18" s="2019" customFormat="1" hidden="1">
      <c r="B559" s="2020"/>
      <c r="M559" s="2020"/>
      <c r="N559" s="2020"/>
      <c r="O559" s="2020"/>
      <c r="P559" s="2020"/>
      <c r="Q559" s="2020"/>
      <c r="R559" s="2020"/>
    </row>
    <row r="560" spans="2:18" s="2019" customFormat="1" hidden="1">
      <c r="B560" s="2020"/>
      <c r="M560" s="2020"/>
      <c r="N560" s="2020"/>
      <c r="O560" s="2020"/>
      <c r="P560" s="2020"/>
      <c r="Q560" s="2020"/>
      <c r="R560" s="2020"/>
    </row>
    <row r="561" spans="2:18" s="2019" customFormat="1" hidden="1">
      <c r="B561" s="2020"/>
      <c r="M561" s="2020"/>
      <c r="N561" s="2020"/>
      <c r="O561" s="2020"/>
      <c r="P561" s="2020"/>
      <c r="Q561" s="2020"/>
      <c r="R561" s="2020"/>
    </row>
    <row r="562" spans="2:18" s="2019" customFormat="1" hidden="1">
      <c r="B562" s="2020"/>
      <c r="M562" s="2020"/>
      <c r="N562" s="2020"/>
      <c r="O562" s="2020"/>
      <c r="P562" s="2020"/>
      <c r="Q562" s="2020"/>
      <c r="R562" s="2020"/>
    </row>
    <row r="563" spans="2:18" s="2019" customFormat="1" hidden="1">
      <c r="B563" s="2020"/>
      <c r="M563" s="2020"/>
      <c r="N563" s="2020"/>
      <c r="O563" s="2020"/>
      <c r="P563" s="2020"/>
      <c r="Q563" s="2020"/>
      <c r="R563" s="2020"/>
    </row>
    <row r="564" spans="2:18" s="2019" customFormat="1" hidden="1">
      <c r="B564" s="2020"/>
      <c r="M564" s="2020"/>
      <c r="N564" s="2020"/>
      <c r="O564" s="2020"/>
      <c r="P564" s="2020"/>
      <c r="Q564" s="2020"/>
      <c r="R564" s="2020"/>
    </row>
    <row r="565" spans="2:18" s="2019" customFormat="1" hidden="1">
      <c r="B565" s="2020"/>
      <c r="M565" s="2020"/>
      <c r="N565" s="2020"/>
      <c r="O565" s="2020"/>
      <c r="P565" s="2020"/>
      <c r="Q565" s="2020"/>
      <c r="R565" s="2020"/>
    </row>
    <row r="566" spans="2:18" s="2019" customFormat="1" hidden="1">
      <c r="B566" s="2020"/>
      <c r="M566" s="2020"/>
      <c r="N566" s="2020"/>
      <c r="O566" s="2020"/>
      <c r="P566" s="2020"/>
      <c r="Q566" s="2020"/>
      <c r="R566" s="2020"/>
    </row>
    <row r="567" spans="2:18" s="2019" customFormat="1" hidden="1">
      <c r="B567" s="2020"/>
      <c r="M567" s="2020"/>
      <c r="N567" s="2020"/>
      <c r="O567" s="2020"/>
      <c r="P567" s="2020"/>
      <c r="Q567" s="2020"/>
      <c r="R567" s="2020"/>
    </row>
    <row r="568" spans="2:18" s="2019" customFormat="1" hidden="1">
      <c r="B568" s="2020"/>
      <c r="M568" s="2020"/>
      <c r="N568" s="2020"/>
      <c r="O568" s="2020"/>
      <c r="P568" s="2020"/>
      <c r="Q568" s="2020"/>
      <c r="R568" s="2020"/>
    </row>
    <row r="569" spans="2:18" s="2019" customFormat="1" hidden="1">
      <c r="B569" s="2020"/>
      <c r="M569" s="2020"/>
      <c r="N569" s="2020"/>
      <c r="O569" s="2020"/>
      <c r="P569" s="2020"/>
      <c r="Q569" s="2020"/>
      <c r="R569" s="2020"/>
    </row>
    <row r="570" spans="2:18" s="2019" customFormat="1" hidden="1">
      <c r="B570" s="2020"/>
      <c r="M570" s="2020"/>
      <c r="N570" s="2020"/>
      <c r="O570" s="2020"/>
      <c r="P570" s="2020"/>
      <c r="Q570" s="2020"/>
      <c r="R570" s="2020"/>
    </row>
    <row r="571" spans="2:18" s="2019" customFormat="1" hidden="1">
      <c r="B571" s="2020"/>
      <c r="M571" s="2020"/>
      <c r="N571" s="2020"/>
      <c r="O571" s="2020"/>
      <c r="P571" s="2020"/>
      <c r="Q571" s="2020"/>
      <c r="R571" s="2020"/>
    </row>
    <row r="572" spans="2:18" s="2019" customFormat="1" hidden="1">
      <c r="B572" s="2020"/>
      <c r="M572" s="2020"/>
      <c r="N572" s="2020"/>
      <c r="O572" s="2020"/>
      <c r="P572" s="2020"/>
      <c r="Q572" s="2020"/>
      <c r="R572" s="2020"/>
    </row>
    <row r="573" spans="2:18" s="2019" customFormat="1" hidden="1">
      <c r="B573" s="2020"/>
      <c r="M573" s="2020"/>
      <c r="N573" s="2020"/>
      <c r="O573" s="2020"/>
      <c r="P573" s="2020"/>
      <c r="Q573" s="2020"/>
      <c r="R573" s="2020"/>
    </row>
    <row r="574" spans="2:18" s="2019" customFormat="1" hidden="1">
      <c r="B574" s="2020"/>
      <c r="M574" s="2020"/>
      <c r="N574" s="2020"/>
      <c r="O574" s="2020"/>
      <c r="P574" s="2020"/>
      <c r="Q574" s="2020"/>
      <c r="R574" s="2020"/>
    </row>
    <row r="575" spans="2:18" s="2019" customFormat="1" hidden="1">
      <c r="B575" s="2020"/>
      <c r="M575" s="2020"/>
      <c r="N575" s="2020"/>
      <c r="O575" s="2020"/>
      <c r="P575" s="2020"/>
      <c r="Q575" s="2020"/>
      <c r="R575" s="2020"/>
    </row>
    <row r="576" spans="2:18" s="2019" customFormat="1" hidden="1">
      <c r="B576" s="2020"/>
      <c r="M576" s="2020"/>
      <c r="N576" s="2020"/>
      <c r="O576" s="2020"/>
      <c r="P576" s="2020"/>
      <c r="Q576" s="2020"/>
      <c r="R576" s="2020"/>
    </row>
    <row r="577" spans="2:18" s="2019" customFormat="1" hidden="1">
      <c r="B577" s="2020"/>
      <c r="M577" s="2020"/>
      <c r="N577" s="2020"/>
      <c r="O577" s="2020"/>
      <c r="P577" s="2020"/>
      <c r="Q577" s="2020"/>
      <c r="R577" s="2020"/>
    </row>
    <row r="578" spans="2:18" s="2019" customFormat="1" hidden="1">
      <c r="B578" s="2020"/>
      <c r="M578" s="2020"/>
      <c r="N578" s="2020"/>
      <c r="O578" s="2020"/>
      <c r="P578" s="2020"/>
      <c r="Q578" s="2020"/>
      <c r="R578" s="2020"/>
    </row>
    <row r="579" spans="2:18" s="2019" customFormat="1" hidden="1">
      <c r="B579" s="2020"/>
      <c r="M579" s="2020"/>
      <c r="N579" s="2020"/>
      <c r="O579" s="2020"/>
      <c r="P579" s="2020"/>
      <c r="Q579" s="2020"/>
      <c r="R579" s="2020"/>
    </row>
    <row r="580" spans="2:18" s="2019" customFormat="1" hidden="1">
      <c r="B580" s="2020"/>
      <c r="M580" s="2020"/>
      <c r="N580" s="2020"/>
      <c r="O580" s="2020"/>
      <c r="P580" s="2020"/>
      <c r="Q580" s="2020"/>
      <c r="R580" s="2020"/>
    </row>
    <row r="581" spans="2:18" s="2019" customFormat="1" hidden="1">
      <c r="B581" s="2020"/>
      <c r="M581" s="2020"/>
      <c r="N581" s="2020"/>
      <c r="O581" s="2020"/>
      <c r="P581" s="2020"/>
      <c r="Q581" s="2020"/>
      <c r="R581" s="2020"/>
    </row>
    <row r="582" spans="2:18" s="2019" customFormat="1" hidden="1">
      <c r="B582" s="2020"/>
      <c r="M582" s="2020"/>
      <c r="N582" s="2020"/>
      <c r="O582" s="2020"/>
      <c r="P582" s="2020"/>
      <c r="Q582" s="2020"/>
      <c r="R582" s="2020"/>
    </row>
    <row r="583" spans="2:18" s="2019" customFormat="1" hidden="1">
      <c r="B583" s="2020"/>
      <c r="M583" s="2020"/>
      <c r="N583" s="2020"/>
      <c r="O583" s="2020"/>
      <c r="P583" s="2020"/>
      <c r="Q583" s="2020"/>
      <c r="R583" s="2020"/>
    </row>
    <row r="584" spans="2:18" s="2019" customFormat="1" hidden="1">
      <c r="B584" s="2020"/>
      <c r="M584" s="2020"/>
      <c r="N584" s="2020"/>
      <c r="O584" s="2020"/>
      <c r="P584" s="2020"/>
      <c r="Q584" s="2020"/>
      <c r="R584" s="2020"/>
    </row>
    <row r="585" spans="2:18" s="2019" customFormat="1" hidden="1">
      <c r="B585" s="2020"/>
      <c r="M585" s="2020"/>
      <c r="N585" s="2020"/>
      <c r="O585" s="2020"/>
      <c r="P585" s="2020"/>
      <c r="Q585" s="2020"/>
      <c r="R585" s="2020"/>
    </row>
    <row r="586" spans="2:18" s="2019" customFormat="1" hidden="1">
      <c r="B586" s="2020"/>
      <c r="M586" s="2020"/>
      <c r="N586" s="2020"/>
      <c r="O586" s="2020"/>
      <c r="P586" s="2020"/>
      <c r="Q586" s="2020"/>
      <c r="R586" s="2020"/>
    </row>
    <row r="587" spans="2:18" s="2019" customFormat="1" hidden="1">
      <c r="B587" s="2020"/>
      <c r="M587" s="2020"/>
      <c r="N587" s="2020"/>
      <c r="O587" s="2020"/>
      <c r="P587" s="2020"/>
      <c r="Q587" s="2020"/>
      <c r="R587" s="2020"/>
    </row>
    <row r="588" spans="2:18" s="2019" customFormat="1" hidden="1">
      <c r="B588" s="2020"/>
      <c r="M588" s="2020"/>
      <c r="N588" s="2020"/>
      <c r="O588" s="2020"/>
      <c r="P588" s="2020"/>
      <c r="Q588" s="2020"/>
      <c r="R588" s="2020"/>
    </row>
    <row r="589" spans="2:18" s="2019" customFormat="1" hidden="1">
      <c r="B589" s="2020"/>
      <c r="M589" s="2020"/>
      <c r="N589" s="2020"/>
      <c r="O589" s="2020"/>
      <c r="P589" s="2020"/>
      <c r="Q589" s="2020"/>
      <c r="R589" s="2020"/>
    </row>
    <row r="590" spans="2:18" s="2019" customFormat="1" hidden="1">
      <c r="B590" s="2020"/>
      <c r="M590" s="2020"/>
      <c r="N590" s="2020"/>
      <c r="O590" s="2020"/>
      <c r="P590" s="2020"/>
      <c r="Q590" s="2020"/>
      <c r="R590" s="2020"/>
    </row>
    <row r="591" spans="2:18" s="2019" customFormat="1" hidden="1">
      <c r="B591" s="2020"/>
      <c r="M591" s="2020"/>
      <c r="N591" s="2020"/>
      <c r="O591" s="2020"/>
      <c r="P591" s="2020"/>
      <c r="Q591" s="2020"/>
      <c r="R591" s="2020"/>
    </row>
    <row r="592" spans="2:18" s="2019" customFormat="1" hidden="1">
      <c r="B592" s="2020"/>
      <c r="M592" s="2020"/>
      <c r="N592" s="2020"/>
      <c r="O592" s="2020"/>
      <c r="P592" s="2020"/>
      <c r="Q592" s="2020"/>
      <c r="R592" s="2020"/>
    </row>
    <row r="593" spans="2:18" s="2019" customFormat="1" hidden="1">
      <c r="B593" s="2020"/>
      <c r="M593" s="2020"/>
      <c r="N593" s="2020"/>
      <c r="O593" s="2020"/>
      <c r="P593" s="2020"/>
      <c r="Q593" s="2020"/>
      <c r="R593" s="2020"/>
    </row>
    <row r="594" spans="2:18" s="2019" customFormat="1" hidden="1">
      <c r="B594" s="2020"/>
      <c r="M594" s="2020"/>
      <c r="N594" s="2020"/>
      <c r="O594" s="2020"/>
      <c r="P594" s="2020"/>
      <c r="Q594" s="2020"/>
      <c r="R594" s="2020"/>
    </row>
    <row r="595" spans="2:18" s="2019" customFormat="1" hidden="1">
      <c r="B595" s="2020"/>
      <c r="M595" s="2020"/>
      <c r="N595" s="2020"/>
      <c r="O595" s="2020"/>
      <c r="P595" s="2020"/>
      <c r="Q595" s="2020"/>
      <c r="R595" s="2020"/>
    </row>
    <row r="596" spans="2:18" s="2019" customFormat="1" hidden="1">
      <c r="B596" s="2020"/>
      <c r="M596" s="2020"/>
      <c r="N596" s="2020"/>
      <c r="O596" s="2020"/>
      <c r="P596" s="2020"/>
      <c r="Q596" s="2020"/>
      <c r="R596" s="2020"/>
    </row>
    <row r="597" spans="2:18" s="2019" customFormat="1" hidden="1">
      <c r="B597" s="2020"/>
      <c r="M597" s="2020"/>
      <c r="N597" s="2020"/>
      <c r="O597" s="2020"/>
      <c r="P597" s="2020"/>
      <c r="Q597" s="2020"/>
      <c r="R597" s="2020"/>
    </row>
    <row r="598" spans="2:18" s="2019" customFormat="1" hidden="1">
      <c r="B598" s="2020"/>
      <c r="M598" s="2020"/>
      <c r="N598" s="2020"/>
      <c r="O598" s="2020"/>
      <c r="P598" s="2020"/>
      <c r="Q598" s="2020"/>
      <c r="R598" s="2020"/>
    </row>
    <row r="599" spans="2:18" s="2019" customFormat="1" hidden="1">
      <c r="B599" s="2020"/>
      <c r="M599" s="2020"/>
      <c r="N599" s="2020"/>
      <c r="O599" s="2020"/>
      <c r="P599" s="2020"/>
      <c r="Q599" s="2020"/>
      <c r="R599" s="2020"/>
    </row>
    <row r="600" spans="2:18" s="2019" customFormat="1" hidden="1">
      <c r="B600" s="2020"/>
      <c r="M600" s="2020"/>
      <c r="N600" s="2020"/>
      <c r="O600" s="2020"/>
      <c r="P600" s="2020"/>
      <c r="Q600" s="2020"/>
      <c r="R600" s="2020"/>
    </row>
    <row r="601" spans="2:18" s="2019" customFormat="1" hidden="1">
      <c r="B601" s="2020"/>
      <c r="M601" s="2020"/>
      <c r="N601" s="2020"/>
      <c r="O601" s="2020"/>
      <c r="P601" s="2020"/>
      <c r="Q601" s="2020"/>
      <c r="R601" s="2020"/>
    </row>
    <row r="602" spans="2:18" s="2019" customFormat="1" hidden="1">
      <c r="B602" s="2020"/>
      <c r="M602" s="2020"/>
      <c r="N602" s="2020"/>
      <c r="O602" s="2020"/>
      <c r="P602" s="2020"/>
      <c r="Q602" s="2020"/>
      <c r="R602" s="2020"/>
    </row>
    <row r="603" spans="2:18" s="2019" customFormat="1" hidden="1">
      <c r="B603" s="2020"/>
      <c r="M603" s="2020"/>
      <c r="N603" s="2020"/>
      <c r="O603" s="2020"/>
      <c r="P603" s="2020"/>
      <c r="Q603" s="2020"/>
      <c r="R603" s="2020"/>
    </row>
    <row r="604" spans="2:18" s="2019" customFormat="1" hidden="1">
      <c r="B604" s="2020"/>
      <c r="M604" s="2020"/>
      <c r="N604" s="2020"/>
      <c r="O604" s="2020"/>
      <c r="P604" s="2020"/>
      <c r="Q604" s="2020"/>
      <c r="R604" s="2020"/>
    </row>
    <row r="605" spans="2:18" s="2019" customFormat="1" hidden="1">
      <c r="B605" s="2020"/>
      <c r="M605" s="2020"/>
      <c r="N605" s="2020"/>
      <c r="O605" s="2020"/>
      <c r="P605" s="2020"/>
      <c r="Q605" s="2020"/>
      <c r="R605" s="2020"/>
    </row>
    <row r="606" spans="2:18" s="2019" customFormat="1" hidden="1">
      <c r="B606" s="2020"/>
      <c r="M606" s="2020"/>
      <c r="N606" s="2020"/>
      <c r="O606" s="2020"/>
      <c r="P606" s="2020"/>
      <c r="Q606" s="2020"/>
      <c r="R606" s="2020"/>
    </row>
    <row r="607" spans="2:18" s="2019" customFormat="1" hidden="1">
      <c r="B607" s="2020"/>
      <c r="M607" s="2020"/>
      <c r="N607" s="2020"/>
      <c r="O607" s="2020"/>
      <c r="P607" s="2020"/>
      <c r="Q607" s="2020"/>
      <c r="R607" s="2020"/>
    </row>
    <row r="608" spans="2:18" s="2019" customFormat="1" hidden="1">
      <c r="B608" s="2020"/>
      <c r="M608" s="2020"/>
      <c r="N608" s="2020"/>
      <c r="O608" s="2020"/>
      <c r="P608" s="2020"/>
      <c r="Q608" s="2020"/>
      <c r="R608" s="2020"/>
    </row>
    <row r="609" spans="2:18" s="2019" customFormat="1" hidden="1">
      <c r="B609" s="2020"/>
      <c r="M609" s="2020"/>
      <c r="N609" s="2020"/>
      <c r="O609" s="2020"/>
      <c r="P609" s="2020"/>
      <c r="Q609" s="2020"/>
      <c r="R609" s="2020"/>
    </row>
    <row r="610" spans="2:18" s="2019" customFormat="1" hidden="1">
      <c r="B610" s="2020"/>
      <c r="M610" s="2020"/>
      <c r="N610" s="2020"/>
      <c r="O610" s="2020"/>
      <c r="P610" s="2020"/>
      <c r="Q610" s="2020"/>
      <c r="R610" s="2020"/>
    </row>
    <row r="611" spans="2:18" s="2019" customFormat="1" hidden="1">
      <c r="B611" s="2020"/>
      <c r="M611" s="2020"/>
      <c r="N611" s="2020"/>
      <c r="O611" s="2020"/>
      <c r="P611" s="2020"/>
      <c r="Q611" s="2020"/>
      <c r="R611" s="2020"/>
    </row>
    <row r="612" spans="2:18" s="2019" customFormat="1" hidden="1">
      <c r="B612" s="2020"/>
      <c r="M612" s="2020"/>
      <c r="N612" s="2020"/>
      <c r="O612" s="2020"/>
      <c r="P612" s="2020"/>
      <c r="Q612" s="2020"/>
      <c r="R612" s="2020"/>
    </row>
    <row r="613" spans="2:18" s="2019" customFormat="1" hidden="1">
      <c r="B613" s="2020"/>
      <c r="M613" s="2020"/>
      <c r="N613" s="2020"/>
      <c r="O613" s="2020"/>
      <c r="P613" s="2020"/>
      <c r="Q613" s="2020"/>
      <c r="R613" s="2020"/>
    </row>
    <row r="614" spans="2:18" s="2019" customFormat="1" hidden="1">
      <c r="B614" s="2020"/>
      <c r="M614" s="2020"/>
      <c r="N614" s="2020"/>
      <c r="O614" s="2020"/>
      <c r="P614" s="2020"/>
      <c r="Q614" s="2020"/>
      <c r="R614" s="2020"/>
    </row>
    <row r="615" spans="2:18" s="2019" customFormat="1" hidden="1">
      <c r="B615" s="2020"/>
      <c r="M615" s="2020"/>
      <c r="N615" s="2020"/>
      <c r="O615" s="2020"/>
      <c r="P615" s="2020"/>
      <c r="Q615" s="2020"/>
      <c r="R615" s="2020"/>
    </row>
    <row r="616" spans="2:18" s="2019" customFormat="1" hidden="1">
      <c r="B616" s="2020"/>
      <c r="M616" s="2020"/>
      <c r="N616" s="2020"/>
      <c r="O616" s="2020"/>
      <c r="P616" s="2020"/>
      <c r="Q616" s="2020"/>
      <c r="R616" s="2020"/>
    </row>
    <row r="617" spans="2:18" s="2019" customFormat="1" hidden="1">
      <c r="B617" s="2020"/>
      <c r="M617" s="2020"/>
      <c r="N617" s="2020"/>
      <c r="O617" s="2020"/>
      <c r="P617" s="2020"/>
      <c r="Q617" s="2020"/>
      <c r="R617" s="2020"/>
    </row>
    <row r="618" spans="2:18" s="2019" customFormat="1" hidden="1">
      <c r="B618" s="2020"/>
      <c r="M618" s="2020"/>
      <c r="N618" s="2020"/>
      <c r="O618" s="2020"/>
      <c r="P618" s="2020"/>
      <c r="Q618" s="2020"/>
      <c r="R618" s="2020"/>
    </row>
    <row r="619" spans="2:18" s="2019" customFormat="1" hidden="1">
      <c r="B619" s="2020"/>
      <c r="M619" s="2020"/>
      <c r="N619" s="2020"/>
      <c r="O619" s="2020"/>
      <c r="P619" s="2020"/>
      <c r="Q619" s="2020"/>
      <c r="R619" s="2020"/>
    </row>
    <row r="620" spans="2:18" s="2019" customFormat="1" hidden="1">
      <c r="B620" s="2020"/>
      <c r="M620" s="2020"/>
      <c r="N620" s="2020"/>
      <c r="O620" s="2020"/>
      <c r="P620" s="2020"/>
      <c r="Q620" s="2020"/>
      <c r="R620" s="2020"/>
    </row>
    <row r="621" spans="2:18" s="2019" customFormat="1" hidden="1">
      <c r="B621" s="2020"/>
      <c r="M621" s="2020"/>
      <c r="N621" s="2020"/>
      <c r="O621" s="2020"/>
      <c r="P621" s="2020"/>
      <c r="Q621" s="2020"/>
      <c r="R621" s="2020"/>
    </row>
    <row r="622" spans="2:18" s="2019" customFormat="1" hidden="1">
      <c r="B622" s="2020"/>
      <c r="M622" s="2020"/>
      <c r="N622" s="2020"/>
      <c r="O622" s="2020"/>
      <c r="P622" s="2020"/>
      <c r="Q622" s="2020"/>
      <c r="R622" s="2020"/>
    </row>
    <row r="623" spans="2:18" s="2019" customFormat="1" hidden="1">
      <c r="B623" s="2020"/>
      <c r="M623" s="2020"/>
      <c r="N623" s="2020"/>
      <c r="O623" s="2020"/>
      <c r="P623" s="2020"/>
      <c r="Q623" s="2020"/>
      <c r="R623" s="2020"/>
    </row>
    <row r="624" spans="2:18" s="2019" customFormat="1" hidden="1">
      <c r="B624" s="2020"/>
      <c r="M624" s="2020"/>
      <c r="N624" s="2020"/>
      <c r="O624" s="2020"/>
      <c r="P624" s="2020"/>
      <c r="Q624" s="2020"/>
      <c r="R624" s="2020"/>
    </row>
    <row r="625" spans="2:18" s="2019" customFormat="1" hidden="1">
      <c r="B625" s="2020"/>
      <c r="M625" s="2020"/>
      <c r="N625" s="2020"/>
      <c r="O625" s="2020"/>
      <c r="P625" s="2020"/>
      <c r="Q625" s="2020"/>
      <c r="R625" s="2020"/>
    </row>
    <row r="626" spans="2:18" s="2019" customFormat="1" hidden="1">
      <c r="B626" s="2020"/>
      <c r="M626" s="2020"/>
      <c r="N626" s="2020"/>
      <c r="O626" s="2020"/>
      <c r="P626" s="2020"/>
      <c r="Q626" s="2020"/>
      <c r="R626" s="2020"/>
    </row>
    <row r="627" spans="2:18" s="2019" customFormat="1" hidden="1">
      <c r="B627" s="2020"/>
      <c r="M627" s="2020"/>
      <c r="N627" s="2020"/>
      <c r="O627" s="2020"/>
      <c r="P627" s="2020"/>
      <c r="Q627" s="2020"/>
      <c r="R627" s="2020"/>
    </row>
    <row r="628" spans="2:18" s="2019" customFormat="1" hidden="1">
      <c r="B628" s="2020"/>
      <c r="M628" s="2020"/>
      <c r="N628" s="2020"/>
      <c r="O628" s="2020"/>
      <c r="P628" s="2020"/>
      <c r="Q628" s="2020"/>
      <c r="R628" s="2020"/>
    </row>
    <row r="629" spans="2:18" s="2019" customFormat="1" hidden="1">
      <c r="B629" s="2020"/>
      <c r="M629" s="2020"/>
      <c r="N629" s="2020"/>
      <c r="O629" s="2020"/>
      <c r="P629" s="2020"/>
      <c r="Q629" s="2020"/>
      <c r="R629" s="2020"/>
    </row>
    <row r="630" spans="2:18" s="2019" customFormat="1" hidden="1">
      <c r="B630" s="2020"/>
      <c r="M630" s="2020"/>
      <c r="N630" s="2020"/>
      <c r="O630" s="2020"/>
      <c r="P630" s="2020"/>
      <c r="Q630" s="2020"/>
      <c r="R630" s="2020"/>
    </row>
    <row r="631" spans="2:18" s="2019" customFormat="1" hidden="1">
      <c r="B631" s="2020"/>
      <c r="M631" s="2020"/>
      <c r="N631" s="2020"/>
      <c r="O631" s="2020"/>
      <c r="P631" s="2020"/>
      <c r="Q631" s="2020"/>
      <c r="R631" s="2020"/>
    </row>
    <row r="632" spans="2:18" s="2019" customFormat="1" hidden="1">
      <c r="B632" s="2020"/>
      <c r="M632" s="2020"/>
      <c r="N632" s="2020"/>
      <c r="O632" s="2020"/>
      <c r="P632" s="2020"/>
      <c r="Q632" s="2020"/>
      <c r="R632" s="2020"/>
    </row>
    <row r="633" spans="2:18" s="2019" customFormat="1" hidden="1">
      <c r="B633" s="2020"/>
      <c r="M633" s="2020"/>
      <c r="N633" s="2020"/>
      <c r="O633" s="2020"/>
      <c r="P633" s="2020"/>
      <c r="Q633" s="2020"/>
      <c r="R633" s="2020"/>
    </row>
    <row r="634" spans="2:18" s="2019" customFormat="1" hidden="1">
      <c r="B634" s="2020"/>
      <c r="M634" s="2020"/>
      <c r="N634" s="2020"/>
      <c r="O634" s="2020"/>
      <c r="P634" s="2020"/>
      <c r="Q634" s="2020"/>
      <c r="R634" s="2020"/>
    </row>
    <row r="635" spans="2:18" s="2019" customFormat="1" hidden="1">
      <c r="B635" s="2020"/>
      <c r="M635" s="2020"/>
      <c r="N635" s="2020"/>
      <c r="O635" s="2020"/>
      <c r="P635" s="2020"/>
      <c r="Q635" s="2020"/>
      <c r="R635" s="2020"/>
    </row>
    <row r="636" spans="2:18" s="2019" customFormat="1" hidden="1">
      <c r="B636" s="2020"/>
      <c r="M636" s="2020"/>
      <c r="N636" s="2020"/>
      <c r="O636" s="2020"/>
      <c r="P636" s="2020"/>
      <c r="Q636" s="2020"/>
      <c r="R636" s="2020"/>
    </row>
    <row r="637" spans="2:18" s="2019" customFormat="1" hidden="1">
      <c r="B637" s="2020"/>
      <c r="M637" s="2020"/>
      <c r="N637" s="2020"/>
      <c r="O637" s="2020"/>
      <c r="P637" s="2020"/>
      <c r="Q637" s="2020"/>
      <c r="R637" s="2020"/>
    </row>
    <row r="638" spans="2:18" s="2019" customFormat="1" hidden="1">
      <c r="B638" s="2020"/>
      <c r="M638" s="2020"/>
      <c r="N638" s="2020"/>
      <c r="O638" s="2020"/>
      <c r="P638" s="2020"/>
      <c r="Q638" s="2020"/>
      <c r="R638" s="2020"/>
    </row>
    <row r="639" spans="2:18" s="2019" customFormat="1" hidden="1">
      <c r="B639" s="2020"/>
      <c r="M639" s="2020"/>
      <c r="N639" s="2020"/>
      <c r="O639" s="2020"/>
      <c r="P639" s="2020"/>
      <c r="Q639" s="2020"/>
      <c r="R639" s="2020"/>
    </row>
    <row r="640" spans="2:18" s="2019" customFormat="1" hidden="1">
      <c r="B640" s="2020"/>
      <c r="M640" s="2020"/>
      <c r="N640" s="2020"/>
      <c r="O640" s="2020"/>
      <c r="P640" s="2020"/>
      <c r="Q640" s="2020"/>
      <c r="R640" s="2020"/>
    </row>
    <row r="641" spans="2:18" s="2019" customFormat="1" hidden="1">
      <c r="B641" s="2020"/>
      <c r="M641" s="2020"/>
      <c r="N641" s="2020"/>
      <c r="O641" s="2020"/>
      <c r="P641" s="2020"/>
      <c r="Q641" s="2020"/>
      <c r="R641" s="2020"/>
    </row>
    <row r="642" spans="2:18" s="2019" customFormat="1" hidden="1">
      <c r="B642" s="2020"/>
      <c r="M642" s="2020"/>
      <c r="N642" s="2020"/>
      <c r="O642" s="2020"/>
      <c r="P642" s="2020"/>
      <c r="Q642" s="2020"/>
      <c r="R642" s="2020"/>
    </row>
    <row r="643" spans="2:18" s="2019" customFormat="1" hidden="1">
      <c r="B643" s="2020"/>
      <c r="M643" s="2020"/>
      <c r="N643" s="2020"/>
      <c r="O643" s="2020"/>
      <c r="P643" s="2020"/>
      <c r="Q643" s="2020"/>
      <c r="R643" s="2020"/>
    </row>
    <row r="644" spans="2:18" s="2019" customFormat="1" hidden="1">
      <c r="B644" s="2020"/>
      <c r="M644" s="2020"/>
      <c r="N644" s="2020"/>
      <c r="O644" s="2020"/>
      <c r="P644" s="2020"/>
      <c r="Q644" s="2020"/>
      <c r="R644" s="2020"/>
    </row>
    <row r="645" spans="2:18" s="2019" customFormat="1" hidden="1">
      <c r="B645" s="2020"/>
      <c r="M645" s="2020"/>
      <c r="N645" s="2020"/>
      <c r="O645" s="2020"/>
      <c r="P645" s="2020"/>
      <c r="Q645" s="2020"/>
      <c r="R645" s="2020"/>
    </row>
    <row r="646" spans="2:18" s="2019" customFormat="1" hidden="1">
      <c r="B646" s="2020"/>
      <c r="M646" s="2020"/>
      <c r="N646" s="2020"/>
      <c r="O646" s="2020"/>
      <c r="P646" s="2020"/>
      <c r="Q646" s="2020"/>
      <c r="R646" s="2020"/>
    </row>
    <row r="647" spans="2:18" s="2019" customFormat="1" hidden="1">
      <c r="B647" s="2020"/>
      <c r="M647" s="2020"/>
      <c r="N647" s="2020"/>
      <c r="O647" s="2020"/>
      <c r="P647" s="2020"/>
      <c r="Q647" s="2020"/>
      <c r="R647" s="2020"/>
    </row>
    <row r="648" spans="2:18" s="2019" customFormat="1" hidden="1">
      <c r="B648" s="2020"/>
      <c r="M648" s="2020"/>
      <c r="N648" s="2020"/>
      <c r="O648" s="2020"/>
      <c r="P648" s="2020"/>
      <c r="Q648" s="2020"/>
      <c r="R648" s="2020"/>
    </row>
    <row r="649" spans="2:18" s="2019" customFormat="1" hidden="1">
      <c r="B649" s="2020"/>
      <c r="M649" s="2020"/>
      <c r="N649" s="2020"/>
      <c r="O649" s="2020"/>
      <c r="P649" s="2020"/>
      <c r="Q649" s="2020"/>
      <c r="R649" s="2020"/>
    </row>
    <row r="650" spans="2:18" s="2019" customFormat="1" hidden="1">
      <c r="B650" s="2020"/>
      <c r="M650" s="2020"/>
      <c r="N650" s="2020"/>
      <c r="O650" s="2020"/>
      <c r="P650" s="2020"/>
      <c r="Q650" s="2020"/>
      <c r="R650" s="2020"/>
    </row>
    <row r="651" spans="2:18" s="2019" customFormat="1" hidden="1">
      <c r="B651" s="2020"/>
      <c r="M651" s="2020"/>
      <c r="N651" s="2020"/>
      <c r="O651" s="2020"/>
      <c r="P651" s="2020"/>
      <c r="Q651" s="2020"/>
      <c r="R651" s="2020"/>
    </row>
    <row r="652" spans="2:18" s="2019" customFormat="1" hidden="1">
      <c r="B652" s="2020"/>
      <c r="M652" s="2020"/>
      <c r="N652" s="2020"/>
      <c r="O652" s="2020"/>
      <c r="P652" s="2020"/>
      <c r="Q652" s="2020"/>
      <c r="R652" s="2020"/>
    </row>
    <row r="653" spans="2:18" s="2019" customFormat="1" hidden="1">
      <c r="B653" s="2020"/>
      <c r="M653" s="2020"/>
      <c r="N653" s="2020"/>
      <c r="O653" s="2020"/>
      <c r="P653" s="2020"/>
      <c r="Q653" s="2020"/>
      <c r="R653" s="2020"/>
    </row>
    <row r="654" spans="2:18" s="2019" customFormat="1" hidden="1">
      <c r="B654" s="2020"/>
      <c r="M654" s="2020"/>
      <c r="N654" s="2020"/>
      <c r="O654" s="2020"/>
      <c r="P654" s="2020"/>
      <c r="Q654" s="2020"/>
      <c r="R654" s="2020"/>
    </row>
    <row r="655" spans="2:18" s="2019" customFormat="1" hidden="1">
      <c r="B655" s="2020"/>
      <c r="M655" s="2020"/>
      <c r="N655" s="2020"/>
      <c r="O655" s="2020"/>
      <c r="P655" s="2020"/>
      <c r="Q655" s="2020"/>
      <c r="R655" s="2020"/>
    </row>
    <row r="656" spans="2:18" s="2019" customFormat="1" hidden="1">
      <c r="B656" s="2020"/>
      <c r="M656" s="2020"/>
      <c r="N656" s="2020"/>
      <c r="O656" s="2020"/>
      <c r="P656" s="2020"/>
      <c r="Q656" s="2020"/>
      <c r="R656" s="2020"/>
    </row>
    <row r="657" spans="2:18" s="2019" customFormat="1" hidden="1">
      <c r="B657" s="2020"/>
      <c r="M657" s="2020"/>
      <c r="N657" s="2020"/>
      <c r="O657" s="2020"/>
      <c r="P657" s="2020"/>
      <c r="Q657" s="2020"/>
      <c r="R657" s="2020"/>
    </row>
    <row r="658" spans="2:18" s="2019" customFormat="1" hidden="1">
      <c r="B658" s="2020"/>
      <c r="M658" s="2020"/>
      <c r="N658" s="2020"/>
      <c r="O658" s="2020"/>
      <c r="P658" s="2020"/>
      <c r="Q658" s="2020"/>
      <c r="R658" s="2020"/>
    </row>
    <row r="659" spans="2:18" s="2019" customFormat="1" hidden="1">
      <c r="B659" s="2020"/>
      <c r="M659" s="2020"/>
      <c r="N659" s="2020"/>
      <c r="O659" s="2020"/>
      <c r="P659" s="2020"/>
      <c r="Q659" s="2020"/>
      <c r="R659" s="2020"/>
    </row>
    <row r="660" spans="2:18" s="2019" customFormat="1" hidden="1">
      <c r="B660" s="2020"/>
      <c r="M660" s="2020"/>
      <c r="N660" s="2020"/>
      <c r="O660" s="2020"/>
      <c r="P660" s="2020"/>
      <c r="Q660" s="2020"/>
      <c r="R660" s="2020"/>
    </row>
    <row r="661" spans="2:18" s="2019" customFormat="1" hidden="1">
      <c r="B661" s="2020"/>
      <c r="M661" s="2020"/>
      <c r="N661" s="2020"/>
      <c r="O661" s="2020"/>
      <c r="P661" s="2020"/>
      <c r="Q661" s="2020"/>
      <c r="R661" s="2020"/>
    </row>
    <row r="662" spans="2:18" s="2019" customFormat="1" hidden="1">
      <c r="B662" s="2020"/>
      <c r="M662" s="2020"/>
      <c r="N662" s="2020"/>
      <c r="O662" s="2020"/>
      <c r="P662" s="2020"/>
      <c r="Q662" s="2020"/>
      <c r="R662" s="2020"/>
    </row>
    <row r="663" spans="2:18" s="2019" customFormat="1" hidden="1">
      <c r="B663" s="2020"/>
      <c r="M663" s="2020"/>
      <c r="N663" s="2020"/>
      <c r="O663" s="2020"/>
      <c r="P663" s="2020"/>
      <c r="Q663" s="2020"/>
      <c r="R663" s="2020"/>
    </row>
    <row r="664" spans="2:18" s="2019" customFormat="1" hidden="1">
      <c r="B664" s="2020"/>
      <c r="M664" s="2020"/>
      <c r="N664" s="2020"/>
      <c r="O664" s="2020"/>
      <c r="P664" s="2020"/>
      <c r="Q664" s="2020"/>
      <c r="R664" s="2020"/>
    </row>
    <row r="665" spans="2:18" s="2019" customFormat="1" hidden="1">
      <c r="B665" s="2020"/>
      <c r="M665" s="2020"/>
      <c r="N665" s="2020"/>
      <c r="O665" s="2020"/>
      <c r="P665" s="2020"/>
      <c r="Q665" s="2020"/>
      <c r="R665" s="2020"/>
    </row>
    <row r="666" spans="2:18" s="2019" customFormat="1" hidden="1">
      <c r="B666" s="2020"/>
      <c r="M666" s="2020"/>
      <c r="N666" s="2020"/>
      <c r="O666" s="2020"/>
      <c r="P666" s="2020"/>
      <c r="Q666" s="2020"/>
      <c r="R666" s="2020"/>
    </row>
    <row r="667" spans="2:18" s="2019" customFormat="1" hidden="1">
      <c r="B667" s="2020"/>
      <c r="M667" s="2020"/>
      <c r="N667" s="2020"/>
      <c r="O667" s="2020"/>
      <c r="P667" s="2020"/>
      <c r="Q667" s="2020"/>
      <c r="R667" s="2020"/>
    </row>
    <row r="668" spans="2:18" s="2019" customFormat="1" hidden="1">
      <c r="B668" s="2020"/>
      <c r="M668" s="2020"/>
      <c r="N668" s="2020"/>
      <c r="O668" s="2020"/>
      <c r="P668" s="2020"/>
      <c r="Q668" s="2020"/>
      <c r="R668" s="2020"/>
    </row>
    <row r="669" spans="2:18" s="2019" customFormat="1" hidden="1">
      <c r="B669" s="2020"/>
      <c r="M669" s="2020"/>
      <c r="N669" s="2020"/>
      <c r="O669" s="2020"/>
      <c r="P669" s="2020"/>
      <c r="Q669" s="2020"/>
      <c r="R669" s="2020"/>
    </row>
    <row r="670" spans="2:18" s="2019" customFormat="1" hidden="1">
      <c r="B670" s="2020"/>
      <c r="M670" s="2020"/>
      <c r="N670" s="2020"/>
      <c r="O670" s="2020"/>
      <c r="P670" s="2020"/>
      <c r="Q670" s="2020"/>
      <c r="R670" s="2020"/>
    </row>
    <row r="671" spans="2:18" s="2019" customFormat="1" hidden="1">
      <c r="B671" s="2020"/>
      <c r="M671" s="2020"/>
      <c r="N671" s="2020"/>
      <c r="O671" s="2020"/>
      <c r="P671" s="2020"/>
      <c r="Q671" s="2020"/>
      <c r="R671" s="2020"/>
    </row>
    <row r="672" spans="2:18" s="2019" customFormat="1" hidden="1">
      <c r="B672" s="2020"/>
      <c r="M672" s="2020"/>
      <c r="N672" s="2020"/>
      <c r="O672" s="2020"/>
      <c r="P672" s="2020"/>
      <c r="Q672" s="2020"/>
      <c r="R672" s="2020"/>
    </row>
    <row r="673" spans="2:18" s="2019" customFormat="1" hidden="1">
      <c r="B673" s="2020"/>
      <c r="M673" s="2020"/>
      <c r="N673" s="2020"/>
      <c r="O673" s="2020"/>
      <c r="P673" s="2020"/>
      <c r="Q673" s="2020"/>
      <c r="R673" s="2020"/>
    </row>
    <row r="674" spans="2:18" s="2019" customFormat="1" hidden="1">
      <c r="B674" s="2020"/>
      <c r="M674" s="2020"/>
      <c r="N674" s="2020"/>
      <c r="O674" s="2020"/>
      <c r="P674" s="2020"/>
      <c r="Q674" s="2020"/>
      <c r="R674" s="2020"/>
    </row>
    <row r="675" spans="2:18" s="2019" customFormat="1" hidden="1">
      <c r="B675" s="2020"/>
      <c r="M675" s="2020"/>
      <c r="N675" s="2020"/>
      <c r="O675" s="2020"/>
      <c r="P675" s="2020"/>
      <c r="Q675" s="2020"/>
      <c r="R675" s="2020"/>
    </row>
    <row r="676" spans="2:18" s="2019" customFormat="1" hidden="1">
      <c r="B676" s="2020"/>
      <c r="M676" s="2020"/>
      <c r="N676" s="2020"/>
      <c r="O676" s="2020"/>
      <c r="P676" s="2020"/>
      <c r="Q676" s="2020"/>
      <c r="R676" s="2020"/>
    </row>
    <row r="677" spans="2:18" s="2019" customFormat="1" hidden="1">
      <c r="B677" s="2020"/>
      <c r="M677" s="2020"/>
      <c r="N677" s="2020"/>
      <c r="O677" s="2020"/>
      <c r="P677" s="2020"/>
      <c r="Q677" s="2020"/>
      <c r="R677" s="2020"/>
    </row>
    <row r="678" spans="2:18" s="2019" customFormat="1" hidden="1">
      <c r="B678" s="2020"/>
      <c r="M678" s="2020"/>
      <c r="N678" s="2020"/>
      <c r="O678" s="2020"/>
      <c r="P678" s="2020"/>
      <c r="Q678" s="2020"/>
      <c r="R678" s="2020"/>
    </row>
    <row r="679" spans="2:18" s="2019" customFormat="1" hidden="1">
      <c r="B679" s="2020"/>
      <c r="M679" s="2020"/>
      <c r="N679" s="2020"/>
      <c r="O679" s="2020"/>
      <c r="P679" s="2020"/>
      <c r="Q679" s="2020"/>
      <c r="R679" s="2020"/>
    </row>
    <row r="680" spans="2:18" s="2019" customFormat="1" hidden="1">
      <c r="B680" s="2020"/>
      <c r="M680" s="2020"/>
      <c r="N680" s="2020"/>
      <c r="O680" s="2020"/>
      <c r="P680" s="2020"/>
      <c r="Q680" s="2020"/>
      <c r="R680" s="2020"/>
    </row>
    <row r="681" spans="2:18" s="2019" customFormat="1" hidden="1">
      <c r="B681" s="2020"/>
      <c r="M681" s="2020"/>
      <c r="N681" s="2020"/>
      <c r="O681" s="2020"/>
      <c r="P681" s="2020"/>
      <c r="Q681" s="2020"/>
      <c r="R681" s="2020"/>
    </row>
    <row r="682" spans="2:18" s="2019" customFormat="1" hidden="1">
      <c r="B682" s="2020"/>
      <c r="M682" s="2020"/>
      <c r="N682" s="2020"/>
      <c r="O682" s="2020"/>
      <c r="P682" s="2020"/>
      <c r="Q682" s="2020"/>
      <c r="R682" s="2020"/>
    </row>
    <row r="683" spans="2:18" s="2019" customFormat="1" hidden="1">
      <c r="B683" s="2020"/>
      <c r="M683" s="2020"/>
      <c r="N683" s="2020"/>
      <c r="O683" s="2020"/>
      <c r="P683" s="2020"/>
      <c r="Q683" s="2020"/>
      <c r="R683" s="2020"/>
    </row>
    <row r="684" spans="2:18" s="2019" customFormat="1" hidden="1">
      <c r="B684" s="2020"/>
      <c r="M684" s="2020"/>
      <c r="N684" s="2020"/>
      <c r="O684" s="2020"/>
      <c r="P684" s="2020"/>
      <c r="Q684" s="2020"/>
      <c r="R684" s="2020"/>
    </row>
    <row r="685" spans="2:18" s="2019" customFormat="1" hidden="1">
      <c r="B685" s="2020"/>
      <c r="M685" s="2020"/>
      <c r="N685" s="2020"/>
      <c r="O685" s="2020"/>
      <c r="P685" s="2020"/>
      <c r="Q685" s="2020"/>
      <c r="R685" s="2020"/>
    </row>
    <row r="686" spans="2:18" s="2019" customFormat="1" hidden="1">
      <c r="B686" s="2020"/>
      <c r="M686" s="2020"/>
      <c r="N686" s="2020"/>
      <c r="O686" s="2020"/>
      <c r="P686" s="2020"/>
      <c r="Q686" s="2020"/>
      <c r="R686" s="2020"/>
    </row>
    <row r="687" spans="2:18" s="2019" customFormat="1" hidden="1">
      <c r="B687" s="2020"/>
      <c r="M687" s="2020"/>
      <c r="N687" s="2020"/>
      <c r="O687" s="2020"/>
      <c r="P687" s="2020"/>
      <c r="Q687" s="2020"/>
      <c r="R687" s="2020"/>
    </row>
    <row r="688" spans="2:18" s="2019" customFormat="1" hidden="1">
      <c r="B688" s="2020"/>
      <c r="M688" s="2020"/>
      <c r="N688" s="2020"/>
      <c r="O688" s="2020"/>
      <c r="P688" s="2020"/>
      <c r="Q688" s="2020"/>
      <c r="R688" s="2020"/>
    </row>
    <row r="689" spans="2:18" s="2019" customFormat="1" hidden="1">
      <c r="B689" s="2020"/>
      <c r="M689" s="2020"/>
      <c r="N689" s="2020"/>
      <c r="O689" s="2020"/>
      <c r="P689" s="2020"/>
      <c r="Q689" s="2020"/>
      <c r="R689" s="2020"/>
    </row>
    <row r="690" spans="2:18" s="2019" customFormat="1" hidden="1">
      <c r="B690" s="2020"/>
      <c r="M690" s="2020"/>
      <c r="N690" s="2020"/>
      <c r="O690" s="2020"/>
      <c r="P690" s="2020"/>
      <c r="Q690" s="2020"/>
      <c r="R690" s="2020"/>
    </row>
    <row r="691" spans="2:18" s="2019" customFormat="1" hidden="1">
      <c r="B691" s="2020"/>
      <c r="M691" s="2020"/>
      <c r="N691" s="2020"/>
      <c r="O691" s="2020"/>
      <c r="P691" s="2020"/>
      <c r="Q691" s="2020"/>
      <c r="R691" s="2020"/>
    </row>
    <row r="692" spans="2:18" s="2019" customFormat="1" hidden="1">
      <c r="B692" s="2020"/>
      <c r="M692" s="2020"/>
      <c r="N692" s="2020"/>
      <c r="O692" s="2020"/>
      <c r="P692" s="2020"/>
      <c r="Q692" s="2020"/>
      <c r="R692" s="2020"/>
    </row>
    <row r="693" spans="2:18" s="2019" customFormat="1" hidden="1">
      <c r="B693" s="2020"/>
      <c r="M693" s="2020"/>
      <c r="N693" s="2020"/>
      <c r="O693" s="2020"/>
      <c r="P693" s="2020"/>
      <c r="Q693" s="2020"/>
      <c r="R693" s="2020"/>
    </row>
    <row r="694" spans="2:18" s="2019" customFormat="1" hidden="1">
      <c r="B694" s="2020"/>
      <c r="M694" s="2020"/>
      <c r="N694" s="2020"/>
      <c r="O694" s="2020"/>
      <c r="P694" s="2020"/>
      <c r="Q694" s="2020"/>
      <c r="R694" s="2020"/>
    </row>
    <row r="695" spans="2:18" s="2019" customFormat="1" hidden="1">
      <c r="B695" s="2020"/>
      <c r="M695" s="2020"/>
      <c r="N695" s="2020"/>
      <c r="O695" s="2020"/>
      <c r="P695" s="2020"/>
      <c r="Q695" s="2020"/>
      <c r="R695" s="2020"/>
    </row>
    <row r="696" spans="2:18" s="2019" customFormat="1" hidden="1">
      <c r="B696" s="2020"/>
      <c r="M696" s="2020"/>
      <c r="N696" s="2020"/>
      <c r="O696" s="2020"/>
      <c r="P696" s="2020"/>
      <c r="Q696" s="2020"/>
      <c r="R696" s="2020"/>
    </row>
    <row r="697" spans="2:18" s="2019" customFormat="1" hidden="1">
      <c r="B697" s="2020"/>
      <c r="M697" s="2020"/>
      <c r="N697" s="2020"/>
      <c r="O697" s="2020"/>
      <c r="P697" s="2020"/>
      <c r="Q697" s="2020"/>
      <c r="R697" s="2020"/>
    </row>
    <row r="698" spans="2:18" s="2019" customFormat="1" hidden="1">
      <c r="B698" s="2020"/>
      <c r="M698" s="2020"/>
      <c r="N698" s="2020"/>
      <c r="O698" s="2020"/>
      <c r="P698" s="2020"/>
      <c r="Q698" s="2020"/>
      <c r="R698" s="2020"/>
    </row>
    <row r="699" spans="2:18" s="2019" customFormat="1" hidden="1">
      <c r="B699" s="2020"/>
      <c r="M699" s="2020"/>
      <c r="N699" s="2020"/>
      <c r="O699" s="2020"/>
      <c r="P699" s="2020"/>
      <c r="Q699" s="2020"/>
      <c r="R699" s="2020"/>
    </row>
    <row r="700" spans="2:18" s="2019" customFormat="1" hidden="1">
      <c r="B700" s="2020"/>
      <c r="M700" s="2020"/>
      <c r="N700" s="2020"/>
      <c r="O700" s="2020"/>
      <c r="P700" s="2020"/>
      <c r="Q700" s="2020"/>
      <c r="R700" s="2020"/>
    </row>
    <row r="701" spans="2:18" s="2019" customFormat="1" hidden="1">
      <c r="B701" s="2020"/>
      <c r="M701" s="2020"/>
      <c r="N701" s="2020"/>
      <c r="O701" s="2020"/>
      <c r="P701" s="2020"/>
      <c r="Q701" s="2020"/>
      <c r="R701" s="2020"/>
    </row>
    <row r="702" spans="2:18" s="2019" customFormat="1" hidden="1">
      <c r="B702" s="2020"/>
      <c r="M702" s="2020"/>
      <c r="N702" s="2020"/>
      <c r="O702" s="2020"/>
      <c r="P702" s="2020"/>
      <c r="Q702" s="2020"/>
      <c r="R702" s="2020"/>
    </row>
    <row r="703" spans="2:18" s="2019" customFormat="1" hidden="1">
      <c r="B703" s="2020"/>
      <c r="M703" s="2020"/>
      <c r="N703" s="2020"/>
      <c r="O703" s="2020"/>
      <c r="P703" s="2020"/>
      <c r="Q703" s="2020"/>
      <c r="R703" s="2020"/>
    </row>
    <row r="704" spans="2:18" s="2019" customFormat="1" hidden="1">
      <c r="B704" s="2020"/>
      <c r="M704" s="2020"/>
      <c r="N704" s="2020"/>
      <c r="O704" s="2020"/>
      <c r="P704" s="2020"/>
      <c r="Q704" s="2020"/>
      <c r="R704" s="2020"/>
    </row>
    <row r="705" spans="2:18" s="2019" customFormat="1" hidden="1">
      <c r="B705" s="2020"/>
      <c r="M705" s="2020"/>
      <c r="N705" s="2020"/>
      <c r="O705" s="2020"/>
      <c r="P705" s="2020"/>
      <c r="Q705" s="2020"/>
      <c r="R705" s="2020"/>
    </row>
    <row r="706" spans="2:18" s="2019" customFormat="1" hidden="1">
      <c r="B706" s="2020"/>
      <c r="M706" s="2020"/>
      <c r="N706" s="2020"/>
      <c r="O706" s="2020"/>
      <c r="P706" s="2020"/>
      <c r="Q706" s="2020"/>
      <c r="R706" s="2020"/>
    </row>
    <row r="707" spans="2:18" s="2019" customFormat="1" hidden="1">
      <c r="B707" s="2020"/>
      <c r="M707" s="2020"/>
      <c r="N707" s="2020"/>
      <c r="O707" s="2020"/>
      <c r="P707" s="2020"/>
      <c r="Q707" s="2020"/>
      <c r="R707" s="2020"/>
    </row>
    <row r="708" spans="2:18" s="2019" customFormat="1" hidden="1">
      <c r="B708" s="2020"/>
      <c r="M708" s="2020"/>
      <c r="N708" s="2020"/>
      <c r="O708" s="2020"/>
      <c r="P708" s="2020"/>
      <c r="Q708" s="2020"/>
      <c r="R708" s="2020"/>
    </row>
    <row r="709" spans="2:18" s="2019" customFormat="1" hidden="1">
      <c r="B709" s="2020"/>
      <c r="M709" s="2020"/>
      <c r="N709" s="2020"/>
      <c r="O709" s="2020"/>
      <c r="P709" s="2020"/>
      <c r="Q709" s="2020"/>
      <c r="R709" s="2020"/>
    </row>
    <row r="710" spans="2:18" s="2019" customFormat="1" hidden="1">
      <c r="B710" s="2020"/>
      <c r="M710" s="2020"/>
      <c r="N710" s="2020"/>
      <c r="O710" s="2020"/>
      <c r="P710" s="2020"/>
      <c r="Q710" s="2020"/>
      <c r="R710" s="2020"/>
    </row>
    <row r="711" spans="2:18" s="2019" customFormat="1" hidden="1">
      <c r="B711" s="2020"/>
      <c r="M711" s="2020"/>
      <c r="N711" s="2020"/>
      <c r="O711" s="2020"/>
      <c r="P711" s="2020"/>
      <c r="Q711" s="2020"/>
      <c r="R711" s="2020"/>
    </row>
    <row r="712" spans="2:18" s="2019" customFormat="1" hidden="1">
      <c r="B712" s="2020"/>
      <c r="M712" s="2020"/>
      <c r="N712" s="2020"/>
      <c r="O712" s="2020"/>
      <c r="P712" s="2020"/>
      <c r="Q712" s="2020"/>
      <c r="R712" s="2020"/>
    </row>
    <row r="713" spans="2:18" s="2019" customFormat="1" hidden="1">
      <c r="B713" s="2020"/>
      <c r="M713" s="2020"/>
      <c r="N713" s="2020"/>
      <c r="O713" s="2020"/>
      <c r="P713" s="2020"/>
      <c r="Q713" s="2020"/>
      <c r="R713" s="2020"/>
    </row>
    <row r="714" spans="2:18" s="2019" customFormat="1" hidden="1">
      <c r="B714" s="2020"/>
      <c r="M714" s="2020"/>
      <c r="N714" s="2020"/>
      <c r="O714" s="2020"/>
      <c r="P714" s="2020"/>
      <c r="Q714" s="2020"/>
      <c r="R714" s="2020"/>
    </row>
    <row r="715" spans="2:18" s="2019" customFormat="1" hidden="1">
      <c r="B715" s="2020"/>
      <c r="M715" s="2020"/>
      <c r="N715" s="2020"/>
      <c r="O715" s="2020"/>
      <c r="P715" s="2020"/>
      <c r="Q715" s="2020"/>
      <c r="R715" s="2020"/>
    </row>
    <row r="716" spans="2:18" s="2019" customFormat="1" hidden="1">
      <c r="B716" s="2020"/>
      <c r="M716" s="2020"/>
      <c r="N716" s="2020"/>
      <c r="O716" s="2020"/>
      <c r="P716" s="2020"/>
      <c r="Q716" s="2020"/>
      <c r="R716" s="2020"/>
    </row>
    <row r="717" spans="2:18" s="2019" customFormat="1" hidden="1">
      <c r="B717" s="2020"/>
      <c r="M717" s="2020"/>
      <c r="N717" s="2020"/>
      <c r="O717" s="2020"/>
      <c r="P717" s="2020"/>
      <c r="Q717" s="2020"/>
      <c r="R717" s="2020"/>
    </row>
    <row r="718" spans="2:18" s="2019" customFormat="1" hidden="1">
      <c r="B718" s="2020"/>
      <c r="M718" s="2020"/>
      <c r="N718" s="2020"/>
      <c r="O718" s="2020"/>
      <c r="P718" s="2020"/>
      <c r="Q718" s="2020"/>
      <c r="R718" s="2020"/>
    </row>
    <row r="719" spans="2:18" s="2019" customFormat="1" hidden="1">
      <c r="B719" s="2020"/>
      <c r="M719" s="2020"/>
      <c r="N719" s="2020"/>
      <c r="O719" s="2020"/>
      <c r="P719" s="2020"/>
      <c r="Q719" s="2020"/>
      <c r="R719" s="2020"/>
    </row>
    <row r="720" spans="2:18" s="2019" customFormat="1" hidden="1">
      <c r="B720" s="2020"/>
      <c r="M720" s="2020"/>
      <c r="N720" s="2020"/>
      <c r="O720" s="2020"/>
      <c r="P720" s="2020"/>
      <c r="Q720" s="2020"/>
      <c r="R720" s="2020"/>
    </row>
    <row r="721" spans="2:18" s="2019" customFormat="1" hidden="1">
      <c r="B721" s="2020"/>
      <c r="M721" s="2020"/>
      <c r="N721" s="2020"/>
      <c r="O721" s="2020"/>
      <c r="P721" s="2020"/>
      <c r="Q721" s="2020"/>
      <c r="R721" s="2020"/>
    </row>
    <row r="722" spans="2:18" s="2019" customFormat="1" hidden="1">
      <c r="B722" s="2020"/>
      <c r="M722" s="2020"/>
      <c r="N722" s="2020"/>
      <c r="O722" s="2020"/>
      <c r="P722" s="2020"/>
      <c r="Q722" s="2020"/>
      <c r="R722" s="2020"/>
    </row>
    <row r="723" spans="2:18" s="2019" customFormat="1" hidden="1">
      <c r="B723" s="2020"/>
      <c r="M723" s="2020"/>
      <c r="N723" s="2020"/>
      <c r="O723" s="2020"/>
      <c r="P723" s="2020"/>
      <c r="Q723" s="2020"/>
      <c r="R723" s="2020"/>
    </row>
    <row r="724" spans="2:18" s="2019" customFormat="1" hidden="1">
      <c r="B724" s="2020"/>
      <c r="M724" s="2020"/>
      <c r="N724" s="2020"/>
      <c r="O724" s="2020"/>
      <c r="P724" s="2020"/>
      <c r="Q724" s="2020"/>
      <c r="R724" s="2020"/>
    </row>
    <row r="725" spans="2:18" s="2019" customFormat="1" hidden="1">
      <c r="B725" s="2020"/>
      <c r="M725" s="2020"/>
      <c r="N725" s="2020"/>
      <c r="O725" s="2020"/>
      <c r="P725" s="2020"/>
      <c r="Q725" s="2020"/>
      <c r="R725" s="2020"/>
    </row>
    <row r="726" spans="2:18" s="2019" customFormat="1" hidden="1">
      <c r="B726" s="2020"/>
      <c r="M726" s="2020"/>
      <c r="N726" s="2020"/>
      <c r="O726" s="2020"/>
      <c r="P726" s="2020"/>
      <c r="Q726" s="2020"/>
      <c r="R726" s="2020"/>
    </row>
    <row r="727" spans="2:18" s="2019" customFormat="1" hidden="1">
      <c r="B727" s="2020"/>
      <c r="M727" s="2020"/>
      <c r="N727" s="2020"/>
      <c r="O727" s="2020"/>
      <c r="P727" s="2020"/>
      <c r="Q727" s="2020"/>
      <c r="R727" s="2020"/>
    </row>
    <row r="728" spans="2:18" s="2019" customFormat="1" hidden="1">
      <c r="B728" s="2020"/>
      <c r="M728" s="2020"/>
      <c r="N728" s="2020"/>
      <c r="O728" s="2020"/>
      <c r="P728" s="2020"/>
      <c r="Q728" s="2020"/>
      <c r="R728" s="2020"/>
    </row>
    <row r="729" spans="2:18" s="2019" customFormat="1" hidden="1">
      <c r="B729" s="2020"/>
      <c r="M729" s="2020"/>
      <c r="N729" s="2020"/>
      <c r="O729" s="2020"/>
      <c r="P729" s="2020"/>
      <c r="Q729" s="2020"/>
      <c r="R729" s="2020"/>
    </row>
    <row r="730" spans="2:18" s="2019" customFormat="1" hidden="1">
      <c r="B730" s="2020"/>
      <c r="M730" s="2020"/>
      <c r="N730" s="2020"/>
      <c r="O730" s="2020"/>
      <c r="P730" s="2020"/>
      <c r="Q730" s="2020"/>
      <c r="R730" s="2020"/>
    </row>
    <row r="731" spans="2:18" s="2019" customFormat="1" hidden="1">
      <c r="B731" s="2020"/>
      <c r="M731" s="2020"/>
      <c r="N731" s="2020"/>
      <c r="O731" s="2020"/>
      <c r="P731" s="2020"/>
      <c r="Q731" s="2020"/>
      <c r="R731" s="2020"/>
    </row>
    <row r="732" spans="2:18" s="2019" customFormat="1" hidden="1">
      <c r="B732" s="2020"/>
      <c r="M732" s="2020"/>
      <c r="N732" s="2020"/>
      <c r="O732" s="2020"/>
      <c r="P732" s="2020"/>
      <c r="Q732" s="2020"/>
      <c r="R732" s="2020"/>
    </row>
    <row r="733" spans="2:18" s="2019" customFormat="1" hidden="1">
      <c r="B733" s="2020"/>
      <c r="M733" s="2020"/>
      <c r="N733" s="2020"/>
      <c r="O733" s="2020"/>
      <c r="P733" s="2020"/>
      <c r="Q733" s="2020"/>
      <c r="R733" s="2020"/>
    </row>
    <row r="734" spans="2:18" s="2019" customFormat="1" hidden="1">
      <c r="B734" s="2020"/>
      <c r="M734" s="2020"/>
      <c r="N734" s="2020"/>
      <c r="O734" s="2020"/>
      <c r="P734" s="2020"/>
      <c r="Q734" s="2020"/>
      <c r="R734" s="2020"/>
    </row>
    <row r="735" spans="2:18" s="2019" customFormat="1" hidden="1">
      <c r="B735" s="2020"/>
      <c r="M735" s="2020"/>
      <c r="N735" s="2020"/>
      <c r="O735" s="2020"/>
      <c r="P735" s="2020"/>
      <c r="Q735" s="2020"/>
      <c r="R735" s="2020"/>
    </row>
    <row r="736" spans="2:18" s="2019" customFormat="1" hidden="1">
      <c r="B736" s="2020"/>
      <c r="M736" s="2020"/>
      <c r="N736" s="2020"/>
      <c r="O736" s="2020"/>
      <c r="P736" s="2020"/>
      <c r="Q736" s="2020"/>
      <c r="R736" s="2020"/>
    </row>
    <row r="737" spans="2:18" s="2019" customFormat="1" hidden="1">
      <c r="B737" s="2020"/>
      <c r="M737" s="2020"/>
      <c r="N737" s="2020"/>
      <c r="O737" s="2020"/>
      <c r="P737" s="2020"/>
      <c r="Q737" s="2020"/>
      <c r="R737" s="2020"/>
    </row>
    <row r="738" spans="2:18" s="2019" customFormat="1" hidden="1">
      <c r="B738" s="2020"/>
      <c r="M738" s="2020"/>
      <c r="N738" s="2020"/>
      <c r="O738" s="2020"/>
      <c r="P738" s="2020"/>
      <c r="Q738" s="2020"/>
      <c r="R738" s="2020"/>
    </row>
    <row r="739" spans="2:18" s="2019" customFormat="1" hidden="1">
      <c r="B739" s="2020"/>
      <c r="M739" s="2020"/>
      <c r="N739" s="2020"/>
      <c r="O739" s="2020"/>
      <c r="P739" s="2020"/>
      <c r="Q739" s="2020"/>
      <c r="R739" s="2020"/>
    </row>
    <row r="740" spans="2:18" s="2019" customFormat="1" hidden="1">
      <c r="B740" s="2020"/>
      <c r="M740" s="2020"/>
      <c r="N740" s="2020"/>
      <c r="O740" s="2020"/>
      <c r="P740" s="2020"/>
      <c r="Q740" s="2020"/>
      <c r="R740" s="2020"/>
    </row>
    <row r="741" spans="2:18" s="2019" customFormat="1" hidden="1">
      <c r="B741" s="2020"/>
      <c r="M741" s="2020"/>
      <c r="N741" s="2020"/>
      <c r="O741" s="2020"/>
      <c r="P741" s="2020"/>
      <c r="Q741" s="2020"/>
      <c r="R741" s="2020"/>
    </row>
    <row r="742" spans="2:18" s="2019" customFormat="1" hidden="1">
      <c r="B742" s="2020"/>
      <c r="M742" s="2020"/>
      <c r="N742" s="2020"/>
      <c r="O742" s="2020"/>
      <c r="P742" s="2020"/>
      <c r="Q742" s="2020"/>
      <c r="R742" s="2020"/>
    </row>
    <row r="743" spans="2:18" s="2019" customFormat="1" hidden="1">
      <c r="B743" s="2020"/>
      <c r="M743" s="2020"/>
      <c r="N743" s="2020"/>
      <c r="O743" s="2020"/>
      <c r="P743" s="2020"/>
      <c r="Q743" s="2020"/>
      <c r="R743" s="2020"/>
    </row>
    <row r="744" spans="2:18" s="2019" customFormat="1" hidden="1">
      <c r="B744" s="2020"/>
      <c r="M744" s="2020"/>
      <c r="N744" s="2020"/>
      <c r="O744" s="2020"/>
      <c r="P744" s="2020"/>
      <c r="Q744" s="2020"/>
      <c r="R744" s="2020"/>
    </row>
    <row r="745" spans="2:18" s="2019" customFormat="1" hidden="1">
      <c r="B745" s="2020"/>
      <c r="M745" s="2020"/>
      <c r="N745" s="2020"/>
      <c r="O745" s="2020"/>
      <c r="P745" s="2020"/>
      <c r="Q745" s="2020"/>
      <c r="R745" s="2020"/>
    </row>
    <row r="746" spans="2:18" s="2019" customFormat="1" hidden="1">
      <c r="B746" s="2020"/>
      <c r="M746" s="2020"/>
      <c r="N746" s="2020"/>
      <c r="O746" s="2020"/>
      <c r="P746" s="2020"/>
      <c r="Q746" s="2020"/>
      <c r="R746" s="2020"/>
    </row>
    <row r="747" spans="2:18" s="2019" customFormat="1" hidden="1">
      <c r="B747" s="2020"/>
      <c r="M747" s="2020"/>
      <c r="N747" s="2020"/>
      <c r="O747" s="2020"/>
      <c r="P747" s="2020"/>
      <c r="Q747" s="2020"/>
      <c r="R747" s="2020"/>
    </row>
    <row r="748" spans="2:18" s="2019" customFormat="1" hidden="1">
      <c r="B748" s="2020"/>
      <c r="M748" s="2020"/>
      <c r="N748" s="2020"/>
      <c r="O748" s="2020"/>
      <c r="P748" s="2020"/>
      <c r="Q748" s="2020"/>
      <c r="R748" s="2020"/>
    </row>
    <row r="749" spans="2:18" s="2019" customFormat="1" hidden="1">
      <c r="B749" s="2020"/>
      <c r="M749" s="2020"/>
      <c r="N749" s="2020"/>
      <c r="O749" s="2020"/>
      <c r="P749" s="2020"/>
      <c r="Q749" s="2020"/>
      <c r="R749" s="2020"/>
    </row>
    <row r="750" spans="2:18" s="2019" customFormat="1" hidden="1">
      <c r="B750" s="2020"/>
      <c r="M750" s="2020"/>
      <c r="N750" s="2020"/>
      <c r="O750" s="2020"/>
      <c r="P750" s="2020"/>
      <c r="Q750" s="2020"/>
      <c r="R750" s="2020"/>
    </row>
    <row r="751" spans="2:18" s="2019" customFormat="1" hidden="1">
      <c r="B751" s="2020"/>
      <c r="M751" s="2020"/>
      <c r="N751" s="2020"/>
      <c r="O751" s="2020"/>
      <c r="P751" s="2020"/>
      <c r="Q751" s="2020"/>
      <c r="R751" s="2020"/>
    </row>
    <row r="752" spans="2:18" s="2019" customFormat="1" hidden="1">
      <c r="B752" s="2020"/>
      <c r="M752" s="2020"/>
      <c r="N752" s="2020"/>
      <c r="O752" s="2020"/>
      <c r="P752" s="2020"/>
      <c r="Q752" s="2020"/>
      <c r="R752" s="2020"/>
    </row>
    <row r="753" spans="2:18" s="2019" customFormat="1" hidden="1">
      <c r="B753" s="2020"/>
      <c r="M753" s="2020"/>
      <c r="N753" s="2020"/>
      <c r="O753" s="2020"/>
      <c r="P753" s="2020"/>
      <c r="Q753" s="2020"/>
      <c r="R753" s="2020"/>
    </row>
    <row r="754" spans="2:18" s="2019" customFormat="1" hidden="1">
      <c r="B754" s="2020"/>
      <c r="M754" s="2020"/>
      <c r="N754" s="2020"/>
      <c r="O754" s="2020"/>
      <c r="P754" s="2020"/>
      <c r="Q754" s="2020"/>
      <c r="R754" s="2020"/>
    </row>
    <row r="755" spans="2:18" s="2019" customFormat="1" hidden="1">
      <c r="B755" s="2020"/>
      <c r="M755" s="2020"/>
      <c r="N755" s="2020"/>
      <c r="O755" s="2020"/>
      <c r="P755" s="2020"/>
      <c r="Q755" s="2020"/>
      <c r="R755" s="2020"/>
    </row>
    <row r="756" spans="2:18" s="2019" customFormat="1" hidden="1">
      <c r="B756" s="2020"/>
      <c r="M756" s="2020"/>
      <c r="N756" s="2020"/>
      <c r="O756" s="2020"/>
      <c r="P756" s="2020"/>
      <c r="Q756" s="2020"/>
      <c r="R756" s="2020"/>
    </row>
    <row r="757" spans="2:18" s="2019" customFormat="1" hidden="1">
      <c r="B757" s="2020"/>
      <c r="M757" s="2020"/>
      <c r="N757" s="2020"/>
      <c r="O757" s="2020"/>
      <c r="P757" s="2020"/>
      <c r="Q757" s="2020"/>
      <c r="R757" s="2020"/>
    </row>
    <row r="758" spans="2:18" s="2019" customFormat="1" hidden="1">
      <c r="B758" s="2020"/>
      <c r="M758" s="2020"/>
      <c r="N758" s="2020"/>
      <c r="O758" s="2020"/>
      <c r="P758" s="2020"/>
      <c r="Q758" s="2020"/>
      <c r="R758" s="2020"/>
    </row>
    <row r="759" spans="2:18" s="2019" customFormat="1" hidden="1">
      <c r="B759" s="2020"/>
      <c r="M759" s="2020"/>
      <c r="N759" s="2020"/>
      <c r="O759" s="2020"/>
      <c r="P759" s="2020"/>
      <c r="Q759" s="2020"/>
      <c r="R759" s="2020"/>
    </row>
    <row r="760" spans="2:18" s="2019" customFormat="1" hidden="1">
      <c r="B760" s="2020"/>
      <c r="M760" s="2020"/>
      <c r="N760" s="2020"/>
      <c r="O760" s="2020"/>
      <c r="P760" s="2020"/>
      <c r="Q760" s="2020"/>
      <c r="R760" s="2020"/>
    </row>
    <row r="761" spans="2:18" s="2019" customFormat="1" hidden="1">
      <c r="B761" s="2020"/>
      <c r="M761" s="2020"/>
      <c r="N761" s="2020"/>
      <c r="O761" s="2020"/>
      <c r="P761" s="2020"/>
      <c r="Q761" s="2020"/>
      <c r="R761" s="2020"/>
    </row>
    <row r="762" spans="2:18" s="2019" customFormat="1" hidden="1">
      <c r="B762" s="2020"/>
      <c r="M762" s="2020"/>
      <c r="N762" s="2020"/>
      <c r="O762" s="2020"/>
      <c r="P762" s="2020"/>
      <c r="Q762" s="2020"/>
      <c r="R762" s="2020"/>
    </row>
    <row r="763" spans="2:18" s="2019" customFormat="1" hidden="1">
      <c r="B763" s="2020"/>
      <c r="M763" s="2020"/>
      <c r="N763" s="2020"/>
      <c r="O763" s="2020"/>
      <c r="P763" s="2020"/>
      <c r="Q763" s="2020"/>
      <c r="R763" s="2020"/>
    </row>
    <row r="764" spans="2:18" s="2019" customFormat="1" hidden="1">
      <c r="B764" s="2020"/>
      <c r="M764" s="2020"/>
      <c r="N764" s="2020"/>
      <c r="O764" s="2020"/>
      <c r="P764" s="2020"/>
      <c r="Q764" s="2020"/>
      <c r="R764" s="2020"/>
    </row>
    <row r="765" spans="2:18" s="2019" customFormat="1" hidden="1">
      <c r="B765" s="2020"/>
      <c r="M765" s="2020"/>
      <c r="N765" s="2020"/>
      <c r="O765" s="2020"/>
      <c r="P765" s="2020"/>
      <c r="Q765" s="2020"/>
      <c r="R765" s="2020"/>
    </row>
    <row r="766" spans="2:18" s="2019" customFormat="1" hidden="1">
      <c r="B766" s="2020"/>
      <c r="M766" s="2020"/>
      <c r="N766" s="2020"/>
      <c r="O766" s="2020"/>
      <c r="P766" s="2020"/>
      <c r="Q766" s="2020"/>
      <c r="R766" s="2020"/>
    </row>
    <row r="767" spans="2:18" s="2019" customFormat="1" hidden="1">
      <c r="B767" s="2020"/>
      <c r="M767" s="2020"/>
      <c r="N767" s="2020"/>
      <c r="O767" s="2020"/>
      <c r="P767" s="2020"/>
      <c r="Q767" s="2020"/>
      <c r="R767" s="2020"/>
    </row>
    <row r="768" spans="2:18" s="2019" customFormat="1" hidden="1">
      <c r="B768" s="2020"/>
      <c r="M768" s="2020"/>
      <c r="N768" s="2020"/>
      <c r="O768" s="2020"/>
      <c r="P768" s="2020"/>
      <c r="Q768" s="2020"/>
      <c r="R768" s="2020"/>
    </row>
    <row r="769" spans="2:18" s="2019" customFormat="1" hidden="1">
      <c r="B769" s="2020"/>
      <c r="M769" s="2020"/>
      <c r="N769" s="2020"/>
      <c r="O769" s="2020"/>
      <c r="P769" s="2020"/>
      <c r="Q769" s="2020"/>
      <c r="R769" s="2020"/>
    </row>
    <row r="770" spans="2:18" s="2019" customFormat="1" hidden="1">
      <c r="B770" s="2020"/>
      <c r="M770" s="2020"/>
      <c r="N770" s="2020"/>
      <c r="O770" s="2020"/>
      <c r="P770" s="2020"/>
      <c r="Q770" s="2020"/>
      <c r="R770" s="2020"/>
    </row>
    <row r="771" spans="2:18" s="2019" customFormat="1" hidden="1">
      <c r="B771" s="2020"/>
      <c r="M771" s="2020"/>
      <c r="N771" s="2020"/>
      <c r="O771" s="2020"/>
      <c r="P771" s="2020"/>
      <c r="Q771" s="2020"/>
      <c r="R771" s="2020"/>
    </row>
    <row r="772" spans="2:18" s="2019" customFormat="1" hidden="1">
      <c r="B772" s="2020"/>
      <c r="M772" s="2020"/>
      <c r="N772" s="2020"/>
      <c r="O772" s="2020"/>
      <c r="P772" s="2020"/>
      <c r="Q772" s="2020"/>
      <c r="R772" s="2020"/>
    </row>
    <row r="773" spans="2:18" s="2019" customFormat="1" hidden="1">
      <c r="B773" s="2020"/>
      <c r="M773" s="2020"/>
      <c r="N773" s="2020"/>
      <c r="O773" s="2020"/>
      <c r="P773" s="2020"/>
      <c r="Q773" s="2020"/>
      <c r="R773" s="2020"/>
    </row>
    <row r="774" spans="2:18" s="2019" customFormat="1" hidden="1">
      <c r="B774" s="2020"/>
      <c r="M774" s="2020"/>
      <c r="N774" s="2020"/>
      <c r="O774" s="2020"/>
      <c r="P774" s="2020"/>
      <c r="Q774" s="2020"/>
      <c r="R774" s="2020"/>
    </row>
    <row r="775" spans="2:18" s="2019" customFormat="1" hidden="1">
      <c r="B775" s="2020"/>
      <c r="M775" s="2020"/>
      <c r="N775" s="2020"/>
      <c r="O775" s="2020"/>
      <c r="P775" s="2020"/>
      <c r="Q775" s="2020"/>
      <c r="R775" s="2020"/>
    </row>
    <row r="776" spans="2:18" s="2019" customFormat="1" hidden="1">
      <c r="B776" s="2020"/>
      <c r="M776" s="2020"/>
      <c r="N776" s="2020"/>
      <c r="O776" s="2020"/>
      <c r="P776" s="2020"/>
      <c r="Q776" s="2020"/>
      <c r="R776" s="2020"/>
    </row>
    <row r="777" spans="2:18" s="2019" customFormat="1" hidden="1">
      <c r="B777" s="2020"/>
      <c r="M777" s="2020"/>
      <c r="N777" s="2020"/>
      <c r="O777" s="2020"/>
      <c r="P777" s="2020"/>
      <c r="Q777" s="2020"/>
      <c r="R777" s="2020"/>
    </row>
    <row r="778" spans="2:18" s="2019" customFormat="1" hidden="1">
      <c r="B778" s="2020"/>
      <c r="M778" s="2020"/>
      <c r="N778" s="2020"/>
      <c r="O778" s="2020"/>
      <c r="P778" s="2020"/>
      <c r="Q778" s="2020"/>
      <c r="R778" s="2020"/>
    </row>
    <row r="779" spans="2:18" s="2019" customFormat="1" hidden="1">
      <c r="B779" s="2020"/>
      <c r="M779" s="2020"/>
      <c r="N779" s="2020"/>
      <c r="O779" s="2020"/>
      <c r="P779" s="2020"/>
      <c r="Q779" s="2020"/>
      <c r="R779" s="2020"/>
    </row>
    <row r="780" spans="2:18" s="2019" customFormat="1" hidden="1">
      <c r="B780" s="2020"/>
      <c r="M780" s="2020"/>
      <c r="N780" s="2020"/>
      <c r="O780" s="2020"/>
      <c r="P780" s="2020"/>
      <c r="Q780" s="2020"/>
      <c r="R780" s="2020"/>
    </row>
    <row r="781" spans="2:18" s="2019" customFormat="1" hidden="1">
      <c r="B781" s="2020"/>
      <c r="M781" s="2020"/>
      <c r="N781" s="2020"/>
      <c r="O781" s="2020"/>
      <c r="P781" s="2020"/>
      <c r="Q781" s="2020"/>
      <c r="R781" s="2020"/>
    </row>
    <row r="782" spans="2:18" s="2019" customFormat="1" hidden="1">
      <c r="B782" s="2020"/>
      <c r="M782" s="2020"/>
      <c r="N782" s="2020"/>
      <c r="O782" s="2020"/>
      <c r="P782" s="2020"/>
      <c r="Q782" s="2020"/>
      <c r="R782" s="2020"/>
    </row>
    <row r="783" spans="2:18" s="2019" customFormat="1" hidden="1">
      <c r="B783" s="2020"/>
      <c r="M783" s="2020"/>
      <c r="N783" s="2020"/>
      <c r="O783" s="2020"/>
      <c r="P783" s="2020"/>
      <c r="Q783" s="2020"/>
      <c r="R783" s="2020"/>
    </row>
    <row r="784" spans="2:18" s="2019" customFormat="1" hidden="1">
      <c r="B784" s="2020"/>
      <c r="M784" s="2020"/>
      <c r="N784" s="2020"/>
      <c r="O784" s="2020"/>
      <c r="P784" s="2020"/>
      <c r="Q784" s="2020"/>
      <c r="R784" s="2020"/>
    </row>
    <row r="785" spans="2:18" s="2019" customFormat="1" hidden="1">
      <c r="B785" s="2020"/>
      <c r="M785" s="2020"/>
      <c r="N785" s="2020"/>
      <c r="O785" s="2020"/>
      <c r="P785" s="2020"/>
      <c r="Q785" s="2020"/>
      <c r="R785" s="2020"/>
    </row>
    <row r="786" spans="2:18" s="2019" customFormat="1" hidden="1">
      <c r="B786" s="2020"/>
      <c r="M786" s="2020"/>
      <c r="N786" s="2020"/>
      <c r="O786" s="2020"/>
      <c r="P786" s="2020"/>
      <c r="Q786" s="2020"/>
      <c r="R786" s="2020"/>
    </row>
    <row r="787" spans="2:18" s="2019" customFormat="1" hidden="1">
      <c r="B787" s="2020"/>
      <c r="M787" s="2020"/>
      <c r="N787" s="2020"/>
      <c r="O787" s="2020"/>
      <c r="P787" s="2020"/>
      <c r="Q787" s="2020"/>
      <c r="R787" s="2020"/>
    </row>
    <row r="788" spans="2:18" s="2019" customFormat="1" hidden="1">
      <c r="B788" s="2020"/>
      <c r="M788" s="2020"/>
      <c r="N788" s="2020"/>
      <c r="O788" s="2020"/>
      <c r="P788" s="2020"/>
      <c r="Q788" s="2020"/>
      <c r="R788" s="2020"/>
    </row>
    <row r="789" spans="2:18" s="2019" customFormat="1" hidden="1">
      <c r="B789" s="2020"/>
      <c r="M789" s="2020"/>
      <c r="N789" s="2020"/>
      <c r="O789" s="2020"/>
      <c r="P789" s="2020"/>
      <c r="Q789" s="2020"/>
      <c r="R789" s="2020"/>
    </row>
    <row r="790" spans="2:18" s="2019" customFormat="1" hidden="1">
      <c r="B790" s="2020"/>
      <c r="M790" s="2020"/>
      <c r="N790" s="2020"/>
      <c r="O790" s="2020"/>
      <c r="P790" s="2020"/>
      <c r="Q790" s="2020"/>
      <c r="R790" s="2020"/>
    </row>
    <row r="791" spans="2:18" s="2019" customFormat="1" hidden="1">
      <c r="B791" s="2020"/>
      <c r="M791" s="2020"/>
      <c r="N791" s="2020"/>
      <c r="O791" s="2020"/>
      <c r="P791" s="2020"/>
      <c r="Q791" s="2020"/>
      <c r="R791" s="2020"/>
    </row>
    <row r="792" spans="2:18" s="2019" customFormat="1" hidden="1">
      <c r="B792" s="2020"/>
      <c r="M792" s="2020"/>
      <c r="N792" s="2020"/>
      <c r="O792" s="2020"/>
      <c r="P792" s="2020"/>
      <c r="Q792" s="2020"/>
      <c r="R792" s="2020"/>
    </row>
    <row r="793" spans="2:18" s="2019" customFormat="1" hidden="1">
      <c r="B793" s="2020"/>
      <c r="M793" s="2020"/>
      <c r="N793" s="2020"/>
      <c r="O793" s="2020"/>
      <c r="P793" s="2020"/>
      <c r="Q793" s="2020"/>
      <c r="R793" s="2020"/>
    </row>
    <row r="794" spans="2:18" s="2019" customFormat="1" hidden="1">
      <c r="B794" s="2020"/>
      <c r="M794" s="2020"/>
      <c r="N794" s="2020"/>
      <c r="O794" s="2020"/>
      <c r="P794" s="2020"/>
      <c r="Q794" s="2020"/>
      <c r="R794" s="2020"/>
    </row>
    <row r="795" spans="2:18" s="2019" customFormat="1" hidden="1">
      <c r="B795" s="2020"/>
      <c r="M795" s="2020"/>
      <c r="N795" s="2020"/>
      <c r="O795" s="2020"/>
      <c r="P795" s="2020"/>
      <c r="Q795" s="2020"/>
      <c r="R795" s="2020"/>
    </row>
    <row r="796" spans="2:18" s="2019" customFormat="1" hidden="1">
      <c r="B796" s="2020"/>
      <c r="M796" s="2020"/>
      <c r="N796" s="2020"/>
      <c r="O796" s="2020"/>
      <c r="P796" s="2020"/>
      <c r="Q796" s="2020"/>
      <c r="R796" s="2020"/>
    </row>
    <row r="797" spans="2:18" s="2019" customFormat="1" hidden="1">
      <c r="B797" s="2020"/>
      <c r="M797" s="2020"/>
      <c r="N797" s="2020"/>
      <c r="O797" s="2020"/>
      <c r="P797" s="2020"/>
      <c r="Q797" s="2020"/>
      <c r="R797" s="2020"/>
    </row>
    <row r="798" spans="2:18" s="2019" customFormat="1" hidden="1">
      <c r="B798" s="2020"/>
      <c r="M798" s="2020"/>
      <c r="N798" s="2020"/>
      <c r="O798" s="2020"/>
      <c r="P798" s="2020"/>
      <c r="Q798" s="2020"/>
      <c r="R798" s="2020"/>
    </row>
    <row r="799" spans="2:18" s="2019" customFormat="1" hidden="1">
      <c r="B799" s="2020"/>
      <c r="M799" s="2020"/>
      <c r="N799" s="2020"/>
      <c r="O799" s="2020"/>
      <c r="P799" s="2020"/>
      <c r="Q799" s="2020"/>
      <c r="R799" s="2020"/>
    </row>
    <row r="800" spans="2:18" s="2019" customFormat="1" hidden="1">
      <c r="B800" s="2020"/>
      <c r="M800" s="2020"/>
      <c r="N800" s="2020"/>
      <c r="O800" s="2020"/>
      <c r="P800" s="2020"/>
      <c r="Q800" s="2020"/>
      <c r="R800" s="2020"/>
    </row>
    <row r="801" spans="2:18" s="2019" customFormat="1" hidden="1">
      <c r="B801" s="2020"/>
      <c r="M801" s="2020"/>
      <c r="N801" s="2020"/>
      <c r="O801" s="2020"/>
      <c r="P801" s="2020"/>
      <c r="Q801" s="2020"/>
      <c r="R801" s="2020"/>
    </row>
    <row r="802" spans="2:18" s="2019" customFormat="1" hidden="1">
      <c r="B802" s="2020"/>
      <c r="M802" s="2020"/>
      <c r="N802" s="2020"/>
      <c r="O802" s="2020"/>
      <c r="P802" s="2020"/>
      <c r="Q802" s="2020"/>
      <c r="R802" s="2020"/>
    </row>
    <row r="803" spans="2:18" s="2019" customFormat="1" hidden="1">
      <c r="B803" s="2020"/>
      <c r="M803" s="2020"/>
      <c r="N803" s="2020"/>
      <c r="O803" s="2020"/>
      <c r="P803" s="2020"/>
      <c r="Q803" s="2020"/>
      <c r="R803" s="2020"/>
    </row>
    <row r="804" spans="2:18" s="2019" customFormat="1" hidden="1">
      <c r="B804" s="2020"/>
      <c r="M804" s="2020"/>
      <c r="N804" s="2020"/>
      <c r="O804" s="2020"/>
      <c r="P804" s="2020"/>
      <c r="Q804" s="2020"/>
      <c r="R804" s="2020"/>
    </row>
    <row r="805" spans="2:18" s="2019" customFormat="1" hidden="1">
      <c r="B805" s="2020"/>
      <c r="M805" s="2020"/>
      <c r="N805" s="2020"/>
      <c r="O805" s="2020"/>
      <c r="P805" s="2020"/>
      <c r="Q805" s="2020"/>
      <c r="R805" s="2020"/>
    </row>
    <row r="806" spans="2:18" s="2019" customFormat="1" hidden="1">
      <c r="B806" s="2020"/>
      <c r="M806" s="2020"/>
      <c r="N806" s="2020"/>
      <c r="O806" s="2020"/>
      <c r="P806" s="2020"/>
      <c r="Q806" s="2020"/>
      <c r="R806" s="2020"/>
    </row>
    <row r="807" spans="2:18" s="2019" customFormat="1" hidden="1">
      <c r="B807" s="2020"/>
      <c r="M807" s="2020"/>
      <c r="N807" s="2020"/>
      <c r="O807" s="2020"/>
      <c r="P807" s="2020"/>
      <c r="Q807" s="2020"/>
      <c r="R807" s="2020"/>
    </row>
    <row r="808" spans="2:18" s="2019" customFormat="1" hidden="1">
      <c r="B808" s="2020"/>
      <c r="M808" s="2020"/>
      <c r="N808" s="2020"/>
      <c r="O808" s="2020"/>
      <c r="P808" s="2020"/>
      <c r="Q808" s="2020"/>
      <c r="R808" s="2020"/>
    </row>
    <row r="809" spans="2:18" s="2019" customFormat="1" hidden="1">
      <c r="B809" s="2020"/>
      <c r="M809" s="2020"/>
      <c r="N809" s="2020"/>
      <c r="O809" s="2020"/>
      <c r="P809" s="2020"/>
      <c r="Q809" s="2020"/>
      <c r="R809" s="2020"/>
    </row>
    <row r="810" spans="2:18" s="2019" customFormat="1" hidden="1">
      <c r="B810" s="2020"/>
      <c r="M810" s="2020"/>
      <c r="N810" s="2020"/>
      <c r="O810" s="2020"/>
      <c r="P810" s="2020"/>
      <c r="Q810" s="2020"/>
      <c r="R810" s="2020"/>
    </row>
    <row r="811" spans="2:18" s="2019" customFormat="1" hidden="1">
      <c r="B811" s="2020"/>
      <c r="M811" s="2020"/>
      <c r="N811" s="2020"/>
      <c r="O811" s="2020"/>
      <c r="P811" s="2020"/>
      <c r="Q811" s="2020"/>
      <c r="R811" s="2020"/>
    </row>
    <row r="812" spans="2:18" s="2019" customFormat="1" hidden="1">
      <c r="B812" s="2020"/>
      <c r="M812" s="2020"/>
      <c r="N812" s="2020"/>
      <c r="O812" s="2020"/>
      <c r="P812" s="2020"/>
      <c r="Q812" s="2020"/>
      <c r="R812" s="2020"/>
    </row>
    <row r="813" spans="2:18" s="2019" customFormat="1" hidden="1">
      <c r="B813" s="2020"/>
      <c r="M813" s="2020"/>
      <c r="N813" s="2020"/>
      <c r="O813" s="2020"/>
      <c r="P813" s="2020"/>
      <c r="Q813" s="2020"/>
      <c r="R813" s="2020"/>
    </row>
    <row r="814" spans="2:18" s="2019" customFormat="1" hidden="1">
      <c r="B814" s="2020"/>
      <c r="M814" s="2020"/>
      <c r="N814" s="2020"/>
      <c r="O814" s="2020"/>
      <c r="P814" s="2020"/>
      <c r="Q814" s="2020"/>
      <c r="R814" s="2020"/>
    </row>
    <row r="815" spans="2:18" s="2019" customFormat="1" hidden="1">
      <c r="B815" s="2020"/>
      <c r="M815" s="2020"/>
      <c r="N815" s="2020"/>
      <c r="O815" s="2020"/>
      <c r="P815" s="2020"/>
      <c r="Q815" s="2020"/>
      <c r="R815" s="2020"/>
    </row>
    <row r="816" spans="2:18" s="2019" customFormat="1" hidden="1">
      <c r="B816" s="2020"/>
      <c r="M816" s="2020"/>
      <c r="N816" s="2020"/>
      <c r="O816" s="2020"/>
      <c r="P816" s="2020"/>
      <c r="Q816" s="2020"/>
      <c r="R816" s="2020"/>
    </row>
    <row r="817" spans="2:18" s="2019" customFormat="1" hidden="1">
      <c r="B817" s="2020"/>
      <c r="M817" s="2020"/>
      <c r="N817" s="2020"/>
      <c r="O817" s="2020"/>
      <c r="P817" s="2020"/>
      <c r="Q817" s="2020"/>
      <c r="R817" s="2020"/>
    </row>
    <row r="818" spans="2:18" s="2019" customFormat="1" hidden="1">
      <c r="B818" s="2020"/>
      <c r="M818" s="2020"/>
      <c r="N818" s="2020"/>
      <c r="O818" s="2020"/>
      <c r="P818" s="2020"/>
      <c r="Q818" s="2020"/>
      <c r="R818" s="2020"/>
    </row>
    <row r="819" spans="2:18" s="2019" customFormat="1" hidden="1">
      <c r="B819" s="2020"/>
      <c r="M819" s="2020"/>
      <c r="N819" s="2020"/>
      <c r="O819" s="2020"/>
      <c r="P819" s="2020"/>
      <c r="Q819" s="2020"/>
      <c r="R819" s="2020"/>
    </row>
    <row r="820" spans="2:18" s="2019" customFormat="1" hidden="1">
      <c r="B820" s="2020"/>
      <c r="M820" s="2020"/>
      <c r="N820" s="2020"/>
      <c r="O820" s="2020"/>
      <c r="P820" s="2020"/>
      <c r="Q820" s="2020"/>
      <c r="R820" s="2020"/>
    </row>
    <row r="821" spans="2:18" s="2019" customFormat="1" hidden="1">
      <c r="B821" s="2020"/>
      <c r="M821" s="2020"/>
      <c r="N821" s="2020"/>
      <c r="O821" s="2020"/>
      <c r="P821" s="2020"/>
      <c r="Q821" s="2020"/>
      <c r="R821" s="2020"/>
    </row>
    <row r="822" spans="2:18" s="2019" customFormat="1" hidden="1">
      <c r="B822" s="2020"/>
      <c r="M822" s="2020"/>
      <c r="N822" s="2020"/>
      <c r="O822" s="2020"/>
      <c r="P822" s="2020"/>
      <c r="Q822" s="2020"/>
      <c r="R822" s="2020"/>
    </row>
    <row r="823" spans="2:18" s="2019" customFormat="1" hidden="1">
      <c r="B823" s="2020"/>
      <c r="M823" s="2020"/>
      <c r="N823" s="2020"/>
      <c r="O823" s="2020"/>
      <c r="P823" s="2020"/>
      <c r="Q823" s="2020"/>
      <c r="R823" s="2020"/>
    </row>
    <row r="824" spans="2:18" s="2019" customFormat="1" hidden="1">
      <c r="B824" s="2020"/>
      <c r="M824" s="2020"/>
      <c r="N824" s="2020"/>
      <c r="O824" s="2020"/>
      <c r="P824" s="2020"/>
      <c r="Q824" s="2020"/>
      <c r="R824" s="2020"/>
    </row>
    <row r="825" spans="2:18" s="2019" customFormat="1" hidden="1">
      <c r="B825" s="2020"/>
      <c r="M825" s="2020"/>
      <c r="N825" s="2020"/>
      <c r="O825" s="2020"/>
      <c r="P825" s="2020"/>
      <c r="Q825" s="2020"/>
      <c r="R825" s="2020"/>
    </row>
    <row r="826" spans="2:18" s="2019" customFormat="1" hidden="1">
      <c r="B826" s="2020"/>
      <c r="M826" s="2020"/>
      <c r="N826" s="2020"/>
      <c r="O826" s="2020"/>
      <c r="P826" s="2020"/>
      <c r="Q826" s="2020"/>
      <c r="R826" s="2020"/>
    </row>
    <row r="827" spans="2:18" s="2019" customFormat="1" hidden="1">
      <c r="B827" s="2020"/>
      <c r="M827" s="2020"/>
      <c r="N827" s="2020"/>
      <c r="O827" s="2020"/>
      <c r="P827" s="2020"/>
      <c r="Q827" s="2020"/>
      <c r="R827" s="2020"/>
    </row>
    <row r="828" spans="2:18" s="2019" customFormat="1" hidden="1">
      <c r="B828" s="2020"/>
      <c r="M828" s="2020"/>
      <c r="N828" s="2020"/>
      <c r="O828" s="2020"/>
      <c r="P828" s="2020"/>
      <c r="Q828" s="2020"/>
      <c r="R828" s="2020"/>
    </row>
    <row r="829" spans="2:18" s="2019" customFormat="1" hidden="1">
      <c r="B829" s="2020"/>
      <c r="M829" s="2020"/>
      <c r="N829" s="2020"/>
      <c r="O829" s="2020"/>
      <c r="P829" s="2020"/>
      <c r="Q829" s="2020"/>
      <c r="R829" s="2020"/>
    </row>
    <row r="830" spans="2:18" s="2019" customFormat="1" hidden="1">
      <c r="B830" s="2020"/>
      <c r="M830" s="2020"/>
      <c r="N830" s="2020"/>
      <c r="O830" s="2020"/>
      <c r="P830" s="2020"/>
      <c r="Q830" s="2020"/>
      <c r="R830" s="2020"/>
    </row>
    <row r="831" spans="2:18" s="2019" customFormat="1" hidden="1">
      <c r="B831" s="2020"/>
      <c r="M831" s="2020"/>
      <c r="N831" s="2020"/>
      <c r="O831" s="2020"/>
      <c r="P831" s="2020"/>
      <c r="Q831" s="2020"/>
      <c r="R831" s="2020"/>
    </row>
    <row r="832" spans="2:18" s="2019" customFormat="1" hidden="1">
      <c r="B832" s="2020"/>
      <c r="M832" s="2020"/>
      <c r="N832" s="2020"/>
      <c r="O832" s="2020"/>
      <c r="P832" s="2020"/>
      <c r="Q832" s="2020"/>
      <c r="R832" s="2020"/>
    </row>
    <row r="833" spans="2:18" s="2019" customFormat="1" hidden="1">
      <c r="B833" s="2020"/>
      <c r="M833" s="2020"/>
      <c r="N833" s="2020"/>
      <c r="O833" s="2020"/>
      <c r="P833" s="2020"/>
      <c r="Q833" s="2020"/>
      <c r="R833" s="2020"/>
    </row>
    <row r="834" spans="2:18" s="2019" customFormat="1" hidden="1">
      <c r="B834" s="2020"/>
      <c r="M834" s="2020"/>
      <c r="N834" s="2020"/>
      <c r="O834" s="2020"/>
      <c r="P834" s="2020"/>
      <c r="Q834" s="2020"/>
      <c r="R834" s="2020"/>
    </row>
    <row r="835" spans="2:18" s="2019" customFormat="1" hidden="1">
      <c r="B835" s="2020"/>
      <c r="M835" s="2020"/>
      <c r="N835" s="2020"/>
      <c r="O835" s="2020"/>
      <c r="P835" s="2020"/>
      <c r="Q835" s="2020"/>
      <c r="R835" s="2020"/>
    </row>
    <row r="836" spans="2:18" s="2019" customFormat="1" hidden="1">
      <c r="B836" s="2020"/>
      <c r="M836" s="2020"/>
      <c r="N836" s="2020"/>
      <c r="O836" s="2020"/>
      <c r="P836" s="2020"/>
      <c r="Q836" s="2020"/>
      <c r="R836" s="2020"/>
    </row>
    <row r="837" spans="2:18" s="2019" customFormat="1" hidden="1">
      <c r="B837" s="2020"/>
      <c r="M837" s="2020"/>
      <c r="N837" s="2020"/>
      <c r="O837" s="2020"/>
      <c r="P837" s="2020"/>
      <c r="Q837" s="2020"/>
      <c r="R837" s="2020"/>
    </row>
    <row r="838" spans="2:18" s="2019" customFormat="1" hidden="1">
      <c r="B838" s="2020"/>
      <c r="M838" s="2020"/>
      <c r="N838" s="2020"/>
      <c r="O838" s="2020"/>
      <c r="P838" s="2020"/>
      <c r="Q838" s="2020"/>
      <c r="R838" s="2020"/>
    </row>
    <row r="839" spans="2:18" s="2019" customFormat="1" hidden="1">
      <c r="B839" s="2020"/>
      <c r="M839" s="2020"/>
      <c r="N839" s="2020"/>
      <c r="O839" s="2020"/>
      <c r="P839" s="2020"/>
      <c r="Q839" s="2020"/>
      <c r="R839" s="2020"/>
    </row>
    <row r="840" spans="2:18" s="2019" customFormat="1" hidden="1">
      <c r="B840" s="2020"/>
      <c r="M840" s="2020"/>
      <c r="N840" s="2020"/>
      <c r="O840" s="2020"/>
      <c r="P840" s="2020"/>
      <c r="Q840" s="2020"/>
      <c r="R840" s="2020"/>
    </row>
    <row r="841" spans="2:18" s="2019" customFormat="1" hidden="1">
      <c r="B841" s="2020"/>
      <c r="M841" s="2020"/>
      <c r="N841" s="2020"/>
      <c r="O841" s="2020"/>
      <c r="P841" s="2020"/>
      <c r="Q841" s="2020"/>
      <c r="R841" s="2020"/>
    </row>
    <row r="842" spans="2:18" s="2019" customFormat="1" hidden="1">
      <c r="B842" s="2020"/>
      <c r="M842" s="2020"/>
      <c r="N842" s="2020"/>
      <c r="O842" s="2020"/>
      <c r="P842" s="2020"/>
      <c r="Q842" s="2020"/>
      <c r="R842" s="2020"/>
    </row>
    <row r="843" spans="2:18" s="2019" customFormat="1" hidden="1">
      <c r="B843" s="2020"/>
      <c r="M843" s="2020"/>
      <c r="N843" s="2020"/>
      <c r="O843" s="2020"/>
      <c r="P843" s="2020"/>
      <c r="Q843" s="2020"/>
      <c r="R843" s="2020"/>
    </row>
    <row r="844" spans="2:18" s="2019" customFormat="1" hidden="1">
      <c r="B844" s="2020"/>
      <c r="M844" s="2020"/>
      <c r="N844" s="2020"/>
      <c r="O844" s="2020"/>
      <c r="P844" s="2020"/>
      <c r="Q844" s="2020"/>
      <c r="R844" s="2020"/>
    </row>
    <row r="845" spans="2:18" s="2019" customFormat="1" hidden="1">
      <c r="B845" s="2020"/>
      <c r="M845" s="2020"/>
      <c r="N845" s="2020"/>
      <c r="O845" s="2020"/>
      <c r="P845" s="2020"/>
      <c r="Q845" s="2020"/>
      <c r="R845" s="2020"/>
    </row>
    <row r="846" spans="2:18" s="2019" customFormat="1" hidden="1">
      <c r="B846" s="2020"/>
      <c r="M846" s="2020"/>
      <c r="N846" s="2020"/>
      <c r="O846" s="2020"/>
      <c r="P846" s="2020"/>
      <c r="Q846" s="2020"/>
      <c r="R846" s="2020"/>
    </row>
    <row r="847" spans="2:18" s="2019" customFormat="1" hidden="1">
      <c r="B847" s="2020"/>
      <c r="M847" s="2020"/>
      <c r="N847" s="2020"/>
      <c r="O847" s="2020"/>
      <c r="P847" s="2020"/>
      <c r="Q847" s="2020"/>
      <c r="R847" s="2020"/>
    </row>
    <row r="848" spans="2:18" s="2019" customFormat="1" hidden="1">
      <c r="B848" s="2020"/>
      <c r="M848" s="2020"/>
      <c r="N848" s="2020"/>
      <c r="O848" s="2020"/>
      <c r="P848" s="2020"/>
      <c r="Q848" s="2020"/>
      <c r="R848" s="2020"/>
    </row>
    <row r="849" spans="2:18" s="2019" customFormat="1" hidden="1">
      <c r="B849" s="2020"/>
      <c r="M849" s="2020"/>
      <c r="N849" s="2020"/>
      <c r="O849" s="2020"/>
      <c r="P849" s="2020"/>
      <c r="Q849" s="2020"/>
      <c r="R849" s="2020"/>
    </row>
    <row r="850" spans="2:18" s="2019" customFormat="1" hidden="1">
      <c r="B850" s="2020"/>
      <c r="M850" s="2020"/>
      <c r="N850" s="2020"/>
      <c r="O850" s="2020"/>
      <c r="P850" s="2020"/>
      <c r="Q850" s="2020"/>
      <c r="R850" s="2020"/>
    </row>
    <row r="851" spans="2:18" s="2019" customFormat="1" hidden="1">
      <c r="B851" s="2020"/>
      <c r="M851" s="2020"/>
      <c r="N851" s="2020"/>
      <c r="O851" s="2020"/>
      <c r="P851" s="2020"/>
      <c r="Q851" s="2020"/>
      <c r="R851" s="2020"/>
    </row>
    <row r="852" spans="2:18" s="2019" customFormat="1" hidden="1">
      <c r="B852" s="2020"/>
      <c r="M852" s="2020"/>
      <c r="N852" s="2020"/>
      <c r="O852" s="2020"/>
      <c r="P852" s="2020"/>
      <c r="Q852" s="2020"/>
      <c r="R852" s="2020"/>
    </row>
    <row r="853" spans="2:18" s="2019" customFormat="1" hidden="1">
      <c r="B853" s="2020"/>
      <c r="M853" s="2020"/>
      <c r="N853" s="2020"/>
      <c r="O853" s="2020"/>
      <c r="P853" s="2020"/>
      <c r="Q853" s="2020"/>
      <c r="R853" s="2020"/>
    </row>
    <row r="854" spans="2:18" s="2019" customFormat="1" hidden="1">
      <c r="B854" s="2020"/>
      <c r="M854" s="2020"/>
      <c r="N854" s="2020"/>
      <c r="O854" s="2020"/>
      <c r="P854" s="2020"/>
      <c r="Q854" s="2020"/>
      <c r="R854" s="2020"/>
    </row>
    <row r="855" spans="2:18" s="2019" customFormat="1" hidden="1">
      <c r="B855" s="2020"/>
      <c r="M855" s="2020"/>
      <c r="N855" s="2020"/>
      <c r="O855" s="2020"/>
      <c r="P855" s="2020"/>
      <c r="Q855" s="2020"/>
      <c r="R855" s="2020"/>
    </row>
    <row r="856" spans="2:18" s="2019" customFormat="1" hidden="1">
      <c r="B856" s="2020"/>
      <c r="M856" s="2020"/>
      <c r="N856" s="2020"/>
      <c r="O856" s="2020"/>
      <c r="P856" s="2020"/>
      <c r="Q856" s="2020"/>
      <c r="R856" s="2020"/>
    </row>
    <row r="857" spans="2:18" s="2019" customFormat="1" hidden="1">
      <c r="B857" s="2020"/>
      <c r="M857" s="2020"/>
      <c r="N857" s="2020"/>
      <c r="O857" s="2020"/>
      <c r="P857" s="2020"/>
      <c r="Q857" s="2020"/>
      <c r="R857" s="2020"/>
    </row>
    <row r="858" spans="2:18" s="2019" customFormat="1" hidden="1">
      <c r="B858" s="2020"/>
      <c r="M858" s="2020"/>
      <c r="N858" s="2020"/>
      <c r="O858" s="2020"/>
      <c r="P858" s="2020"/>
      <c r="Q858" s="2020"/>
      <c r="R858" s="2020"/>
    </row>
    <row r="859" spans="2:18" s="2019" customFormat="1" hidden="1">
      <c r="B859" s="2020"/>
      <c r="M859" s="2020"/>
      <c r="N859" s="2020"/>
      <c r="O859" s="2020"/>
      <c r="P859" s="2020"/>
      <c r="Q859" s="2020"/>
      <c r="R859" s="2020"/>
    </row>
    <row r="860" spans="2:18" s="2019" customFormat="1" hidden="1">
      <c r="B860" s="2020"/>
      <c r="M860" s="2020"/>
      <c r="N860" s="2020"/>
      <c r="O860" s="2020"/>
      <c r="P860" s="2020"/>
      <c r="Q860" s="2020"/>
      <c r="R860" s="2020"/>
    </row>
    <row r="861" spans="2:18" s="2019" customFormat="1" hidden="1">
      <c r="B861" s="2020"/>
      <c r="M861" s="2020"/>
      <c r="N861" s="2020"/>
      <c r="O861" s="2020"/>
      <c r="P861" s="2020"/>
      <c r="Q861" s="2020"/>
      <c r="R861" s="2020"/>
    </row>
    <row r="862" spans="2:18" s="2019" customFormat="1" hidden="1">
      <c r="B862" s="2020"/>
      <c r="M862" s="2020"/>
      <c r="N862" s="2020"/>
      <c r="O862" s="2020"/>
      <c r="P862" s="2020"/>
      <c r="Q862" s="2020"/>
      <c r="R862" s="2020"/>
    </row>
    <row r="863" spans="2:18" s="2019" customFormat="1" hidden="1">
      <c r="B863" s="2020"/>
      <c r="M863" s="2020"/>
      <c r="N863" s="2020"/>
      <c r="O863" s="2020"/>
      <c r="P863" s="2020"/>
      <c r="Q863" s="2020"/>
      <c r="R863" s="2020"/>
    </row>
    <row r="864" spans="2:18" s="2019" customFormat="1" hidden="1">
      <c r="B864" s="2020"/>
      <c r="M864" s="2020"/>
      <c r="N864" s="2020"/>
      <c r="O864" s="2020"/>
      <c r="P864" s="2020"/>
      <c r="Q864" s="2020"/>
      <c r="R864" s="2020"/>
    </row>
    <row r="865" spans="2:18" s="2019" customFormat="1" hidden="1">
      <c r="B865" s="2020"/>
      <c r="M865" s="2020"/>
      <c r="N865" s="2020"/>
      <c r="O865" s="2020"/>
      <c r="P865" s="2020"/>
      <c r="Q865" s="2020"/>
      <c r="R865" s="2020"/>
    </row>
    <row r="866" spans="2:18" s="2019" customFormat="1" hidden="1">
      <c r="B866" s="2020"/>
      <c r="M866" s="2020"/>
      <c r="N866" s="2020"/>
      <c r="O866" s="2020"/>
      <c r="P866" s="2020"/>
      <c r="Q866" s="2020"/>
      <c r="R866" s="2020"/>
    </row>
    <row r="867" spans="2:18" s="2019" customFormat="1" hidden="1">
      <c r="B867" s="2020"/>
      <c r="M867" s="2020"/>
      <c r="N867" s="2020"/>
      <c r="O867" s="2020"/>
      <c r="P867" s="2020"/>
      <c r="Q867" s="2020"/>
      <c r="R867" s="2020"/>
    </row>
    <row r="868" spans="2:18" s="2019" customFormat="1" hidden="1">
      <c r="B868" s="2020"/>
      <c r="M868" s="2020"/>
      <c r="N868" s="2020"/>
      <c r="O868" s="2020"/>
      <c r="P868" s="2020"/>
      <c r="Q868" s="2020"/>
      <c r="R868" s="2020"/>
    </row>
    <row r="869" spans="2:18" s="2019" customFormat="1" hidden="1">
      <c r="B869" s="2020"/>
      <c r="M869" s="2020"/>
      <c r="N869" s="2020"/>
      <c r="O869" s="2020"/>
      <c r="P869" s="2020"/>
      <c r="Q869" s="2020"/>
      <c r="R869" s="2020"/>
    </row>
    <row r="870" spans="2:18" s="2019" customFormat="1" hidden="1">
      <c r="B870" s="2020"/>
      <c r="M870" s="2020"/>
      <c r="N870" s="2020"/>
      <c r="O870" s="2020"/>
      <c r="P870" s="2020"/>
      <c r="Q870" s="2020"/>
      <c r="R870" s="2020"/>
    </row>
    <row r="871" spans="2:18" s="2019" customFormat="1" hidden="1">
      <c r="B871" s="2020"/>
      <c r="M871" s="2020"/>
      <c r="N871" s="2020"/>
      <c r="O871" s="2020"/>
      <c r="P871" s="2020"/>
      <c r="Q871" s="2020"/>
      <c r="R871" s="2020"/>
    </row>
    <row r="872" spans="2:18" s="2019" customFormat="1" hidden="1">
      <c r="B872" s="2020"/>
      <c r="M872" s="2020"/>
      <c r="N872" s="2020"/>
      <c r="O872" s="2020"/>
      <c r="P872" s="2020"/>
      <c r="Q872" s="2020"/>
      <c r="R872" s="2020"/>
    </row>
    <row r="873" spans="2:18" s="2019" customFormat="1" hidden="1">
      <c r="B873" s="2020"/>
      <c r="M873" s="2020"/>
      <c r="N873" s="2020"/>
      <c r="O873" s="2020"/>
      <c r="P873" s="2020"/>
      <c r="Q873" s="2020"/>
      <c r="R873" s="2020"/>
    </row>
    <row r="874" spans="2:18" s="2019" customFormat="1" hidden="1">
      <c r="B874" s="2020"/>
      <c r="M874" s="2020"/>
      <c r="N874" s="2020"/>
      <c r="O874" s="2020"/>
      <c r="P874" s="2020"/>
      <c r="Q874" s="2020"/>
      <c r="R874" s="2020"/>
    </row>
    <row r="875" spans="2:18" s="2019" customFormat="1" hidden="1">
      <c r="B875" s="2020"/>
      <c r="M875" s="2020"/>
      <c r="N875" s="2020"/>
      <c r="O875" s="2020"/>
      <c r="P875" s="2020"/>
      <c r="Q875" s="2020"/>
      <c r="R875" s="2020"/>
    </row>
    <row r="876" spans="2:18" s="2019" customFormat="1" hidden="1">
      <c r="B876" s="2020"/>
      <c r="M876" s="2020"/>
      <c r="N876" s="2020"/>
      <c r="O876" s="2020"/>
      <c r="P876" s="2020"/>
      <c r="Q876" s="2020"/>
      <c r="R876" s="2020"/>
    </row>
    <row r="877" spans="2:18" s="2019" customFormat="1" hidden="1">
      <c r="B877" s="2020"/>
      <c r="M877" s="2020"/>
      <c r="N877" s="2020"/>
      <c r="O877" s="2020"/>
      <c r="P877" s="2020"/>
      <c r="Q877" s="2020"/>
      <c r="R877" s="2020"/>
    </row>
    <row r="878" spans="2:18" s="2019" customFormat="1" hidden="1">
      <c r="B878" s="2020"/>
      <c r="M878" s="2020"/>
      <c r="N878" s="2020"/>
      <c r="O878" s="2020"/>
      <c r="P878" s="2020"/>
      <c r="Q878" s="2020"/>
      <c r="R878" s="2020"/>
    </row>
    <row r="879" spans="2:18" s="2019" customFormat="1" hidden="1">
      <c r="B879" s="2020"/>
      <c r="M879" s="2020"/>
      <c r="N879" s="2020"/>
      <c r="O879" s="2020"/>
      <c r="P879" s="2020"/>
      <c r="Q879" s="2020"/>
      <c r="R879" s="2020"/>
    </row>
    <row r="880" spans="2:18" s="2019" customFormat="1" hidden="1">
      <c r="B880" s="2020"/>
      <c r="M880" s="2020"/>
      <c r="N880" s="2020"/>
      <c r="O880" s="2020"/>
      <c r="P880" s="2020"/>
      <c r="Q880" s="2020"/>
      <c r="R880" s="2020"/>
    </row>
    <row r="881" spans="2:18" s="2019" customFormat="1" hidden="1">
      <c r="B881" s="2020"/>
      <c r="M881" s="2020"/>
      <c r="N881" s="2020"/>
      <c r="O881" s="2020"/>
      <c r="P881" s="2020"/>
      <c r="Q881" s="2020"/>
      <c r="R881" s="2020"/>
    </row>
    <row r="882" spans="2:18" s="2019" customFormat="1" hidden="1">
      <c r="B882" s="2020"/>
      <c r="M882" s="2020"/>
      <c r="N882" s="2020"/>
      <c r="O882" s="2020"/>
      <c r="P882" s="2020"/>
      <c r="Q882" s="2020"/>
      <c r="R882" s="2020"/>
    </row>
    <row r="883" spans="2:18" s="2019" customFormat="1" hidden="1">
      <c r="B883" s="2020"/>
      <c r="M883" s="2020"/>
      <c r="N883" s="2020"/>
      <c r="O883" s="2020"/>
      <c r="P883" s="2020"/>
      <c r="Q883" s="2020"/>
      <c r="R883" s="2020"/>
    </row>
    <row r="884" spans="2:18" s="2019" customFormat="1" hidden="1">
      <c r="B884" s="2020"/>
      <c r="M884" s="2020"/>
      <c r="N884" s="2020"/>
      <c r="O884" s="2020"/>
      <c r="P884" s="2020"/>
      <c r="Q884" s="2020"/>
      <c r="R884" s="2020"/>
    </row>
    <row r="885" spans="2:18" s="2019" customFormat="1" hidden="1">
      <c r="B885" s="2020"/>
      <c r="M885" s="2020"/>
      <c r="N885" s="2020"/>
      <c r="O885" s="2020"/>
      <c r="P885" s="2020"/>
      <c r="Q885" s="2020"/>
      <c r="R885" s="2020"/>
    </row>
    <row r="886" spans="2:18" s="2019" customFormat="1" hidden="1">
      <c r="B886" s="2020"/>
      <c r="M886" s="2020"/>
      <c r="N886" s="2020"/>
      <c r="O886" s="2020"/>
      <c r="P886" s="2020"/>
      <c r="Q886" s="2020"/>
      <c r="R886" s="2020"/>
    </row>
    <row r="887" spans="2:18" s="2019" customFormat="1" hidden="1">
      <c r="B887" s="2020"/>
      <c r="M887" s="2020"/>
      <c r="N887" s="2020"/>
      <c r="O887" s="2020"/>
      <c r="P887" s="2020"/>
      <c r="Q887" s="2020"/>
      <c r="R887" s="2020"/>
    </row>
    <row r="888" spans="2:18" s="2019" customFormat="1" hidden="1">
      <c r="B888" s="2020"/>
      <c r="M888" s="2020"/>
      <c r="N888" s="2020"/>
      <c r="O888" s="2020"/>
      <c r="P888" s="2020"/>
      <c r="Q888" s="2020"/>
      <c r="R888" s="2020"/>
    </row>
    <row r="889" spans="2:18" s="2019" customFormat="1" hidden="1">
      <c r="B889" s="2020"/>
      <c r="M889" s="2020"/>
      <c r="N889" s="2020"/>
      <c r="O889" s="2020"/>
      <c r="P889" s="2020"/>
      <c r="Q889" s="2020"/>
      <c r="R889" s="2020"/>
    </row>
    <row r="890" spans="2:18" s="2019" customFormat="1" hidden="1">
      <c r="B890" s="2020"/>
      <c r="M890" s="2020"/>
      <c r="N890" s="2020"/>
      <c r="O890" s="2020"/>
      <c r="P890" s="2020"/>
      <c r="Q890" s="2020"/>
      <c r="R890" s="2020"/>
    </row>
    <row r="891" spans="2:18" s="2019" customFormat="1" hidden="1">
      <c r="B891" s="2020"/>
      <c r="M891" s="2020"/>
      <c r="N891" s="2020"/>
      <c r="O891" s="2020"/>
      <c r="P891" s="2020"/>
      <c r="Q891" s="2020"/>
      <c r="R891" s="2020"/>
    </row>
    <row r="892" spans="2:18" s="2019" customFormat="1" hidden="1">
      <c r="B892" s="2020"/>
      <c r="M892" s="2020"/>
      <c r="N892" s="2020"/>
      <c r="O892" s="2020"/>
      <c r="P892" s="2020"/>
      <c r="Q892" s="2020"/>
      <c r="R892" s="2020"/>
    </row>
    <row r="893" spans="2:18" s="2019" customFormat="1" hidden="1">
      <c r="B893" s="2020"/>
      <c r="M893" s="2020"/>
      <c r="N893" s="2020"/>
      <c r="O893" s="2020"/>
      <c r="P893" s="2020"/>
      <c r="Q893" s="2020"/>
      <c r="R893" s="2020"/>
    </row>
    <row r="894" spans="2:18" s="2019" customFormat="1" hidden="1">
      <c r="B894" s="2020"/>
      <c r="M894" s="2020"/>
      <c r="N894" s="2020"/>
      <c r="O894" s="2020"/>
      <c r="P894" s="2020"/>
      <c r="Q894" s="2020"/>
      <c r="R894" s="2020"/>
    </row>
    <row r="895" spans="2:18" s="2019" customFormat="1" hidden="1">
      <c r="B895" s="2020"/>
      <c r="M895" s="2020"/>
      <c r="N895" s="2020"/>
      <c r="O895" s="2020"/>
      <c r="P895" s="2020"/>
      <c r="Q895" s="2020"/>
      <c r="R895" s="2020"/>
    </row>
    <row r="896" spans="2:18" s="2019" customFormat="1" hidden="1">
      <c r="B896" s="2020"/>
      <c r="M896" s="2020"/>
      <c r="N896" s="2020"/>
      <c r="O896" s="2020"/>
      <c r="P896" s="2020"/>
      <c r="Q896" s="2020"/>
      <c r="R896" s="2020"/>
    </row>
    <row r="897" spans="2:18" s="2019" customFormat="1" hidden="1">
      <c r="B897" s="2020"/>
      <c r="M897" s="2020"/>
      <c r="N897" s="2020"/>
      <c r="O897" s="2020"/>
      <c r="P897" s="2020"/>
      <c r="Q897" s="2020"/>
      <c r="R897" s="2020"/>
    </row>
    <row r="898" spans="2:18" s="2019" customFormat="1" hidden="1">
      <c r="B898" s="2020"/>
      <c r="M898" s="2020"/>
      <c r="N898" s="2020"/>
      <c r="O898" s="2020"/>
      <c r="P898" s="2020"/>
      <c r="Q898" s="2020"/>
      <c r="R898" s="2020"/>
    </row>
    <row r="899" spans="2:18" s="2019" customFormat="1" hidden="1">
      <c r="B899" s="2020"/>
      <c r="M899" s="2020"/>
      <c r="N899" s="2020"/>
      <c r="O899" s="2020"/>
      <c r="P899" s="2020"/>
      <c r="Q899" s="2020"/>
      <c r="R899" s="2020"/>
    </row>
    <row r="900" spans="2:18" s="2019" customFormat="1" hidden="1">
      <c r="B900" s="2020"/>
      <c r="M900" s="2020"/>
      <c r="N900" s="2020"/>
      <c r="O900" s="2020"/>
      <c r="P900" s="2020"/>
      <c r="Q900" s="2020"/>
      <c r="R900" s="2020"/>
    </row>
    <row r="901" spans="2:18" s="2019" customFormat="1" hidden="1">
      <c r="B901" s="2020"/>
      <c r="M901" s="2020"/>
      <c r="N901" s="2020"/>
      <c r="O901" s="2020"/>
      <c r="P901" s="2020"/>
      <c r="Q901" s="2020"/>
      <c r="R901" s="2020"/>
    </row>
    <row r="902" spans="2:18" s="2019" customFormat="1" hidden="1">
      <c r="B902" s="2020"/>
      <c r="M902" s="2020"/>
      <c r="N902" s="2020"/>
      <c r="O902" s="2020"/>
      <c r="P902" s="2020"/>
      <c r="Q902" s="2020"/>
      <c r="R902" s="2020"/>
    </row>
    <row r="903" spans="2:18" s="2019" customFormat="1" hidden="1">
      <c r="B903" s="2020"/>
      <c r="M903" s="2020"/>
      <c r="N903" s="2020"/>
      <c r="O903" s="2020"/>
      <c r="P903" s="2020"/>
      <c r="Q903" s="2020"/>
      <c r="R903" s="2020"/>
    </row>
    <row r="904" spans="2:18" s="2019" customFormat="1" hidden="1">
      <c r="B904" s="2020"/>
      <c r="M904" s="2020"/>
      <c r="N904" s="2020"/>
      <c r="O904" s="2020"/>
      <c r="P904" s="2020"/>
      <c r="Q904" s="2020"/>
      <c r="R904" s="2020"/>
    </row>
    <row r="905" spans="2:18" s="2019" customFormat="1" hidden="1">
      <c r="B905" s="2020"/>
      <c r="M905" s="2020"/>
      <c r="N905" s="2020"/>
      <c r="O905" s="2020"/>
      <c r="P905" s="2020"/>
      <c r="Q905" s="2020"/>
      <c r="R905" s="2020"/>
    </row>
    <row r="906" spans="2:18" s="2019" customFormat="1" hidden="1">
      <c r="B906" s="2020"/>
      <c r="M906" s="2020"/>
      <c r="N906" s="2020"/>
      <c r="O906" s="2020"/>
      <c r="P906" s="2020"/>
      <c r="Q906" s="2020"/>
      <c r="R906" s="2020"/>
    </row>
    <row r="907" spans="2:18" s="2019" customFormat="1" hidden="1">
      <c r="B907" s="2020"/>
      <c r="M907" s="2020"/>
      <c r="N907" s="2020"/>
      <c r="O907" s="2020"/>
      <c r="P907" s="2020"/>
      <c r="Q907" s="2020"/>
      <c r="R907" s="2020"/>
    </row>
    <row r="908" spans="2:18" s="2019" customFormat="1" hidden="1">
      <c r="B908" s="2020"/>
      <c r="M908" s="2020"/>
      <c r="N908" s="2020"/>
      <c r="O908" s="2020"/>
      <c r="P908" s="2020"/>
      <c r="Q908" s="2020"/>
      <c r="R908" s="2020"/>
    </row>
    <row r="909" spans="2:18" s="2019" customFormat="1" hidden="1">
      <c r="B909" s="2020"/>
      <c r="M909" s="2020"/>
      <c r="N909" s="2020"/>
      <c r="O909" s="2020"/>
      <c r="P909" s="2020"/>
      <c r="Q909" s="2020"/>
      <c r="R909" s="2020"/>
    </row>
    <row r="910" spans="2:18" s="2019" customFormat="1" hidden="1">
      <c r="B910" s="2020"/>
      <c r="M910" s="2020"/>
      <c r="N910" s="2020"/>
      <c r="O910" s="2020"/>
      <c r="P910" s="2020"/>
      <c r="Q910" s="2020"/>
      <c r="R910" s="2020"/>
    </row>
    <row r="911" spans="2:18" s="2019" customFormat="1" hidden="1">
      <c r="B911" s="2020"/>
      <c r="M911" s="2020"/>
      <c r="N911" s="2020"/>
      <c r="O911" s="2020"/>
      <c r="P911" s="2020"/>
      <c r="Q911" s="2020"/>
      <c r="R911" s="2020"/>
    </row>
    <row r="912" spans="2:18" s="2019" customFormat="1" hidden="1">
      <c r="B912" s="2020"/>
      <c r="M912" s="2020"/>
      <c r="N912" s="2020"/>
      <c r="O912" s="2020"/>
      <c r="P912" s="2020"/>
      <c r="Q912" s="2020"/>
      <c r="R912" s="2020"/>
    </row>
    <row r="913" spans="2:18" s="2019" customFormat="1" hidden="1">
      <c r="B913" s="2020"/>
      <c r="M913" s="2020"/>
      <c r="N913" s="2020"/>
      <c r="O913" s="2020"/>
      <c r="P913" s="2020"/>
      <c r="Q913" s="2020"/>
      <c r="R913" s="2020"/>
    </row>
    <row r="914" spans="2:18" s="2019" customFormat="1" hidden="1">
      <c r="B914" s="2020"/>
      <c r="M914" s="2020"/>
      <c r="N914" s="2020"/>
      <c r="O914" s="2020"/>
      <c r="P914" s="2020"/>
      <c r="Q914" s="2020"/>
      <c r="R914" s="2020"/>
    </row>
    <row r="915" spans="2:18" s="2019" customFormat="1" hidden="1">
      <c r="B915" s="2020"/>
      <c r="M915" s="2020"/>
      <c r="N915" s="2020"/>
      <c r="O915" s="2020"/>
      <c r="P915" s="2020"/>
      <c r="Q915" s="2020"/>
      <c r="R915" s="2020"/>
    </row>
    <row r="916" spans="2:18" s="2019" customFormat="1" hidden="1">
      <c r="B916" s="2020"/>
      <c r="M916" s="2020"/>
      <c r="N916" s="2020"/>
      <c r="O916" s="2020"/>
      <c r="P916" s="2020"/>
      <c r="Q916" s="2020"/>
      <c r="R916" s="2020"/>
    </row>
    <row r="917" spans="2:18" s="2019" customFormat="1" hidden="1">
      <c r="B917" s="2020"/>
      <c r="M917" s="2020"/>
      <c r="N917" s="2020"/>
      <c r="O917" s="2020"/>
      <c r="P917" s="2020"/>
      <c r="Q917" s="2020"/>
      <c r="R917" s="2020"/>
    </row>
    <row r="918" spans="2:18" s="2019" customFormat="1" hidden="1">
      <c r="B918" s="2020"/>
      <c r="M918" s="2020"/>
      <c r="N918" s="2020"/>
      <c r="O918" s="2020"/>
      <c r="P918" s="2020"/>
      <c r="Q918" s="2020"/>
      <c r="R918" s="2020"/>
    </row>
    <row r="919" spans="2:18" s="2019" customFormat="1" hidden="1">
      <c r="B919" s="2020"/>
      <c r="C919" s="2020"/>
      <c r="D919" s="2020"/>
      <c r="E919" s="2020"/>
      <c r="F919" s="2020"/>
      <c r="G919" s="2020"/>
      <c r="H919" s="2020"/>
      <c r="I919" s="2020"/>
      <c r="J919" s="2020"/>
      <c r="K919" s="2020"/>
      <c r="L919" s="2020"/>
      <c r="M919" s="2020"/>
      <c r="N919" s="2020"/>
      <c r="O919" s="2020"/>
      <c r="P919" s="2020"/>
      <c r="Q919" s="2020"/>
      <c r="R919" s="2020"/>
    </row>
  </sheetData>
  <sheetProtection algorithmName="SHA-512" hashValue="FTgLGt0DDi3DdPxGfoTx0egMsTDtKi9LgssUGBKCD9zdzFF2NulM+1nlm7G1NTj7zSRPpjdwnW2DuQYmWA7nxw==" saltValue="xUsOuTdnF0PKzlt6zDC4Zg==" spinCount="100000" sheet="1" objects="1" scenarios="1" autoFilter="0"/>
  <mergeCells count="20">
    <mergeCell ref="K58:K61"/>
    <mergeCell ref="G57:G61"/>
    <mergeCell ref="C31:D31"/>
    <mergeCell ref="C35:D35"/>
    <mergeCell ref="C36:D36"/>
    <mergeCell ref="C27:D27"/>
    <mergeCell ref="C9:D9"/>
    <mergeCell ref="C15:D15"/>
    <mergeCell ref="F35:F36"/>
    <mergeCell ref="G5:H5"/>
    <mergeCell ref="C17:D17"/>
    <mergeCell ref="C19:D19"/>
    <mergeCell ref="C23:D23"/>
    <mergeCell ref="C29:D29"/>
    <mergeCell ref="C25:D25"/>
    <mergeCell ref="C5:D5"/>
    <mergeCell ref="C7:D7"/>
    <mergeCell ref="G7:H7"/>
    <mergeCell ref="C11:D11"/>
    <mergeCell ref="C13:D13"/>
  </mergeCells>
  <dataValidations count="2">
    <dataValidation type="decimal" allowBlank="1" showErrorMessage="1" error="This is not a number!_x000a_Insert Correctly." sqref="F21" xr:uid="{00000000-0002-0000-2700-000000000000}">
      <formula1>-1000</formula1>
      <formula2>1000000000</formula2>
    </dataValidation>
    <dataValidation type="decimal" allowBlank="1" showErrorMessage="1" errorTitle="CargoManager by Aronis" error="This is not a number!_x000a_Insert Correctly." sqref="K7 M7" xr:uid="{00000000-0002-0000-2700-000001000000}">
      <formula1>-1000</formula1>
      <formula2>1000000000</formula2>
    </dataValidation>
  </dataValidations>
  <printOptions horizontalCentered="1" gridLinesSet="0"/>
  <pageMargins left="0.3" right="0.3" top="0.2" bottom="0.3" header="0" footer="0.1"/>
  <pageSetup paperSize="9" orientation="landscape" r:id="rId1"/>
  <headerFooter scaleWithDoc="0" alignWithMargins="0">
    <oddFooter>&amp;R&amp;8RefNo: BD/2015/00926 SG&amp;L&amp;8SuperASTM, v4.53 for BunkerManager&amp;C&amp;9AMS-Marine Software_x000D_www.ams-marine.com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0612" r:id="rId4" name="Drop Down 4">
              <controlPr defaultSize="0" print="0" autoFill="0" autoLine="0" autoPict="0">
                <anchor moveWithCells="1">
                  <from>
                    <xdr:col>12</xdr:col>
                    <xdr:colOff>0</xdr:colOff>
                    <xdr:row>4</xdr:row>
                    <xdr:rowOff>0</xdr:rowOff>
                  </from>
                  <to>
                    <xdr:col>13</xdr:col>
                    <xdr:colOff>0</xdr:colOff>
                    <xdr:row>5</xdr:row>
                    <xdr:rowOff>19050</xdr:rowOff>
                  </to>
                </anchor>
              </controlPr>
            </control>
          </mc:Choice>
        </mc:AlternateContent>
        <mc:AlternateContent xmlns:mc="http://schemas.openxmlformats.org/markup-compatibility/2006">
          <mc:Choice Requires="x14">
            <control shapeId="580613" r:id="rId5" name="Drop Down 5">
              <controlPr defaultSize="0" print="0" autoFill="0" autoLine="0" autoPict="0">
                <anchor mov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580614" r:id="rId6" name="Drop Down 6">
              <controlPr defaultSize="0" print="0" autoFill="0" autoLine="0" autoPict="0">
                <anchor moveWithCells="1">
                  <from>
                    <xdr:col>2</xdr:col>
                    <xdr:colOff>9525</xdr:colOff>
                    <xdr:row>20</xdr:row>
                    <xdr:rowOff>9525</xdr:rowOff>
                  </from>
                  <to>
                    <xdr:col>4</xdr:col>
                    <xdr:colOff>0</xdr:colOff>
                    <xdr:row>20</xdr:row>
                    <xdr:rowOff>219075</xdr:rowOff>
                  </to>
                </anchor>
              </controlPr>
            </control>
          </mc:Choice>
        </mc:AlternateContent>
        <mc:AlternateContent xmlns:mc="http://schemas.openxmlformats.org/markup-compatibility/2006">
          <mc:Choice Requires="x14">
            <control shapeId="580615" r:id="rId7" name="Drop Down 7">
              <controlPr defaultSize="0" print="0" autoFill="0" autoLine="0" autoPict="0">
                <anchor moveWithCells="1">
                  <from>
                    <xdr:col>10</xdr:col>
                    <xdr:colOff>0</xdr:colOff>
                    <xdr:row>4</xdr:row>
                    <xdr:rowOff>0</xdr:rowOff>
                  </from>
                  <to>
                    <xdr:col>11</xdr:col>
                    <xdr:colOff>0</xdr:colOff>
                    <xdr:row>5</xdr:row>
                    <xdr:rowOff>19050</xdr:rowOff>
                  </to>
                </anchor>
              </controlPr>
            </control>
          </mc:Choice>
        </mc:AlternateContent>
        <mc:AlternateContent xmlns:mc="http://schemas.openxmlformats.org/markup-compatibility/2006">
          <mc:Choice Requires="x14">
            <control shapeId="580616" r:id="rId8" name="Drop Down 8">
              <controlPr defaultSize="0" print="0" autoFill="0" autoLine="0" autoPict="0">
                <anchor moveWithCells="1" sizeWithCells="1">
                  <from>
                    <xdr:col>8</xdr:col>
                    <xdr:colOff>0</xdr:colOff>
                    <xdr:row>22</xdr:row>
                    <xdr:rowOff>0</xdr:rowOff>
                  </from>
                  <to>
                    <xdr:col>9</xdr:col>
                    <xdr:colOff>0</xdr:colOff>
                    <xdr:row>22</xdr:row>
                    <xdr:rowOff>228600</xdr:rowOff>
                  </to>
                </anchor>
              </controlPr>
            </control>
          </mc:Choice>
        </mc:AlternateContent>
        <mc:AlternateContent xmlns:mc="http://schemas.openxmlformats.org/markup-compatibility/2006">
          <mc:Choice Requires="x14">
            <control shapeId="580618" r:id="rId9" name="Drop Down 10">
              <controlPr defaultSize="0" print="0" autoFill="0" autoLine="0" autoPict="0">
                <anchor moveWithCells="1" sizeWithCells="1">
                  <from>
                    <xdr:col>8</xdr:col>
                    <xdr:colOff>0</xdr:colOff>
                    <xdr:row>28</xdr:row>
                    <xdr:rowOff>0</xdr:rowOff>
                  </from>
                  <to>
                    <xdr:col>9</xdr:col>
                    <xdr:colOff>0</xdr:colOff>
                    <xdr:row>28</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1">
    <tabColor rgb="FFFFFF00"/>
    <pageSetUpPr fitToPage="1"/>
  </sheetPr>
  <dimension ref="A1:AB66"/>
  <sheetViews>
    <sheetView showGridLines="0" showRowColHeaders="0" zoomScaleNormal="100" zoomScaleSheetLayoutView="80" workbookViewId="0">
      <pane ySplit="2" topLeftCell="A3" activePane="bottomLeft" state="frozen"/>
      <selection pane="bottomLeft" sqref="A1:H2"/>
    </sheetView>
  </sheetViews>
  <sheetFormatPr defaultColWidth="0" defaultRowHeight="12.75" zeroHeight="1"/>
  <cols>
    <col min="1" max="3" width="8.75" style="77" customWidth="1"/>
    <col min="4" max="4" width="0.625" style="77" customWidth="1"/>
    <col min="5" max="5" width="8.75" style="77" customWidth="1"/>
    <col min="6" max="6" width="1.25" style="77" customWidth="1"/>
    <col min="7" max="7" width="8.75" style="77" customWidth="1"/>
    <col min="8" max="8" width="9.625" style="77" customWidth="1"/>
    <col min="9" max="9" width="1.875" style="77" customWidth="1"/>
    <col min="10" max="11" width="8.75" style="77" customWidth="1"/>
    <col min="12" max="12" width="1.25" style="77" customWidth="1"/>
    <col min="13" max="14" width="8.75" style="77" customWidth="1"/>
    <col min="15" max="16" width="9.625" style="77" customWidth="1"/>
    <col min="17" max="17" width="0.25" style="77" customWidth="1"/>
    <col min="18" max="28" width="0" style="77" hidden="1" customWidth="1"/>
    <col min="29" max="16384" width="9" style="77" hidden="1"/>
  </cols>
  <sheetData>
    <row r="1" spans="1:28">
      <c r="A1" s="3737" t="s">
        <v>149</v>
      </c>
      <c r="B1" s="3738"/>
      <c r="C1" s="3738"/>
      <c r="D1" s="3738"/>
      <c r="E1" s="3738"/>
      <c r="F1" s="3738"/>
      <c r="G1" s="3738"/>
      <c r="H1" s="3738"/>
      <c r="I1" s="134"/>
      <c r="J1" s="3741" t="s">
        <v>148</v>
      </c>
      <c r="K1" s="3741"/>
      <c r="L1" s="3741"/>
      <c r="M1" s="3741"/>
      <c r="N1" s="3741"/>
      <c r="O1" s="3741"/>
      <c r="P1" s="3742"/>
    </row>
    <row r="2" spans="1:28" ht="12.75" customHeight="1">
      <c r="A2" s="3739"/>
      <c r="B2" s="3740"/>
      <c r="C2" s="3740"/>
      <c r="D2" s="3740"/>
      <c r="E2" s="3740"/>
      <c r="F2" s="3740"/>
      <c r="G2" s="3740"/>
      <c r="H2" s="3740"/>
      <c r="I2" s="510"/>
      <c r="J2" s="3743"/>
      <c r="K2" s="3743"/>
      <c r="L2" s="3743"/>
      <c r="M2" s="3743"/>
      <c r="N2" s="3743"/>
      <c r="O2" s="3743"/>
      <c r="P2" s="3744"/>
    </row>
    <row r="3" spans="1:28" s="79" customFormat="1" ht="21" customHeight="1">
      <c r="A3" s="3748" t="s">
        <v>147</v>
      </c>
      <c r="B3" s="3749"/>
      <c r="C3" s="3749"/>
      <c r="D3" s="3749"/>
      <c r="E3" s="3749"/>
      <c r="F3" s="3749"/>
      <c r="G3" s="3749"/>
      <c r="H3" s="3750"/>
      <c r="I3" s="511"/>
      <c r="J3" s="3748" t="s">
        <v>146</v>
      </c>
      <c r="K3" s="3749"/>
      <c r="L3" s="3749"/>
      <c r="M3" s="3749"/>
      <c r="N3" s="3749"/>
      <c r="O3" s="3749"/>
      <c r="P3" s="3750"/>
      <c r="Q3" s="77"/>
      <c r="R3" s="77"/>
      <c r="S3" s="77"/>
      <c r="T3" s="77"/>
      <c r="U3" s="77"/>
      <c r="V3" s="77"/>
      <c r="W3" s="77"/>
      <c r="X3" s="77"/>
      <c r="Y3" s="77"/>
      <c r="Z3" s="77"/>
      <c r="AA3" s="77"/>
      <c r="AB3" s="77"/>
    </row>
    <row r="4" spans="1:28" ht="16.5" customHeight="1">
      <c r="A4" s="131"/>
      <c r="B4" s="130"/>
      <c r="C4" s="130"/>
      <c r="D4" s="130"/>
      <c r="E4" s="133" t="s">
        <v>145</v>
      </c>
      <c r="F4" s="3745" t="s">
        <v>455</v>
      </c>
      <c r="G4" s="3745"/>
      <c r="H4" s="132" t="s">
        <v>143</v>
      </c>
      <c r="I4" s="85"/>
      <c r="J4" s="131"/>
      <c r="K4" s="130"/>
      <c r="L4" s="130"/>
      <c r="M4" s="130"/>
      <c r="N4" s="130"/>
      <c r="O4" s="130"/>
      <c r="P4" s="129"/>
    </row>
    <row r="5" spans="1:28" ht="15.75">
      <c r="A5" s="126"/>
      <c r="B5" s="125"/>
      <c r="C5" s="125"/>
      <c r="D5" s="119"/>
      <c r="E5" s="128">
        <v>0</v>
      </c>
      <c r="F5" s="3746">
        <v>0.3</v>
      </c>
      <c r="G5" s="3747"/>
      <c r="H5" s="128">
        <v>1</v>
      </c>
      <c r="I5" s="85"/>
      <c r="J5" s="123"/>
      <c r="K5" s="122"/>
      <c r="L5" s="122"/>
      <c r="M5" s="122"/>
      <c r="N5" s="122"/>
      <c r="O5" s="122"/>
      <c r="P5" s="127"/>
    </row>
    <row r="6" spans="1:28" ht="3.75" customHeight="1">
      <c r="A6" s="126"/>
      <c r="B6" s="125"/>
      <c r="C6" s="95"/>
      <c r="D6" s="125"/>
      <c r="E6" s="95"/>
      <c r="F6" s="95"/>
      <c r="G6" s="95"/>
      <c r="H6" s="124"/>
      <c r="I6" s="85"/>
      <c r="J6" s="123"/>
      <c r="K6" s="122"/>
      <c r="L6" s="122"/>
      <c r="M6" s="115"/>
      <c r="N6" s="122"/>
      <c r="O6" s="122"/>
      <c r="P6" s="121"/>
    </row>
    <row r="7" spans="1:28" ht="18.75" customHeight="1">
      <c r="A7" s="3693" t="s">
        <v>142</v>
      </c>
      <c r="B7" s="3695"/>
      <c r="C7" s="118">
        <v>0.6</v>
      </c>
      <c r="D7" s="119"/>
      <c r="E7" s="118">
        <v>16.55</v>
      </c>
      <c r="F7" s="3713">
        <f>(((F$5-E$5)/(H$5-E$5))*(H7-E7))+E7</f>
        <v>16.666399999999999</v>
      </c>
      <c r="G7" s="3714"/>
      <c r="H7" s="118">
        <v>16.937999999999999</v>
      </c>
      <c r="I7" s="85"/>
      <c r="J7" s="3693" t="s">
        <v>142</v>
      </c>
      <c r="K7" s="3694"/>
      <c r="L7" s="3695"/>
      <c r="M7" s="118">
        <v>4.8239999999999998</v>
      </c>
      <c r="N7" s="3693" t="s">
        <v>141</v>
      </c>
      <c r="O7" s="3695"/>
      <c r="P7" s="118">
        <v>188.1</v>
      </c>
      <c r="T7" s="118">
        <v>4.8239999999999998</v>
      </c>
      <c r="U7" s="118">
        <v>188.1</v>
      </c>
      <c r="W7" s="118">
        <v>4.8239999999999998</v>
      </c>
      <c r="X7" s="118">
        <v>188.1</v>
      </c>
    </row>
    <row r="8" spans="1:28" ht="18.75" customHeight="1">
      <c r="A8" s="3693" t="s">
        <v>454</v>
      </c>
      <c r="B8" s="3695"/>
      <c r="C8" s="986">
        <v>0.61</v>
      </c>
      <c r="D8" s="119"/>
      <c r="E8" s="120">
        <f>((($C8-$C7)/($C9-$C7))*(E$9-E$7))+E$7</f>
        <v>16.8765</v>
      </c>
      <c r="F8" s="3753">
        <f>((($C8-$C7)/($C9-$C7))*(F$9-F$7))+F$7</f>
        <v>16.9938</v>
      </c>
      <c r="G8" s="3754">
        <f>((($C8-$C7)/($C9-$C7))*(G$9-G$7))+G$7</f>
        <v>0</v>
      </c>
      <c r="H8" s="120">
        <f>((($C8-$C7)/($C9-$C7))*(H$9-H$7))+H$7</f>
        <v>17.267499999999998</v>
      </c>
      <c r="I8" s="85"/>
      <c r="J8" s="3693" t="s">
        <v>140</v>
      </c>
      <c r="K8" s="3694"/>
      <c r="L8" s="3695"/>
      <c r="M8" s="986">
        <v>4.82</v>
      </c>
      <c r="N8" s="3693" t="s">
        <v>139</v>
      </c>
      <c r="O8" s="3695"/>
      <c r="P8" s="982">
        <f>((P9-P7)*(M8-M7)/(M9-M7))+P7</f>
        <v>187.86</v>
      </c>
      <c r="T8" s="986">
        <v>4.82</v>
      </c>
      <c r="U8" s="982">
        <f>((U9-U7)*(T8-T7)/(T9-T7))+U7</f>
        <v>187.86</v>
      </c>
      <c r="W8" s="986">
        <v>4.82</v>
      </c>
      <c r="X8" s="982">
        <f>((X9-X7)*(W8-W7)/(W9-W7))+X7</f>
        <v>187.86</v>
      </c>
    </row>
    <row r="9" spans="1:28" ht="18.75" customHeight="1">
      <c r="A9" s="3693" t="s">
        <v>138</v>
      </c>
      <c r="B9" s="3695"/>
      <c r="C9" s="118">
        <v>0.62</v>
      </c>
      <c r="D9" s="119"/>
      <c r="E9" s="118">
        <v>17.202999999999999</v>
      </c>
      <c r="F9" s="3713">
        <f>(((F$5-E$5)/(H$5-E$5))*(H9-E9))+E9</f>
        <v>17.321200000000001</v>
      </c>
      <c r="G9" s="3714"/>
      <c r="H9" s="118">
        <v>17.597000000000001</v>
      </c>
      <c r="I9" s="85"/>
      <c r="J9" s="3693" t="s">
        <v>138</v>
      </c>
      <c r="K9" s="3694"/>
      <c r="L9" s="3695"/>
      <c r="M9" s="118">
        <v>4.8140000000000001</v>
      </c>
      <c r="N9" s="3693" t="s">
        <v>137</v>
      </c>
      <c r="O9" s="3695"/>
      <c r="P9" s="118">
        <v>187.5</v>
      </c>
      <c r="T9" s="118">
        <v>4.8140000000000001</v>
      </c>
      <c r="U9" s="118">
        <v>187.5</v>
      </c>
      <c r="W9" s="118">
        <v>4.8140000000000001</v>
      </c>
      <c r="X9" s="118">
        <v>187.5</v>
      </c>
    </row>
    <row r="10" spans="1:28">
      <c r="A10" s="117"/>
      <c r="B10" s="115"/>
      <c r="C10" s="116"/>
      <c r="D10" s="116"/>
      <c r="E10" s="116"/>
      <c r="F10" s="116"/>
      <c r="G10" s="116"/>
      <c r="H10" s="114"/>
      <c r="I10" s="85"/>
      <c r="J10" s="117"/>
      <c r="K10" s="115"/>
      <c r="L10" s="115"/>
      <c r="M10" s="116"/>
      <c r="N10" s="115"/>
      <c r="O10" s="115"/>
      <c r="P10" s="114"/>
    </row>
    <row r="11" spans="1:28" s="79" customFormat="1" ht="19.5" customHeight="1">
      <c r="A11" s="113"/>
      <c r="B11" s="85"/>
      <c r="C11" s="85"/>
      <c r="D11" s="85"/>
      <c r="E11" s="85"/>
      <c r="F11" s="85"/>
      <c r="G11" s="85"/>
      <c r="H11" s="85"/>
      <c r="I11" s="85"/>
      <c r="J11" s="91"/>
      <c r="K11" s="91"/>
      <c r="L11" s="91"/>
      <c r="M11" s="91"/>
      <c r="N11" s="91"/>
      <c r="O11" s="91"/>
      <c r="P11" s="90"/>
      <c r="Q11" s="77"/>
      <c r="R11" s="77"/>
      <c r="S11" s="77"/>
      <c r="T11" s="77"/>
      <c r="U11" s="77"/>
      <c r="V11" s="77"/>
      <c r="W11" s="77"/>
      <c r="X11" s="77"/>
      <c r="Y11" s="77"/>
      <c r="Z11" s="77"/>
      <c r="AA11" s="77"/>
      <c r="AB11" s="77"/>
    </row>
    <row r="12" spans="1:28" ht="21" customHeight="1">
      <c r="A12" s="3751" t="s">
        <v>1003</v>
      </c>
      <c r="B12" s="3699"/>
      <c r="C12" s="3699"/>
      <c r="D12" s="3699"/>
      <c r="E12" s="3699"/>
      <c r="F12" s="3699"/>
      <c r="G12" s="3699"/>
      <c r="H12" s="3752"/>
      <c r="I12" s="85"/>
      <c r="J12" s="3698" t="s">
        <v>1004</v>
      </c>
      <c r="K12" s="3699"/>
      <c r="L12" s="3699"/>
      <c r="M12" s="3699"/>
      <c r="N12" s="3699"/>
      <c r="O12" s="3699"/>
      <c r="P12" s="3700"/>
    </row>
    <row r="13" spans="1:28" ht="17.25" customHeight="1">
      <c r="A13" s="3735"/>
      <c r="B13" s="3736"/>
      <c r="C13" s="112"/>
      <c r="D13" s="112"/>
      <c r="E13" s="111" t="s">
        <v>961</v>
      </c>
      <c r="F13" s="3715" t="s">
        <v>136</v>
      </c>
      <c r="G13" s="3715"/>
      <c r="H13" s="110" t="s">
        <v>135</v>
      </c>
      <c r="I13" s="85"/>
      <c r="J13" s="3735"/>
      <c r="K13" s="3736"/>
      <c r="L13" s="3736"/>
      <c r="M13" s="112"/>
      <c r="N13" s="1203" t="s">
        <v>961</v>
      </c>
      <c r="O13" s="1203" t="s">
        <v>136</v>
      </c>
      <c r="P13" s="110" t="s">
        <v>135</v>
      </c>
    </row>
    <row r="14" spans="1:28" s="107" customFormat="1" ht="18.75" customHeight="1">
      <c r="A14" s="3693" t="s">
        <v>998</v>
      </c>
      <c r="B14" s="3694"/>
      <c r="C14" s="3694"/>
      <c r="D14" s="109"/>
      <c r="E14" s="1146">
        <v>0.99</v>
      </c>
      <c r="F14" s="3716">
        <v>500</v>
      </c>
      <c r="G14" s="3716"/>
      <c r="H14" s="108">
        <f>E14*F14</f>
        <v>495</v>
      </c>
      <c r="I14" s="85"/>
      <c r="J14" s="3693" t="str">
        <f>A14</f>
        <v>Initial Oil:</v>
      </c>
      <c r="K14" s="3694"/>
      <c r="L14" s="3694"/>
      <c r="M14" s="3695"/>
      <c r="N14" s="1146">
        <v>0.99</v>
      </c>
      <c r="O14" s="1204">
        <v>500</v>
      </c>
      <c r="P14" s="108">
        <f>N14*O14</f>
        <v>495</v>
      </c>
      <c r="Q14" s="77"/>
      <c r="R14" s="77"/>
      <c r="S14" s="77"/>
      <c r="T14" s="77"/>
      <c r="U14" s="77"/>
      <c r="V14" s="77"/>
      <c r="W14" s="77"/>
      <c r="X14" s="77"/>
      <c r="Y14" s="77"/>
      <c r="Z14" s="77"/>
      <c r="AA14" s="77"/>
      <c r="AB14" s="77"/>
    </row>
    <row r="15" spans="1:28" s="107" customFormat="1" ht="18.75" customHeight="1">
      <c r="A15" s="3693" t="s">
        <v>999</v>
      </c>
      <c r="B15" s="3694"/>
      <c r="C15" s="3694"/>
      <c r="D15" s="109"/>
      <c r="E15" s="987">
        <v>0.99019999999999997</v>
      </c>
      <c r="F15" s="3716">
        <v>500</v>
      </c>
      <c r="G15" s="3716"/>
      <c r="H15" s="108">
        <f>E15*F15</f>
        <v>495.09999999999997</v>
      </c>
      <c r="I15" s="85"/>
      <c r="J15" s="3693" t="str">
        <f>A15</f>
        <v>Added Oil:</v>
      </c>
      <c r="K15" s="3694"/>
      <c r="L15" s="3694"/>
      <c r="M15" s="3695"/>
      <c r="N15" s="1205">
        <v>0.99019999999999997</v>
      </c>
      <c r="O15" s="1202">
        <f>IF(O16=0,0,O16-O14)</f>
        <v>500</v>
      </c>
      <c r="P15" s="108">
        <f>N15*O15</f>
        <v>495.09999999999997</v>
      </c>
      <c r="Q15" s="77"/>
      <c r="R15" s="77"/>
      <c r="S15" s="77"/>
      <c r="T15" s="77"/>
      <c r="U15" s="77"/>
      <c r="V15" s="77"/>
      <c r="W15" s="77"/>
      <c r="X15" s="77"/>
      <c r="Y15" s="77"/>
      <c r="Z15" s="77"/>
      <c r="AA15" s="77"/>
      <c r="AB15" s="77"/>
    </row>
    <row r="16" spans="1:28" s="107" customFormat="1" ht="18.75" customHeight="1">
      <c r="A16" s="3693" t="s">
        <v>1000</v>
      </c>
      <c r="B16" s="3694"/>
      <c r="C16" s="3694"/>
      <c r="D16" s="109"/>
      <c r="E16" s="1147">
        <f>IF(F16=0,"",H16/F16)</f>
        <v>0.99009999999999987</v>
      </c>
      <c r="F16" s="3728">
        <f>SUM(F14:F15)</f>
        <v>1000</v>
      </c>
      <c r="G16" s="3728"/>
      <c r="H16" s="108">
        <f>SUM(H14:H15)</f>
        <v>990.09999999999991</v>
      </c>
      <c r="I16" s="85"/>
      <c r="J16" s="3693" t="str">
        <f>A16</f>
        <v>FINAL OIL MIXTURE:</v>
      </c>
      <c r="K16" s="3694"/>
      <c r="L16" s="3694"/>
      <c r="M16" s="3695"/>
      <c r="N16" s="1147">
        <f>IF(O15=0,"",P16/O16)</f>
        <v>0.99009999999999987</v>
      </c>
      <c r="O16" s="1204">
        <v>1000</v>
      </c>
      <c r="P16" s="108">
        <f>SUM(P14:P15)</f>
        <v>990.09999999999991</v>
      </c>
      <c r="Q16" s="77"/>
      <c r="R16" s="77"/>
      <c r="S16" s="77"/>
      <c r="T16" s="77"/>
      <c r="U16" s="77"/>
      <c r="V16" s="77"/>
      <c r="W16" s="77"/>
      <c r="X16" s="77"/>
      <c r="Y16" s="77"/>
      <c r="Z16" s="77"/>
      <c r="AA16" s="77"/>
      <c r="AB16" s="77"/>
    </row>
    <row r="17" spans="1:28" s="107" customFormat="1" ht="18" customHeight="1">
      <c r="A17" s="3701" t="s">
        <v>134</v>
      </c>
      <c r="B17" s="3702"/>
      <c r="C17" s="3702"/>
      <c r="D17" s="3702"/>
      <c r="E17" s="3702"/>
      <c r="F17" s="3702"/>
      <c r="G17" s="3702"/>
      <c r="H17" s="3703"/>
      <c r="I17" s="85"/>
      <c r="J17" s="3701" t="s">
        <v>134</v>
      </c>
      <c r="K17" s="3702"/>
      <c r="L17" s="3702"/>
      <c r="M17" s="3702"/>
      <c r="N17" s="3702"/>
      <c r="O17" s="3702"/>
      <c r="P17" s="3703"/>
      <c r="Q17" s="77"/>
      <c r="R17" s="77"/>
      <c r="S17" s="77"/>
      <c r="T17" s="77"/>
      <c r="U17" s="77"/>
      <c r="V17" s="77"/>
      <c r="W17" s="77"/>
      <c r="X17" s="77"/>
      <c r="Y17" s="77"/>
      <c r="Z17" s="77"/>
      <c r="AA17" s="77"/>
      <c r="AB17" s="77"/>
    </row>
    <row r="18" spans="1:28" ht="19.5" customHeight="1">
      <c r="A18" s="106"/>
      <c r="B18" s="105"/>
      <c r="C18" s="103"/>
      <c r="D18" s="103"/>
      <c r="E18" s="104"/>
      <c r="F18" s="104"/>
      <c r="G18" s="103"/>
      <c r="H18" s="85"/>
      <c r="I18" s="85"/>
      <c r="J18" s="85"/>
      <c r="K18" s="85"/>
      <c r="L18" s="85"/>
      <c r="M18" s="85"/>
      <c r="N18" s="85"/>
      <c r="O18" s="85"/>
      <c r="P18" s="102"/>
    </row>
    <row r="19" spans="1:28" ht="21" customHeight="1">
      <c r="A19" s="3717" t="s">
        <v>133</v>
      </c>
      <c r="B19" s="3717"/>
      <c r="C19" s="3717"/>
      <c r="D19" s="3717"/>
      <c r="E19" s="3717"/>
      <c r="F19" s="3717"/>
      <c r="G19" s="3717"/>
      <c r="H19" s="3717"/>
      <c r="I19" s="3717"/>
      <c r="J19" s="3717"/>
      <c r="K19" s="3717"/>
      <c r="L19" s="3717"/>
      <c r="M19" s="3717"/>
      <c r="N19" s="3717"/>
      <c r="O19" s="3717"/>
      <c r="P19" s="3717"/>
    </row>
    <row r="20" spans="1:28" ht="20.100000000000001" customHeight="1">
      <c r="A20" s="3722" t="s">
        <v>132</v>
      </c>
      <c r="B20" s="3722"/>
      <c r="C20" s="3722"/>
      <c r="D20" s="3722"/>
      <c r="E20" s="3722"/>
      <c r="F20" s="85"/>
      <c r="G20" s="3722" t="s">
        <v>131</v>
      </c>
      <c r="H20" s="3722"/>
      <c r="I20" s="3722"/>
      <c r="J20" s="3722"/>
      <c r="K20" s="3722"/>
      <c r="L20" s="85"/>
      <c r="M20" s="3722" t="s">
        <v>130</v>
      </c>
      <c r="N20" s="3722"/>
      <c r="O20" s="3722"/>
      <c r="P20" s="3722"/>
    </row>
    <row r="21" spans="1:28" ht="7.5" customHeight="1">
      <c r="A21" s="101"/>
      <c r="B21" s="100"/>
      <c r="C21" s="99"/>
      <c r="D21" s="99"/>
      <c r="E21" s="98"/>
      <c r="F21" s="85"/>
      <c r="G21" s="101"/>
      <c r="H21" s="100"/>
      <c r="I21" s="99"/>
      <c r="J21" s="99"/>
      <c r="K21" s="98"/>
      <c r="L21" s="85"/>
      <c r="M21" s="101"/>
      <c r="N21" s="100"/>
      <c r="O21" s="99"/>
      <c r="P21" s="98"/>
    </row>
    <row r="22" spans="1:28" ht="30" customHeight="1">
      <c r="A22" s="3696" t="s">
        <v>127</v>
      </c>
      <c r="B22" s="3696"/>
      <c r="C22" s="3718">
        <v>11.27</v>
      </c>
      <c r="D22" s="3719"/>
      <c r="E22" s="3720"/>
      <c r="F22" s="85"/>
      <c r="G22" s="3733" t="s">
        <v>129</v>
      </c>
      <c r="H22" s="3734"/>
      <c r="I22" s="3719">
        <v>0.90939999999999999</v>
      </c>
      <c r="J22" s="3719"/>
      <c r="K22" s="3720"/>
      <c r="L22" s="85"/>
      <c r="M22" s="3696" t="s">
        <v>128</v>
      </c>
      <c r="N22" s="3696"/>
      <c r="O22" s="3729">
        <v>0.90590000000000004</v>
      </c>
      <c r="P22" s="3729"/>
    </row>
    <row r="23" spans="1:28" ht="30" customHeight="1">
      <c r="A23" s="3696" t="s">
        <v>129</v>
      </c>
      <c r="B23" s="3696"/>
      <c r="C23" s="3697">
        <f>IF(C22&lt;&gt;"",ROUND(141.5/(C22+131.5),4),"")</f>
        <v>0.99109999999999998</v>
      </c>
      <c r="D23" s="3697"/>
      <c r="E23" s="3697"/>
      <c r="F23" s="85"/>
      <c r="G23" s="3733" t="s">
        <v>128</v>
      </c>
      <c r="H23" s="3734"/>
      <c r="I23" s="3724">
        <f>IF(I22&lt;&gt;"",IF(I22&lt;0.6244,I22-0,IF(I22&lt;0.6834,I22-0.0001,IF(I22&lt;0.7574,I22-0.0002,IF(I22&lt;0.7864,I22-0.0003,IF(I22&lt;0.8524,I22-0.0004,IF(I22&lt;0.9414,I22-0.0005,IF(I22&lt;1.0334,I22-0.0006,I22-0.0007))))))),"")</f>
        <v>0.90890000000000004</v>
      </c>
      <c r="J23" s="3724"/>
      <c r="K23" s="3725"/>
      <c r="L23" s="85"/>
      <c r="M23" s="3696" t="s">
        <v>129</v>
      </c>
      <c r="N23" s="3696"/>
      <c r="O23" s="3697">
        <f>IF(O22&lt;&gt;"",IF(O22&lt;0.6245,O22+0,IF(O22&lt;0.6835,O22+0.0001,IF(O22&lt;0.7565,O22+0.0002,IF(O22&lt;0.7855,O22+0.0003,IF(O22&lt;0.8515,O22+0.0004,IF(O22&lt;0.9415,O22+0.0005,IF(O22&lt;1.0325,O22+0.0006,O22+0.0007))))))),"")</f>
        <v>0.90639999999999998</v>
      </c>
      <c r="P23" s="3697"/>
    </row>
    <row r="24" spans="1:28" ht="30" customHeight="1">
      <c r="A24" s="3696" t="s">
        <v>128</v>
      </c>
      <c r="B24" s="3696"/>
      <c r="C24" s="3721">
        <f>IF(C23&lt;&gt;"",IF(C23&lt;0.6244,C23-0,IF(C23&lt;0.6834,C23-0.0001,IF(C23&lt;0.7574,C23-0.0002,IF(C23&lt;0.7864,C23-0.0003,IF(C23&lt;0.8524,C23-0.0004,IF(C23&lt;0.9414,C23-0.0005,IF(C23&lt;1.0334,C23-0.0006,C23-0.0007))))))),"")</f>
        <v>0.99049999999999994</v>
      </c>
      <c r="D24" s="3721"/>
      <c r="E24" s="3721"/>
      <c r="F24" s="85"/>
      <c r="G24" s="3733" t="s">
        <v>127</v>
      </c>
      <c r="H24" s="3734"/>
      <c r="I24" s="3726">
        <f>IF(I22&lt;&gt;"",ROUND(141.5/I22-131.5,2),"")</f>
        <v>24.1</v>
      </c>
      <c r="J24" s="3726"/>
      <c r="K24" s="3727"/>
      <c r="L24" s="85"/>
      <c r="M24" s="3696" t="s">
        <v>127</v>
      </c>
      <c r="N24" s="3696"/>
      <c r="O24" s="3730">
        <f>IF(O23&lt;&gt;"",ROUND(141.5/O23-131.5,2),"")</f>
        <v>24.61</v>
      </c>
      <c r="P24" s="3730"/>
    </row>
    <row r="25" spans="1:28" ht="6.75" customHeight="1">
      <c r="A25" s="96"/>
      <c r="B25" s="97"/>
      <c r="C25" s="94"/>
      <c r="D25" s="94"/>
      <c r="E25" s="93"/>
      <c r="F25" s="85"/>
      <c r="G25" s="96"/>
      <c r="H25" s="95"/>
      <c r="I25" s="94"/>
      <c r="J25" s="94"/>
      <c r="K25" s="93"/>
      <c r="L25" s="85"/>
      <c r="M25" s="96"/>
      <c r="N25" s="95"/>
      <c r="O25" s="94"/>
      <c r="P25" s="93"/>
    </row>
    <row r="26" spans="1:28" ht="20.100000000000001" customHeight="1">
      <c r="A26" s="92"/>
      <c r="B26" s="91"/>
      <c r="C26" s="91"/>
      <c r="D26" s="91"/>
      <c r="E26" s="91"/>
      <c r="F26" s="91"/>
      <c r="G26" s="91"/>
      <c r="H26" s="91"/>
      <c r="I26" s="91"/>
      <c r="J26" s="91"/>
      <c r="K26" s="91"/>
      <c r="L26" s="91"/>
      <c r="M26" s="91"/>
      <c r="N26" s="91"/>
      <c r="O26" s="91"/>
      <c r="P26" s="90"/>
    </row>
    <row r="27" spans="1:28" ht="21" customHeight="1">
      <c r="A27" s="3723" t="s">
        <v>126</v>
      </c>
      <c r="B27" s="3717"/>
      <c r="C27" s="3717"/>
      <c r="D27" s="3717"/>
      <c r="E27" s="3717"/>
      <c r="F27" s="3717"/>
      <c r="G27" s="3717"/>
      <c r="H27" s="3717"/>
      <c r="I27" s="3717"/>
      <c r="J27" s="3717"/>
      <c r="K27" s="3717"/>
      <c r="L27" s="3717"/>
      <c r="M27" s="3717"/>
      <c r="N27" s="3717"/>
      <c r="O27" s="3717"/>
      <c r="P27" s="3717"/>
    </row>
    <row r="28" spans="1:28" ht="14.25">
      <c r="A28" s="3704" t="s">
        <v>125</v>
      </c>
      <c r="B28" s="3705"/>
      <c r="C28" s="3705"/>
      <c r="D28" s="3705"/>
      <c r="E28" s="3705"/>
      <c r="F28" s="3705"/>
      <c r="G28" s="3705"/>
      <c r="H28" s="3706"/>
      <c r="I28" s="85"/>
      <c r="J28" s="3704" t="s">
        <v>124</v>
      </c>
      <c r="K28" s="3705"/>
      <c r="L28" s="3705"/>
      <c r="M28" s="3705"/>
      <c r="N28" s="3705"/>
      <c r="O28" s="3705"/>
      <c r="P28" s="3706"/>
    </row>
    <row r="29" spans="1:28" ht="30" customHeight="1">
      <c r="A29" s="89" t="s">
        <v>120</v>
      </c>
      <c r="B29" s="88" t="s">
        <v>123</v>
      </c>
      <c r="C29" s="3707" t="s">
        <v>122</v>
      </c>
      <c r="D29" s="3707"/>
      <c r="E29" s="88" t="s">
        <v>121</v>
      </c>
      <c r="F29" s="3707" t="s">
        <v>115</v>
      </c>
      <c r="G29" s="3708"/>
      <c r="H29" s="88" t="s">
        <v>116</v>
      </c>
      <c r="I29" s="85"/>
      <c r="J29" s="89" t="s">
        <v>120</v>
      </c>
      <c r="K29" s="3707" t="s">
        <v>119</v>
      </c>
      <c r="L29" s="3708"/>
      <c r="M29" s="88" t="s">
        <v>118</v>
      </c>
      <c r="N29" s="88" t="s">
        <v>117</v>
      </c>
      <c r="O29" s="88" t="s">
        <v>116</v>
      </c>
      <c r="P29" s="88" t="s">
        <v>115</v>
      </c>
    </row>
    <row r="30" spans="1:28" ht="18.75" customHeight="1">
      <c r="A30" s="87">
        <v>1</v>
      </c>
      <c r="B30" s="988">
        <v>20</v>
      </c>
      <c r="C30" s="3712">
        <v>30</v>
      </c>
      <c r="D30" s="3712"/>
      <c r="E30" s="988">
        <v>40</v>
      </c>
      <c r="F30" s="3709">
        <f t="shared" ref="F30:F39" si="0">AVERAGE(B30:E30)</f>
        <v>30</v>
      </c>
      <c r="G30" s="3709"/>
      <c r="H30" s="983">
        <f t="shared" ref="H30:H39" si="1">(F30*9/5)+32</f>
        <v>86</v>
      </c>
      <c r="I30" s="85"/>
      <c r="J30" s="87">
        <v>1</v>
      </c>
      <c r="K30" s="3712">
        <v>86</v>
      </c>
      <c r="L30" s="3712"/>
      <c r="M30" s="988">
        <v>86</v>
      </c>
      <c r="N30" s="988">
        <v>86</v>
      </c>
      <c r="O30" s="86">
        <f t="shared" ref="O30:O39" si="2">AVERAGE(K30:N30)</f>
        <v>86</v>
      </c>
      <c r="P30" s="983">
        <f t="shared" ref="P30:P39" si="3">(O30-32)*5/9</f>
        <v>30</v>
      </c>
    </row>
    <row r="31" spans="1:28" ht="18.75" customHeight="1">
      <c r="A31" s="84">
        <v>2</v>
      </c>
      <c r="B31" s="989">
        <v>20</v>
      </c>
      <c r="C31" s="3711">
        <v>30</v>
      </c>
      <c r="D31" s="3711"/>
      <c r="E31" s="989">
        <v>40</v>
      </c>
      <c r="F31" s="3710">
        <f t="shared" si="0"/>
        <v>30</v>
      </c>
      <c r="G31" s="3710"/>
      <c r="H31" s="984">
        <f t="shared" si="1"/>
        <v>86</v>
      </c>
      <c r="I31" s="85"/>
      <c r="J31" s="84">
        <v>2</v>
      </c>
      <c r="K31" s="3711">
        <v>86</v>
      </c>
      <c r="L31" s="3711"/>
      <c r="M31" s="989">
        <v>86</v>
      </c>
      <c r="N31" s="989">
        <v>86</v>
      </c>
      <c r="O31" s="83">
        <f t="shared" si="2"/>
        <v>86</v>
      </c>
      <c r="P31" s="984">
        <f t="shared" si="3"/>
        <v>30</v>
      </c>
    </row>
    <row r="32" spans="1:28" ht="18.75" customHeight="1">
      <c r="A32" s="84">
        <v>3</v>
      </c>
      <c r="B32" s="989">
        <v>20</v>
      </c>
      <c r="C32" s="3711">
        <v>30</v>
      </c>
      <c r="D32" s="3711"/>
      <c r="E32" s="989">
        <v>40</v>
      </c>
      <c r="F32" s="3710">
        <f t="shared" si="0"/>
        <v>30</v>
      </c>
      <c r="G32" s="3710"/>
      <c r="H32" s="984">
        <f t="shared" si="1"/>
        <v>86</v>
      </c>
      <c r="I32" s="85"/>
      <c r="J32" s="84">
        <v>3</v>
      </c>
      <c r="K32" s="3711">
        <v>86</v>
      </c>
      <c r="L32" s="3711"/>
      <c r="M32" s="989">
        <v>86</v>
      </c>
      <c r="N32" s="989">
        <v>86</v>
      </c>
      <c r="O32" s="83">
        <f t="shared" si="2"/>
        <v>86</v>
      </c>
      <c r="P32" s="984">
        <f t="shared" si="3"/>
        <v>30</v>
      </c>
    </row>
    <row r="33" spans="1:28" ht="18.75" customHeight="1">
      <c r="A33" s="84">
        <v>4</v>
      </c>
      <c r="B33" s="989">
        <v>20</v>
      </c>
      <c r="C33" s="3711">
        <v>30</v>
      </c>
      <c r="D33" s="3711"/>
      <c r="E33" s="989">
        <v>40</v>
      </c>
      <c r="F33" s="3710">
        <f t="shared" si="0"/>
        <v>30</v>
      </c>
      <c r="G33" s="3710"/>
      <c r="H33" s="984">
        <f t="shared" si="1"/>
        <v>86</v>
      </c>
      <c r="I33" s="85"/>
      <c r="J33" s="84">
        <v>4</v>
      </c>
      <c r="K33" s="3711">
        <v>86</v>
      </c>
      <c r="L33" s="3711"/>
      <c r="M33" s="989">
        <v>86</v>
      </c>
      <c r="N33" s="989">
        <v>86</v>
      </c>
      <c r="O33" s="83">
        <f t="shared" si="2"/>
        <v>86</v>
      </c>
      <c r="P33" s="984">
        <f t="shared" si="3"/>
        <v>30</v>
      </c>
    </row>
    <row r="34" spans="1:28" ht="18.75" customHeight="1">
      <c r="A34" s="84">
        <v>5</v>
      </c>
      <c r="B34" s="989">
        <v>20</v>
      </c>
      <c r="C34" s="3711">
        <v>30</v>
      </c>
      <c r="D34" s="3711"/>
      <c r="E34" s="989">
        <v>40</v>
      </c>
      <c r="F34" s="3710">
        <f t="shared" si="0"/>
        <v>30</v>
      </c>
      <c r="G34" s="3710"/>
      <c r="H34" s="984">
        <f t="shared" si="1"/>
        <v>86</v>
      </c>
      <c r="I34" s="85"/>
      <c r="J34" s="84">
        <v>5</v>
      </c>
      <c r="K34" s="3711">
        <v>86</v>
      </c>
      <c r="L34" s="3711"/>
      <c r="M34" s="989">
        <v>86</v>
      </c>
      <c r="N34" s="989">
        <v>86</v>
      </c>
      <c r="O34" s="83">
        <f t="shared" si="2"/>
        <v>86</v>
      </c>
      <c r="P34" s="984">
        <f t="shared" si="3"/>
        <v>30</v>
      </c>
    </row>
    <row r="35" spans="1:28" ht="18.75" customHeight="1">
      <c r="A35" s="84">
        <v>6</v>
      </c>
      <c r="B35" s="989">
        <v>20</v>
      </c>
      <c r="C35" s="3711">
        <v>30</v>
      </c>
      <c r="D35" s="3711"/>
      <c r="E35" s="989">
        <v>40</v>
      </c>
      <c r="F35" s="3710">
        <f t="shared" si="0"/>
        <v>30</v>
      </c>
      <c r="G35" s="3710"/>
      <c r="H35" s="984">
        <f t="shared" si="1"/>
        <v>86</v>
      </c>
      <c r="I35" s="85"/>
      <c r="J35" s="84">
        <v>6</v>
      </c>
      <c r="K35" s="3711">
        <v>86</v>
      </c>
      <c r="L35" s="3711"/>
      <c r="M35" s="989">
        <v>86</v>
      </c>
      <c r="N35" s="989">
        <v>86</v>
      </c>
      <c r="O35" s="83">
        <f t="shared" si="2"/>
        <v>86</v>
      </c>
      <c r="P35" s="984">
        <f t="shared" si="3"/>
        <v>30</v>
      </c>
    </row>
    <row r="36" spans="1:28" ht="18.75" customHeight="1">
      <c r="A36" s="84">
        <v>7</v>
      </c>
      <c r="B36" s="989">
        <v>20</v>
      </c>
      <c r="C36" s="3711">
        <v>30</v>
      </c>
      <c r="D36" s="3711"/>
      <c r="E36" s="989">
        <v>40</v>
      </c>
      <c r="F36" s="3710">
        <f t="shared" si="0"/>
        <v>30</v>
      </c>
      <c r="G36" s="3710"/>
      <c r="H36" s="984">
        <f t="shared" si="1"/>
        <v>86</v>
      </c>
      <c r="I36" s="85"/>
      <c r="J36" s="84">
        <v>7</v>
      </c>
      <c r="K36" s="3711">
        <v>86</v>
      </c>
      <c r="L36" s="3711"/>
      <c r="M36" s="989">
        <v>86</v>
      </c>
      <c r="N36" s="989">
        <v>86</v>
      </c>
      <c r="O36" s="83">
        <f t="shared" si="2"/>
        <v>86</v>
      </c>
      <c r="P36" s="984">
        <f t="shared" si="3"/>
        <v>30</v>
      </c>
    </row>
    <row r="37" spans="1:28" ht="18.75" customHeight="1">
      <c r="A37" s="84">
        <v>8</v>
      </c>
      <c r="B37" s="989">
        <v>20</v>
      </c>
      <c r="C37" s="3711">
        <v>30</v>
      </c>
      <c r="D37" s="3711"/>
      <c r="E37" s="989">
        <v>40</v>
      </c>
      <c r="F37" s="3710">
        <f t="shared" si="0"/>
        <v>30</v>
      </c>
      <c r="G37" s="3710"/>
      <c r="H37" s="984">
        <f t="shared" si="1"/>
        <v>86</v>
      </c>
      <c r="I37" s="85"/>
      <c r="J37" s="84">
        <v>8</v>
      </c>
      <c r="K37" s="3711">
        <v>86</v>
      </c>
      <c r="L37" s="3711"/>
      <c r="M37" s="989">
        <v>86</v>
      </c>
      <c r="N37" s="989">
        <v>86</v>
      </c>
      <c r="O37" s="83">
        <f t="shared" si="2"/>
        <v>86</v>
      </c>
      <c r="P37" s="984">
        <f t="shared" si="3"/>
        <v>30</v>
      </c>
    </row>
    <row r="38" spans="1:28" ht="18.75" customHeight="1">
      <c r="A38" s="84">
        <v>9</v>
      </c>
      <c r="B38" s="989">
        <v>20</v>
      </c>
      <c r="C38" s="3711">
        <v>30</v>
      </c>
      <c r="D38" s="3711"/>
      <c r="E38" s="989">
        <v>40</v>
      </c>
      <c r="F38" s="3710">
        <f t="shared" si="0"/>
        <v>30</v>
      </c>
      <c r="G38" s="3710"/>
      <c r="H38" s="984">
        <f t="shared" si="1"/>
        <v>86</v>
      </c>
      <c r="I38" s="85"/>
      <c r="J38" s="84">
        <v>9</v>
      </c>
      <c r="K38" s="3711">
        <v>86</v>
      </c>
      <c r="L38" s="3711"/>
      <c r="M38" s="989">
        <v>86</v>
      </c>
      <c r="N38" s="989">
        <v>86</v>
      </c>
      <c r="O38" s="83">
        <f t="shared" si="2"/>
        <v>86</v>
      </c>
      <c r="P38" s="984">
        <f t="shared" si="3"/>
        <v>30</v>
      </c>
    </row>
    <row r="39" spans="1:28" ht="18.75" customHeight="1">
      <c r="A39" s="81">
        <v>10</v>
      </c>
      <c r="B39" s="990">
        <v>20</v>
      </c>
      <c r="C39" s="3731">
        <v>30</v>
      </c>
      <c r="D39" s="3731"/>
      <c r="E39" s="990">
        <v>40</v>
      </c>
      <c r="F39" s="3732">
        <f t="shared" si="0"/>
        <v>30</v>
      </c>
      <c r="G39" s="3732"/>
      <c r="H39" s="985">
        <f t="shared" si="1"/>
        <v>86</v>
      </c>
      <c r="I39" s="82"/>
      <c r="J39" s="81">
        <v>10</v>
      </c>
      <c r="K39" s="3731">
        <v>86</v>
      </c>
      <c r="L39" s="3731"/>
      <c r="M39" s="990">
        <v>86</v>
      </c>
      <c r="N39" s="990">
        <v>86</v>
      </c>
      <c r="O39" s="80">
        <f t="shared" si="2"/>
        <v>86</v>
      </c>
      <c r="P39" s="985">
        <f t="shared" si="3"/>
        <v>30</v>
      </c>
    </row>
    <row r="40" spans="1:28" ht="2.25" customHeight="1">
      <c r="A40" s="79"/>
      <c r="B40" s="79"/>
      <c r="C40" s="79"/>
      <c r="D40" s="79"/>
      <c r="E40" s="79"/>
      <c r="F40" s="79"/>
      <c r="G40" s="79"/>
      <c r="H40" s="79"/>
      <c r="I40" s="79"/>
      <c r="J40" s="79"/>
      <c r="K40" s="79"/>
      <c r="L40" s="79"/>
      <c r="M40" s="79"/>
      <c r="N40" s="79"/>
      <c r="O40" s="79"/>
      <c r="P40" s="79"/>
    </row>
    <row r="43" spans="1:28" s="78" customFormat="1" ht="15" hidden="1" customHeight="1">
      <c r="Q43" s="77"/>
      <c r="R43" s="77"/>
      <c r="S43" s="77"/>
      <c r="T43" s="77"/>
      <c r="U43" s="77"/>
      <c r="V43" s="77"/>
      <c r="W43" s="77"/>
      <c r="X43" s="77"/>
      <c r="Y43" s="77"/>
      <c r="Z43" s="77"/>
      <c r="AA43" s="77"/>
      <c r="AB43" s="77"/>
    </row>
    <row r="44" spans="1:28" s="78" customFormat="1" ht="15" hidden="1" customHeight="1">
      <c r="Q44" s="77"/>
      <c r="R44" s="77"/>
      <c r="S44" s="77"/>
      <c r="T44" s="77"/>
      <c r="U44" s="77"/>
      <c r="V44" s="77"/>
      <c r="W44" s="77"/>
      <c r="X44" s="77"/>
      <c r="Y44" s="77"/>
      <c r="Z44" s="77"/>
      <c r="AA44" s="77"/>
      <c r="AB44" s="77"/>
    </row>
    <row r="45" spans="1:28" s="78" customFormat="1" ht="15" hidden="1" customHeight="1">
      <c r="Q45" s="77"/>
      <c r="R45" s="77"/>
      <c r="S45" s="77"/>
      <c r="T45" s="77"/>
      <c r="U45" s="77"/>
      <c r="V45" s="77"/>
      <c r="W45" s="77"/>
      <c r="X45" s="77"/>
      <c r="Y45" s="77"/>
      <c r="Z45" s="77"/>
      <c r="AA45" s="77"/>
      <c r="AB45" s="77"/>
    </row>
    <row r="46" spans="1:28" s="78" customFormat="1" ht="15" hidden="1" customHeight="1">
      <c r="Q46" s="77"/>
      <c r="R46" s="77"/>
      <c r="S46" s="77"/>
      <c r="T46" s="77"/>
      <c r="U46" s="77"/>
      <c r="V46" s="77"/>
      <c r="W46" s="77"/>
      <c r="X46" s="77"/>
      <c r="Y46" s="77"/>
      <c r="Z46" s="77"/>
      <c r="AA46" s="77"/>
      <c r="AB46" s="77"/>
    </row>
    <row r="47" spans="1:28" s="78" customFormat="1" ht="15" hidden="1" customHeight="1">
      <c r="Q47" s="77"/>
      <c r="R47" s="77"/>
      <c r="S47" s="77"/>
      <c r="T47" s="77"/>
      <c r="U47" s="77"/>
      <c r="V47" s="77"/>
      <c r="W47" s="77"/>
      <c r="X47" s="77"/>
      <c r="Y47" s="77"/>
      <c r="Z47" s="77"/>
      <c r="AA47" s="77"/>
      <c r="AB47" s="77"/>
    </row>
    <row r="48" spans="1:28" s="78" customFormat="1" ht="15" hidden="1" customHeight="1">
      <c r="Q48" s="77"/>
      <c r="R48" s="77"/>
      <c r="S48" s="77"/>
      <c r="T48" s="77"/>
      <c r="U48" s="77"/>
      <c r="V48" s="77"/>
      <c r="W48" s="77"/>
      <c r="X48" s="77"/>
      <c r="Y48" s="77"/>
      <c r="Z48" s="77"/>
      <c r="AA48" s="77"/>
      <c r="AB48" s="77"/>
    </row>
    <row r="49" spans="1:28" s="78" customFormat="1" ht="15" hidden="1" customHeight="1">
      <c r="A49" s="77"/>
      <c r="B49" s="77"/>
      <c r="C49" s="77"/>
      <c r="D49" s="77"/>
      <c r="E49" s="77"/>
      <c r="F49" s="77"/>
      <c r="G49" s="77"/>
      <c r="H49" s="77"/>
      <c r="I49" s="77"/>
      <c r="J49" s="77"/>
      <c r="K49" s="77"/>
      <c r="L49" s="77"/>
      <c r="M49" s="77"/>
      <c r="N49" s="77"/>
      <c r="O49" s="77"/>
      <c r="P49" s="77"/>
      <c r="Q49" s="77"/>
      <c r="R49" s="77"/>
      <c r="S49" s="77"/>
      <c r="T49" s="77"/>
      <c r="U49" s="77"/>
      <c r="V49" s="77"/>
      <c r="W49" s="77"/>
      <c r="X49" s="77"/>
      <c r="Y49" s="77"/>
      <c r="Z49" s="77"/>
      <c r="AA49" s="77"/>
      <c r="AB49" s="77"/>
    </row>
    <row r="50" spans="1:28" s="78" customFormat="1" ht="15" hidden="1" customHeight="1">
      <c r="A50" s="77"/>
      <c r="B50" s="77"/>
      <c r="C50" s="77"/>
      <c r="D50" s="77"/>
      <c r="E50" s="77"/>
      <c r="F50" s="77"/>
      <c r="G50" s="77"/>
      <c r="H50" s="77"/>
      <c r="I50" s="77"/>
      <c r="J50" s="77"/>
      <c r="K50" s="77"/>
      <c r="L50" s="77"/>
      <c r="M50" s="77"/>
      <c r="N50" s="77"/>
      <c r="O50" s="77"/>
      <c r="P50" s="77"/>
      <c r="Q50" s="77"/>
      <c r="R50" s="77"/>
      <c r="S50" s="77"/>
      <c r="T50" s="77"/>
      <c r="U50" s="77"/>
      <c r="V50" s="77"/>
      <c r="W50" s="77"/>
      <c r="X50" s="77"/>
      <c r="Y50" s="77"/>
      <c r="Z50" s="77"/>
      <c r="AA50" s="77"/>
      <c r="AB50" s="77"/>
    </row>
    <row r="51" spans="1:28" s="78" customFormat="1" ht="15" hidden="1" customHeight="1">
      <c r="A51" s="77"/>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row>
    <row r="52" spans="1:28" s="78" customFormat="1" ht="15" hidden="1" customHeight="1">
      <c r="A52" s="77"/>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row>
    <row r="54" spans="1:28" ht="21" hidden="1" customHeight="1"/>
    <row r="55" spans="1:28" ht="38.25" hidden="1" customHeight="1"/>
    <row r="66" ht="3" hidden="1" customHeight="1"/>
  </sheetData>
  <sheetProtection algorithmName="SHA-512" hashValue="PtqqQxDI1016HH4TIb8vV/42y0j+dtBX643AUKYyegHhgrjelTyDMXf7WdGke4pXxbcSvLyOEvglvoQmeOM90w==" saltValue="Hd0pdfQfYNES+U+k+AF+yw==" spinCount="100000" sheet="1" objects="1" scenarios="1" autoFilter="0"/>
  <mergeCells count="92">
    <mergeCell ref="A13:B13"/>
    <mergeCell ref="J13:L13"/>
    <mergeCell ref="A1:H2"/>
    <mergeCell ref="J1:P2"/>
    <mergeCell ref="F4:G4"/>
    <mergeCell ref="F5:G5"/>
    <mergeCell ref="F7:G7"/>
    <mergeCell ref="A7:B7"/>
    <mergeCell ref="J3:P3"/>
    <mergeCell ref="J7:L7"/>
    <mergeCell ref="A3:H3"/>
    <mergeCell ref="N7:O7"/>
    <mergeCell ref="A8:B8"/>
    <mergeCell ref="A9:B9"/>
    <mergeCell ref="A12:H12"/>
    <mergeCell ref="F8:G8"/>
    <mergeCell ref="C39:D39"/>
    <mergeCell ref="G22:H22"/>
    <mergeCell ref="G23:H23"/>
    <mergeCell ref="G24:H24"/>
    <mergeCell ref="C33:D33"/>
    <mergeCell ref="C34:D34"/>
    <mergeCell ref="C35:D35"/>
    <mergeCell ref="C36:D36"/>
    <mergeCell ref="C37:D37"/>
    <mergeCell ref="C31:D31"/>
    <mergeCell ref="C32:D32"/>
    <mergeCell ref="C38:D38"/>
    <mergeCell ref="C29:D29"/>
    <mergeCell ref="C30:D30"/>
    <mergeCell ref="K39:L39"/>
    <mergeCell ref="F33:G33"/>
    <mergeCell ref="F34:G34"/>
    <mergeCell ref="F35:G35"/>
    <mergeCell ref="F36:G36"/>
    <mergeCell ref="F37:G37"/>
    <mergeCell ref="K34:L34"/>
    <mergeCell ref="K35:L35"/>
    <mergeCell ref="K36:L36"/>
    <mergeCell ref="K37:L37"/>
    <mergeCell ref="F38:G38"/>
    <mergeCell ref="F39:G39"/>
    <mergeCell ref="K38:L38"/>
    <mergeCell ref="K33:L33"/>
    <mergeCell ref="A14:C14"/>
    <mergeCell ref="A27:P27"/>
    <mergeCell ref="I22:K22"/>
    <mergeCell ref="I23:K23"/>
    <mergeCell ref="I24:K24"/>
    <mergeCell ref="F16:G16"/>
    <mergeCell ref="O22:P22"/>
    <mergeCell ref="O24:P24"/>
    <mergeCell ref="A15:C15"/>
    <mergeCell ref="A16:C16"/>
    <mergeCell ref="J15:M15"/>
    <mergeCell ref="J16:M16"/>
    <mergeCell ref="F9:G9"/>
    <mergeCell ref="F13:G13"/>
    <mergeCell ref="F14:G14"/>
    <mergeCell ref="F15:G15"/>
    <mergeCell ref="M24:N24"/>
    <mergeCell ref="A17:H17"/>
    <mergeCell ref="A19:P19"/>
    <mergeCell ref="C22:E22"/>
    <mergeCell ref="C23:E23"/>
    <mergeCell ref="C24:E24"/>
    <mergeCell ref="G20:K20"/>
    <mergeCell ref="A22:B22"/>
    <mergeCell ref="A23:B23"/>
    <mergeCell ref="A24:B24"/>
    <mergeCell ref="A20:E20"/>
    <mergeCell ref="M20:P20"/>
    <mergeCell ref="J28:P28"/>
    <mergeCell ref="F29:G29"/>
    <mergeCell ref="F30:G30"/>
    <mergeCell ref="F31:G31"/>
    <mergeCell ref="F32:G32"/>
    <mergeCell ref="K32:L32"/>
    <mergeCell ref="A28:H28"/>
    <mergeCell ref="K29:L29"/>
    <mergeCell ref="K30:L30"/>
    <mergeCell ref="K31:L31"/>
    <mergeCell ref="J8:L8"/>
    <mergeCell ref="J9:L9"/>
    <mergeCell ref="M22:N22"/>
    <mergeCell ref="M23:N23"/>
    <mergeCell ref="N9:O9"/>
    <mergeCell ref="N8:O8"/>
    <mergeCell ref="O23:P23"/>
    <mergeCell ref="J12:P12"/>
    <mergeCell ref="J14:M14"/>
    <mergeCell ref="J17:P17"/>
  </mergeCells>
  <printOptions horizontalCentered="1"/>
  <pageMargins left="0.3" right="0.3" top="0.2" bottom="0.3" header="0.3" footer="0.1"/>
  <pageSetup paperSize="9" scale="80" firstPageNumber="4294963191" orientation="portrait" cellComments="atEnd" r:id="rId1"/>
  <headerFooter scaleWithDoc="0">
    <oddFooter>&amp;L&amp;8BunkerManager, v1.06&amp;C&amp;8by AMS-Marine | www.ams-marine.com&amp;R&amp;8RefNo: BD/2015/00926 SG</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0">
    <tabColor rgb="FFFFFF00"/>
    <pageSetUpPr fitToPage="1"/>
  </sheetPr>
  <dimension ref="A1:T20"/>
  <sheetViews>
    <sheetView showGridLines="0" showRowColHeaders="0" zoomScaleNormal="100" zoomScaleSheetLayoutView="90" workbookViewId="0">
      <pane ySplit="1" topLeftCell="A2" activePane="bottomLeft" state="frozen"/>
      <selection pane="bottomLeft" activeCell="G4" sqref="G4"/>
    </sheetView>
  </sheetViews>
  <sheetFormatPr defaultColWidth="0" defaultRowHeight="12.75" zeroHeight="1"/>
  <cols>
    <col min="1" max="1" width="4.25" style="552" customWidth="1"/>
    <col min="2" max="2" width="6.125" style="552" customWidth="1"/>
    <col min="3" max="3" width="2.5" style="552" customWidth="1"/>
    <col min="4" max="4" width="13.75" style="552" customWidth="1"/>
    <col min="5" max="5" width="6.125" style="573" customWidth="1"/>
    <col min="6" max="6" width="18.5" style="552" customWidth="1"/>
    <col min="7" max="7" width="8.375" style="552" customWidth="1"/>
    <col min="8" max="8" width="6.125" style="552" customWidth="1"/>
    <col min="9" max="15" width="9" style="552" customWidth="1"/>
    <col min="16" max="16" width="8.125" style="552" customWidth="1"/>
    <col min="17" max="17" width="5.875" style="552" customWidth="1"/>
    <col min="18" max="18" width="4" style="552" customWidth="1"/>
    <col min="19" max="19" width="3" style="552" customWidth="1"/>
    <col min="20" max="20" width="0.75" style="552" customWidth="1"/>
    <col min="21" max="16384" width="9" style="552" hidden="1"/>
  </cols>
  <sheetData>
    <row r="1" spans="1:20" ht="33" customHeight="1" thickBot="1">
      <c r="A1" s="550"/>
      <c r="B1" s="336"/>
      <c r="C1" s="336"/>
      <c r="D1" s="336"/>
      <c r="E1" s="336" t="s">
        <v>255</v>
      </c>
      <c r="F1" s="336"/>
      <c r="G1" s="336"/>
      <c r="H1" s="336"/>
      <c r="I1" s="336"/>
      <c r="J1" s="336"/>
      <c r="K1" s="336"/>
      <c r="L1" s="336"/>
      <c r="M1" s="336"/>
      <c r="N1" s="336"/>
      <c r="O1" s="336"/>
      <c r="P1" s="336"/>
      <c r="Q1" s="336"/>
      <c r="R1" s="336"/>
      <c r="S1" s="337"/>
      <c r="T1" s="551"/>
    </row>
    <row r="2" spans="1:20" ht="12.75" customHeight="1" thickTop="1" thickBot="1">
      <c r="A2" s="553"/>
      <c r="B2" s="553"/>
      <c r="C2" s="553"/>
      <c r="D2" s="553"/>
      <c r="E2" s="554"/>
      <c r="F2" s="553"/>
      <c r="G2" s="553"/>
      <c r="H2" s="553"/>
      <c r="I2" s="553"/>
      <c r="J2" s="553"/>
      <c r="K2" s="553"/>
      <c r="L2" s="553"/>
      <c r="M2" s="553"/>
      <c r="N2" s="553"/>
      <c r="O2" s="553"/>
      <c r="P2" s="553"/>
      <c r="Q2" s="553"/>
      <c r="R2" s="553"/>
      <c r="S2" s="553"/>
      <c r="T2" s="551"/>
    </row>
    <row r="3" spans="1:20" ht="20.25" customHeight="1" thickTop="1">
      <c r="A3" s="555"/>
      <c r="B3" s="152" t="s">
        <v>254</v>
      </c>
      <c r="C3" s="3764" t="s">
        <v>178</v>
      </c>
      <c r="D3" s="3765"/>
      <c r="E3" s="151" t="s">
        <v>253</v>
      </c>
      <c r="F3" s="3766" t="s">
        <v>252</v>
      </c>
      <c r="G3" s="3767"/>
      <c r="H3" s="556" t="s">
        <v>251</v>
      </c>
      <c r="S3" s="557"/>
      <c r="T3" s="551"/>
    </row>
    <row r="4" spans="1:20" ht="15.95" customHeight="1">
      <c r="A4" s="558"/>
      <c r="B4" s="559"/>
      <c r="C4" s="560"/>
      <c r="D4" s="150"/>
      <c r="E4" s="559"/>
      <c r="F4" s="149" t="s">
        <v>250</v>
      </c>
      <c r="G4" s="148">
        <v>168.5</v>
      </c>
      <c r="H4" s="138" t="s">
        <v>33</v>
      </c>
      <c r="S4" s="561"/>
      <c r="T4" s="551"/>
    </row>
    <row r="5" spans="1:20" ht="15.95" customHeight="1">
      <c r="A5" s="562"/>
      <c r="B5" s="563"/>
      <c r="C5" s="3768"/>
      <c r="D5" s="3768"/>
      <c r="E5" s="563"/>
      <c r="F5" s="146"/>
      <c r="G5" s="142" t="s">
        <v>249</v>
      </c>
      <c r="H5" s="138"/>
      <c r="S5" s="561"/>
      <c r="T5" s="551"/>
    </row>
    <row r="6" spans="1:20" ht="15.95" customHeight="1">
      <c r="A6" s="141" t="s">
        <v>248</v>
      </c>
      <c r="B6" s="351">
        <v>10</v>
      </c>
      <c r="C6" s="3768"/>
      <c r="D6" s="3768"/>
      <c r="E6" s="140">
        <v>7.49</v>
      </c>
      <c r="F6" s="139" t="s">
        <v>247</v>
      </c>
      <c r="G6" s="145">
        <v>-0.9</v>
      </c>
      <c r="H6" s="138" t="s">
        <v>33</v>
      </c>
      <c r="S6" s="561"/>
      <c r="T6" s="551"/>
    </row>
    <row r="7" spans="1:20" ht="15.95" customHeight="1">
      <c r="A7" s="141"/>
      <c r="B7" s="559"/>
      <c r="C7" s="3768"/>
      <c r="D7" s="3768"/>
      <c r="E7" s="559"/>
      <c r="F7" s="146" t="s">
        <v>245</v>
      </c>
      <c r="G7" s="147">
        <v>0</v>
      </c>
      <c r="H7" s="138" t="s">
        <v>33</v>
      </c>
      <c r="I7" s="564"/>
      <c r="S7" s="561"/>
      <c r="T7" s="551"/>
    </row>
    <row r="8" spans="1:20" ht="15.95" customHeight="1">
      <c r="A8" s="141"/>
      <c r="B8" s="144"/>
      <c r="C8" s="3768"/>
      <c r="D8" s="3768"/>
      <c r="E8" s="144"/>
      <c r="F8" s="146" t="s">
        <v>240</v>
      </c>
      <c r="G8" s="145">
        <v>6.9</v>
      </c>
      <c r="H8" s="138" t="s">
        <v>33</v>
      </c>
      <c r="S8" s="561"/>
      <c r="T8" s="551"/>
    </row>
    <row r="9" spans="1:20" ht="15.95" customHeight="1">
      <c r="A9" s="141"/>
      <c r="B9" s="144"/>
      <c r="C9" s="3768"/>
      <c r="D9" s="3768"/>
      <c r="E9" s="144"/>
      <c r="F9" s="143" t="s">
        <v>246</v>
      </c>
      <c r="G9" s="142">
        <f>G4-(G6*-1)+(G8*-1)</f>
        <v>160.69999999999999</v>
      </c>
      <c r="H9" s="138" t="s">
        <v>33</v>
      </c>
      <c r="S9" s="561"/>
      <c r="T9" s="551"/>
    </row>
    <row r="10" spans="1:20" ht="15.95" customHeight="1">
      <c r="A10" s="141"/>
      <c r="B10" s="565"/>
      <c r="C10" s="3768"/>
      <c r="D10" s="3768"/>
      <c r="E10" s="565"/>
      <c r="F10" s="3755"/>
      <c r="G10" s="3769"/>
      <c r="H10" s="3770"/>
      <c r="S10" s="561"/>
      <c r="T10" s="551"/>
    </row>
    <row r="11" spans="1:20" ht="15.95" customHeight="1">
      <c r="A11" s="141" t="s">
        <v>245</v>
      </c>
      <c r="B11" s="351">
        <v>9</v>
      </c>
      <c r="C11" s="539"/>
      <c r="D11" s="539"/>
      <c r="E11" s="140">
        <v>9.3000000000000007</v>
      </c>
      <c r="F11" s="545" t="s">
        <v>244</v>
      </c>
      <c r="G11" s="566">
        <f>AVERAGE(B6:E6)</f>
        <v>8.745000000000001</v>
      </c>
      <c r="H11" s="138" t="s">
        <v>33</v>
      </c>
      <c r="S11" s="561"/>
      <c r="T11" s="551"/>
    </row>
    <row r="12" spans="1:20" ht="15.95" customHeight="1">
      <c r="A12" s="141"/>
      <c r="B12" s="559"/>
      <c r="C12" s="539"/>
      <c r="D12" s="539"/>
      <c r="E12" s="559"/>
      <c r="F12" s="546" t="s">
        <v>243</v>
      </c>
      <c r="G12" s="567">
        <f>D19*G6/G9</f>
        <v>0</v>
      </c>
      <c r="H12" s="138" t="s">
        <v>33</v>
      </c>
      <c r="S12" s="561"/>
      <c r="T12" s="551"/>
    </row>
    <row r="13" spans="1:20" ht="15.95" customHeight="1">
      <c r="A13" s="141"/>
      <c r="B13" s="568"/>
      <c r="C13" s="539"/>
      <c r="D13" s="539"/>
      <c r="E13" s="568"/>
      <c r="F13" s="547" t="s">
        <v>242</v>
      </c>
      <c r="G13" s="566">
        <f>G11+G12</f>
        <v>8.745000000000001</v>
      </c>
      <c r="H13" s="138" t="s">
        <v>33</v>
      </c>
      <c r="S13" s="561"/>
      <c r="T13" s="551"/>
    </row>
    <row r="14" spans="1:20" ht="15.95" customHeight="1">
      <c r="A14" s="141"/>
      <c r="B14" s="568"/>
      <c r="C14" s="539"/>
      <c r="D14" s="539"/>
      <c r="E14" s="568"/>
      <c r="F14" s="3755"/>
      <c r="G14" s="3769"/>
      <c r="H14" s="3770"/>
      <c r="S14" s="561"/>
      <c r="T14" s="551"/>
    </row>
    <row r="15" spans="1:20" ht="15.95" customHeight="1">
      <c r="A15" s="141"/>
      <c r="B15" s="565"/>
      <c r="C15" s="539"/>
      <c r="D15" s="539"/>
      <c r="E15" s="565"/>
      <c r="F15" s="548" t="s">
        <v>241</v>
      </c>
      <c r="G15" s="566">
        <f>AVERAGE(B16:E16)</f>
        <v>11.4</v>
      </c>
      <c r="H15" s="138" t="s">
        <v>33</v>
      </c>
      <c r="S15" s="561"/>
      <c r="T15" s="551"/>
    </row>
    <row r="16" spans="1:20" ht="15.95" customHeight="1">
      <c r="A16" s="141" t="s">
        <v>240</v>
      </c>
      <c r="B16" s="351">
        <v>11.4</v>
      </c>
      <c r="C16" s="539"/>
      <c r="D16" s="539"/>
      <c r="E16" s="140">
        <v>11.4</v>
      </c>
      <c r="F16" s="549" t="s">
        <v>239</v>
      </c>
      <c r="G16" s="567">
        <f>D19*G8/G9</f>
        <v>0</v>
      </c>
      <c r="H16" s="138" t="s">
        <v>33</v>
      </c>
      <c r="S16" s="561"/>
      <c r="T16" s="551"/>
    </row>
    <row r="17" spans="1:20" ht="15.95" customHeight="1">
      <c r="A17" s="562"/>
      <c r="B17" s="559"/>
      <c r="C17" s="539"/>
      <c r="D17" s="539"/>
      <c r="E17" s="559"/>
      <c r="F17" s="547" t="s">
        <v>238</v>
      </c>
      <c r="G17" s="566">
        <f>G15+G16</f>
        <v>11.4</v>
      </c>
      <c r="H17" s="138" t="s">
        <v>33</v>
      </c>
      <c r="S17" s="561"/>
      <c r="T17" s="551"/>
    </row>
    <row r="18" spans="1:20" ht="15" customHeight="1">
      <c r="A18" s="555"/>
      <c r="B18" s="565"/>
      <c r="C18" s="539"/>
      <c r="D18" s="539"/>
      <c r="E18" s="565"/>
      <c r="F18" s="3755"/>
      <c r="G18" s="3756"/>
      <c r="H18" s="3757"/>
      <c r="S18" s="561"/>
      <c r="T18" s="551"/>
    </row>
    <row r="19" spans="1:20" ht="27.75" customHeight="1" thickBot="1">
      <c r="A19" s="3760" t="s">
        <v>237</v>
      </c>
      <c r="B19" s="3761"/>
      <c r="C19" s="3762">
        <f>AVERAGE(B16,E16)-AVERAGE(B6,E6)</f>
        <v>2.6549999999999994</v>
      </c>
      <c r="D19" s="3763"/>
      <c r="E19" s="3758" t="s">
        <v>236</v>
      </c>
      <c r="F19" s="3759"/>
      <c r="G19" s="353">
        <f>G17-G13</f>
        <v>2.6549999999999994</v>
      </c>
      <c r="H19" s="137" t="s">
        <v>33</v>
      </c>
      <c r="I19" s="569"/>
      <c r="J19" s="569"/>
      <c r="K19" s="569"/>
      <c r="L19" s="569"/>
      <c r="M19" s="569"/>
      <c r="N19" s="569"/>
      <c r="O19" s="569"/>
      <c r="P19" s="569"/>
      <c r="Q19" s="569"/>
      <c r="R19" s="569"/>
      <c r="S19" s="570"/>
      <c r="T19" s="551"/>
    </row>
    <row r="20" spans="1:20" ht="3.75" customHeight="1" thickTop="1">
      <c r="A20" s="551"/>
      <c r="B20" s="136"/>
      <c r="C20" s="136"/>
      <c r="D20" s="571"/>
      <c r="E20" s="571"/>
      <c r="F20" s="572"/>
      <c r="G20" s="572"/>
      <c r="H20" s="551"/>
      <c r="I20" s="551"/>
      <c r="J20" s="551"/>
      <c r="K20" s="551"/>
      <c r="L20" s="551"/>
      <c r="M20" s="551"/>
      <c r="N20" s="551"/>
      <c r="O20" s="551"/>
      <c r="P20" s="551"/>
      <c r="Q20" s="551"/>
      <c r="R20" s="551"/>
      <c r="S20" s="551"/>
      <c r="T20" s="551"/>
    </row>
  </sheetData>
  <sheetProtection algorithmName="SHA-512" hashValue="rFjfs5ZG6zw67A/IbBybi8ELE3fxjX5Ob+N9fnVH5uG9qI5BDcobn0JwZMNy8/vqItm1MN2cC7PB0sEiQz0umg==" saltValue="1C00ADyefzpw+7wGb2/uWg==" spinCount="100000" sheet="1" objects="1" scenarios="1" selectLockedCells="1" autoFilter="0"/>
  <mergeCells count="9">
    <mergeCell ref="F18:H18"/>
    <mergeCell ref="E19:F19"/>
    <mergeCell ref="A19:B19"/>
    <mergeCell ref="C19:D19"/>
    <mergeCell ref="C3:D3"/>
    <mergeCell ref="F3:G3"/>
    <mergeCell ref="C5:D10"/>
    <mergeCell ref="F10:H10"/>
    <mergeCell ref="F14:H14"/>
  </mergeCells>
  <printOptions horizontalCentered="1"/>
  <pageMargins left="0.3" right="0.3" top="0.2" bottom="0.3" header="0.3" footer="0.1"/>
  <pageSetup paperSize="9" scale="60" orientation="portrait" cellComments="atEnd" r:id="rId1"/>
  <headerFooter scaleWithDoc="0">
    <oddFooter>&amp;L&amp;8BunkerManager, v1.06&amp;C&amp;8by AMS-Marine | www.ams-marine.com&amp;R&amp;8RefNo: BD/2015/00926 SG</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11">
    <tabColor rgb="FFFFFF00"/>
    <pageSetUpPr fitToPage="1"/>
  </sheetPr>
  <dimension ref="A1:C65"/>
  <sheetViews>
    <sheetView showGridLines="0" showRowColHeaders="0" zoomScaleNormal="100" zoomScaleSheetLayoutView="100" workbookViewId="0">
      <pane ySplit="3" topLeftCell="A4" activePane="bottomLeft" state="frozen"/>
      <selection pane="bottomLeft" activeCell="B1" sqref="B1"/>
    </sheetView>
  </sheetViews>
  <sheetFormatPr defaultColWidth="0" defaultRowHeight="12.75" zeroHeight="1"/>
  <cols>
    <col min="1" max="1" width="9" style="180" customWidth="1"/>
    <col min="2" max="2" width="80.625" style="180" customWidth="1"/>
    <col min="3" max="3" width="0.25" style="180" customWidth="1"/>
    <col min="4" max="16384" width="9" style="180" hidden="1"/>
  </cols>
  <sheetData>
    <row r="1" spans="1:2" ht="23.25" customHeight="1">
      <c r="A1" s="574"/>
      <c r="B1" s="751" t="s">
        <v>531</v>
      </c>
    </row>
    <row r="2" spans="1:2" ht="5.25" customHeight="1"/>
    <row r="3" spans="1:2" ht="15.75">
      <c r="A3" s="820" t="s">
        <v>406</v>
      </c>
      <c r="B3" s="821" t="s">
        <v>1</v>
      </c>
    </row>
    <row r="4" spans="1:2" ht="14.25" hidden="1">
      <c r="A4" s="822"/>
      <c r="B4" s="823"/>
    </row>
    <row r="5" spans="1:2" ht="15">
      <c r="A5" s="900" t="s">
        <v>416</v>
      </c>
      <c r="B5" s="901" t="s">
        <v>419</v>
      </c>
    </row>
    <row r="6" spans="1:2" ht="28.5">
      <c r="A6" s="902" t="s">
        <v>417</v>
      </c>
      <c r="B6" s="903" t="s">
        <v>1288</v>
      </c>
    </row>
    <row r="7" spans="1:2" ht="14.25">
      <c r="A7" s="902" t="s">
        <v>418</v>
      </c>
      <c r="B7" s="903" t="s">
        <v>420</v>
      </c>
    </row>
    <row r="8" spans="1:2" ht="14.25">
      <c r="A8" s="902" t="s">
        <v>424</v>
      </c>
      <c r="B8" s="903" t="s">
        <v>421</v>
      </c>
    </row>
    <row r="9" spans="1:2" ht="14.25">
      <c r="A9" s="902" t="s">
        <v>434</v>
      </c>
      <c r="B9" s="903" t="s">
        <v>423</v>
      </c>
    </row>
    <row r="10" spans="1:2" ht="14.25">
      <c r="A10" s="902" t="s">
        <v>614</v>
      </c>
      <c r="B10" s="903" t="s">
        <v>256</v>
      </c>
    </row>
    <row r="11" spans="1:2" ht="14.25">
      <c r="A11" s="902" t="s">
        <v>615</v>
      </c>
      <c r="B11" s="903" t="s">
        <v>497</v>
      </c>
    </row>
    <row r="12" spans="1:2" ht="14.25">
      <c r="A12" s="902" t="s">
        <v>885</v>
      </c>
      <c r="B12" s="903" t="s">
        <v>54</v>
      </c>
    </row>
    <row r="13" spans="1:2" ht="14.25">
      <c r="A13" s="902" t="s">
        <v>910</v>
      </c>
      <c r="B13" s="903" t="s">
        <v>1218</v>
      </c>
    </row>
    <row r="14" spans="1:2" ht="14.25">
      <c r="A14" s="902" t="s">
        <v>973</v>
      </c>
      <c r="B14" s="903" t="s">
        <v>1287</v>
      </c>
    </row>
    <row r="15" spans="1:2" ht="28.5">
      <c r="A15" s="902" t="s">
        <v>975</v>
      </c>
      <c r="B15" s="903" t="s">
        <v>974</v>
      </c>
    </row>
    <row r="16" spans="1:2" ht="14.25">
      <c r="A16" s="902" t="s">
        <v>1286</v>
      </c>
      <c r="B16" s="903" t="s">
        <v>976</v>
      </c>
    </row>
    <row r="17" spans="1:2" ht="14.25">
      <c r="A17" s="902"/>
      <c r="B17" s="903"/>
    </row>
    <row r="18" spans="1:2" ht="14.25">
      <c r="A18" s="902"/>
      <c r="B18" s="903"/>
    </row>
    <row r="19" spans="1:2" ht="14.25">
      <c r="A19" s="902"/>
      <c r="B19" s="903"/>
    </row>
    <row r="20" spans="1:2" ht="15">
      <c r="A20" s="902" t="s">
        <v>408</v>
      </c>
      <c r="B20" s="903" t="s">
        <v>939</v>
      </c>
    </row>
    <row r="21" spans="1:2" ht="14.25">
      <c r="A21" s="902" t="s">
        <v>407</v>
      </c>
      <c r="B21" s="903" t="s">
        <v>435</v>
      </c>
    </row>
    <row r="22" spans="1:2" ht="14.25">
      <c r="A22" s="902" t="s">
        <v>409</v>
      </c>
      <c r="B22" s="903" t="s">
        <v>410</v>
      </c>
    </row>
    <row r="23" spans="1:2" ht="14.25">
      <c r="A23" s="902"/>
      <c r="B23" s="903"/>
    </row>
    <row r="24" spans="1:2" ht="14.25">
      <c r="A24" s="902"/>
      <c r="B24" s="903"/>
    </row>
    <row r="25" spans="1:2" ht="15">
      <c r="A25" s="902" t="s">
        <v>411</v>
      </c>
      <c r="B25" s="903" t="s">
        <v>412</v>
      </c>
    </row>
    <row r="26" spans="1:2" ht="14.25">
      <c r="A26" s="902" t="s">
        <v>413</v>
      </c>
      <c r="B26" s="903" t="s">
        <v>414</v>
      </c>
    </row>
    <row r="27" spans="1:2" ht="14.25">
      <c r="A27" s="902" t="s">
        <v>415</v>
      </c>
      <c r="B27" s="903"/>
    </row>
    <row r="28" spans="1:2" ht="14.25">
      <c r="A28" s="902"/>
      <c r="B28" s="903"/>
    </row>
    <row r="29" spans="1:2" ht="14.25">
      <c r="A29" s="902"/>
      <c r="B29" s="903"/>
    </row>
    <row r="30" spans="1:2" ht="15">
      <c r="A30" s="902" t="s">
        <v>469</v>
      </c>
      <c r="B30" s="903" t="s">
        <v>468</v>
      </c>
    </row>
    <row r="31" spans="1:2" ht="14.25">
      <c r="A31" s="902" t="s">
        <v>470</v>
      </c>
      <c r="B31" s="903" t="s">
        <v>260</v>
      </c>
    </row>
    <row r="32" spans="1:2" ht="14.25">
      <c r="A32" s="902"/>
      <c r="B32" s="903"/>
    </row>
    <row r="33" spans="1:2" ht="14.25">
      <c r="A33" s="902"/>
      <c r="B33" s="903"/>
    </row>
    <row r="34" spans="1:2" ht="14.25">
      <c r="A34" s="902"/>
      <c r="B34" s="903"/>
    </row>
    <row r="35" spans="1:2" ht="15">
      <c r="A35" s="902" t="s">
        <v>504</v>
      </c>
      <c r="B35" s="903" t="s">
        <v>938</v>
      </c>
    </row>
    <row r="36" spans="1:2" ht="14.25">
      <c r="A36" s="902" t="s">
        <v>502</v>
      </c>
      <c r="B36" s="903" t="s">
        <v>472</v>
      </c>
    </row>
    <row r="37" spans="1:2" ht="14.25">
      <c r="A37" s="902" t="s">
        <v>503</v>
      </c>
      <c r="B37" s="903" t="s">
        <v>473</v>
      </c>
    </row>
    <row r="38" spans="1:2" ht="14.25">
      <c r="A38" s="902"/>
      <c r="B38" s="903"/>
    </row>
    <row r="39" spans="1:2" ht="14.25">
      <c r="A39" s="902"/>
      <c r="B39" s="903"/>
    </row>
    <row r="40" spans="1:2" ht="15">
      <c r="A40" s="902" t="s">
        <v>690</v>
      </c>
      <c r="B40" s="903" t="s">
        <v>689</v>
      </c>
    </row>
    <row r="41" spans="1:2" ht="14.25">
      <c r="A41" s="902" t="s">
        <v>691</v>
      </c>
      <c r="B41" s="903" t="s">
        <v>683</v>
      </c>
    </row>
    <row r="42" spans="1:2" ht="14.25">
      <c r="A42" s="902" t="s">
        <v>692</v>
      </c>
      <c r="B42" s="903" t="s">
        <v>684</v>
      </c>
    </row>
    <row r="43" spans="1:2" ht="14.25">
      <c r="A43" s="902"/>
      <c r="B43" s="903"/>
    </row>
    <row r="44" spans="1:2" ht="14.25">
      <c r="A44" s="902"/>
      <c r="B44" s="903"/>
    </row>
    <row r="45" spans="1:2" ht="15">
      <c r="A45" s="902" t="s">
        <v>933</v>
      </c>
      <c r="B45" s="903" t="s">
        <v>936</v>
      </c>
    </row>
    <row r="46" spans="1:2" ht="14.25">
      <c r="A46" s="902" t="s">
        <v>934</v>
      </c>
      <c r="B46" s="903" t="s">
        <v>932</v>
      </c>
    </row>
    <row r="47" spans="1:2" ht="14.25">
      <c r="A47" s="902" t="s">
        <v>935</v>
      </c>
      <c r="B47" s="903" t="s">
        <v>937</v>
      </c>
    </row>
    <row r="48" spans="1:2" ht="14.25">
      <c r="A48" s="902"/>
      <c r="B48" s="903"/>
    </row>
    <row r="49" spans="1:2" ht="14.25">
      <c r="A49" s="902"/>
      <c r="B49" s="903"/>
    </row>
    <row r="50" spans="1:2" ht="14.25">
      <c r="A50" s="902"/>
      <c r="B50" s="903"/>
    </row>
    <row r="51" spans="1:2" ht="14.25">
      <c r="A51" s="902"/>
      <c r="B51" s="903"/>
    </row>
    <row r="52" spans="1:2" ht="14.25">
      <c r="A52" s="902"/>
      <c r="B52" s="903"/>
    </row>
    <row r="53" spans="1:2" ht="14.25">
      <c r="A53" s="902"/>
      <c r="B53" s="903"/>
    </row>
    <row r="54" spans="1:2" ht="14.25">
      <c r="A54" s="902"/>
      <c r="B54" s="903"/>
    </row>
    <row r="55" spans="1:2" ht="14.25">
      <c r="A55" s="902"/>
      <c r="B55" s="903"/>
    </row>
    <row r="56" spans="1:2" ht="14.25">
      <c r="A56" s="902"/>
      <c r="B56" s="903"/>
    </row>
    <row r="57" spans="1:2" ht="14.25">
      <c r="A57" s="902"/>
      <c r="B57" s="903"/>
    </row>
    <row r="58" spans="1:2" ht="14.25">
      <c r="A58" s="902"/>
      <c r="B58" s="903"/>
    </row>
    <row r="59" spans="1:2" ht="14.25">
      <c r="A59" s="902"/>
      <c r="B59" s="903"/>
    </row>
    <row r="60" spans="1:2" ht="14.25">
      <c r="A60" s="902"/>
      <c r="B60" s="903"/>
    </row>
    <row r="61" spans="1:2" ht="14.25">
      <c r="A61" s="902"/>
      <c r="B61" s="903"/>
    </row>
    <row r="62" spans="1:2" ht="14.25">
      <c r="A62" s="902"/>
      <c r="B62" s="903"/>
    </row>
    <row r="63" spans="1:2" ht="14.25">
      <c r="A63" s="902"/>
      <c r="B63" s="903"/>
    </row>
    <row r="64" spans="1:2" ht="14.25">
      <c r="A64" s="904"/>
      <c r="B64" s="905"/>
    </row>
    <row r="65" ht="2.25" customHeight="1"/>
  </sheetData>
  <sheetProtection algorithmName="SHA-512" hashValue="DPS1G78d7OqT5L1oo1usI52S7wW1HR1Lsi8lkozeRJmH71045ze/fbjrx8Zv5+GzeEoUJdv/b7BuGU0Tn6xMaw==" saltValue="APmHQ6TgK7q/LVgz5GvhVg==" spinCount="100000" sheet="1" objects="1" scenarios="1" autoFilter="0"/>
  <conditionalFormatting sqref="A5:B64">
    <cfRule type="expression" dxfId="2" priority="3">
      <formula>LEFT($B5,3)="***"</formula>
    </cfRule>
  </conditionalFormatting>
  <conditionalFormatting sqref="A5:A64">
    <cfRule type="duplicateValues" dxfId="1" priority="2"/>
  </conditionalFormatting>
  <conditionalFormatting sqref="B5:B64">
    <cfRule type="duplicateValues" dxfId="0" priority="1"/>
  </conditionalFormatting>
  <printOptions horizontalCentered="1"/>
  <pageMargins left="0.3" right="0.3" top="0.2" bottom="0.3" header="0.3" footer="0.1"/>
  <pageSetup paperSize="9" scale="98" orientation="portrait" cellComments="atEnd" r:id="rId1"/>
  <headerFooter scaleWithDoc="0">
    <oddFooter>&amp;L&amp;8BunkerManager, v1.06&amp;C&amp;8by AMS-Marine | www.ams-marine.com&amp;R&amp;8RefNo: BD/2015/00926 SG</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003"/>
  <dimension ref="A1:A4"/>
  <sheetViews>
    <sheetView workbookViewId="0"/>
  </sheetViews>
  <sheetFormatPr defaultRowHeight="13.5"/>
  <sheetData>
    <row r="1" spans="1:1">
      <c r="A1" s="135">
        <v>2</v>
      </c>
    </row>
    <row r="2" spans="1:1">
      <c r="A2" t="s">
        <v>150</v>
      </c>
    </row>
    <row r="3" spans="1:1">
      <c r="A3" t="s">
        <v>742</v>
      </c>
    </row>
    <row r="4" spans="1:1">
      <c r="A4" t="s">
        <v>743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001"/>
  <dimension ref="A3"/>
  <sheetViews>
    <sheetView workbookViewId="0">
      <selection activeCell="C2" sqref="C2"/>
    </sheetView>
  </sheetViews>
  <sheetFormatPr defaultRowHeight="13.5"/>
  <sheetData>
    <row r="3" spans="1:1">
      <c r="A3" t="s">
        <v>731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38</vt:i4>
      </vt:variant>
      <vt:variant>
        <vt:lpstr>İletişim Kutuları</vt:lpstr>
      </vt:variant>
      <vt:variant>
        <vt:i4>7</vt:i4>
      </vt:variant>
    </vt:vector>
  </HeadingPairs>
  <TitlesOfParts>
    <vt:vector size="45" baseType="lpstr">
      <vt:lpstr>POWER SETT</vt:lpstr>
      <vt:lpstr>STANDARD SETT</vt:lpstr>
      <vt:lpstr>MAIN</vt:lpstr>
      <vt:lpstr>Cover Page</vt:lpstr>
      <vt:lpstr>Drafts</vt:lpstr>
      <vt:lpstr>Ships Declaration</vt:lpstr>
      <vt:lpstr>Vessel Gauging Data</vt:lpstr>
      <vt:lpstr>Barge Gauging Data</vt:lpstr>
      <vt:lpstr>Gauging Ticket</vt:lpstr>
      <vt:lpstr>Preliminary Report</vt:lpstr>
      <vt:lpstr>Summary Report</vt:lpstr>
      <vt:lpstr>Final Report (SS)</vt:lpstr>
      <vt:lpstr>OUT-TURNS</vt:lpstr>
      <vt:lpstr>Vessel BQS Report</vt:lpstr>
      <vt:lpstr>Barge BQS Report</vt:lpstr>
      <vt:lpstr>Bunker Sample Info</vt:lpstr>
      <vt:lpstr>Pre-Survey (SS)</vt:lpstr>
      <vt:lpstr>Vessel BQS Report (SS)</vt:lpstr>
      <vt:lpstr>Barge BQS Report (SS)</vt:lpstr>
      <vt:lpstr>Sampling Report (SS)</vt:lpstr>
      <vt:lpstr>Barge Non-Cargo (SS)</vt:lpstr>
      <vt:lpstr>FlowMeter CL (SS)</vt:lpstr>
      <vt:lpstr>FlowMeter (SS)</vt:lpstr>
      <vt:lpstr>Gravitation Declaration</vt:lpstr>
      <vt:lpstr>Valves Declaration</vt:lpstr>
      <vt:lpstr>Statement of Facts</vt:lpstr>
      <vt:lpstr>Vessel ROB Report</vt:lpstr>
      <vt:lpstr>Vessel ROB Certificate</vt:lpstr>
      <vt:lpstr>OnOff Hire Certificate</vt:lpstr>
      <vt:lpstr>Sludge Retention</vt:lpstr>
      <vt:lpstr>Bunker Consumption</vt:lpstr>
      <vt:lpstr>Time Log</vt:lpstr>
      <vt:lpstr>Barge Evaluation</vt:lpstr>
      <vt:lpstr>SuperASTM</vt:lpstr>
      <vt:lpstr>Conversions Tool</vt:lpstr>
      <vt:lpstr>Trim Correction</vt:lpstr>
      <vt:lpstr>Remarks Library</vt:lpstr>
      <vt:lpstr>Refresher</vt:lpstr>
      <vt:lpstr>PrintDlg</vt:lpstr>
      <vt:lpstr>PrintDlgSS</vt:lpstr>
      <vt:lpstr>DialogV</vt:lpstr>
      <vt:lpstr>DialogB</vt:lpstr>
      <vt:lpstr>DialogBD</vt:lpstr>
      <vt:lpstr>DialogVD</vt:lpstr>
      <vt:lpstr>Dialog2</vt:lpstr>
    </vt:vector>
  </TitlesOfParts>
  <Company>Kyklades Maritime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Panagiotis Aronis</dc:creator>
  <cp:lastModifiedBy>Deneme Yanılma</cp:lastModifiedBy>
  <cp:lastPrinted>2022-08-19T07:09:13Z</cp:lastPrinted>
  <dcterms:created xsi:type="dcterms:W3CDTF">2015-06-02T14:31:45Z</dcterms:created>
  <dcterms:modified xsi:type="dcterms:W3CDTF">2022-08-19T07:09:15Z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273f3a4c-6fef-41d1-a594-8d7356a59a42</vt:lpwstr>
  </property>
</Properties>
</file>